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4.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harts/chart20.xml" ContentType="application/vnd.openxmlformats-officedocument.drawingml.chart+xml"/>
  <Override PartName="/xl/charts/chart21.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LAB\Desktop\NCC_CMIP6经济\IAMs\损失函数2\"/>
    </mc:Choice>
  </mc:AlternateContent>
  <bookViews>
    <workbookView xWindow="0" yWindow="0" windowWidth="19200" windowHeight="6465" tabRatio="999" firstSheet="1" activeTab="25"/>
  </bookViews>
  <sheets>
    <sheet name="Results" sheetId="57" state="hidden" r:id="rId1"/>
    <sheet name="Cockpit" sheetId="41" r:id="rId2"/>
    <sheet name="Base data" sheetId="1" r:id="rId3"/>
    <sheet name="Library data" sheetId="2" r:id="rId4"/>
    <sheet name="Policy A" sheetId="3" state="hidden" r:id="rId5"/>
    <sheet name="Policy B" sheetId="27" state="hidden" r:id="rId6"/>
    <sheet name="Policy A-B" sheetId="31" state="hidden" r:id="rId7"/>
    <sheet name="Emissions A" sheetId="5" state="hidden" r:id="rId8"/>
    <sheet name="Emissions B" sheetId="28" state="hidden" r:id="rId9"/>
    <sheet name="Emissions A-B" sheetId="32" state="hidden" r:id="rId10"/>
    <sheet name="Totals" sheetId="9" r:id="rId11"/>
    <sheet name="Climate A" sheetId="4" r:id="rId12"/>
    <sheet name="Climate B" sheetId="29" r:id="rId13"/>
    <sheet name="Climate A-B" sheetId="40" r:id="rId14"/>
    <sheet name="Economy A" sheetId="58" r:id="rId15"/>
    <sheet name="Economy B" sheetId="59" r:id="rId16"/>
    <sheet name="Economy A-B" sheetId="60" state="hidden" r:id="rId17"/>
    <sheet name="Preventative costs A" sheetId="8" state="hidden" r:id="rId18"/>
    <sheet name="Preventative costs B" sheetId="38" state="hidden" r:id="rId19"/>
    <sheet name="Preventative costs A-B" sheetId="39" state="hidden" r:id="rId20"/>
    <sheet name="Adaptive costs A" sheetId="7" state="hidden" r:id="rId21"/>
    <sheet name="Adaptive costs B" sheetId="35" state="hidden" r:id="rId22"/>
    <sheet name="Adaptive costs A-B" sheetId="37" state="hidden" r:id="rId23"/>
    <sheet name="Impacts A" sheetId="6" r:id="rId24"/>
    <sheet name="RiskSerializationData8" sheetId="67" state="hidden" r:id="rId25"/>
    <sheet name="Impacts B" sheetId="30" r:id="rId26"/>
    <sheet name="Impacts A-B" sheetId="34" r:id="rId27"/>
  </sheets>
  <definedNames>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0</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FALSE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act">'Adaptive costs A'!$B$170:$K$177</definedName>
    <definedName name="aact_b">'Adaptive costs B'!$B$170:$K$177</definedName>
    <definedName name="aact_g">'Adaptive costs A'!$B$178:$K$178</definedName>
    <definedName name="aact_g_ab">'Adaptive costs A-B'!$B$178:$K$178</definedName>
    <definedName name="aact_g_b">'Adaptive costs B'!$B$178:$K$178</definedName>
    <definedName name="aact_gt">'Adaptive costs A'!$L$178</definedName>
    <definedName name="aact_gt_b">'Adaptive costs B'!$L$178</definedName>
    <definedName name="ac_1">'Adaptive costs A'!$B$72:$K$79</definedName>
    <definedName name="ac_1_b">'Adaptive costs B'!$B$72:$K$79</definedName>
    <definedName name="ac_1_g">'Adaptive costs A'!$B$80:$K$80</definedName>
    <definedName name="ac_1_g_b">'Adaptive costs B'!$B$80:$K$80</definedName>
    <definedName name="ac_2">'Adaptive costs A'!$B$102:$K$109</definedName>
    <definedName name="ac_2_b">'Adaptive costs B'!$B$102:$K$109</definedName>
    <definedName name="ac_2_g">'Adaptive costs A'!$B$110:$K$110</definedName>
    <definedName name="ac_2_g_b">'Adaptive costs B'!$B$110:$K$110</definedName>
    <definedName name="ac_s">'Adaptive costs A'!$B$42:$K$49</definedName>
    <definedName name="ac_s_b">'Adaptive costs B'!$B$42:$K$49</definedName>
    <definedName name="ac_s_g">'Adaptive costs A'!$B$50:$K$50</definedName>
    <definedName name="ac_s_g_b">'Adaptive costs B'!$B$50:$K$50</definedName>
    <definedName name="aci_1">'Adaptive costs A'!$B$62:$K$69</definedName>
    <definedName name="aci_1_b">'Adaptive costs B'!$B$62:$K$69</definedName>
    <definedName name="aci_1_g">'Adaptive costs A'!$B$70:$K$70</definedName>
    <definedName name="aci_1_g_b">'Adaptive costs B'!$B$70:$K$70</definedName>
    <definedName name="aci_2">'Adaptive costs A'!$B$92:$K$99</definedName>
    <definedName name="aci_2_b">'Adaptive costs B'!$B$92:$K$99</definedName>
    <definedName name="aci_2_g">'Adaptive costs A'!$B$100:$K$100</definedName>
    <definedName name="aci_2_g_b">'Adaptive costs B'!$B$100:$K$100</definedName>
    <definedName name="aci_s">'Adaptive costs A'!$B$32:$K$39</definedName>
    <definedName name="aci_s_b">'Adaptive costs B'!$B$32:$K$39</definedName>
    <definedName name="aci_s_g">'Adaptive costs A'!$B$40:$K$40</definedName>
    <definedName name="aci_s_g_b">'Adaptive costs B'!$B$40:$K$40</definedName>
    <definedName name="acp_1">'Adaptive costs A'!$B$52:$K$59</definedName>
    <definedName name="acp_1_b">'Adaptive costs B'!$B$52:$K$59</definedName>
    <definedName name="acp_1_g">'Adaptive costs A'!$B$60:$K$60</definedName>
    <definedName name="acp_1_g_b">'Adaptive costs B'!$B$60:$K$60</definedName>
    <definedName name="acp_2">'Adaptive costs A'!$B$82:$K$89</definedName>
    <definedName name="acp_2_b">'Adaptive costs B'!$B$82:$K$89</definedName>
    <definedName name="acp_2_g">'Adaptive costs A'!$B$90:$K$90</definedName>
    <definedName name="acp_2_g_b">'Adaptive costs B'!$B$90:$K$90</definedName>
    <definedName name="acp_s">'Adaptive costs A'!$B$22:$K$29</definedName>
    <definedName name="acp_s_b">'Adaptive costs B'!$B$22:$K$29</definedName>
    <definedName name="acp_s_g">'Adaptive costs A'!$B$30:$K$30</definedName>
    <definedName name="acp_s_g_b">'Adaptive costs B'!$B$30:$K$30</definedName>
    <definedName name="act">'Adaptive costs A'!$B$112:$K$119</definedName>
    <definedName name="act_b">'Adaptive costs B'!$B$112:$K$119</definedName>
    <definedName name="act_g">'Adaptive costs A'!$B$120:$K$120</definedName>
    <definedName name="act_g_b">'Adaptive costs B'!$B$120:$K$120</definedName>
    <definedName name="act_per_cap">'Adaptive costs A'!$B$122:$K$129</definedName>
    <definedName name="act_per_cap_b">'Adaptive costs B'!$B$122:$K$129</definedName>
    <definedName name="act_per_cap_g">'Adaptive costs A'!$B$130:$K$130</definedName>
    <definedName name="act_per_cap_g_b">'Adaptive costs B'!$B$130:$K$130</definedName>
    <definedName name="addt">'Impacts A'!$C$429:$L$436</definedName>
    <definedName name="addt_b">'Impacts B'!$C$429:$L$436</definedName>
    <definedName name="addt_g">'Impacts A'!$C$437:$L$437</definedName>
    <definedName name="addt_g_ab">'Impacts A-B'!$C$437:$L$437</definedName>
    <definedName name="addt_g_b">'Impacts B'!$C$437:$L$437</definedName>
    <definedName name="addt_gt">'Impacts A'!$M$437</definedName>
    <definedName name="addt_gt_b">'Impacts B'!$M$437</definedName>
    <definedName name="addtt">'Impacts A'!$M$429:$M$436</definedName>
    <definedName name="addtt_b">'Impacts B'!$M$429:$M$436</definedName>
    <definedName name="ahi_ch4">'Preventative costs A'!$B$506:$K$513</definedName>
    <definedName name="ahi_ch4_b">'Preventative costs B'!$B$506:$K$513</definedName>
    <definedName name="ahi_co2">'Preventative costs A'!$B$497:$K$504</definedName>
    <definedName name="ahi_co2_b">'Preventative costs B'!$B$497:$K$504</definedName>
    <definedName name="ahi_glin">'Preventative costs A'!$B$524:$K$531</definedName>
    <definedName name="ahi_glin_b">'Preventative costs B'!$B$524:$K$531</definedName>
    <definedName name="ahi_n2o">'Preventative costs A'!$B$515:$K$522</definedName>
    <definedName name="ahi_n2o_b">'Preventative costs B'!$B$515:$K$522</definedName>
    <definedName name="AIR_CH4">'Base data'!$C$17</definedName>
    <definedName name="AIR_GLIN">'Base data'!$E$17</definedName>
    <definedName name="AIR_N2O">'Base data'!$D$17</definedName>
    <definedName name="ALB_EMULATOR_RAND">'Library data'!$C$33</definedName>
    <definedName name="alb_fsaf">'Climate A'!$D$174:$M$174</definedName>
    <definedName name="alb_fsaf_adjust_1">'Climate A'!$D$168</definedName>
    <definedName name="alb_fsaf_adjust_1_b">'Climate B'!$D$168</definedName>
    <definedName name="alb_fsaf_adjust_not_1">'Climate A'!$E$168:$M$168</definedName>
    <definedName name="alb_fsaf_adjust_not_1_b">'Climate B'!$E$168:$M$168</definedName>
    <definedName name="alb_fsaf_b">'Climate B'!$D$174:$M$174</definedName>
    <definedName name="alb_fsaf_diff">'Climate A'!$D$200:$M$200</definedName>
    <definedName name="alb_fsaf_diff_b">'Climate B'!$D$200:$M$200</definedName>
    <definedName name="ALB_FSAF_ECS">'Climate A'!$D$29</definedName>
    <definedName name="ALB_FSAF_T_SWITCH">'Climate A'!$D$31</definedName>
    <definedName name="ALB_FSAF_Y0">'Climate A'!$D$27</definedName>
    <definedName name="alb_saf">'Climate A'!$D$175:$M$175</definedName>
    <definedName name="alb_saf_adjust">'Climate A'!$D$167:$M$167</definedName>
    <definedName name="ALB_SAF_ADJUST_0">'Climate A'!$C$167</definedName>
    <definedName name="alb_saf_adjust_b">'Climate B'!$D$167:$M$167</definedName>
    <definedName name="alb_saf_approx">'Climate A'!$D$166:$M$166</definedName>
    <definedName name="ALB_SAF_APPROX_0">'Climate A'!$C$166</definedName>
    <definedName name="alb_saf_approx_1">'Climate A'!$D$166</definedName>
    <definedName name="alb_saf_approx_1_b">'Climate B'!$D$166</definedName>
    <definedName name="alb_saf_approx_b">'Climate B'!$D$166:$M$166</definedName>
    <definedName name="alb_saf_approx_not_1">'Climate A'!$E$166:$M$166</definedName>
    <definedName name="alb_saf_approx_not_1_b">'Climate B'!$E$166:$M$166</definedName>
    <definedName name="alb_saf_b">'Climate B'!$D$175:$M$175</definedName>
    <definedName name="ALB_SAF_ECS">'Climate A'!$D$30</definedName>
    <definedName name="ALB_SAF_LIN_MEAN">'Base data'!$D$107</definedName>
    <definedName name="ALB_SAF_LIN_STD">'Base data'!$D$108</definedName>
    <definedName name="ALB_SAF_QUADR_MEAN_T0_COEFF">'Base data'!$D$105</definedName>
    <definedName name="ALB_SAF_QUADR_MEAN_T1_COEFF">'Base data'!$D$104</definedName>
    <definedName name="ALB_SAF_QUADR_MEAN_T2_COEFF">'Base data'!$D$103</definedName>
    <definedName name="ALB_SAF_QUADR_STD">'Base data'!$D$106</definedName>
    <definedName name="ALB_SAF_Y0">'Climate A'!$D$28</definedName>
    <definedName name="ALB_T_SWITCH">'Base data'!$D$102</definedName>
    <definedName name="ALO_CH4">'Preventative costs A'!$B$434:$K$441</definedName>
    <definedName name="ALO_CO2">'Preventative costs A'!$B$425:$K$432</definedName>
    <definedName name="ALO_GLIN">'Preventative costs A'!$B$452:$K$459</definedName>
    <definedName name="ALO_N2O">'Preventative costs A'!$B$443:$K$450</definedName>
    <definedName name="AMPF">'Library data'!$C$24:$C$31</definedName>
    <definedName name="anthr_ce_co2">'Climate A'!$D$73:$M$73</definedName>
    <definedName name="ANTHR_CE_CO2_0">'Base data'!$B$20</definedName>
    <definedName name="anthr_ce_co2_b">'Climate B'!$D$73:$M$73</definedName>
    <definedName name="anthr_teay_ch4">'Climate A'!$D$97:$M$97</definedName>
    <definedName name="anthr_teay_ch4_b">'Climate B'!$D$97:$M$97</definedName>
    <definedName name="AREA">'Base data'!$C$26:$C$33</definedName>
    <definedName name="AREA_E">'Base data'!$D$55</definedName>
    <definedName name="AREA_L">'Base data'!$D$56</definedName>
    <definedName name="asymp_comp_co2_proj">'Climate A'!$D$82:$M$82</definedName>
    <definedName name="asymp_comp_co2_proj_b">'Climate B'!$D$82:$M$82</definedName>
    <definedName name="atl_1">'Impacts A'!$C$43:$L$50</definedName>
    <definedName name="atl_1_b">'Impacts B'!$C$43:$L$50</definedName>
    <definedName name="atl_2">'Impacts A'!$C$52:$L$59</definedName>
    <definedName name="atl_2_b">'Impacts B'!$C$52:$L$59</definedName>
    <definedName name="atl_s">'Impacts A'!$C$34:$L$41</definedName>
    <definedName name="atl_s_b">'Impacts B'!$C$34:$L$41</definedName>
    <definedName name="AUTO">'Library data'!$C$195</definedName>
    <definedName name="AUTOFAC">'Preventative costs A'!$B$233:$K$233</definedName>
    <definedName name="AUTOMULT">'Library data'!$C$194</definedName>
    <definedName name="BAU_CH4">'Base data'!$C$219:$L$226</definedName>
    <definedName name="BAU_CO2">'Base data'!$C$210:$L$217</definedName>
    <definedName name="BAU_GLIN">'Base data'!$C$237:$L$244</definedName>
    <definedName name="BAU_N2O">'Base data'!$C$228:$L$235</definedName>
    <definedName name="BHI_CH4">'Preventative costs A'!$B$470:$K$477</definedName>
    <definedName name="BHI_CO2">'Preventative costs A'!$B$461:$K$468</definedName>
    <definedName name="BHI_GLIN">'Preventative costs A'!$B$488:$K$495</definedName>
    <definedName name="BHI_N2O">'Preventative costs A'!$B$479:$K$486</definedName>
    <definedName name="BLO_CH4">'Preventative costs A'!$B$398:$K$405</definedName>
    <definedName name="BLO_CO2">'Preventative costs A'!$B$389:$K$396</definedName>
    <definedName name="BLO_GLIN">'Preventative costs A'!$B$416:$K$423</definedName>
    <definedName name="BLO_N2O">'Preventative costs A'!$B$407:$K$414</definedName>
    <definedName name="BrowseRecords" localSheetId="24">RiskSerializationData8!$6:$6</definedName>
    <definedName name="C_0">'Base data'!$B$19:$E$19</definedName>
    <definedName name="c_ch4">'Climate A'!$D$104:$M$104</definedName>
    <definedName name="C_CH4_0">'Base data'!$C$19</definedName>
    <definedName name="c_ch4_b">'Climate B'!$D$104:$M$104</definedName>
    <definedName name="c_co2">'Climate A'!$D$91:$M$91</definedName>
    <definedName name="C_CO2_0">'Base data'!$B$19</definedName>
    <definedName name="c_co2_b">'Climate B'!$D$91:$M$91</definedName>
    <definedName name="c_co2_no_ccff">'Climate A'!$D$88:$M$88</definedName>
    <definedName name="C_CO2_NO_CCFF_0">'Climate A'!$C$88</definedName>
    <definedName name="c_co2_no_ccff_b">'Climate B'!$D$88:$M$88</definedName>
    <definedName name="c_glin">'Climate A'!$D$128:$M$128</definedName>
    <definedName name="C_GLIN_0">'Base data'!$E$19</definedName>
    <definedName name="c_glin_b">'Climate B'!$D$128:$M$128</definedName>
    <definedName name="c_n2o">'Climate A'!$D$114:$M$114</definedName>
    <definedName name="C_N2O_0">'Base data'!$D$19</definedName>
    <definedName name="c_n2o_b">'Climate B'!$D$114:$M$114</definedName>
    <definedName name="C0_CH4">'Preventative costs A'!$B$236:$K$236</definedName>
    <definedName name="C0_CO2">'Preventative costs A'!$B$235:$K$235</definedName>
    <definedName name="C0_GLIN">'Preventative costs A'!$B$238:$K$238</definedName>
    <definedName name="C0_INIT_CH4">'Library data'!$C$140</definedName>
    <definedName name="C0_INIT_CO2">'Library data'!$C$133</definedName>
    <definedName name="C0_INIT_GLIN">'Library data'!$C$154</definedName>
    <definedName name="C0_INIT_N2O">'Library data'!$C$147</definedName>
    <definedName name="C0_N2O">'Preventative costs A'!$B$237:$K$237</definedName>
    <definedName name="C0G">'Library data'!$C$186</definedName>
    <definedName name="C0MULT">'Library data'!$C$185</definedName>
    <definedName name="cb_ch4">'Preventative costs A'!$B$94:$K$101</definedName>
    <definedName name="cb_ch4_b">'Preventative costs B'!$B$94:$K$101</definedName>
    <definedName name="cb_co2">'Preventative costs A'!$B$85:$K$92</definedName>
    <definedName name="cb_co2_b">'Preventative costs B'!$B$85:$K$92</definedName>
    <definedName name="cb_glin">'Preventative costs A'!$B$112:$K$119</definedName>
    <definedName name="cb_glin_b">'Preventative costs B'!$B$112:$K$119</definedName>
    <definedName name="cb_n2o">'Preventative costs A'!$B$103:$K$110</definedName>
    <definedName name="cb_n2o_b">'Preventative costs B'!$B$103:$K$110</definedName>
    <definedName name="cbe_ch4">'Preventative costs A'!$B$130:$K$137</definedName>
    <definedName name="cbe_ch4_b">'Preventative costs B'!$B$130:$K$137</definedName>
    <definedName name="cbe_co2">'Preventative costs A'!$B$121:$K$128</definedName>
    <definedName name="cbe_co2_b">'Preventative costs B'!$B$121:$K$128</definedName>
    <definedName name="cbe_glin">'Preventative costs A'!$B$148:$K$155</definedName>
    <definedName name="cbe_glin_b">'Preventative costs B'!$B$148:$K$155</definedName>
    <definedName name="cbe_n2o">'Preventative costs A'!$B$139:$K$146</definedName>
    <definedName name="cbe_n2o_b">'Preventative costs B'!$B$139:$K$146</definedName>
    <definedName name="CCF">'Library data'!$C$10</definedName>
    <definedName name="ccff">'Climate A'!$D$90:$M$90</definedName>
    <definedName name="CCFF_0">'Climate A'!$C$90</definedName>
    <definedName name="ccff_1">'Climate A'!$D$90</definedName>
    <definedName name="ccff_1_b">'Climate B'!$D$90</definedName>
    <definedName name="ccff_b">'Climate B'!$D$90:$M$90</definedName>
    <definedName name="ccff_not_1">'Climate A'!$E$90:$M$90</definedName>
    <definedName name="ccff_not_1_b">'Climate B'!$E$90:$M$90</definedName>
    <definedName name="CCFFMAX">'Library data'!$C$11</definedName>
    <definedName name="CF">'Library data'!$C$121:$C$127</definedName>
    <definedName name="CI_1">'Adaptive costs A'!$E$5:$E$12</definedName>
    <definedName name="CI_1_1">'Library data'!$C$118</definedName>
    <definedName name="CI_2">'Adaptive costs A'!$G$5:$G$12</definedName>
    <definedName name="CI_2_1">'Library data'!$C$120</definedName>
    <definedName name="CI_S">'Adaptive costs A'!$C$5:$C$12</definedName>
    <definedName name="CI_S_1">'Library data'!$C$116</definedName>
    <definedName name="CIV_VALUE">'Library data'!$C$87</definedName>
    <definedName name="cmax_ch4">'Preventative costs A'!$B$362:$K$369</definedName>
    <definedName name="cmax_ch4_b">'Preventative costs B'!$B$362:$K$369</definedName>
    <definedName name="cmax_co2">'Preventative costs A'!$B$353:$K$360</definedName>
    <definedName name="cmax_co2_b">'Preventative costs B'!$B$353:$K$360</definedName>
    <definedName name="cmax_glin">'Preventative costs A'!$B$380:$K$387</definedName>
    <definedName name="cmax_glin_b">'Preventative costs B'!$B$380:$K$387</definedName>
    <definedName name="CMAX_INIT_CH4">'Preventative costs A'!$C$31:$C$38</definedName>
    <definedName name="CMAX_INIT_CH4_1">'Library data'!$C$142</definedName>
    <definedName name="CMAX_INIT_CO2">'Preventative costs A'!$B$31:$B$38</definedName>
    <definedName name="CMAX_INIT_CO2_1">'Library data'!$C$135</definedName>
    <definedName name="CMAX_INIT_GLIN">'Preventative costs A'!$E$31:$E$38</definedName>
    <definedName name="CMAX_INIT_GLIN_1">'Library data'!$C$156</definedName>
    <definedName name="CMAX_INIT_N2O">'Preventative costs A'!$D$31:$D$38</definedName>
    <definedName name="CMAX_INIT_N2O_1">'Library data'!$C$149</definedName>
    <definedName name="cmax_n2o">'Preventative costs A'!$B$371:$K$378</definedName>
    <definedName name="cmax_n2o_b">'Preventative costs B'!$B$371:$K$378</definedName>
    <definedName name="CMAXF">'Library data'!$C$175:$C$181</definedName>
    <definedName name="CONS_PER_CAP">'Economy A'!$C$37:$L$44</definedName>
    <definedName name="CONS_PER_CAP_0">'Economy A'!$B$37:$B$44</definedName>
    <definedName name="cons_per_cap_after_costs">'Impacts A'!$C$130:$L$137</definedName>
    <definedName name="cons_per_cap_after_costs_b">'Impacts B'!$C$130:$L$137</definedName>
    <definedName name="CONS_PER_CAP_B">'Economy B'!$C$37:$L$44</definedName>
    <definedName name="CONS_PER_CAP_FOCUS">'Economy A'!$C$37:$L$37</definedName>
    <definedName name="CONS_PER_CAP_FOCUS_0">'Economy A'!$B$37</definedName>
    <definedName name="CONS_PER_CAP_FOCUS_B">'Economy B'!$C$37:$L$37</definedName>
    <definedName name="CONS_PER_CAP_G">'Economy A'!$C$45:$L$45</definedName>
    <definedName name="CONS_PER_CAP_G_0">'Economy A'!$B$45</definedName>
    <definedName name="CONS_PER_CAP_G_1">'Economy A'!$C$45</definedName>
    <definedName name="CONS_PER_CAP_G_1_B">'Economy B'!$C$45</definedName>
    <definedName name="CONS_PER_CAP_G_B">'Economy B'!$C$45:$L$45</definedName>
    <definedName name="CONS_PER_CAP_G_NOT_1">'Economy A'!$D$45:$L$45</definedName>
    <definedName name="CONS_PER_CAP_G_NOT_1_B">'Economy B'!$D$45:$L$45</definedName>
    <definedName name="CORRECT_RE_CO2_0">'Climate A'!$D$14</definedName>
    <definedName name="CORRECT_RE_CO2_0_b">'Climate B'!$B$14</definedName>
    <definedName name="CP_1">'Adaptive costs A'!$D$5:$D$12</definedName>
    <definedName name="CP_1_1">'Library data'!$C$117</definedName>
    <definedName name="CP_2">'Adaptive costs A'!$F$5:$F$12</definedName>
    <definedName name="CP_2_1">'Library data'!$C$119</definedName>
    <definedName name="CP_S">'Adaptive costs A'!$B$5:$B$12</definedName>
    <definedName name="CP_S_1">'Library data'!$C$115</definedName>
    <definedName name="CROSS">'Library data'!$C$191</definedName>
    <definedName name="cumcbe_ch4">'Preventative costs A'!$B$167:$K$174</definedName>
    <definedName name="cumcbe_ch4_b">'Preventative costs B'!$B$167:$K$174</definedName>
    <definedName name="cumcbe_ch4_g">'Preventative costs A'!$B$175:$K$175</definedName>
    <definedName name="cumcbe_ch4_g_b">'Preventative costs B'!$B$175:$K$175</definedName>
    <definedName name="cumcbe_co2">'Preventative costs A'!$B$157:$K$164</definedName>
    <definedName name="cumcbe_co2_b">'Preventative costs B'!$B$157:$K$164</definedName>
    <definedName name="cumcbe_co2_g">'Preventative costs A'!$B$165:$K$165</definedName>
    <definedName name="cumcbe_co2_g_b">'Preventative costs B'!$B$165:$K$165</definedName>
    <definedName name="cumcbe_glin">'Preventative costs A'!$B$187:$K$194</definedName>
    <definedName name="cumcbe_glin_b">'Preventative costs B'!$B$187:$K$194</definedName>
    <definedName name="cumcbe_glin_g">'Preventative costs A'!$B$195:$K$195</definedName>
    <definedName name="cumcbe_glin_g_b">'Preventative costs B'!$B$195:$K$195</definedName>
    <definedName name="cumcbe_n2o">'Preventative costs A'!$B$177:$K$184</definedName>
    <definedName name="cumcbe_n2o_b">'Preventative costs B'!$B$177:$K$184</definedName>
    <definedName name="cumcbe_n2o_g">'Preventative costs A'!$B$185:$K$185</definedName>
    <definedName name="cumcbe_n2o_g_b">'Preventative costs B'!$B$185:$K$185</definedName>
    <definedName name="CURRENCY_NAME">'Base data'!$D$35</definedName>
    <definedName name="CURVE_ABOVE">'Library data'!$C$190</definedName>
    <definedName name="CURVE_BELOW">'Library data'!$C$189</definedName>
    <definedName name="D">'Library data'!$C$13</definedName>
    <definedName name="delta_rtg_tpoints">'Climate A'!$D$201:$M$201</definedName>
    <definedName name="DEN">'Base data'!$B$14:$E$14</definedName>
    <definedName name="DEN_CH4">'Base data'!$C$14</definedName>
    <definedName name="DEN_CO2">'Base data'!$B$14</definedName>
    <definedName name="DEN_GLIN">'Base data'!$E$14</definedName>
    <definedName name="DEN_N2O">'Base data'!$D$14</definedName>
    <definedName name="DF">'Economy A'!$C$67:$L$74</definedName>
    <definedName name="DFC">'Economy A'!$C$58:$L$65</definedName>
    <definedName name="DFC_B">'Economy B'!$C$58:$L$65</definedName>
    <definedName name="DISTAU">'Library data'!$C$85</definedName>
    <definedName name="DR">'Base data'!$C$163:$L$170</definedName>
    <definedName name="DR_1">'Base data'!$C$163:$C$170</definedName>
    <definedName name="DR_1_B">'Base data'!$C$196:$C$203</definedName>
    <definedName name="DR_B">'Base data'!$C$196:$L$203</definedName>
    <definedName name="DR_NOT_1">'Base data'!$D$163:$L$170</definedName>
    <definedName name="DR_NOT_1_B">'Base data'!$D$196:$L$203</definedName>
    <definedName name="DROP">'Base data'!$M$4</definedName>
    <definedName name="e_ch4">'Emissions A'!$C$36:$L$43</definedName>
    <definedName name="E_CH4_0">'Base data'!$G$26:$G$33</definedName>
    <definedName name="e_ch4_b">'Emissions B'!$C$36:$L$43</definedName>
    <definedName name="e_ch4_g">'Emissions A'!$C$44:$L$44</definedName>
    <definedName name="E_CH4_G_0">'Emissions A'!$B$44</definedName>
    <definedName name="e_ch4_g_b">'Emissions B'!$C$44:$L$44</definedName>
    <definedName name="e_co2">'Emissions A'!$C$5:$L$12</definedName>
    <definedName name="E_CO2_0">'Base data'!$F$26:$F$33</definedName>
    <definedName name="e_co2_b">'Emissions B'!$C$5:$L$12</definedName>
    <definedName name="e_co2_g">'Emissions A'!$C$14:$L$14</definedName>
    <definedName name="E_CO2_G_0">'Base data'!$F$34</definedName>
    <definedName name="e_co2_g_b">'Emissions B'!$C$14:$L$14</definedName>
    <definedName name="e_co2_g_b_no_scc">'Emissions B'!$C$13:$L$13</definedName>
    <definedName name="e_co2_g_not_1">'Emissions A'!$D$14:$L$14</definedName>
    <definedName name="e_co2_g_not_1_b">'Emissions B'!$D$14:$L$14</definedName>
    <definedName name="E_GLIN_0">'Base data'!$I$26:$I$33</definedName>
    <definedName name="e_glin_g">'Emissions A'!$C$106:$L$106</definedName>
    <definedName name="E_GLIN_G_0">'Emissions A'!$B$106</definedName>
    <definedName name="e_glin_g_b">'Emissions B'!$C$106:$L$106</definedName>
    <definedName name="e_n2o">'Emissions A'!$C$67:$L$74</definedName>
    <definedName name="E_N2O_0">'Base data'!$H$26:$H$33</definedName>
    <definedName name="e_n2o_b">'Emissions B'!$C$67:$L$74</definedName>
    <definedName name="e_n2o_g">'Emissions A'!$C$75:$L$75</definedName>
    <definedName name="E_N2O_G_0">'Emissions A'!$B$75</definedName>
    <definedName name="e_n2o_g_b">'Emissions B'!$C$75:$L$75</definedName>
    <definedName name="eact_per_cap">'Adaptive costs A'!$B$132:$K$139</definedName>
    <definedName name="eact_per_cap_b">'Adaptive costs B'!$B$132:$K$139</definedName>
    <definedName name="ECON_IMPF">Cockpit!$B$36</definedName>
    <definedName name="ECON_IMPF_BURKE_LAG1_CONSUM">Cockpit!$E$37</definedName>
    <definedName name="ECON_IMPF_BURKE_LAG2_CONSUM">Cockpit!$E$38</definedName>
    <definedName name="ECON_IMPF_PAGE09_BURKE_MIMIC">Cockpit!$E$42</definedName>
    <definedName name="ECON_IMPF_PAGE09_DEFAULT">Cockpit!$E$39</definedName>
    <definedName name="ECON_IMPF_PAGE09_DELL_MIMIC">Cockpit!$E$41</definedName>
    <definedName name="ECON_IMPF_PAGE09_IPCCAR5_BURKE">Cockpit!$E$40</definedName>
    <definedName name="ECON_IMPF_SWITCH">Cockpit!$B$59</definedName>
    <definedName name="ECS">'Library data'!$C$22</definedName>
    <definedName name="ecs_alb_adj">'Climate A'!$D$169:$M$169</definedName>
    <definedName name="ECS_ALB_ADJ_0">'Climate A'!$C$169</definedName>
    <definedName name="ecs_alb_adj_1">'Climate A'!$D$169</definedName>
    <definedName name="ecs_alb_adj_1_b">'Climate B'!$D$169</definedName>
    <definedName name="ecs_alb_adj_b">'Climate B'!$D$169:$M$169</definedName>
    <definedName name="ecs_alb_adj_not_1">'Climate A'!$E$169:$M$169</definedName>
    <definedName name="ecs_alb_adj_not_1_b">'Climate B'!$E$169:$M$169</definedName>
    <definedName name="EMIT_CH4">'Preventative costs A'!$C$5:$C$12</definedName>
    <definedName name="EMIT_CH4_1">'Library data'!$C$138</definedName>
    <definedName name="EMIT_CO2">'Preventative costs A'!$B$5:$B$12</definedName>
    <definedName name="EMIT_CO2_1">'Library data'!$C$131</definedName>
    <definedName name="EMIT_GLIN">'Preventative costs A'!$E$5:$E$12</definedName>
    <definedName name="EMIT_GLIN_1">'Library data'!$C$152</definedName>
    <definedName name="EMIT_N2O">'Preventative costs A'!$D$5:$D$12</definedName>
    <definedName name="EMIT_N2O_1">'Library data'!$C$145</definedName>
    <definedName name="EMIT_NAME">'Base data'!$F$35</definedName>
    <definedName name="EMITF">'Library data'!$C$159:$C$165</definedName>
    <definedName name="EMUC">'Base data'!$B$11</definedName>
    <definedName name="EQUITY">'Economy A'!$C$48:$L$55</definedName>
    <definedName name="EQUITY_0">'Economy A'!$B$48:$B$55</definedName>
    <definedName name="EQUITY_B">'Economy B'!$C$48:$L$55</definedName>
    <definedName name="EQUITY_G">'Economy A'!$C$56:$L$56</definedName>
    <definedName name="EQUITY_G_0">'Economy A'!$B$56</definedName>
    <definedName name="EQUITY_PROP">'Library data'!$C$196</definedName>
    <definedName name="EQUITY_SWITCH">Cockpit!$B$61</definedName>
    <definedName name="er_ch4_1_a">'Policy A'!$B$14:$B$21</definedName>
    <definedName name="er_ch4_1_b">'Policy B'!$B$14:$B$21</definedName>
    <definedName name="er_ch4_a">'Policy A'!$B$14:$K$21</definedName>
    <definedName name="er_ch4_b">'Policy B'!$B$14:$K$21</definedName>
    <definedName name="er_ch4_final_a">'Policy A'!$K$14:$K$21</definedName>
    <definedName name="er_ch4_final_b">'Policy B'!$K$14:$K$21</definedName>
    <definedName name="er_ch4_not_1_a">'Policy A'!$C$14:$K$21</definedName>
    <definedName name="er_ch4_not_1_b">'Policy B'!$C$14:$K$21</definedName>
    <definedName name="er_co2_1_a">'Policy A'!$B$5:$B$12</definedName>
    <definedName name="er_co2_1_b">'Policy B'!$B$5:$B$12</definedName>
    <definedName name="er_co2_a">'Policy A'!$B$5:$K$12</definedName>
    <definedName name="er_co2_b">'Policy B'!$B$5:$K$12</definedName>
    <definedName name="er_co2_final_a">'Policy A'!$K$5:$K$12</definedName>
    <definedName name="er_co2_final_b">'Policy B'!$K$5:$K$12</definedName>
    <definedName name="er_co2_not_1_a">'Policy A'!$C$5:$K$12</definedName>
    <definedName name="er_co2_not_1_b">'Policy B'!$C$5:$K$12</definedName>
    <definedName name="er_glin_1_a">'Policy A'!$B$32:$B$39</definedName>
    <definedName name="er_glin_1_b">'Policy B'!$B$32:$B$39</definedName>
    <definedName name="er_glin_a">'Policy A'!$B$32:$K$39</definedName>
    <definedName name="er_glin_b">'Policy B'!$B$32:$K$39</definedName>
    <definedName name="er_glin_final_a">'Policy A'!$K$32:$K$39</definedName>
    <definedName name="er_glin_final_b">'Policy B'!$K$32:$K$39</definedName>
    <definedName name="er_glin_not_1_a">'Policy A'!$C$32:$K$39</definedName>
    <definedName name="er_glin_not_1_b">'Policy B'!$C$32:$K$39</definedName>
    <definedName name="er_n2o_1_a">'Policy A'!$B$23:$B$30</definedName>
    <definedName name="er_n2o_1_b">'Policy B'!$B$23:$B$30</definedName>
    <definedName name="er_n2o_a">'Policy A'!$B$23:$K$30</definedName>
    <definedName name="er_n2o_b">'Policy B'!$B$23:$K$30</definedName>
    <definedName name="er_n2o_final_a">'Policy A'!$K$23:$K$30</definedName>
    <definedName name="er_n2o_final_b">'Policy B'!$K$23:$K$30</definedName>
    <definedName name="er_n2o_not_1_a">'Policy A'!$C$23:$K$30</definedName>
    <definedName name="er_n2o_not_1_b">'Policy B'!$C$23:$K$30</definedName>
    <definedName name="er_scc">'Emissions B'!$C$2:$L$2</definedName>
    <definedName name="es">'Climate A'!$D$189:$M$189</definedName>
    <definedName name="ES_0">'Climate A'!$C$189</definedName>
    <definedName name="es_1">'Climate A'!$D$189</definedName>
    <definedName name="es_1_b">'Climate B'!$D$189</definedName>
    <definedName name="es_b">'Climate B'!$D$189:$M$189</definedName>
    <definedName name="es_not_1">'Climate A'!$E$189:$M$189</definedName>
    <definedName name="es_not_1_b">'Climate B'!$E$189:$M$189</definedName>
    <definedName name="EXC">'Climate A'!$D$7:$G$7</definedName>
    <definedName name="EXC_CH4">'Climate A'!$E$7</definedName>
    <definedName name="EXC_CO2">'Climate A'!$D$7</definedName>
    <definedName name="EXC_GLIN">'Climate A'!$G$7</definedName>
    <definedName name="EXC_N2O">'Climate A'!$F$7</definedName>
    <definedName name="EXF_0">'Emissions A'!$B$141</definedName>
    <definedName name="exf_a">'Emissions A'!$C$141:$L$141</definedName>
    <definedName name="exf_b">'Emissions B'!$C$141:$L$141</definedName>
    <definedName name="EXPERIMENT">Cockpit!$B$4</definedName>
    <definedName name="EXPERIMENT_BOTHFEED">Cockpit!$E$8</definedName>
    <definedName name="EXPERIMENT_LANDPERM">Cockpit!$E$6</definedName>
    <definedName name="EXPERIMENT_QC">Cockpit!$E$5</definedName>
    <definedName name="EXPERIMENT_SAF">Cockpit!$E$7</definedName>
    <definedName name="EXPERIMENT_SCC_BOTHFEED">Cockpit!$E$12</definedName>
    <definedName name="EXPERIMENT_SCC_LANDPERM">Cockpit!$E$10</definedName>
    <definedName name="EXPERIMENT_SCC_LEGFEED">Cockpit!$E$9</definedName>
    <definedName name="EXPERIMENT_SCC_SAF">Cockpit!$E$11</definedName>
    <definedName name="EXPERIMENT_TWOSCEN_BOTHFEED">Cockpit!$E$14</definedName>
    <definedName name="EXPERIMENT_TWOSCEN_LEGFEED">Cockpit!$E$13</definedName>
    <definedName name="EXPF_CH4">'Climate A'!$D$100:$M$100</definedName>
    <definedName name="EXPF_CH4_NOT_1">'Climate A'!$E$100:$M$100</definedName>
    <definedName name="EXPF_GLIN">'Climate A'!$D$124:$M$124</definedName>
    <definedName name="EXPF_GLIN_NOT_1">'Climate A'!$E$124:$M$124</definedName>
    <definedName name="EXPF_N2O">'Climate A'!$D$110:$M$110</definedName>
    <definedName name="EXPF_N2O_NOT_1">'Climate A'!$E$110:$M$110</definedName>
    <definedName name="EXPFDIS">'Impacts A'!$C$126:$L$126</definedName>
    <definedName name="EXPFDIS_1">'Impacts A'!$C$126</definedName>
    <definedName name="EXPFDIS_NOT_1">'Impacts A'!$D$126:$L$126</definedName>
    <definedName name="EXPFS">'Climate A'!$D$190:$M$190</definedName>
    <definedName name="EXPFS_1">'Climate A'!$D$190</definedName>
    <definedName name="EXPFS_NOT_1">'Climate A'!$E$190:$M$190</definedName>
    <definedName name="EXTRA_ABATE_END">Cockpit!$B$67</definedName>
    <definedName name="EXTRA_ABATE_FACTOR_COMPOUND">'Base data'!$C$591:$L$591</definedName>
    <definedName name="EXTRA_ABATE_FACTOR_COMPOUND_B">'Base data'!$C$647:$L$647</definedName>
    <definedName name="EXTRA_ABATE_FACTOR_PERIOD">'Base data'!$C$590:$L$590</definedName>
    <definedName name="EXTRA_ABATE_FACTOR_PERIOD_1">'Base data'!$C$590</definedName>
    <definedName name="EXTRA_ABATE_FACTOR_PERIOD_1_B">'Base data'!$C$646</definedName>
    <definedName name="EXTRA_ABATE_FACTOR_PERIOD_NOT_1">'Base data'!$D$590:$L$590</definedName>
    <definedName name="EXTRA_ABATE_FACTOR_PERIOD_NOT_1_B">'Base data'!$D$646:$L$646</definedName>
    <definedName name="EXTRA_ABATE_RATE">Cockpit!$B$65</definedName>
    <definedName name="EXTRA_ABATE_RATE_15C">Cockpit!$H$65</definedName>
    <definedName name="EXTRA_ABATE_RATE_2C">Cockpit!$H$66</definedName>
    <definedName name="EXTRA_ABATE_RATE_B">Cockpit!$B$70</definedName>
    <definedName name="EXTRA_ABATE_START">Cockpit!$B$66</definedName>
    <definedName name="f_ch4">'Climate A'!$D$118:$M$118</definedName>
    <definedName name="F_CH4_0">'Base data'!$C$21</definedName>
    <definedName name="f_ch4_b">'Climate B'!$D$118:$M$118</definedName>
    <definedName name="f_ch4_no_over">'Climate A'!$D$105:$M$105</definedName>
    <definedName name="f_ch4_no_over_b">'Climate B'!$D$105:$M$105</definedName>
    <definedName name="f_co2">'Climate A'!$D$92:$M$92</definedName>
    <definedName name="F_CO2_0">'Base data'!$B$21</definedName>
    <definedName name="f_co2_b">'Climate B'!$D$92:$M$92</definedName>
    <definedName name="f_glin">'Climate A'!$D$129:$M$129</definedName>
    <definedName name="F_GLIN_0">'Base data'!$E$21</definedName>
    <definedName name="f_glin_b">'Climate B'!$D$129:$M$129</definedName>
    <definedName name="f_n2o">'Climate A'!$D$119:$M$119</definedName>
    <definedName name="F_N2O_0">'Base data'!$D$21</definedName>
    <definedName name="f_n2o_b">'Climate B'!$D$119:$M$119</definedName>
    <definedName name="f_n2o_no_over">'Climate A'!$D$115:$M$115</definedName>
    <definedName name="f_n2o_no_over_b">'Climate B'!$D$115:$M$115</definedName>
    <definedName name="fgt">'Climate A'!$D$161:$M$161</definedName>
    <definedName name="FGT_0">'Climate A'!$C$161</definedName>
    <definedName name="fgt_1">'Climate A'!$D$161</definedName>
    <definedName name="fgt_1_b">'Climate B'!$D$161</definedName>
    <definedName name="fgt_b">'Climate B'!$D$161:$M$161</definedName>
    <definedName name="fgt_not_1">'Climate A'!$E$161:$M$161</definedName>
    <definedName name="fgt_not_1_b">'Climate B'!$E$161:$M$161</definedName>
    <definedName name="FRT">'Library data'!$C$21</definedName>
    <definedName name="frt_alb_adj">'Climate A'!$D$170:$M$170</definedName>
    <definedName name="FRT_ALB_ADJ_0">'Climate A'!$C$170</definedName>
    <definedName name="frt_alb_adj_1">'Climate A'!$D$170</definedName>
    <definedName name="frt_alb_adj_1_b">'Climate B'!$D$170</definedName>
    <definedName name="frt_alb_adj_b">'Climate B'!$D$170:$M$170</definedName>
    <definedName name="frt_alb_adj_not_1">'Climate A'!$E$170:$M$170</definedName>
    <definedName name="frt_alb_adj_not_1_b">'Climate B'!$E$170:$M$170</definedName>
    <definedName name="fs">'Climate A'!$D$151:$M$158</definedName>
    <definedName name="fs_1">'Climate A'!$D$151:$D$158</definedName>
    <definedName name="fs_1_b">'Climate B'!$D$151:$D$158</definedName>
    <definedName name="fs_b">'Climate B'!$D$151:$M$158</definedName>
    <definedName name="fs_g">'Climate A'!$D$159:$M$159</definedName>
    <definedName name="fs_g_1">'Climate A'!$D$159</definedName>
    <definedName name="fs_g_1_b">'Climate B'!$D$159</definedName>
    <definedName name="fs_g_b">'Climate B'!$D$159:$M$159</definedName>
    <definedName name="fs_g_not_1">'Climate A'!$E$159:$M$159</definedName>
    <definedName name="fs_g_not_1_b">'Climate B'!$E$159:$M$159</definedName>
    <definedName name="fs_not_1">'Climate A'!$E$151:$M$158</definedName>
    <definedName name="fs_not_1_b">'Climate B'!$E$151:$M$158</definedName>
    <definedName name="fsd" localSheetId="13">'Climate A-B'!$D$133:$M$140</definedName>
    <definedName name="fsd">'Climate A'!$D$133:$M$140</definedName>
    <definedName name="FSD_0" localSheetId="13">'Climate A-B'!$C$133:$C$140</definedName>
    <definedName name="FSD_0">'Climate A'!$C$133:$C$140</definedName>
    <definedName name="fsd_b">'Climate B'!$D$133:$M$140</definedName>
    <definedName name="fsd_g">'Climate A'!$D$141:$M$141</definedName>
    <definedName name="FSD_G_0">'Climate A'!$C$141</definedName>
    <definedName name="fsd_g_b">'Climate B'!$D$141:$M$141</definedName>
    <definedName name="fsi">'Climate A'!$D$142:$M$149</definedName>
    <definedName name="FSI_0">'Climate A'!$C$142:$C$149</definedName>
    <definedName name="fsi_b">'Climate B'!$D$142:$M$149</definedName>
    <definedName name="fsi_g">'Climate A'!$D$150:$M$150</definedName>
    <definedName name="FSI_G_0">'Climate A'!$C$150</definedName>
    <definedName name="fsi_g_b">'Climate B'!$D$150:$M$150</definedName>
    <definedName name="FSLOPE_CH4">'Base data'!$C$15</definedName>
    <definedName name="FSLOPE_CO2">'Base data'!$B$15</definedName>
    <definedName name="FSLOPE_GLIN">'Base data'!$E$15</definedName>
    <definedName name="FSLOPE_N2O">'Base data'!$D$15</definedName>
    <definedName name="ft">'Climate A'!$D$131:$M$131</definedName>
    <definedName name="FT_0">'Climate A'!$C$131</definedName>
    <definedName name="ft_1">'Climate A'!$D$131</definedName>
    <definedName name="ft_1_b">'Climate B'!$D$131</definedName>
    <definedName name="ft_b">'Climate B'!$D$131:$M$131</definedName>
    <definedName name="ft_not_1">'Climate A'!$E$131:$M$131</definedName>
    <definedName name="ft_not_1_b">'Climate B'!$E$131:$M$131</definedName>
    <definedName name="gain">'Climate A'!$D$89:$M$89</definedName>
    <definedName name="GAIN_0">'Climate A'!$C$89</definedName>
    <definedName name="gain_b">'Climate B'!$D$89:$M$89</definedName>
    <definedName name="GDP">'Economy A'!$C$4:$L$11</definedName>
    <definedName name="GDP_0">'Base data'!$D$26:$D$33</definedName>
    <definedName name="GDP_B">'Economy B'!$C$4:$L$11</definedName>
    <definedName name="GDP_G">'Economy A'!$C$12:$L$12</definedName>
    <definedName name="GDP_G_0">'Economy A'!$B$12</definedName>
    <definedName name="GDP_G_1">'Economy A'!$C$12</definedName>
    <definedName name="GDP_G_1_B">'Economy B'!$C$12</definedName>
    <definedName name="GDP_G_B">'Economy B'!$C$12:$L$12</definedName>
    <definedName name="GDP_G_NOT_1">'Economy A'!$D$12:$L$12</definedName>
    <definedName name="GDP_G_NOT_1_B">'Economy B'!$D$12:$L$12</definedName>
    <definedName name="GDP_NOT_1">'Economy A'!$D$4:$L$11</definedName>
    <definedName name="GDP_NOT_1_B">'Economy B'!$D$4:$L$11</definedName>
    <definedName name="GDP_PER_CAP">'Economy A'!$C$26:$L$33</definedName>
    <definedName name="GDP_PER_CAP_0">'Economy A'!$B$26:$B$33</definedName>
    <definedName name="gdp_per_cap_after_costs">'Impacts A'!$C$139:$L$146</definedName>
    <definedName name="gdp_per_cap_after_costs_b">'Impacts B'!$C$139:$L$146</definedName>
    <definedName name="GDP_PER_CAP_B">'Economy B'!$C$26:$L$33</definedName>
    <definedName name="GDP_PER_CAP_FOCUS_0">'Economy A'!$B$26</definedName>
    <definedName name="GDP_PER_CAP_G">'Economy A'!$C$34:$L$34</definedName>
    <definedName name="GDP_PER_CAP_G_0">'Economy A'!$B$34</definedName>
    <definedName name="GDP_PER_CAP_G_B">'Economy B'!$C$34:$L$34</definedName>
    <definedName name="GLIN_NAME">'Base data'!$E$12</definedName>
    <definedName name="GRW">'Base data'!$C$143:$L$150</definedName>
    <definedName name="GRW_1">'Base data'!$C$143:$C$150</definedName>
    <definedName name="GRW_1_B">'Base data'!$C$176:$C$183</definedName>
    <definedName name="GRW_B">'Base data'!$C$176:$L$183</definedName>
    <definedName name="GRW_G">'Economy A'!$C$13:$L$13</definedName>
    <definedName name="GRW_G_B">'Economy B'!$C$13:$L$13</definedName>
    <definedName name="GRW_NOT_1">'Base data'!$D$143:$L$150</definedName>
    <definedName name="GRW_NOT_1_B">'Base data'!$D$176:$L$183</definedName>
    <definedName name="i_1">'Impacts A'!$C$106:$L$113</definedName>
    <definedName name="i_1_b">'Impacts B'!$C$106:$L$113</definedName>
    <definedName name="i_1_burke">'Impacts A'!$C$97:$L$104</definedName>
    <definedName name="i_1_burke_1">'Impacts A'!$C$97:$C$104</definedName>
    <definedName name="i_1_burke_1_b">'Impacts B'!$C$97:$C$104</definedName>
    <definedName name="i_1_burke_b">'Impacts B'!$C$97:$L$104</definedName>
    <definedName name="i_1_burke_not_1">'Impacts A'!$D$97:$L$104</definedName>
    <definedName name="i_1_burke_not_1_b">'Impacts B'!$D$97:$L$104</definedName>
    <definedName name="i_1_log">'Impacts A'!$C$202:$L$209</definedName>
    <definedName name="i_1_log_b">'Impacts B'!$C$202:$L$209</definedName>
    <definedName name="I_1_NAME">'Base data'!$B$7</definedName>
    <definedName name="i_2">'Impacts A'!$C$115:$L$122</definedName>
    <definedName name="i_2_b">'Impacts B'!$C$115:$L$122</definedName>
    <definedName name="I_2_NAME">'Base data'!$B$8</definedName>
    <definedName name="I_D_NAME">'Base data'!$B$9</definedName>
    <definedName name="i_dis">'Impacts A'!$C$124:$L$124</definedName>
    <definedName name="i_dis_b">'Impacts B'!$C$124:$L$124</definedName>
    <definedName name="i_s">'Impacts A'!$C$88:$L$95</definedName>
    <definedName name="i_s_b">'Impacts B'!$C$88:$L$95</definedName>
    <definedName name="I_S_NAME">'Base data'!$B$6</definedName>
    <definedName name="IBEN_1">'Library data'!$C$71</definedName>
    <definedName name="IBEN_2">'Library data'!$C$79</definedName>
    <definedName name="IBEN_S">'Library data'!$C$66</definedName>
    <definedName name="IES_CH4">'Library data'!$C$143</definedName>
    <definedName name="IES_CO2">'Library data'!$C$136</definedName>
    <definedName name="IES_GLIN">'Library data'!$C$157</definedName>
    <definedName name="IES_N2O">'Library data'!$C$150</definedName>
    <definedName name="igdp_1">'Impacts A'!$C$238:$L$245</definedName>
    <definedName name="igdp_1_b">'Impacts B'!$C$238:$L$245</definedName>
    <definedName name="igdp_2">'Impacts A'!$C$301:$L$308</definedName>
    <definedName name="igdp_2_b">'Impacts B'!$C$301:$L$308</definedName>
    <definedName name="igdp_s">'Impacts A'!$C$157:$L$164</definedName>
    <definedName name="igdp_s_b">'Impacts B'!$C$157:$L$164</definedName>
    <definedName name="igdpdis">'Impacts A'!$C$364:$L$371</definedName>
    <definedName name="igdpdis_1">'Impacts A'!$C$364:$C$371</definedName>
    <definedName name="igdpdis_1_b">'Impacts B'!$C$364:$C$371</definedName>
    <definedName name="igdpdis_b">'Impacts B'!$C$364:$L$371</definedName>
    <definedName name="igdpdis_not_1">'Impacts A'!$D$364:$L$371</definedName>
    <definedName name="igdpdis_not_1_b">'Impacts B'!$D$364:$L$371</definedName>
    <definedName name="igdpeqdis">'Impacts A'!$C$355:$L$362</definedName>
    <definedName name="igdpeqdis_1">'Impacts A'!$C$355:$C$362</definedName>
    <definedName name="igdpeqdis_1_b">'Impacts B'!$C$355:$C$362</definedName>
    <definedName name="igdpeqdis_b">'Impacts B'!$C$355:$L$362</definedName>
    <definedName name="igdpeqdis_not_1">'Impacts A'!$D$355:$L$362</definedName>
    <definedName name="igdpeqdis_not_1_b">'Impacts B'!$D$355:$L$362</definedName>
    <definedName name="imp_1">'Impacts A'!$C$70:$L$77</definedName>
    <definedName name="imp_1_b">'Impacts B'!$C$70:$L$77</definedName>
    <definedName name="imp_2">'Impacts A'!$C$79:$L$86</definedName>
    <definedName name="imp_2_b">'Impacts B'!$C$79:$L$86</definedName>
    <definedName name="imp_s">'Impacts A'!$C$61:$L$68</definedName>
    <definedName name="imp_s_b">'Impacts B'!$C$61:$L$68</definedName>
    <definedName name="IMPF_COEFF_LIN">'Library data'!$C$76</definedName>
    <definedName name="IMPF_COEFF_QUADR">'Library data'!$C$77</definedName>
    <definedName name="impmax_1_a">'Policy A'!$I$69:$I$76</definedName>
    <definedName name="impmax_1_b">'Policy B'!$I$69:$I$76</definedName>
    <definedName name="impmax_2_a">'Policy A'!$I$82:$I$89</definedName>
    <definedName name="impmax_2_b">'Policy B'!$I$82:$I$89</definedName>
    <definedName name="impmax_s_a">'Policy A'!$I$56:$I$63</definedName>
    <definedName name="impmax_s_b">'Policy B'!$I$56:$I$63</definedName>
    <definedName name="impred_1_a">'Policy A'!$F$69:$F$76</definedName>
    <definedName name="impred_1_b">'Policy B'!$F$69:$F$76</definedName>
    <definedName name="impred_2_a">'Policy A'!$F$82:$F$89</definedName>
    <definedName name="impred_2_b">'Policy B'!$F$82:$F$89</definedName>
    <definedName name="impred_s_a">'Policy A'!$F$56:$F$63</definedName>
    <definedName name="impred_s_b">'Policy B'!$F$56:$F$63</definedName>
    <definedName name="IND">'Library data'!$C$14</definedName>
    <definedName name="IPOW_1">'Library data'!$C$74</definedName>
    <definedName name="IPOW_2">'Library data'!$C$82</definedName>
    <definedName name="IPOW_S">'Library data'!$C$69</definedName>
    <definedName name="IPOWDIS">'Library data'!$C$84</definedName>
    <definedName name="iref_1">'Impacts A'!$C$229:$L$236</definedName>
    <definedName name="iref_1_b">'Impacts B'!$C$229:$L$236</definedName>
    <definedName name="iref_1_burke">'Impacts A'!$C$211:$L$218</definedName>
    <definedName name="iref_1_burke_b">'Impacts B'!$C$211:$L$218</definedName>
    <definedName name="iref_1_page">'Impacts A'!$C$220:$L$227</definedName>
    <definedName name="iref_1_page_b">'Impacts B'!$C$220:$L$227</definedName>
    <definedName name="iref_2">'Impacts A'!$C$292:$L$299</definedName>
    <definedName name="iref_2_b">'Impacts B'!$C$292:$L$299</definedName>
    <definedName name="iref_s">'Impacts A'!$C$148:$L$155</definedName>
    <definedName name="iref_s_b">'Impacts B'!$C$148:$L$155</definedName>
    <definedName name="IREFEQDIS">'Impacts A'!$C$346:$L$353</definedName>
    <definedName name="ISAT">'Library data'!$C$86</definedName>
    <definedName name="isat_1">'Impacts A'!$C$247:$L$254</definedName>
    <definedName name="isat_1_b">'Impacts B'!$C$247:$L$254</definedName>
    <definedName name="isat_2">'Impacts A'!$C$310:$L$317</definedName>
    <definedName name="isat_2_b">'Impacts B'!$C$310:$L$317</definedName>
    <definedName name="isat_2_per_cap">'Impacts A'!$C$319:$L$326</definedName>
    <definedName name="isat_2_per_cap_b">'Impacts B'!$C$319:$L$326</definedName>
    <definedName name="isat_s">'Impacts A'!$C$166:$L$173</definedName>
    <definedName name="isat_s_b">'Impacts B'!$C$166:$L$173</definedName>
    <definedName name="isat_s_per_cap">'Impacts A'!$C$175:$L$182</definedName>
    <definedName name="isat_s_per_cap_b">'Impacts B'!$C$175:$L$182</definedName>
    <definedName name="isatad_1">'Impacts A'!$C$256:$L$263</definedName>
    <definedName name="isatad_1_b">'Impacts B'!$C$256:$L$263</definedName>
    <definedName name="isatad_1_per_cap">'Impacts A'!$C$265:$L$272</definedName>
    <definedName name="isatad_1_per_cap_b">'Impacts B'!$C$265:$L$272</definedName>
    <definedName name="isatdis">'Impacts A'!$C$373:$L$380</definedName>
    <definedName name="isatdis_b">'Impacts B'!$C$373:$L$380</definedName>
    <definedName name="isatdis_per_cap">'Impacts A'!$C$382:$L$389</definedName>
    <definedName name="isatdis_per_cap_b">'Impacts B'!$C$382:$L$389</definedName>
    <definedName name="ISATG">'Impacts A'!$C$24</definedName>
    <definedName name="istart_1_a">'Policy A'!$G$69:$G$76</definedName>
    <definedName name="istart_1_b">'Policy B'!$G$69:$G$76</definedName>
    <definedName name="istart_2_a">'Policy A'!$G$82:$G$89</definedName>
    <definedName name="istart_2_b">'Policy B'!$G$82:$G$89</definedName>
    <definedName name="istart_s_a">'Policy A'!$G$56:$G$63</definedName>
    <definedName name="istart_s_b">'Policy B'!$G$56:$G$63</definedName>
    <definedName name="iyears_1_a">'Policy A'!$H$69:$H$76</definedName>
    <definedName name="iyears_1_b">'Policy B'!$H$69:$H$76</definedName>
    <definedName name="iyears_2_a">'Policy A'!$H$82:$H$89</definedName>
    <definedName name="iyears_2_b">'Policy B'!$H$82:$H$89</definedName>
    <definedName name="iyears_s_a">'Policy A'!$H$56:$H$63</definedName>
    <definedName name="iyears_s_b">'Policy B'!$H$56:$H$63</definedName>
    <definedName name="land_comp_co2_proj">'Climate A'!$D$85:$M$85</definedName>
    <definedName name="land_comp_co2_proj_b">'Climate B'!$D$85:$M$85</definedName>
    <definedName name="LEARN">'Library data'!$C$192</definedName>
    <definedName name="learnfac_ch4">'Preventative costs A'!$B$206:$K$213</definedName>
    <definedName name="learnfac_ch4_b">'Preventative costs B'!$B$206:$K$213</definedName>
    <definedName name="learnfac_co2">'Preventative costs A'!$B$197:$K$204</definedName>
    <definedName name="learnfac_co2_b">'Preventative costs B'!$B$197:$K$204</definedName>
    <definedName name="learnfac_glin">'Preventative costs A'!$B$224:$K$231</definedName>
    <definedName name="learnfac_glin_b">'Preventative costs B'!$B$224:$K$231</definedName>
    <definedName name="learnfac_n2o">'Preventative costs A'!$B$215:$K$222</definedName>
    <definedName name="learnfac_n2o_b">'Preventative costs B'!$B$215:$K$222</definedName>
    <definedName name="mc_ch4">'Preventative costs A'!$B$578:$K$585</definedName>
    <definedName name="mc_ch4_b">'Preventative costs B'!$B$578:$K$585</definedName>
    <definedName name="mc_co2">'Preventative costs A'!$B$569:$K$576</definedName>
    <definedName name="mc_co2_b">'Preventative costs B'!$B$569:$K$576</definedName>
    <definedName name="mc_glin">'Preventative costs A'!$B$596:$K$603</definedName>
    <definedName name="mc_glin_b">'Preventative costs B'!$B$596:$K$603</definedName>
    <definedName name="mc_n2o">'Preventative costs A'!$B$587:$K$594</definedName>
    <definedName name="mc_n2o_b">'Preventative costs B'!$B$587:$K$594</definedName>
    <definedName name="MODEL_NAME">'Base data'!$A$1</definedName>
    <definedName name="natur_teay_ch4">'Climate A'!$D$96:$M$96</definedName>
    <definedName name="natur_teay_ch4_b">'Climate B'!$D$96:$M$96</definedName>
    <definedName name="NF_0">'Base data'!$K$26:$K$33</definedName>
    <definedName name="nte_ch4">'Climate A'!$D$94:$M$94</definedName>
    <definedName name="NTE_CH4_0">'Climate A'!$C$94</definedName>
    <definedName name="nte_ch4_b">'Climate B'!$D$94:$M$94</definedName>
    <definedName name="nte_ch4_not_1">'Climate A'!$E$94:$M$94</definedName>
    <definedName name="nte_ch4_not_1_b">'Climate B'!$E$94:$M$94</definedName>
    <definedName name="nte_glin">'Climate A'!$D$121:$M$121</definedName>
    <definedName name="NTE_GLIN_0">'Climate A'!$C$121</definedName>
    <definedName name="nte_glin_b">'Climate B'!$D$121:$M$121</definedName>
    <definedName name="nte_n2o">'Climate A'!$D$107:$M$107</definedName>
    <definedName name="NTE_N2O_0">'Climate A'!$C$107</definedName>
    <definedName name="nte_n2o_b">'Climate B'!$D$107:$M$107</definedName>
    <definedName name="occur_dis">'Impacts A'!$C$127:$L$127</definedName>
    <definedName name="occur_dis_1">'Impacts A'!$C$127</definedName>
    <definedName name="occur_dis_1_b">'Impacts B'!$C$127</definedName>
    <definedName name="occur_dis_b">'Impacts B'!$C$127:$L$127</definedName>
    <definedName name="occur_dis_not_1">'Impacts A'!$D$127:$L$127</definedName>
    <definedName name="occur_dis_not_1_b">'Impacts B'!$D$127:$L$127</definedName>
    <definedName name="OCCUR_SCC">'Base data'!$C$4:$L$4</definedName>
    <definedName name="ocean_co2_flux_annual">'Climate A'!$D$213:$M$213</definedName>
    <definedName name="ocean_co2_flux_annual_b">'Climate B'!$D$214:$M$214</definedName>
    <definedName name="ocean_long_comp_co2_proj">'Climate A'!$D$83:$M$83</definedName>
    <definedName name="ocean_long_comp_co2_proj_b">'Climate B'!$D$83:$M$83</definedName>
    <definedName name="OCEAN_PROP">'Base data'!$D$57</definedName>
    <definedName name="ocean_short_comp_co2_proj">'Climate A'!$D$84:$M$84</definedName>
    <definedName name="ocean_short_comp_co2_proj_b">'Climate B'!$D$84:$M$84</definedName>
    <definedName name="OptimizationAdjustableCellAddresses" hidden="1">#REF!</definedName>
    <definedName name="over_ch4">'Climate A'!$D$116:$M$116</definedName>
    <definedName name="over_ch4_b">'Climate B'!$D$116:$M$116</definedName>
    <definedName name="over_n2o">'Climate A'!$D$117:$M$117</definedName>
    <definedName name="over_n2o_b">'Climate B'!$D$117:$M$117</definedName>
    <definedName name="PAIR_15C">Cockpit!$E$20</definedName>
    <definedName name="PAIR_25C">Cockpit!$E$22</definedName>
    <definedName name="PAIR_2C">Cockpit!$E$21</definedName>
    <definedName name="PAIR_BAU">Cockpit!$E$25</definedName>
    <definedName name="PAIR_NDC">Cockpit!$E$23</definedName>
    <definedName name="PAIR_NDC_PART">Cockpit!$E$24</definedName>
    <definedName name="PAIR_RCP26">Cockpit!$E$26</definedName>
    <definedName name="PAIR_RCP45">Cockpit!$E$27</definedName>
    <definedName name="PAIR_RCP85">Cockpit!$E$28</definedName>
    <definedName name="PAIR_ZERO">Cockpit!$E$19</definedName>
    <definedName name="Pal_Workbook_GUID" hidden="1">"IFFU95UGL1TENSCVCVM3E7H4"</definedName>
    <definedName name="PARAM_ECON_IMPF_PAGE09_BURKE_MIMIC">'Base data'!$F$133:$H$136</definedName>
    <definedName name="PARAM_ECON_IMPF_PAGE09_DEFAULT">'Base data'!$F$115:$H$118</definedName>
    <definedName name="PARAM_ECON_IMPF_PAGE09_DELL_MIMIC">'Base data'!$F$127:$H$130</definedName>
    <definedName name="PARAM_ECON_IMPF_PAGE09_IPCCAR5_BURKE">'Base data'!$F$121:$H$124</definedName>
    <definedName name="pcdat">'Preventative costs A'!$B$697:$K$704</definedName>
    <definedName name="pcdat_b">'Preventative costs B'!$B$697:$K$704</definedName>
    <definedName name="pcdat_g">'Preventative costs A'!$B$705:$K$705</definedName>
    <definedName name="pcdat_g_ab">'Preventative costs A-B'!$B$705:$K$705</definedName>
    <definedName name="pcdat_g_b">'Preventative costs B'!$B$705:$K$705</definedName>
    <definedName name="pcdat_gt">'Preventative costs A'!$L$705</definedName>
    <definedName name="pcdat_gt_b">'Preventative costs B'!$L$705</definedName>
    <definedName name="pcdt">'Preventative costs A'!$B$687:$K$694</definedName>
    <definedName name="pcdt_b">'Preventative costs B'!$B$687:$K$694</definedName>
    <definedName name="pcdt_g">'Preventative costs A'!$B$695:$K$695</definedName>
    <definedName name="pcdt_g_ab">'Preventative costs A-B'!$B$695:$K$695</definedName>
    <definedName name="pcdt_g_b">'Preventative costs B'!$B$695:$K$695</definedName>
    <definedName name="pct">'Preventative costs A'!$B$677:$K$684</definedName>
    <definedName name="pct_b">'Preventative costs B'!$B$677:$K$684</definedName>
    <definedName name="pct_g">'Preventative costs A'!$B$685:$K$685</definedName>
    <definedName name="pct_g_ab">'Preventative costs A-B'!$B$685:$K$685</definedName>
    <definedName name="pct_g_b">'Preventative costs B'!$B$685:$K$685</definedName>
    <definedName name="pct_per_cap">'Preventative costs A'!$B$668:$K$675</definedName>
    <definedName name="pct_per_cap_b">'Preventative costs B'!$B$668:$K$675</definedName>
    <definedName name="PDIS">'Library data'!$C$59</definedName>
    <definedName name="PERCENT_CO2_LAND">'Library data'!$C$6</definedName>
    <definedName name="PERCENT_CO2_OCEAN_LONG">'Library data'!$C$4</definedName>
    <definedName name="PERCENT_CO2_OCEAN_SHORT">'Library data'!$C$5</definedName>
    <definedName name="PERCENT_CO2_STAY">'Climate A'!$D$12</definedName>
    <definedName name="PERM_INITIAL_C_STOCK_UNCERTAINTY">'Library data'!$C$36</definedName>
    <definedName name="PERM_JUL_AF">'Library data'!$C$48</definedName>
    <definedName name="PERM_JUL_CE_C_0">'Climate A'!$D$22</definedName>
    <definedName name="perm_jul_ce_c_co2">'Climate A'!$D$60:$M$60</definedName>
    <definedName name="PERM_JUL_CE_C_CO2_0">'Base data'!$D$84</definedName>
    <definedName name="perm_jul_ce_c_co2_1">'Climate A'!$D$60</definedName>
    <definedName name="perm_jul_ce_c_co2_1_b">'Climate B'!$D$60</definedName>
    <definedName name="perm_jul_ce_c_co2_b">'Climate B'!$D$60:$M$60</definedName>
    <definedName name="perm_jul_ce_c_co2_not_1">'Climate A'!$E$60:$M$60</definedName>
    <definedName name="perm_jul_ce_c_co2_not_1_b">'Climate B'!$E$60:$M$60</definedName>
    <definedName name="perm_jul_ce_ch4">'Climate A'!$D$64:$M$64</definedName>
    <definedName name="PERM_JUL_CE_CH4_0">'Climate A'!$D$24</definedName>
    <definedName name="perm_jul_ce_ch4_b">'Climate B'!$D$64:$M$64</definedName>
    <definedName name="perm_jul_ce_co2">'Climate A'!$D$61:$M$61</definedName>
    <definedName name="PERM_JUL_CE_CO2_0">'Climate A'!$D$23</definedName>
    <definedName name="perm_jul_ce_co2_b">'Climate B'!$D$61:$M$61</definedName>
    <definedName name="PERM_JUL_CH4_CO2_C_RATIO">'Library data'!$C$53</definedName>
    <definedName name="perm_jul_e_co2">'Climate A'!$D$62:$M$62</definedName>
    <definedName name="PERM_JUL_E_CO2_0">'Climate A'!$C$62</definedName>
    <definedName name="perm_jul_e_co2_b">'Climate B'!$D$62:$M$62</definedName>
    <definedName name="perm_jul_equilib_c_co2">'Climate A'!$D$59:$M$59</definedName>
    <definedName name="PERM_JUL_EQUILIB_C_CO2_0">'Climate A'!$C$59</definedName>
    <definedName name="perm_jul_equilib_c_co2_1">'Climate A'!$D$59</definedName>
    <definedName name="perm_jul_equilib_c_co2_1_b">'Climate B'!$D$59</definedName>
    <definedName name="perm_jul_equilib_c_co2_b">'Climate B'!$D$59:$M$59</definedName>
    <definedName name="perm_jul_equilib_c_co2_not_1">'Climate A'!$E$59:$M$59</definedName>
    <definedName name="perm_jul_equilib_c_co2_not_1_b">'Climate B'!$E$59:$M$59</definedName>
    <definedName name="PERM_JUL_LAG_C_CO2">'Library data'!$C$50</definedName>
    <definedName name="perm_jul_lag_c_co2_correct">'Climate A'!$D$57:$M$57</definedName>
    <definedName name="PERM_JUL_LAG_C_CO2_CORRECT_0">'Climate A'!$C$57</definedName>
    <definedName name="perm_jul_lag_c_co2_correct_1">'Climate A'!$D$57</definedName>
    <definedName name="perm_jul_lag_c_co2_correct_1_b">'Climate B'!$D$57</definedName>
    <definedName name="perm_jul_lag_c_co2_correct_b">'Climate B'!$D$57:$M$57</definedName>
    <definedName name="perm_jul_lag_c_co2_correct_not_1">'Climate A'!$E$57:$M$57</definedName>
    <definedName name="perm_jul_lag_c_co2_correct_not_1_b">'Climate B'!$E$57:$M$57</definedName>
    <definedName name="PERM_JUL_LAG_SLOPE_VS_T_CO2">'Base data'!$D$92</definedName>
    <definedName name="PERM_JUL_LIMIT_C">'Base data'!$D$86</definedName>
    <definedName name="PERM_JUL_LIMIT_T">'Base data'!$D$87</definedName>
    <definedName name="PERM_JUL_POW_C_CO2">'Library data'!$C$51</definedName>
    <definedName name="perm_jul_pow_c_co2_correct">'Climate A'!$D$58:$M$58</definedName>
    <definedName name="PERM_JUL_POW_C_CO2_CORRECT_0">'Climate A'!$C$58</definedName>
    <definedName name="perm_jul_pow_c_co2_correct_1">'Climate A'!$D$58</definedName>
    <definedName name="perm_jul_pow_c_co2_correct_1_b">'Climate B'!$D$58</definedName>
    <definedName name="perm_jul_pow_c_co2_correct_b">'Climate B'!$D$58:$M$58</definedName>
    <definedName name="perm_jul_pow_c_co2_correct_not_1">'Climate A'!$E$58:$M$58</definedName>
    <definedName name="perm_jul_pow_c_co2_correct_not_1_b">'Climate B'!$E$58:$M$58</definedName>
    <definedName name="PERM_JUL_POW_SLOPE_VS_T_CO2">'Base data'!$D$93</definedName>
    <definedName name="PERM_JUL_SENS_C_CO2">'Library data'!$C$49</definedName>
    <definedName name="perm_jul_sens_c_co2_correct">'Climate A'!$D$56:$M$56</definedName>
    <definedName name="PERM_JUL_SENS_C_CO2_CORRECT_0">'Climate A'!$C$56</definedName>
    <definedName name="perm_jul_sens_c_co2_correct_1">'Climate A'!$D$56</definedName>
    <definedName name="perm_jul_sens_c_co2_correct_1_b">'Climate B'!$D$56</definedName>
    <definedName name="perm_jul_sens_c_co2_correct_b">'Climate B'!$D$56:$M$56</definedName>
    <definedName name="perm_jul_sens_c_co2_correct_not_1">'Climate A'!$E$56:$M$56</definedName>
    <definedName name="perm_jul_sens_c_co2_correct_not_1_b">'Climate B'!$E$56:$M$56</definedName>
    <definedName name="PERM_JUL_SENS_SLOPE_VS_T_CO2">'Base data'!$D$91</definedName>
    <definedName name="perm_jul_temp">'Climate A'!$D$55:$M$55</definedName>
    <definedName name="PERM_JUL_TEMP_0">'Climate A'!$C$55</definedName>
    <definedName name="perm_jul_temp_b">'Climate B'!$D$55:$M$55</definedName>
    <definedName name="PERM_SIB_AF">'Library data'!$C$38</definedName>
    <definedName name="PERM_SIB_CE_C_0">'Climate A'!$D$17</definedName>
    <definedName name="perm_sib_ce_c_ch4">'Climate A'!$D$51:$M$51</definedName>
    <definedName name="PERM_SIB_CE_C_CH4_0">'Base data'!$D$66</definedName>
    <definedName name="perm_sib_ce_c_ch4_b">'Climate B'!$D$51:$M$51</definedName>
    <definedName name="perm_sib_ce_c_co2">'Climate A'!$D$43:$M$43</definedName>
    <definedName name="PERM_SIB_CE_C_CO2_0">'Base data'!$D$65</definedName>
    <definedName name="perm_sib_ce_c_co2_1">'Climate A'!$D$43</definedName>
    <definedName name="perm_sib_ce_c_co2_1_b">'Climate B'!$D$43</definedName>
    <definedName name="perm_sib_ce_c_co2_b">'Climate B'!$D$43:$M$43</definedName>
    <definedName name="perm_sib_ce_c_co2_not_1">'Climate A'!$E$43:$M$43</definedName>
    <definedName name="perm_sib_ce_c_co2_not_1_b">'Climate B'!$E$43:$M$43</definedName>
    <definedName name="perm_sib_ce_ch4">'Climate A'!$D$52:$M$52</definedName>
    <definedName name="PERM_SIB_CE_CH4_0">'Climate A'!$D$19</definedName>
    <definedName name="perm_sib_ce_ch4_1">'Climate A'!$D$52</definedName>
    <definedName name="perm_sib_ce_ch4_1_b">'Climate B'!$D$52</definedName>
    <definedName name="perm_sib_ce_ch4_b">'Climate B'!$D$52:$M$52</definedName>
    <definedName name="perm_sib_ce_ch4_not_1">'Climate A'!$E$52:$M$52</definedName>
    <definedName name="perm_sib_ce_ch4_not_1_b">'Climate B'!$E$52:$M$52</definedName>
    <definedName name="perm_sib_ce_co2">'Climate A'!$D$44:$M$44</definedName>
    <definedName name="PERM_SIB_CE_CO2_0">'Climate A'!$D$18</definedName>
    <definedName name="perm_sib_ce_co2_1_b">'Climate B'!$D$44</definedName>
    <definedName name="perm_sib_ce_co2_b">'Climate B'!$D$44:$M$44</definedName>
    <definedName name="perm_sib_ce_co2_not_1_b">'Climate B'!$E$44:$M$44</definedName>
    <definedName name="perm_sib_e_co2">'Climate A'!$D$45:$M$45</definedName>
    <definedName name="PERM_SIB_E_CO2_0">'Climate A'!$C$45</definedName>
    <definedName name="PERM_SIB_E_CO2_0_b">'Climate B'!$C$45</definedName>
    <definedName name="perm_sib_e_co2_b">'Climate B'!$D$45:$M$45</definedName>
    <definedName name="perm_sib_equilib_c_ch4_1">'Climate A'!$D$50</definedName>
    <definedName name="perm_sib_equilib_c_ch4_1_b">'Climate B'!$D$50</definedName>
    <definedName name="perm_sib_equilib_c_ch4_not_1">'Climate A'!$E$50:$M$50</definedName>
    <definedName name="perm_sib_equilib_c_ch4_not_1_b">'Climate B'!$E$50:$M$50</definedName>
    <definedName name="perm_sib_equilib_c_co2">'Climate A'!$D$42:$M$42</definedName>
    <definedName name="PERM_SIB_EQUILIB_C_CO2_0">'Climate A'!$C$42</definedName>
    <definedName name="perm_sib_equilib_c_co2_1">'Climate A'!$D$42</definedName>
    <definedName name="perm_sib_equilib_c_co2_1_b">'Climate B'!$D$42</definedName>
    <definedName name="perm_sib_equilib_c_co2_b">'Climate B'!$D$42:$M$42</definedName>
    <definedName name="perm_sib_equilib_c_co2_not_1">'Climate A'!$E$42:$M$42</definedName>
    <definedName name="perm_sib_equilib_c_co2_not_1_b">'Climate B'!$E$42:$M$42</definedName>
    <definedName name="PERM_SIB_LAG_C_CH4">'Library data'!$C$44</definedName>
    <definedName name="perm_sib_lag_c_ch4_correct">'Climate A'!$D$48:$M$48</definedName>
    <definedName name="PERM_SIB_LAG_C_CH4_CORRECT_0">'Climate A'!$C$48</definedName>
    <definedName name="perm_sib_lag_c_ch4_correct_1">'Climate A'!$D$48</definedName>
    <definedName name="perm_sib_lag_c_ch4_correct_1_b">'Climate B'!$D$48</definedName>
    <definedName name="perm_sib_lag_c_ch4_correct_b">'Climate B'!$D$48:$M$48</definedName>
    <definedName name="perm_sib_lag_c_ch4_correct_not_1">'Climate A'!$E$48:$M$48</definedName>
    <definedName name="perm_sib_lag_c_ch4_correct_not_1_b">'Climate B'!$E$48:$M$48</definedName>
    <definedName name="PERM_SIB_LAG_C_CO2">'Library data'!$C$40</definedName>
    <definedName name="perm_sib_lag_c_co2_correct">'Climate A'!$D$40:$M$40</definedName>
    <definedName name="PERM_SIB_LAG_C_CO2_CORRECT_0">'Climate A'!$C$40</definedName>
    <definedName name="perm_sib_lag_c_co2_correct_1">'Climate A'!$D$40</definedName>
    <definedName name="perm_sib_lag_c_co2_correct_1_b">'Climate B'!$D$40</definedName>
    <definedName name="perm_sib_lag_c_co2_correct_b">'Climate B'!$D$40:$M$40</definedName>
    <definedName name="perm_sib_lag_c_co2_correct_not_1">'Climate A'!$E$40:$M$40</definedName>
    <definedName name="perm_sib_lag_c_co2_correct_not_1_b">'Climate B'!$E$40:$M$40</definedName>
    <definedName name="PERM_SIB_LAG_SLOPE_VS_T_CH4">'Base data'!$D$79</definedName>
    <definedName name="PERM_SIB_LAG_SLOPE_VS_T_CO2">'Base data'!$D$75</definedName>
    <definedName name="PERM_SIB_LIMIT_C">'Base data'!$D$68</definedName>
    <definedName name="PERM_SIB_LIMIT_T">'Base data'!$D$69</definedName>
    <definedName name="PERM_SIB_POW_C_CH4">'Library data'!$C$45</definedName>
    <definedName name="perm_sib_pow_c_ch4_correct">'Climate A'!$D$49:$M$49</definedName>
    <definedName name="PERM_SIB_POW_C_CH4_CORRECT_0">'Climate A'!$C$49</definedName>
    <definedName name="perm_sib_pow_c_ch4_correct_1">'Climate A'!$D$49</definedName>
    <definedName name="perm_sib_pow_c_ch4_correct_1_b">'Climate B'!$D$49</definedName>
    <definedName name="perm_sib_pow_c_ch4_correct_b">'Climate B'!$D$49:$M$49</definedName>
    <definedName name="perm_sib_pow_c_ch4_correct_not_1">'Climate A'!$E$49:$M$49</definedName>
    <definedName name="perm_sib_pow_c_ch4_correct_not_1_b">'Climate B'!$E$49:$M$49</definedName>
    <definedName name="PERM_SIB_POW_C_CO2">'Library data'!$C$41</definedName>
    <definedName name="perm_sib_pow_c_co2_correct">'Climate A'!$D$41:$M$41</definedName>
    <definedName name="PERM_SIB_POW_C_CO2_CORRECT_0">'Climate A'!$C$41</definedName>
    <definedName name="perm_sib_pow_c_co2_correct_1">'Climate A'!$D$41</definedName>
    <definedName name="perm_sib_pow_c_co2_correct_1_b">'Climate B'!$D$41</definedName>
    <definedName name="perm_sib_pow_c_co2_correct_b">'Climate B'!$D$41:$M$41</definedName>
    <definedName name="perm_sib_pow_c_co2_correct_not_1">'Climate A'!$E$41:$M$41</definedName>
    <definedName name="perm_sib_pow_c_co2_correct_not_1_b">'Climate B'!$E$41:$M$41</definedName>
    <definedName name="PERM_SIB_POW_SLOPE_VS_T_CH4">'Base data'!$D$80</definedName>
    <definedName name="PERM_SIB_POW_SLOPE_VS_T_CO2">'Base data'!$D$76</definedName>
    <definedName name="PERM_SIB_SENS_C_CH4">'Library data'!$C$43</definedName>
    <definedName name="perm_sib_sens_c_ch4_correct">'Climate A'!$D$47:$M$47</definedName>
    <definedName name="PERM_SIB_SENS_C_CH4_CORRECT_0">'Climate A'!$C$47</definedName>
    <definedName name="perm_sib_sens_c_ch4_correct_1">'Climate A'!$D$47</definedName>
    <definedName name="perm_sib_sens_c_ch4_correct_1_b">'Climate B'!$D$47</definedName>
    <definedName name="perm_sib_sens_c_ch4_correct_b">'Climate B'!$D$47:$M$47</definedName>
    <definedName name="perm_sib_sens_c_ch4_correct_not_1">'Climate A'!$E$47:$M$47</definedName>
    <definedName name="perm_sib_sens_c_ch4_correct_not_1_b">'Climate B'!$E$47:$M$47</definedName>
    <definedName name="PERM_SIB_SENS_C_CO2">'Library data'!$C$39</definedName>
    <definedName name="perm_sib_sens_c_co2_correct">'Climate A'!$D$39:$M$39</definedName>
    <definedName name="PERM_SIB_SENS_C_CO2_CORRECT_0">'Climate A'!$C$39</definedName>
    <definedName name="perm_sib_sens_c_co2_correct_1">'Climate A'!$D$39</definedName>
    <definedName name="perm_sib_sens_c_co2_correct_1_b">'Climate B'!$D$39</definedName>
    <definedName name="perm_sib_sens_c_co2_correct_b">'Climate B'!$D$39:$M$39</definedName>
    <definedName name="perm_sib_sens_c_co2_correct_not_1">'Climate A'!$E$39:$M$39</definedName>
    <definedName name="perm_sib_sens_c_co2_correct_not_1_b">'Climate B'!$E$39:$M$39</definedName>
    <definedName name="PERM_SIB_SENS_SLOPE_VS_T_CH4">'Base data'!$D$78</definedName>
    <definedName name="PERM_SIB_SENS_SLOPE_VS_T_CO2">'Base data'!$D$74</definedName>
    <definedName name="perm_sib_temp">'Climate A'!$D$38:$M$38</definedName>
    <definedName name="PERM_SIB_TEMP_0">'Climate A'!$C$38</definedName>
    <definedName name="perm_sib_temp_1">'Climate A'!$D$38</definedName>
    <definedName name="perm_sib_temp_1_b">'Climate B'!$D$38</definedName>
    <definedName name="perm_sib_temp_b">'Climate B'!$D$38:$M$38</definedName>
    <definedName name="perm_sib_temp_not_1">'Climate A'!$E$38:$M$38</definedName>
    <definedName name="perm_sib_temp_not_1_b">'Climate B'!$E$38:$M$38</definedName>
    <definedName name="perm_teay_ch4">'Climate A'!$D$98:$M$98</definedName>
    <definedName name="perm_teay_ch4_b">'Climate B'!$D$98:$M$98</definedName>
    <definedName name="perm_tot_ce_ch4">'Climate A'!$D$70:$M$70</definedName>
    <definedName name="PERM_TOT_CE_CH4_0">'Climate A'!$C$70</definedName>
    <definedName name="PERM_TOT_CE_CH4_0_b">'Climate B'!$C$70</definedName>
    <definedName name="perm_tot_ce_ch4_1">'Climate A'!$D$70</definedName>
    <definedName name="perm_tot_ce_ch4_1_b">'Climate B'!$D$70</definedName>
    <definedName name="perm_tot_ce_ch4_b">'Climate B'!$D$70:$M$70</definedName>
    <definedName name="perm_tot_ce_ch4_not_1">'Climate A'!$E$70:$M$70</definedName>
    <definedName name="perm_tot_ce_ch4_not_1_b">'Climate B'!$E$70:$M$70</definedName>
    <definedName name="perm_tot_ce_co2">'Climate A'!$D$67:$M$67</definedName>
    <definedName name="PERM_TOT_CE_CO2_0">'Climate A'!$C$67</definedName>
    <definedName name="PERM_TOT_CE_CO2_0_b">'Climate B'!$C$67</definedName>
    <definedName name="perm_tot_ce_co2_b">'Climate B'!$D$67:$M$67</definedName>
    <definedName name="perm_tot_e_co2">'Climate A'!$D$68:$M$68</definedName>
    <definedName name="PERM_TOT_E_CO2_0">'Climate A'!$C$68</definedName>
    <definedName name="PERM_TOT_E_CO2_0_b">'Climate B'!$C$68</definedName>
    <definedName name="perm_tot_e_co2_b">'Climate B'!$D$68:$M$68</definedName>
    <definedName name="PEXF_0">'Base data'!$B$23</definedName>
    <definedName name="pexf_1_a">'Policy A'!$B$50</definedName>
    <definedName name="pexf_1_b">'Policy B'!$B$50</definedName>
    <definedName name="pexf_a">'Policy A'!$B$50:$K$50</definedName>
    <definedName name="pexf_b">'Policy B'!$B$50:$K$50</definedName>
    <definedName name="pexf_final_a">'Policy A'!$K$50</definedName>
    <definedName name="pexf_final_b">'Policy B'!$K$50</definedName>
    <definedName name="pexf_not_1_a">'Policy A'!$C$50:$K$50</definedName>
    <definedName name="pexf_not_1_b">'Policy B'!$C$50:$K$50</definedName>
    <definedName name="PIC">'Base data'!$B$13:$E$13</definedName>
    <definedName name="PIC_CH4">'Base data'!$C$13</definedName>
    <definedName name="PIC_CO2">'Base data'!$B$13</definedName>
    <definedName name="PIC_GLIN">'Base data'!$E$13</definedName>
    <definedName name="PIC_N2O">'Base data'!$D$13</definedName>
    <definedName name="plateau_1_a">'Policy A'!$B$69:$B$76</definedName>
    <definedName name="plateau_1_b">'Policy B'!$B$69:$B$76</definedName>
    <definedName name="plateau_2_a">'Policy A'!$B$82:$B$89</definedName>
    <definedName name="plateau_2_b">'Policy B'!$B$82:$B$89</definedName>
    <definedName name="plateau_s_a">'Policy A'!$B$56:$B$63</definedName>
    <definedName name="plateau_s_b">'Policy B'!$B$56:$B$63</definedName>
    <definedName name="POP">'Economy A'!$C$15:$L$22</definedName>
    <definedName name="POP_0">'Base data'!$E$26:$E$33</definedName>
    <definedName name="POP_B">'Economy B'!$C$15:$L$22</definedName>
    <definedName name="POP_G">'Economy A'!$C$23:$L$23</definedName>
    <definedName name="POP_G_0">'Economy A'!$B$23</definedName>
    <definedName name="POP_G_1">'Economy A'!$C$23</definedName>
    <definedName name="POP_G_1_B">'Economy B'!$C$23</definedName>
    <definedName name="POP_G_B">'Economy B'!$C$23:$L$23</definedName>
    <definedName name="POP_G_NOT_1">'Economy A'!$D$23:$L$23</definedName>
    <definedName name="POP_G_NOT_1_B">'Economy B'!$D$23:$L$23</definedName>
    <definedName name="POP_GRW">'Base data'!$C$152:$L$159</definedName>
    <definedName name="POP_GRW_1">'Base data'!$C$152:$C$159</definedName>
    <definedName name="POP_GRW_1_B">'Base data'!$C$185:$C$192</definedName>
    <definedName name="POP_GRW_B">'Base data'!$C$185:$L$192</definedName>
    <definedName name="POP_GRW_G">'Economy A'!$C$24:$L$24</definedName>
    <definedName name="POP_GRW_G_B">'Economy B'!$C$24:$L$24</definedName>
    <definedName name="POP_GRW_NOT_1">'Base data'!$D$152:$L$159</definedName>
    <definedName name="POP_GRW_NOT_1_B">'Base data'!$D$185:$L$192</definedName>
    <definedName name="POP_NOT_1">'Economy A'!$D$15:$L$22</definedName>
    <definedName name="POP_NOT_1_B">'Economy B'!$D$15:$L$22</definedName>
    <definedName name="POP_UNIT_NAME">'Base data'!$E$35</definedName>
    <definedName name="POW_1">'Library data'!$C$73</definedName>
    <definedName name="POW_2">'Library data'!$C$81</definedName>
    <definedName name="POW_S">'Library data'!$C$68</definedName>
    <definedName name="prob_dis">'Impacts A'!$C$125:$L$125</definedName>
    <definedName name="prob_dis_b">'Impacts B'!$C$125:$L$125</definedName>
    <definedName name="pse_1_a">'Policy A'!$B$41:$B$48</definedName>
    <definedName name="pse_1_b">'Policy B'!$B$41:$B$48</definedName>
    <definedName name="pse_a">'Policy A'!$B$41:$K$48</definedName>
    <definedName name="pse_b">'Policy B'!$B$41:$K$48</definedName>
    <definedName name="pse_final_a">'Policy A'!$K$41:$K$48</definedName>
    <definedName name="pse_final_b">'Policy B'!$K$41:$K$48</definedName>
    <definedName name="pse_not_1_a">'Policy A'!$C$41:$K$48</definedName>
    <definedName name="pse_not_1_b">'Policy B'!$C$41:$K$48</definedName>
    <definedName name="pstart_1_a">'Policy A'!$C$69:$C$76</definedName>
    <definedName name="pstart_1_b">'Policy B'!$C$69:$C$76</definedName>
    <definedName name="pstart_2_a">'Policy A'!$C$82:$C$89</definedName>
    <definedName name="pstart_2_b">'Policy B'!$C$82:$C$89</definedName>
    <definedName name="pstart_s_a">'Policy A'!$C$56:$C$63</definedName>
    <definedName name="pstart_s_b">'Policy B'!$C$56:$C$63</definedName>
    <definedName name="pt_g">'Climate A'!$D$164:$M$164</definedName>
    <definedName name="pt_g_1">'Climate A'!$D$164</definedName>
    <definedName name="pt_g_1_b">'Climate B'!$D$164</definedName>
    <definedName name="pt_g_b">'Climate B'!$D$164:$M$164</definedName>
    <definedName name="pt_g_not_1">'Climate A'!$E$164:$M$164</definedName>
    <definedName name="pt_g_not_1_b">'Climate B'!$E$164:$M$164</definedName>
    <definedName name="PTP">'Base data'!$B$10</definedName>
    <definedName name="pyears_1_a">'Policy A'!$D$69:$D$76</definedName>
    <definedName name="pyears_1_b">'Policy B'!$D$69:$D$76</definedName>
    <definedName name="pyears_2_a">'Policy A'!$D$82:$D$89</definedName>
    <definedName name="pyears_2_b">'Policy B'!$D$82:$D$89</definedName>
    <definedName name="pyears_s_a">'Policy A'!$D$56:$D$63</definedName>
    <definedName name="pyears_s_b">'Policy B'!$D$56:$D$63</definedName>
    <definedName name="Q0_CH4">'Preventative costs A'!$B$290:$K$297</definedName>
    <definedName name="Q0_CO2">'Preventative costs A'!$B$281:$K$288</definedName>
    <definedName name="Q0_GLIN">'Preventative costs A'!$B$308:$K$315</definedName>
    <definedName name="Q0_N2O">'Preventative costs A'!$B$299:$K$306</definedName>
    <definedName name="Q0_PROP_CH4">'Preventative costs A'!$B$254:$K$261</definedName>
    <definedName name="Q0_PROP_CO2">'Preventative costs A'!$B$245:$K$252</definedName>
    <definedName name="Q0_PROP_GLIN">'Preventative costs A'!$B$272:$K$279</definedName>
    <definedName name="Q0_PROP_INIT_CH4">'Preventative costs A'!$C$18:$C$25</definedName>
    <definedName name="Q0_PROP_INIT_CH4_1">'Library data'!$C$139</definedName>
    <definedName name="Q0_PROP_INIT_CO2">'Preventative costs A'!$B$18:$B$25</definedName>
    <definedName name="Q0_PROP_INIT_CO2_1">'Library data'!$C$132</definedName>
    <definedName name="Q0_PROP_INIT_GLIN">'Preventative costs A'!$E$18:$E$25</definedName>
    <definedName name="Q0_PROP_INIT_GLIN_1">'Library data'!$C$153</definedName>
    <definedName name="Q0_PROP_INIT_N2O">'Preventative costs A'!$D$18:$D$25</definedName>
    <definedName name="Q0_PROP_INIT_N2O_1">'Library data'!$C$146</definedName>
    <definedName name="Q0_PROP_N2O">'Preventative costs A'!$B$263:$K$270</definedName>
    <definedName name="Q0F">'Library data'!$C$167:$C$173</definedName>
    <definedName name="Q0PROPG">'Library data'!$C$184</definedName>
    <definedName name="Q0PROPMULT">'Library data'!$C$183</definedName>
    <definedName name="QMAX_CH4">'Preventative costs A'!$B$326:$K$333</definedName>
    <definedName name="QMAX_CO2">'Preventative costs A'!$B$317:$K$324</definedName>
    <definedName name="QMAX_GLIN">'Preventative costs A'!$B$344:$K$351</definedName>
    <definedName name="QMAX_MINUS_Q0_PROP_CH4">'Preventative costs A'!$B$241:$K$241</definedName>
    <definedName name="QMAX_MINUS_Q0_PROP_CO2">'Preventative costs A'!$B$240:$K$240</definedName>
    <definedName name="QMAX_MINUS_Q0_PROP_GLIN">'Preventative costs A'!$B$243:$K$243</definedName>
    <definedName name="QMAX_MINUS_Q0_PROP_INIT_CH4">'Library data'!$C$141</definedName>
    <definedName name="QMAX_MINUS_Q0_PROP_INIT_CO2">'Library data'!$C$134</definedName>
    <definedName name="QMAX_MINUS_Q0_PROP_INIT_GLIN">'Library data'!$C$155</definedName>
    <definedName name="QMAX_MINUS_Q0_PROP_INIT_N2O">'Library data'!$C$148</definedName>
    <definedName name="QMAX_MINUS_Q0_PROP_N2O">'Preventative costs A'!$B$242:$K$242</definedName>
    <definedName name="QMAX_MINUS_Q0_PROPG">'Library data'!$C$188</definedName>
    <definedName name="QMAX_MINUS_Q0_PROPMULT">'Library data'!$C$187</definedName>
    <definedName name="QMAX_N2O">'Preventative costs A'!$B$335:$K$342</definedName>
    <definedName name="R_CODE">'Base data'!$B$26:$B$33</definedName>
    <definedName name="R_CODE_1">'Base data'!$B$26</definedName>
    <definedName name="R_CODE_NOT_1">'Base data'!$B$27:$B$33</definedName>
    <definedName name="R_NAME">'Base data'!$A$26:$A$33</definedName>
    <definedName name="R_NAME_1">'Base data'!$A$26</definedName>
    <definedName name="RAND_DIS">'Library data'!$C$57</definedName>
    <definedName name="rate_fgt">'Climate A'!$D$162:$M$162</definedName>
    <definedName name="rate_fgt_b">'Climate B'!$D$162:$M$162</definedName>
    <definedName name="rcons_1_per_cap">'Impacts A'!$C$274:$L$281</definedName>
    <definedName name="rcons_1_per_cap_b">'Impacts B'!$C$274:$L$281</definedName>
    <definedName name="rcons_2_per_cap">'Impacts A'!$C$328:$L$335</definedName>
    <definedName name="rcons_2_per_cap_b">'Impacts B'!$C$328:$L$335</definedName>
    <definedName name="rcons_s_per_cap">'Impacts A'!$C$184:$L$191</definedName>
    <definedName name="rcons_s_per_cap_b">'Impacts B'!$C$184:$L$191</definedName>
    <definedName name="rconsdis_per_cap">'Impacts A'!$C$391:$L$398</definedName>
    <definedName name="rconsdis_per_cap_b">'Impacts B'!$C$391:$L$398</definedName>
    <definedName name="RCP26_CH4">'Base data'!$C$445:$L$452</definedName>
    <definedName name="RCP26_CH4_1">'Base data'!$C$445:$C$452</definedName>
    <definedName name="RCP26_CH4_NOT_1">'Base data'!$D$445:$L$452</definedName>
    <definedName name="RCP26_CO2">'Base data'!$C$436:$L$443</definedName>
    <definedName name="RCP26_CO2_1">'Base data'!$C$436:$C$443</definedName>
    <definedName name="RCP26_CO2_2100">'Base data'!$H$436:$H$443</definedName>
    <definedName name="RCP26_CO2_NOT_1">'Base data'!$D$436:$L$443</definedName>
    <definedName name="RCP26_Excess">'Base data'!$C$481:$L$481</definedName>
    <definedName name="RCP26_Lin">'Base data'!$C$463:$L$470</definedName>
    <definedName name="RCP26_Lin_1">'Base data'!$C$463:$C$470</definedName>
    <definedName name="RCP26_Lin_NOT_1">'Base data'!$D$463:$L$470</definedName>
    <definedName name="RCP26_N2O">'Base data'!$C$454:$L$461</definedName>
    <definedName name="RCP26_N2O_1">'Base data'!$C$454:$C$461</definedName>
    <definedName name="RCP26_N2O_NOT_1">'Base data'!$D$454:$L$461</definedName>
    <definedName name="RCP26_sulph">'Base data'!$C$472:$L$479</definedName>
    <definedName name="RCP26_sulph_1">'Base data'!$C$472:$C$479</definedName>
    <definedName name="RCP26_sulph_NOT_1">'Base data'!$D$472:$L$479</definedName>
    <definedName name="RCP26extra_CH4">'Base data'!$C$602:$L$609</definedName>
    <definedName name="RCP26extra_CH4_B">'Base data'!$C$658:$L$665</definedName>
    <definedName name="RCP26extra_CO2">'Base data'!$C$593:$L$600</definedName>
    <definedName name="RCP26extra_CO2_B">'Base data'!$C$649:$L$656</definedName>
    <definedName name="RCP26extra_Excess">'Base data'!$C$638:$L$638</definedName>
    <definedName name="RCP26extra_Excess_B">'Base data'!$C$694:$L$694</definedName>
    <definedName name="RCP26extra_Lin">'Base data'!$C$620:$L$627</definedName>
    <definedName name="RCP26extra_Lin_B">'Base data'!$C$676:$L$683</definedName>
    <definedName name="RCP26extra_N2O">'Base data'!$C$611:$L$618</definedName>
    <definedName name="RCP26extra_N2O_B">'Base data'!$C$667:$L$674</definedName>
    <definedName name="RCP26extra_sulph">'Base data'!$C$629:$L$636</definedName>
    <definedName name="RCP26extra_sulph_B">'Base data'!$C$685:$L$692</definedName>
    <definedName name="RCP45_CH4">'Base data'!$C$495:$L$502</definedName>
    <definedName name="RCP45_CO2">'Base data'!$C$486:$L$493</definedName>
    <definedName name="RCP45_Excess">'Base data'!$C$531:$L$531</definedName>
    <definedName name="RCP45_Lin">'Base data'!$C$513:$L$520</definedName>
    <definedName name="RCP45_N2O">'Base data'!$C$504:$L$511</definedName>
    <definedName name="RCP45_sulph">'Base data'!$C$522:$L$529</definedName>
    <definedName name="RCP85_CH4">'Base data'!$C$545:$L$552</definedName>
    <definedName name="RCP85_CO2">'Base data'!$C$536:$L$543</definedName>
    <definedName name="RCP85_Excess">'Base data'!$C$581:$L$581</definedName>
    <definedName name="RCP85_Lin">'Base data'!$C$563:$L$570</definedName>
    <definedName name="RCP85_N2O">'Base data'!$C$554:$L$561</definedName>
    <definedName name="RCP85_sulph">'Base data'!$C$572:$L$579</definedName>
    <definedName name="RCPW_CH4">'Base data'!$C$708:$L$715</definedName>
    <definedName name="RCPW_CH4_B">'Base data'!$C$758:$L$765</definedName>
    <definedName name="RCPW_CO2">'Base data'!$C$699:$L$706</definedName>
    <definedName name="RCPW_CO2_B">'Base data'!$C$749:$L$756</definedName>
    <definedName name="RCPW_Excess">'Base data'!$C$744:$L$744</definedName>
    <definedName name="RCPW_Excess_B">'Base data'!$C$794:$L$794</definedName>
    <definedName name="RCPW_Lin">'Base data'!$C$726:$L$733</definedName>
    <definedName name="RCPW_Lin_B">'Base data'!$C$776:$L$783</definedName>
    <definedName name="RCPW_N2O">'Base data'!$C$717:$L$724</definedName>
    <definedName name="RCPW_N2O_B">'Base data'!$C$767:$L$774</definedName>
    <definedName name="RCPW_sulph">'Base data'!$C$735:$L$742</definedName>
    <definedName name="RCPW_sulph_B">'Base data'!$C$785:$L$792</definedName>
    <definedName name="re_ch4">'Climate A'!$D$103:$M$103</definedName>
    <definedName name="RE_CH4_0">'Climate A'!$E$8</definedName>
    <definedName name="re_ch4_b">'Climate B'!$D$103:$M$103</definedName>
    <definedName name="re_co2">'Climate A'!$D$212:$M$212</definedName>
    <definedName name="RE_CO2_0">'Climate A'!$D$8</definedName>
    <definedName name="re_co2_1">'Climate A'!$D$212</definedName>
    <definedName name="re_co2_1_b">'Climate B'!$D$212</definedName>
    <definedName name="re_co2_b">'Climate B'!$D$212:$M$212</definedName>
    <definedName name="RE_CO2_NO_CCF_0">'Climate A'!$D$9</definedName>
    <definedName name="re_co2_no_ccff">'Climate A'!$D$87:$M$87</definedName>
    <definedName name="re_co2_no_ccff_b">'Climate B'!$D$87:$M$87</definedName>
    <definedName name="re_co2_not_1">'Climate A'!$E$212:$M$212</definedName>
    <definedName name="re_co2_not_1_b">'Climate B'!$E$212:$M$212</definedName>
    <definedName name="re_glin">'Climate A'!$D$127:$M$127</definedName>
    <definedName name="RE_GLIN_0">'Climate A'!$G$8</definedName>
    <definedName name="re_glin_b">'Climate B'!$D$127:$M$127</definedName>
    <definedName name="re_n2o">'Climate A'!$D$113:$M$113</definedName>
    <definedName name="RE_N2O_0">'Climate A'!$F$8</definedName>
    <definedName name="re_n2o_b">'Climate B'!$D$113:$M$113</definedName>
    <definedName name="ref_ch4">'Climate A'!$D$101:$M$101</definedName>
    <definedName name="ref_ch4_b">'Climate B'!$D$101:$M$101</definedName>
    <definedName name="ref_glin">'Climate A'!$D$125:$M$125</definedName>
    <definedName name="ref_glin_b">'Climate B'!$D$125:$M$125</definedName>
    <definedName name="ref_n2o">'Climate A'!$D$111:$M$111</definedName>
    <definedName name="ref_n2o_b">'Climate B'!$D$111:$M$111</definedName>
    <definedName name="RES_CH4">'Base data'!$C$18</definedName>
    <definedName name="RES_GLIN">'Base data'!$E$18</definedName>
    <definedName name="RES_N2O">'Base data'!$D$18</definedName>
    <definedName name="rgdp_1_per_cap">'Impacts A'!$C$283:$L$290</definedName>
    <definedName name="rgdp_1_per_cap_b">'Impacts B'!$C$283:$L$290</definedName>
    <definedName name="rgdp_2_per_cap">'Impacts A'!$C$337:$L$344</definedName>
    <definedName name="rgdp_2_per_cap_b">'Impacts B'!$C$337:$L$344</definedName>
    <definedName name="rgdp_s_per_cap">'Impacts A'!$C$193:$L$200</definedName>
    <definedName name="rgdp_s_per_cap_b">'Impacts B'!$C$193:$L$200</definedName>
    <definedName name="rgdpdis_per_cap">'Impacts A'!$C$400:$L$407</definedName>
    <definedName name="rgdpdis_per_cap_b">'Impacts B'!$C$400:$L$407</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0</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"$L$20"</definedName>
    <definedName name="RiskSelectedNameCell1" hidden="1">"$A$20"</definedName>
    <definedName name="RiskSelectedNameCell2" hidden="1">"$L$14"</definedName>
    <definedName name="RiskSimulationResultsExternalFilePath" hidden="1">"C:\Users\LAB\Desktop\NCC_CMIP6经济\IAMs\损失函数2\ESM+PAGE-ICE_SSP5.RSK5"</definedName>
    <definedName name="RiskSimulationResultsStorageLocation"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 name="rt_g">'Climate A'!$D$172:$M$172</definedName>
    <definedName name="RT_G_0">'Base data'!$D$38</definedName>
    <definedName name="RT_G_0_MEAN">'Base data'!$I$38</definedName>
    <definedName name="rt_g_1">'Climate A'!$D$172</definedName>
    <definedName name="rt_g_1_b">'Climate B'!$D$172</definedName>
    <definedName name="rt_g_2">'Climate A'!$E$172</definedName>
    <definedName name="rt_g_b">'Climate B'!$D$172:$M$172</definedName>
    <definedName name="RT_G_CMIP5_BASE">'Base data'!$D$39</definedName>
    <definedName name="rt_g_not_1">'Climate A'!$E$172:$M$172</definedName>
    <definedName name="rt_g_not_1_b">'Climate B'!$E$172:$M$172</definedName>
    <definedName name="rt_g_not_2">'Climate A'!$F$172:$M$172</definedName>
    <definedName name="rtl">'Climate A'!$D$177:$M$184</definedName>
    <definedName name="RTL_0">'Base data'!$L$26:$L$33</definedName>
    <definedName name="rtl_1_b">'Climate B'!$D$177:$D$184</definedName>
    <definedName name="RTL_ABS_0">'Impacts A'!$C$4:$C$11</definedName>
    <definedName name="RTL_ABS_CMIP5_BASE">'Base data'!$D$42:$D$49</definedName>
    <definedName name="rtl_b">'Climate B'!$D$177:$M$184</definedName>
    <definedName name="rtl_g">'Climate A'!$D$185:$M$185</definedName>
    <definedName name="RTL_G_0">'Base data'!$D$58</definedName>
    <definedName name="rtl_g_b">'Climate B'!$D$185:$M$185</definedName>
    <definedName name="rtl_not_1_b">'Climate B'!$E$177:$M$184</definedName>
    <definedName name="rto_g">'Climate A'!$D$187:$M$187</definedName>
    <definedName name="RTO_G_0">'Climate A'!$C$187</definedName>
    <definedName name="s">'Climate A'!$D$191:$M$191</definedName>
    <definedName name="S_0">'Library data'!$C$15</definedName>
    <definedName name="s_a">'Climate A'!$V$191</definedName>
    <definedName name="s_b">'Climate B'!$D$191:$M$191</definedName>
    <definedName name="SAVE">'Library data'!$C$62</definedName>
    <definedName name="SCAL">'Library data'!$C$63</definedName>
    <definedName name="SCCO2">'Impacts A-B'!$M$443</definedName>
    <definedName name="SCENARIO_PAIR">Cockpit!$B$18</definedName>
    <definedName name="SCENARIO_PAIR_B">Cockpit!$B$53</definedName>
    <definedName name="SCENARIO_PAIR_B_PRELIM">Cockpit!$B$20</definedName>
    <definedName name="SCENARIO_SWITCH">Cockpit!$B$56</definedName>
    <definedName name="SCENARIO_SWITCH_B">Cockpit!$B$57</definedName>
    <definedName name="SE_0">'Base data'!$J$26:$J$33</definedName>
    <definedName name="SerializationHeader" localSheetId="24">RiskSerializationData8!$A$1:$B$3</definedName>
    <definedName name="sfx">'Emissions A'!$C$129:$L$136</definedName>
    <definedName name="SFX_0">'Emissions A'!$B$129:$B$136</definedName>
    <definedName name="sfx_b">'Emissions B'!$C$129:$L$136</definedName>
    <definedName name="sfx_g">'Emissions A'!$C$137:$L$137</definedName>
    <definedName name="SFX_G_0">'Emissions A'!$B$137</definedName>
    <definedName name="sfx_g_b">'Emissions B'!$C$137:$L$137</definedName>
    <definedName name="SLA">'Library data'!$C$17</definedName>
    <definedName name="SLTAU">'Library data'!$C$18</definedName>
    <definedName name="SLTEMP">'Library data'!$C$16</definedName>
    <definedName name="solver_cvg" localSheetId="2" hidden="1">0.0001</definedName>
    <definedName name="solver_cvg" localSheetId="11" hidden="1">0.0001</definedName>
    <definedName name="solver_drv" localSheetId="2" hidden="1">1</definedName>
    <definedName name="solver_drv" localSheetId="11" hidden="1">2</definedName>
    <definedName name="solver_eng" localSheetId="2" hidden="1">1</definedName>
    <definedName name="solver_eng" localSheetId="11" hidden="1">1</definedName>
    <definedName name="solver_est" localSheetId="2" hidden="1">1</definedName>
    <definedName name="solver_est" localSheetId="11" hidden="1">1</definedName>
    <definedName name="solver_itr" localSheetId="2" hidden="1">2147483647</definedName>
    <definedName name="solver_itr" localSheetId="11" hidden="1">2147483647</definedName>
    <definedName name="solver_mip" localSheetId="2" hidden="1">2147483647</definedName>
    <definedName name="solver_mip" localSheetId="11" hidden="1">2147483647</definedName>
    <definedName name="solver_mni" localSheetId="2" hidden="1">30</definedName>
    <definedName name="solver_mni" localSheetId="11" hidden="1">30</definedName>
    <definedName name="solver_mrt" localSheetId="2" hidden="1">0.075</definedName>
    <definedName name="solver_mrt" localSheetId="11" hidden="1">0.075</definedName>
    <definedName name="solver_msl" localSheetId="2" hidden="1">2</definedName>
    <definedName name="solver_msl" localSheetId="11" hidden="1">2</definedName>
    <definedName name="solver_neg" localSheetId="2" hidden="1">1</definedName>
    <definedName name="solver_neg" localSheetId="11" hidden="1">1</definedName>
    <definedName name="solver_nod" localSheetId="2" hidden="1">2147483647</definedName>
    <definedName name="solver_nod" localSheetId="11" hidden="1">2147483647</definedName>
    <definedName name="solver_num" localSheetId="2" hidden="1">0</definedName>
    <definedName name="solver_num" localSheetId="11" hidden="1">0</definedName>
    <definedName name="solver_nwt" localSheetId="2" hidden="1">1</definedName>
    <definedName name="solver_nwt" localSheetId="11" hidden="1">1</definedName>
    <definedName name="solver_opt" localSheetId="11" hidden="1">'Base data'!$I$14</definedName>
    <definedName name="solver_pre" localSheetId="2" hidden="1">0.000001</definedName>
    <definedName name="solver_pre" localSheetId="11" hidden="1">0.000001</definedName>
    <definedName name="solver_rbv" localSheetId="2" hidden="1">1</definedName>
    <definedName name="solver_rbv" localSheetId="11" hidden="1">2</definedName>
    <definedName name="solver_rlx" localSheetId="2" hidden="1">2</definedName>
    <definedName name="solver_rlx" localSheetId="11" hidden="1">2</definedName>
    <definedName name="solver_rsd" localSheetId="2" hidden="1">0</definedName>
    <definedName name="solver_rsd" localSheetId="11" hidden="1">0</definedName>
    <definedName name="solver_scl" localSheetId="2" hidden="1">1</definedName>
    <definedName name="solver_scl" localSheetId="11" hidden="1">2</definedName>
    <definedName name="solver_sho" localSheetId="2" hidden="1">2</definedName>
    <definedName name="solver_sho" localSheetId="11" hidden="1">2</definedName>
    <definedName name="solver_ssz" localSheetId="2" hidden="1">100</definedName>
    <definedName name="solver_ssz" localSheetId="11" hidden="1">100</definedName>
    <definedName name="solver_tim" localSheetId="2" hidden="1">2147483647</definedName>
    <definedName name="solver_tim" localSheetId="11" hidden="1">2147483647</definedName>
    <definedName name="solver_tol" localSheetId="2" hidden="1">0.01</definedName>
    <definedName name="solver_tol" localSheetId="11" hidden="1">0.01</definedName>
    <definedName name="solver_typ" localSheetId="2" hidden="1">3</definedName>
    <definedName name="solver_typ" localSheetId="11" hidden="1">3</definedName>
    <definedName name="solver_val" localSheetId="2" hidden="1">0</definedName>
    <definedName name="solver_val" localSheetId="11" hidden="1">0</definedName>
    <definedName name="solver_ver" localSheetId="2" hidden="1">3</definedName>
    <definedName name="solver_ver" localSheetId="11" hidden="1">3</definedName>
    <definedName name="SSP1_GDP_RATE">'Base data'!$C$256:$L$263</definedName>
    <definedName name="SSP1_POP_RATE">'Base data'!$C$265:$L$272</definedName>
    <definedName name="SSP2_GDP_RATE">'Base data'!$C$278:$L$285</definedName>
    <definedName name="SSP2_POP_RATE">'Base data'!$C$287:$L$294</definedName>
    <definedName name="SSP234_GDP_RATE">'Base data'!$C$367:$L$374</definedName>
    <definedName name="SSP234_POP_RATE">'Base data'!$C$376:$L$383</definedName>
    <definedName name="SSP3_GDP_RATE">'Base data'!$C$300:$L$307</definedName>
    <definedName name="SSP3_POP_RATE">'Base data'!$C$309:$L$316</definedName>
    <definedName name="SSP4_GDP_RATE">'Base data'!$C$322:$L$329</definedName>
    <definedName name="SSP4_POP_RATE">'Base data'!$C$331:$L$338</definedName>
    <definedName name="SSP5_GDP_RATE">'Base data'!$C$344:$L$351</definedName>
    <definedName name="SSP5_POP_RATE">'Base data'!$C$353:$L$360</definedName>
    <definedName name="SSPW_GDP_RATE">'Base data'!$C$389:$L$396</definedName>
    <definedName name="SSPW_GDP_RATE_B">'Base data'!$C$411:$L$418</definedName>
    <definedName name="SSPW_POP_RATE">'Base data'!$C$398:$L$405</definedName>
    <definedName name="SSPW_POP_RATE_B">'Base data'!$C$420:$L$427</definedName>
    <definedName name="STIM_CH4">'Base data'!$C$16</definedName>
    <definedName name="STIM_GLIN">'Base data'!$E$16</definedName>
    <definedName name="STIM_N2O">'Base data'!$D$16</definedName>
    <definedName name="switch_perm">'Climate A'!$B$3</definedName>
    <definedName name="switch_perm_b">'Climate B'!$B$3</definedName>
    <definedName name="switch_seaice">'Climate A'!$B$4</definedName>
    <definedName name="switch_seaice_b">'Climate B'!$B$4</definedName>
    <definedName name="tac">'Adaptive costs A'!$L$179</definedName>
    <definedName name="tac_ab">'Adaptive costs A-B'!$L$179</definedName>
    <definedName name="tac_b">'Adaptive costs B'!$L$179</definedName>
    <definedName name="tc_ch4">'Preventative costs A'!$B$614:$K$621</definedName>
    <definedName name="tc_ch4_b">'Preventative costs B'!$B$614:$K$621</definedName>
    <definedName name="tc_co2">'Preventative costs A'!$B$605:$K$612</definedName>
    <definedName name="tc_co2_b">'Preventative costs B'!$B$605:$K$612</definedName>
    <definedName name="tc_glin">'Preventative costs A'!$B$632:$K$639</definedName>
    <definedName name="tc_glin_b">'Preventative costs B'!$B$632:$K$639</definedName>
    <definedName name="tc_n2o">'Preventative costs A'!$B$623:$K$630</definedName>
    <definedName name="tc_n2o_b">'Preventative costs B'!$B$623:$K$630</definedName>
    <definedName name="TCAL">'Library data'!$C$64</definedName>
    <definedName name="TCAL_BURKE">'Base data'!$D$51</definedName>
    <definedName name="TCQ0_CH4">'Preventative costs A'!$B$542:$K$549</definedName>
    <definedName name="TCQ0_CO2">'Preventative costs A'!$B$533:$K$540</definedName>
    <definedName name="TCQ0_GLIN">'Preventative costs A'!$B$560:$K$567</definedName>
    <definedName name="TCQ0_N2O">'Preventative costs A'!$B$551:$K$558</definedName>
    <definedName name="TCR">'Library data'!$C$20</definedName>
    <definedName name="tct">'Preventative costs A'!$B$641:$K$648</definedName>
    <definedName name="tct_b">'Preventative costs B'!$B$641:$K$648</definedName>
    <definedName name="tct_g">'Preventative costs A'!$B$710:$K$710</definedName>
    <definedName name="tct_per_cap">'Preventative costs A'!$B$650:$K$657</definedName>
    <definedName name="tct_per_cap_b">'Preventative costs B'!$B$650:$K$657</definedName>
    <definedName name="td">'Impacts A'!$M$438</definedName>
    <definedName name="td_ab">'Impacts A-B'!$M$438</definedName>
    <definedName name="td_b">'Impacts B'!$M$438</definedName>
    <definedName name="TDIS">'Library data'!$C$58</definedName>
    <definedName name="tdu">'Impacts A'!$M$442</definedName>
    <definedName name="tdu_b">'Impacts B'!$M$442</definedName>
    <definedName name="te_a">Totals!$L$12</definedName>
    <definedName name="te_ab">Totals!$L$34</definedName>
    <definedName name="te_b">Totals!$L$23</definedName>
    <definedName name="tea_ch4">'Climate A'!$D$95:$M$95</definedName>
    <definedName name="TEA_CH4_0">'Climate A'!$C$95</definedName>
    <definedName name="tea_ch4_b">'Climate B'!$D$95:$M$95</definedName>
    <definedName name="tea_ch4_not_1">'Climate A'!$E$95:$M$95</definedName>
    <definedName name="tea_ch4_not_1_b">'Climate B'!$E$95:$M$95</definedName>
    <definedName name="tea_glin">'Climate A'!$D$122:$M$122</definedName>
    <definedName name="TEA_GLIN_0">'Climate A'!$C$122</definedName>
    <definedName name="tea_glin_b">'Climate B'!$D$122:$M$122</definedName>
    <definedName name="tea_glin_not_1">'Climate A'!$E$122:$M$122</definedName>
    <definedName name="tea_glin_not_1_b">'Climate B'!$E$122:$M$122</definedName>
    <definedName name="tea_n2o">'Climate A'!$D$108:$M$108</definedName>
    <definedName name="TEA_N2O_0">'Climate A'!$C$108</definedName>
    <definedName name="tea_n2o_b">'Climate B'!$D$108:$M$108</definedName>
    <definedName name="tea_n2o_not_1">'Climate A'!$E$108:$M$108</definedName>
    <definedName name="tea_n2o_not_1_b">'Climate B'!$E$108:$M$108</definedName>
    <definedName name="teay_ch4">'Climate A'!$D$99:$M$99</definedName>
    <definedName name="teay_ch4_b">'Climate B'!$D$99:$M$99</definedName>
    <definedName name="teay_glin">'Climate A'!$D$123:$M$123</definedName>
    <definedName name="teay_glin_b">'Climate B'!$D$123:$M$123</definedName>
    <definedName name="teay_n2o">'Climate A'!$D$109:$M$109</definedName>
    <definedName name="teay_n2o_b">'Climate B'!$D$109:$M$109</definedName>
    <definedName name="teay_perm_anthr_co2">'Climate A'!$D$211:$M$211</definedName>
    <definedName name="teay_perm_anthr_co2_1">'Climate A'!$D$211</definedName>
    <definedName name="teay_perm_anthr_co2_1_b">'Climate B'!$D$211</definedName>
    <definedName name="teay_perm_anthr_co2_b">'Climate B'!$D$211:$M$211</definedName>
    <definedName name="teay_perm_anthr_co2_not_1">'Climate A'!$E$211:$M$211</definedName>
    <definedName name="teay_perm_anthr_co2_not_1_b">'Climate B'!$E$211:$M$211</definedName>
    <definedName name="thipf_ch4_b">'Climate B'!$D$102:$M$102</definedName>
    <definedName name="thispf_ch4">'Climate A'!$D$102:$M$102</definedName>
    <definedName name="thispf_glin">'Climate A'!$D$126:$M$126</definedName>
    <definedName name="thispf_glin_b">'Climate B'!$D$126:$M$126</definedName>
    <definedName name="thispf_n2o">'Climate A'!$D$112:$M$112</definedName>
    <definedName name="thispf_n2o_b">'Climate B'!$D$112:$M$112</definedName>
    <definedName name="TIME_CO2_HIST">'Climate A'!$D$13</definedName>
    <definedName name="TIME_CO2_HIST_b">'Climate B'!$B$13</definedName>
    <definedName name="TIME_CO2_LAND">'Library data'!$C$9</definedName>
    <definedName name="TIME_CO2_OCEAN_LONG">'Library data'!$C$7</definedName>
    <definedName name="TIME_CO2_OCEAN_SHORT">'Library data'!$C$8</definedName>
    <definedName name="TOTAL_CE_CO2_0">'Climate A'!$C$75</definedName>
    <definedName name="TOTAL_CE_CO2_0_b">'Climate B'!$C$75</definedName>
    <definedName name="total_e_co2">'Climate A'!$D$76:$M$76</definedName>
    <definedName name="TOTAL_E_CO2_0">'Climate A'!$C$76</definedName>
    <definedName name="TOTAL_E_CO2_0_b">'Climate B'!$C$76</definedName>
    <definedName name="total_e_co2_1">'Climate A'!$D$76</definedName>
    <definedName name="total_e_co2_1_b">'Climate B'!$D$76</definedName>
    <definedName name="total_e_co2_b">'Climate B'!$D$76:$M$76</definedName>
    <definedName name="total_e_co2_not_1">'Climate A'!$E$76:$M$76</definedName>
    <definedName name="total_e_co2_not_1_b">'Climate B'!$E$76:$M$76</definedName>
    <definedName name="tpc">'Preventative costs A'!$L$706</definedName>
    <definedName name="tpc_ab">'Preventative costs A-B'!$L$706</definedName>
    <definedName name="tpc_b">'Preventative costs B'!$L$706</definedName>
    <definedName name="UDF">'Impacts A'!$C$440:$L$440</definedName>
    <definedName name="UDFT">'Impacts A'!$M$440:$M$440</definedName>
    <definedName name="VERSION">'Base data'!$C$1</definedName>
    <definedName name="VERSION_DATE">'Base data'!$J$1</definedName>
    <definedName name="VERSION_PARENT">'Base data'!$N$1</definedName>
    <definedName name="W_1">'Library data'!$C$72</definedName>
    <definedName name="W_2">'Library data'!$C$80</definedName>
    <definedName name="W_S">'Library data'!$C$67</definedName>
    <definedName name="wacdt">'Adaptive costs A'!$B$160:$K$167</definedName>
    <definedName name="wacdt_b">'Adaptive costs B'!$B$160:$K$167</definedName>
    <definedName name="wacdt_g">'Adaptive costs A'!$B$168:$K$168</definedName>
    <definedName name="wacdt_g_ab">'Adaptive costs A-B'!$B$168:$K$168</definedName>
    <definedName name="wacdt_g_b">'Adaptive costs B'!$B$168:$K$168</definedName>
    <definedName name="wact">'Adaptive costs A'!$B$150:$K$157</definedName>
    <definedName name="wact_b">'Adaptive costs B'!$B$150:$K$157</definedName>
    <definedName name="wact_g">'Adaptive costs A'!$B$158:$K$158</definedName>
    <definedName name="wact_g_ab">'Adaptive costs A-B'!$B$158:$K$158</definedName>
    <definedName name="wact_g_b">'Adaptive costs B'!$B$158:$K$158</definedName>
    <definedName name="wact_per_cap">'Adaptive costs A'!$B$141:$K$148</definedName>
    <definedName name="wact_per_cap_b">'Adaptive costs B'!$B$141:$K$148</definedName>
    <definedName name="WDIS">'Library data'!$C$83</definedName>
    <definedName name="WEIGHT_25C">Cockpit!$H$74</definedName>
    <definedName name="WEIGHT_BAU">Cockpit!$H$77</definedName>
    <definedName name="WEIGHT_NDC">Cockpit!$H$75</definedName>
    <definedName name="WEIGHT_NDC_PART">Cockpit!$H$76</definedName>
    <definedName name="WEIGHT_SCENARIOS">Cockpit!$B$74</definedName>
    <definedName name="WEIGHT_SCENARIOS_B">Cockpit!$B$77</definedName>
    <definedName name="WEIGHTING_AND_DISCOUNTING">Cockpit!$B$46</definedName>
    <definedName name="WEIGHTING_WITH_EQUITY">Cockpit!$E$47</definedName>
    <definedName name="WEIGHTING_WITHOUT_EQUITY">Cockpit!$E$48</definedName>
    <definedName name="WF_1">'Library data'!$C$97:$C$103</definedName>
    <definedName name="WF_2">'Library data'!$C$105:$C$111</definedName>
    <definedName name="WF_S">'Library data'!$C$89:$C$95</definedName>
    <definedName name="widt">'Impacts A'!$C$419:$L$426</definedName>
    <definedName name="widt_b">'Impacts B'!$C$419:$L$426</definedName>
    <definedName name="widt_g">'Impacts A'!$C$427:$L$427</definedName>
    <definedName name="widt_g_ab">'Impacts A-B'!$C$427:$L$427</definedName>
    <definedName name="widt_g_b">'Impacts B'!$C$427:$L$427</definedName>
    <definedName name="WINCF_1">'Impacts A'!$E$15:$E$22</definedName>
    <definedName name="WINCF_2">'Impacts A'!$G$15:$G$22</definedName>
    <definedName name="WINCF_S">'Impacts A'!$C$15:$C$22</definedName>
    <definedName name="wit">'Impacts A'!$C$409:$L$416</definedName>
    <definedName name="wit_b">'Impacts B'!$C$409:$L$416</definedName>
    <definedName name="wit_g">'Impacts A'!$C$417:$L$417</definedName>
    <definedName name="wit_g_ab">'Impacts A-B'!$C$417:$L$417</definedName>
    <definedName name="wit_g_b">'Impacts B'!$C$417:$L$417</definedName>
    <definedName name="WORLDB_GDPPOP_CHOICE">Cockpit!$B$22</definedName>
    <definedName name="WORLDB_GDPPOP_SWITCH">Cockpit!$B$54</definedName>
    <definedName name="WORLDB_OPTION_NO">Cockpit!$E$32</definedName>
    <definedName name="WORLDB_OPTION_YES">Cockpit!$E$31</definedName>
    <definedName name="wtct_per_cap">'Preventative costs A'!$B$659:$K$666</definedName>
    <definedName name="wtct_per_cap_b">'Preventative costs B'!$B$659:$K$666</definedName>
    <definedName name="Y">'Base data'!$C$3:$L$3</definedName>
    <definedName name="Y_0">'Base data'!$B$2</definedName>
    <definedName name="Y_1">'Base data'!$C$3</definedName>
    <definedName name="Y_HI">'Impacts A'!$C$28:$L$28</definedName>
    <definedName name="Y_LAST">'Base data'!$L$3</definedName>
    <definedName name="Y_LAST_SSP">'Base data'!$H$3</definedName>
    <definedName name="Y_LO">'Impacts A'!$C$29:$L$29</definedName>
    <definedName name="Y_NOT_1">'Base data'!$D$3:$L$3</definedName>
    <definedName name="Y_SCC">'Base data'!$B$4</definedName>
    <definedName name="YAGG">'Impacts A'!$C$30:$L$30</definedName>
    <definedName name="YMINUSY0">'Preventative costs A'!$B$46:$K$46</definedName>
    <definedName name="YMINUSY0_LAST">'Preventative costs A'!$K$46</definedName>
    <definedName name="YP">'Climate A'!$D$35:$M$35</definedName>
    <definedName name="YP_1">'Climate A'!$D$35</definedName>
    <definedName name="YP_2">'Climate A'!$E$35</definedName>
    <definedName name="YP_NOT_1">'Climate A'!$E$35:$M$35</definedName>
    <definedName name="YP_NOT_2">'Climate A'!$F$35:$M$35</definedName>
    <definedName name="ZC_CH4">'Preventative costs A'!$B$58:$K$65</definedName>
    <definedName name="ZC_CH4_1">'Preventative costs A'!$B$58:$B$65</definedName>
    <definedName name="ZC_CH4_NOT_1">'Preventative costs A'!$C$58:$K$65</definedName>
    <definedName name="ZC_CO2">'Preventative costs A'!$B$49:$K$56</definedName>
    <definedName name="ZC_CO2_1">'Preventative costs A'!$B$49:$B$56</definedName>
    <definedName name="ZC_CO2_NOT_1">'Preventative costs A'!$C$49:$K$56</definedName>
    <definedName name="ZC_GLIN">'Preventative costs A'!$B$76:$K$83</definedName>
    <definedName name="ZC_GLIN_1">'Preventative costs A'!$B$76:$B$83</definedName>
    <definedName name="ZC_GLIN_NOT_1">'Preventative costs A'!$C$76:$K$83</definedName>
    <definedName name="ZC_N2O">'Preventative costs A'!$B$67:$K$74</definedName>
    <definedName name="ZC_N2O_1">'Preventative costs A'!$B$67:$B$74</definedName>
    <definedName name="ZC_N2O_NOT_1">'Preventative costs A'!$C$67:$K$74</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77" i="29" l="1"/>
  <c r="E177" i="29"/>
  <c r="F177" i="29"/>
  <c r="G177" i="29"/>
  <c r="H177" i="29"/>
  <c r="I177" i="29"/>
  <c r="J177" i="29"/>
  <c r="K177" i="29"/>
  <c r="L177" i="29"/>
  <c r="K115" i="30" s="1"/>
  <c r="M177" i="29"/>
  <c r="D178" i="29"/>
  <c r="C107" i="30" s="1"/>
  <c r="E178" i="29"/>
  <c r="D107" i="30" s="1"/>
  <c r="F178" i="29"/>
  <c r="E107" i="30" s="1"/>
  <c r="G178" i="29"/>
  <c r="F107" i="30" s="1"/>
  <c r="H178" i="29"/>
  <c r="I178" i="29"/>
  <c r="J178" i="29"/>
  <c r="I116" i="30" s="1"/>
  <c r="K178" i="29"/>
  <c r="L178" i="29"/>
  <c r="M178" i="29"/>
  <c r="L116" i="30" s="1"/>
  <c r="D179" i="29"/>
  <c r="C108" i="30" s="1"/>
  <c r="E179" i="29"/>
  <c r="D108" i="30" s="1"/>
  <c r="F179" i="29"/>
  <c r="G179" i="29"/>
  <c r="H179" i="29"/>
  <c r="G117" i="30" s="1"/>
  <c r="I179" i="29"/>
  <c r="J179" i="29"/>
  <c r="I108" i="30" s="1"/>
  <c r="K179" i="29"/>
  <c r="J117" i="30" s="1"/>
  <c r="L179" i="29"/>
  <c r="K108" i="30" s="1"/>
  <c r="M179" i="29"/>
  <c r="L108" i="30" s="1"/>
  <c r="D180" i="29"/>
  <c r="E180" i="29"/>
  <c r="F180" i="29"/>
  <c r="E118" i="30" s="1"/>
  <c r="G180" i="29"/>
  <c r="F109" i="30" s="1"/>
  <c r="H180" i="29"/>
  <c r="I180" i="29"/>
  <c r="H109" i="30" s="1"/>
  <c r="J180" i="29"/>
  <c r="I109" i="30" s="1"/>
  <c r="K180" i="29"/>
  <c r="J118" i="30" s="1"/>
  <c r="L180" i="29"/>
  <c r="M180" i="29"/>
  <c r="D181" i="29"/>
  <c r="C119" i="30" s="1"/>
  <c r="E181" i="29"/>
  <c r="D110" i="30" s="1"/>
  <c r="F181" i="29"/>
  <c r="E119" i="30" s="1"/>
  <c r="G181" i="29"/>
  <c r="F119" i="30" s="1"/>
  <c r="H181" i="29"/>
  <c r="G110" i="30" s="1"/>
  <c r="I181" i="29"/>
  <c r="H110" i="30" s="1"/>
  <c r="J181" i="29"/>
  <c r="K181" i="29"/>
  <c r="L181" i="29"/>
  <c r="K110" i="30" s="1"/>
  <c r="M181" i="29"/>
  <c r="D182" i="29"/>
  <c r="E182" i="29"/>
  <c r="D111" i="30" s="1"/>
  <c r="F182" i="29"/>
  <c r="E111" i="30" s="1"/>
  <c r="G182" i="29"/>
  <c r="F111" i="30" s="1"/>
  <c r="H182" i="29"/>
  <c r="I182" i="29"/>
  <c r="J182" i="29"/>
  <c r="I120" i="30" s="1"/>
  <c r="K182" i="29"/>
  <c r="L182" i="29"/>
  <c r="M182" i="29"/>
  <c r="L120" i="30" s="1"/>
  <c r="D183" i="29"/>
  <c r="C112" i="30" s="1"/>
  <c r="E183" i="29"/>
  <c r="D121" i="30" s="1"/>
  <c r="F183" i="29"/>
  <c r="G183" i="29"/>
  <c r="H183" i="29"/>
  <c r="G112" i="30" s="1"/>
  <c r="I183" i="29"/>
  <c r="H121" i="30" s="1"/>
  <c r="J183" i="29"/>
  <c r="I112" i="30" s="1"/>
  <c r="K183" i="29"/>
  <c r="J121" i="30" s="1"/>
  <c r="L183" i="29"/>
  <c r="K112" i="30" s="1"/>
  <c r="M183" i="29"/>
  <c r="L112" i="30" s="1"/>
  <c r="D184" i="29"/>
  <c r="E184" i="29"/>
  <c r="F184" i="29"/>
  <c r="E113" i="30" s="1"/>
  <c r="G184" i="29"/>
  <c r="F122" i="30" s="1"/>
  <c r="H184" i="29"/>
  <c r="I184" i="29"/>
  <c r="H122" i="30" s="1"/>
  <c r="J184" i="29"/>
  <c r="I122" i="30" s="1"/>
  <c r="K184" i="29"/>
  <c r="J122" i="30" s="1"/>
  <c r="L184" i="29"/>
  <c r="M184" i="29"/>
  <c r="D172" i="29"/>
  <c r="D121" i="29" s="1"/>
  <c r="D122" i="29" s="1"/>
  <c r="D123" i="29" s="1"/>
  <c r="D126" i="29" s="1"/>
  <c r="D127" i="29" s="1"/>
  <c r="E172" i="29"/>
  <c r="F172" i="29"/>
  <c r="G172" i="29"/>
  <c r="G94" i="29" s="1"/>
  <c r="H172" i="29"/>
  <c r="H94" i="29" s="1"/>
  <c r="I172" i="29"/>
  <c r="J172" i="29"/>
  <c r="K172" i="29"/>
  <c r="L172" i="29"/>
  <c r="L107" i="29" s="1"/>
  <c r="L108" i="29" s="1"/>
  <c r="M172" i="29"/>
  <c r="M107" i="29" s="1"/>
  <c r="M108" i="29" s="1"/>
  <c r="D177" i="4"/>
  <c r="E177" i="4"/>
  <c r="D106" i="6" s="1"/>
  <c r="F177" i="4"/>
  <c r="E115" i="6" s="1"/>
  <c r="G177" i="4"/>
  <c r="H177" i="4"/>
  <c r="I177" i="4"/>
  <c r="J177" i="4"/>
  <c r="I115" i="6" s="1"/>
  <c r="K177" i="4"/>
  <c r="J106" i="6" s="1"/>
  <c r="L177" i="4"/>
  <c r="M177" i="4"/>
  <c r="L106" i="6" s="1"/>
  <c r="D178" i="4"/>
  <c r="C107" i="6" s="1"/>
  <c r="E178" i="4"/>
  <c r="D107" i="6" s="1"/>
  <c r="F178" i="4"/>
  <c r="G178" i="4"/>
  <c r="H178" i="4"/>
  <c r="G116" i="6" s="1"/>
  <c r="I178" i="4"/>
  <c r="H107" i="6" s="1"/>
  <c r="J178" i="4"/>
  <c r="I107" i="6" s="1"/>
  <c r="K178" i="4"/>
  <c r="J107" i="6" s="1"/>
  <c r="L178" i="4"/>
  <c r="K116" i="6" s="1"/>
  <c r="M178" i="4"/>
  <c r="L116" i="6" s="1"/>
  <c r="D179" i="4"/>
  <c r="E179" i="4"/>
  <c r="F179" i="4"/>
  <c r="E108" i="6" s="1"/>
  <c r="G179" i="4"/>
  <c r="F108" i="6" s="1"/>
  <c r="H179" i="4"/>
  <c r="G117" i="6" s="1"/>
  <c r="I179" i="4"/>
  <c r="H117" i="6" s="1"/>
  <c r="J179" i="4"/>
  <c r="I117" i="6" s="1"/>
  <c r="K179" i="4"/>
  <c r="J108" i="6" s="1"/>
  <c r="L179" i="4"/>
  <c r="M179" i="4"/>
  <c r="D180" i="4"/>
  <c r="C118" i="6" s="1"/>
  <c r="E180" i="4"/>
  <c r="D109" i="6" s="1"/>
  <c r="F180" i="4"/>
  <c r="E118" i="6" s="1"/>
  <c r="G180" i="4"/>
  <c r="F118" i="6" s="1"/>
  <c r="H180" i="4"/>
  <c r="G118" i="6" s="1"/>
  <c r="I180" i="4"/>
  <c r="H118" i="6" s="1"/>
  <c r="J180" i="4"/>
  <c r="K180" i="4"/>
  <c r="L180" i="4"/>
  <c r="K118" i="6" s="1"/>
  <c r="M180" i="4"/>
  <c r="L109" i="6" s="1"/>
  <c r="D181" i="4"/>
  <c r="C110" i="6" s="1"/>
  <c r="E181" i="4"/>
  <c r="D110" i="6" s="1"/>
  <c r="F181" i="4"/>
  <c r="E119" i="6" s="1"/>
  <c r="G181" i="4"/>
  <c r="H181" i="4"/>
  <c r="I181" i="4"/>
  <c r="J181" i="4"/>
  <c r="I110" i="6" s="1"/>
  <c r="K181" i="4"/>
  <c r="J119" i="6" s="1"/>
  <c r="L181" i="4"/>
  <c r="K110" i="6" s="1"/>
  <c r="M181" i="4"/>
  <c r="L110" i="6" s="1"/>
  <c r="D182" i="4"/>
  <c r="C120" i="6" s="1"/>
  <c r="E182" i="4"/>
  <c r="F182" i="4"/>
  <c r="G182" i="4"/>
  <c r="H182" i="4"/>
  <c r="G111" i="6" s="1"/>
  <c r="I182" i="4"/>
  <c r="J182" i="4"/>
  <c r="I120" i="6" s="1"/>
  <c r="K182" i="4"/>
  <c r="J111" i="6" s="1"/>
  <c r="L182" i="4"/>
  <c r="K120" i="6" s="1"/>
  <c r="M182" i="4"/>
  <c r="L111" i="6" s="1"/>
  <c r="D183" i="4"/>
  <c r="E183" i="4"/>
  <c r="F183" i="4"/>
  <c r="G183" i="4"/>
  <c r="F121" i="6" s="1"/>
  <c r="H183" i="4"/>
  <c r="I183" i="4"/>
  <c r="H112" i="6" s="1"/>
  <c r="J183" i="4"/>
  <c r="I121" i="6" s="1"/>
  <c r="K183" i="4"/>
  <c r="L183" i="4"/>
  <c r="M183" i="4"/>
  <c r="D184" i="4"/>
  <c r="C113" i="6" s="1"/>
  <c r="E184" i="4"/>
  <c r="F184" i="4"/>
  <c r="E113" i="6" s="1"/>
  <c r="G184" i="4"/>
  <c r="F113" i="6" s="1"/>
  <c r="H184" i="4"/>
  <c r="G113" i="6" s="1"/>
  <c r="I184" i="4"/>
  <c r="H122" i="6" s="1"/>
  <c r="J184" i="4"/>
  <c r="K184" i="4"/>
  <c r="L184" i="4"/>
  <c r="K122" i="6" s="1"/>
  <c r="M184" i="4"/>
  <c r="L113" i="6" s="1"/>
  <c r="D172" i="4"/>
  <c r="D107" i="4" s="1"/>
  <c r="D108" i="4" s="1"/>
  <c r="D109" i="4" s="1"/>
  <c r="E172" i="4"/>
  <c r="E107" i="4" s="1"/>
  <c r="E108" i="4" s="1"/>
  <c r="F172" i="4"/>
  <c r="F121" i="4" s="1"/>
  <c r="F122" i="4" s="1"/>
  <c r="G172" i="4"/>
  <c r="H172" i="4"/>
  <c r="I172" i="4"/>
  <c r="J172" i="4"/>
  <c r="K172" i="4"/>
  <c r="K107" i="4" s="1"/>
  <c r="K108" i="4" s="1"/>
  <c r="L172" i="4"/>
  <c r="M172" i="4"/>
  <c r="M121" i="4" s="1"/>
  <c r="M122" i="4" s="1"/>
  <c r="C194" i="2"/>
  <c r="C196" i="2"/>
  <c r="C189" i="2"/>
  <c r="C190" i="2"/>
  <c r="C191" i="2"/>
  <c r="C192" i="2"/>
  <c r="C187" i="2"/>
  <c r="C188" i="2" s="1"/>
  <c r="C185" i="2"/>
  <c r="C186" i="2" s="1"/>
  <c r="C183" i="2"/>
  <c r="C184" i="2" s="1"/>
  <c r="C175" i="2"/>
  <c r="C176" i="2"/>
  <c r="C177" i="2"/>
  <c r="C178" i="2"/>
  <c r="C179" i="2"/>
  <c r="C180" i="2"/>
  <c r="C181" i="2"/>
  <c r="C167" i="2"/>
  <c r="C168" i="2"/>
  <c r="C169" i="2"/>
  <c r="C170" i="2"/>
  <c r="C171" i="2"/>
  <c r="C172" i="2"/>
  <c r="C173" i="2"/>
  <c r="C159" i="2"/>
  <c r="C160" i="2"/>
  <c r="C161" i="2"/>
  <c r="C162" i="2"/>
  <c r="C163" i="2"/>
  <c r="C164" i="2"/>
  <c r="C165" i="2"/>
  <c r="C152" i="2"/>
  <c r="E5" i="38" s="1"/>
  <c r="C153" i="2"/>
  <c r="E18" i="38" s="1"/>
  <c r="C154" i="2"/>
  <c r="C155" i="2"/>
  <c r="C156" i="2"/>
  <c r="C157" i="2"/>
  <c r="C145" i="2"/>
  <c r="D5" i="38" s="1"/>
  <c r="C146" i="2"/>
  <c r="D18" i="38" s="1"/>
  <c r="C147" i="2"/>
  <c r="C148" i="2"/>
  <c r="C149" i="2"/>
  <c r="D31" i="38" s="1"/>
  <c r="C150" i="2"/>
  <c r="C138" i="2"/>
  <c r="C139" i="2"/>
  <c r="C18" i="38" s="1"/>
  <c r="C140" i="2"/>
  <c r="C141" i="2"/>
  <c r="C142" i="2"/>
  <c r="C31" i="8" s="1"/>
  <c r="C143" i="2"/>
  <c r="C131" i="2"/>
  <c r="B5" i="38" s="1"/>
  <c r="C132" i="2"/>
  <c r="C133" i="2"/>
  <c r="C134" i="2"/>
  <c r="C135" i="2"/>
  <c r="B31" i="38" s="1"/>
  <c r="C136" i="2"/>
  <c r="C115" i="2"/>
  <c r="B5" i="7" s="1"/>
  <c r="C116" i="2"/>
  <c r="C5" i="7" s="1"/>
  <c r="C117" i="2"/>
  <c r="D5" i="7" s="1"/>
  <c r="C118" i="2"/>
  <c r="C119" i="2"/>
  <c r="C120" i="2"/>
  <c r="G5" i="7" s="1"/>
  <c r="C121" i="2"/>
  <c r="C122" i="2"/>
  <c r="C123" i="2"/>
  <c r="C124" i="2"/>
  <c r="C125" i="2"/>
  <c r="C126" i="2"/>
  <c r="C127" i="2"/>
  <c r="C105" i="2"/>
  <c r="C106" i="2"/>
  <c r="C107" i="2"/>
  <c r="C108" i="2"/>
  <c r="C109" i="2"/>
  <c r="C110" i="2"/>
  <c r="C111" i="2"/>
  <c r="C97" i="2"/>
  <c r="C98" i="2"/>
  <c r="C99" i="2"/>
  <c r="C100" i="2"/>
  <c r="C101" i="2"/>
  <c r="C102" i="2"/>
  <c r="C103" i="2"/>
  <c r="C89" i="2"/>
  <c r="C90" i="2"/>
  <c r="C91" i="2"/>
  <c r="C92" i="2"/>
  <c r="C93" i="2"/>
  <c r="C94" i="2"/>
  <c r="C95" i="2"/>
  <c r="C79" i="2"/>
  <c r="C80" i="2"/>
  <c r="C81" i="2"/>
  <c r="C82" i="2"/>
  <c r="C83" i="2"/>
  <c r="C84" i="2"/>
  <c r="C85" i="2"/>
  <c r="C126" i="6" s="1" a="1"/>
  <c r="F126" i="6" s="1"/>
  <c r="C86" i="2"/>
  <c r="C87" i="2"/>
  <c r="C76" i="2"/>
  <c r="C77" i="2"/>
  <c r="C71" i="2"/>
  <c r="C72" i="2"/>
  <c r="C73" i="2"/>
  <c r="C74" i="2"/>
  <c r="C66" i="2"/>
  <c r="C67" i="2"/>
  <c r="C68" i="2"/>
  <c r="C69" i="2"/>
  <c r="C62" i="2"/>
  <c r="K45" i="59" s="1"/>
  <c r="C63" i="2"/>
  <c r="C64" i="2"/>
  <c r="C57" i="2"/>
  <c r="C58" i="2"/>
  <c r="C59" i="2"/>
  <c r="C53" i="2"/>
  <c r="C48" i="2"/>
  <c r="C49" i="2"/>
  <c r="C50" i="2"/>
  <c r="C51" i="2"/>
  <c r="C43" i="2"/>
  <c r="C44" i="2"/>
  <c r="C45" i="2"/>
  <c r="C38" i="2"/>
  <c r="C39" i="2"/>
  <c r="C40" i="2"/>
  <c r="C41" i="2"/>
  <c r="C36" i="2"/>
  <c r="C33" i="2"/>
  <c r="D28" i="4" s="1"/>
  <c r="C175" i="4" s="1"/>
  <c r="C24" i="2"/>
  <c r="C25" i="2"/>
  <c r="C26" i="2"/>
  <c r="C27" i="2"/>
  <c r="C28" i="2"/>
  <c r="C29" i="2"/>
  <c r="C30" i="2"/>
  <c r="C31" i="2"/>
  <c r="C20" i="2"/>
  <c r="C21" i="2"/>
  <c r="C13" i="2"/>
  <c r="C14" i="2"/>
  <c r="C15" i="2"/>
  <c r="B73" i="57" s="1"/>
  <c r="C16" i="2"/>
  <c r="C17" i="2"/>
  <c r="C4" i="2"/>
  <c r="C5" i="2"/>
  <c r="C6" i="2"/>
  <c r="C7" i="2"/>
  <c r="C8" i="2"/>
  <c r="C9" i="2"/>
  <c r="C10" i="2"/>
  <c r="C11" i="2"/>
  <c r="D84" i="1"/>
  <c r="D23" i="4" s="1"/>
  <c r="C61" i="4" s="1"/>
  <c r="D65" i="1"/>
  <c r="D66" i="1"/>
  <c r="D42" i="1"/>
  <c r="D43" i="1"/>
  <c r="D44" i="1"/>
  <c r="D45" i="1"/>
  <c r="D46" i="1"/>
  <c r="D47" i="1"/>
  <c r="D48" i="1"/>
  <c r="D49" i="1"/>
  <c r="B20" i="1"/>
  <c r="D73" i="29" s="1"/>
  <c r="E73" i="29" s="1"/>
  <c r="F73" i="29" s="1"/>
  <c r="G73" i="29" s="1"/>
  <c r="H73" i="29" s="1"/>
  <c r="I73" i="29" s="1"/>
  <c r="J73" i="29" s="1"/>
  <c r="K73" i="29" s="1"/>
  <c r="B10" i="1"/>
  <c r="B11" i="1"/>
  <c r="C106" i="30"/>
  <c r="D115" i="30"/>
  <c r="E115" i="30"/>
  <c r="F115" i="30"/>
  <c r="G115" i="30"/>
  <c r="H106" i="30"/>
  <c r="E112" i="6"/>
  <c r="Y408" i="6"/>
  <c r="V408" i="6"/>
  <c r="U408" i="6"/>
  <c r="R408" i="6"/>
  <c r="Q408" i="6"/>
  <c r="P408" i="6" a="1"/>
  <c r="X408" i="6"/>
  <c r="S408" i="6"/>
  <c r="W408" i="6"/>
  <c r="P408" i="6"/>
  <c r="T408" i="6"/>
  <c r="Y408" i="30"/>
  <c r="X408" i="30"/>
  <c r="V408" i="30"/>
  <c r="U408" i="30"/>
  <c r="T408" i="30"/>
  <c r="R408" i="30"/>
  <c r="Q408" i="30"/>
  <c r="P408" i="30"/>
  <c r="P408" i="30" a="1"/>
  <c r="W408" i="30"/>
  <c r="S408" i="30"/>
  <c r="O169" i="35" a="1"/>
  <c r="W169" i="35"/>
  <c r="O169" i="7" a="1"/>
  <c r="X169" i="7"/>
  <c r="O696" i="38" a="1"/>
  <c r="X696" i="38"/>
  <c r="O696" i="8" a="1"/>
  <c r="U696" i="8"/>
  <c r="X169" i="35"/>
  <c r="Q169" i="35"/>
  <c r="P169" i="35"/>
  <c r="V169" i="35"/>
  <c r="R169" i="35"/>
  <c r="S169" i="35"/>
  <c r="T169" i="35"/>
  <c r="U169" i="35"/>
  <c r="O169" i="35"/>
  <c r="Q169" i="7"/>
  <c r="R169" i="7"/>
  <c r="S169" i="7"/>
  <c r="T169" i="7"/>
  <c r="U169" i="7"/>
  <c r="V169" i="7"/>
  <c r="O169" i="7"/>
  <c r="W169" i="7"/>
  <c r="P169" i="7"/>
  <c r="Q696" i="38"/>
  <c r="R696" i="38"/>
  <c r="S696" i="38"/>
  <c r="T696" i="38"/>
  <c r="U696" i="38"/>
  <c r="V696" i="38"/>
  <c r="O696" i="38"/>
  <c r="W696" i="38"/>
  <c r="P696" i="38"/>
  <c r="V696" i="8"/>
  <c r="W696" i="8"/>
  <c r="Q696" i="8"/>
  <c r="R696" i="8"/>
  <c r="S696" i="8"/>
  <c r="O696" i="8"/>
  <c r="P696" i="8"/>
  <c r="X696" i="8"/>
  <c r="T696" i="8"/>
  <c r="B54" i="41"/>
  <c r="N1" i="1"/>
  <c r="N1" i="57"/>
  <c r="B53" i="41"/>
  <c r="G3" i="27"/>
  <c r="B4" i="29"/>
  <c r="B3" i="29"/>
  <c r="B4" i="4"/>
  <c r="B3" i="4"/>
  <c r="F1" i="41"/>
  <c r="A1" i="41"/>
  <c r="B61" i="41"/>
  <c r="D42" i="41"/>
  <c r="D41" i="41"/>
  <c r="D40" i="41"/>
  <c r="D39" i="41"/>
  <c r="D38" i="41"/>
  <c r="D37" i="41"/>
  <c r="D36" i="41"/>
  <c r="C3" i="60" a="1"/>
  <c r="B3" i="60"/>
  <c r="A48" i="60" a="1"/>
  <c r="A37" i="60" a="1"/>
  <c r="A37" i="60"/>
  <c r="A26" i="60" a="1"/>
  <c r="N23" i="60"/>
  <c r="N22" i="60"/>
  <c r="N21" i="60"/>
  <c r="N20" i="60"/>
  <c r="N19" i="60"/>
  <c r="N18" i="60"/>
  <c r="N17" i="60"/>
  <c r="N16" i="60"/>
  <c r="N15" i="60"/>
  <c r="A15" i="60" a="1"/>
  <c r="A22" i="60"/>
  <c r="A4" i="60" a="1"/>
  <c r="A4" i="60"/>
  <c r="A67" i="60" a="1"/>
  <c r="A74" i="60"/>
  <c r="A58" i="60" a="1"/>
  <c r="A65" i="60"/>
  <c r="A1" i="60"/>
  <c r="A67" i="59" a="1"/>
  <c r="A58" i="59" a="1"/>
  <c r="A65" i="59"/>
  <c r="C3" i="59" a="1"/>
  <c r="L3" i="59"/>
  <c r="B3" i="59"/>
  <c r="A48" i="59" a="1"/>
  <c r="A49" i="59"/>
  <c r="A37" i="59" a="1"/>
  <c r="A43" i="59"/>
  <c r="B26" i="59" a="1"/>
  <c r="B31" i="59"/>
  <c r="A26" i="59" a="1"/>
  <c r="A32" i="59"/>
  <c r="N23" i="59"/>
  <c r="N22" i="59"/>
  <c r="N21" i="59"/>
  <c r="N20" i="59"/>
  <c r="N19" i="59"/>
  <c r="N18" i="59"/>
  <c r="N17" i="59"/>
  <c r="N16" i="59"/>
  <c r="N15" i="59"/>
  <c r="B15" i="59" a="1"/>
  <c r="B22" i="59"/>
  <c r="B22" i="60"/>
  <c r="A15" i="59" a="1"/>
  <c r="B4" i="59" a="1"/>
  <c r="B6" i="59"/>
  <c r="A4" i="59" a="1"/>
  <c r="A9" i="59"/>
  <c r="A67" i="58" a="1"/>
  <c r="A58" i="58" a="1"/>
  <c r="A65" i="58"/>
  <c r="C3" i="58" a="1"/>
  <c r="J3" i="58"/>
  <c r="B3" i="58"/>
  <c r="A1" i="59"/>
  <c r="A1" i="58"/>
  <c r="A48" i="58" a="1"/>
  <c r="A37" i="58" a="1"/>
  <c r="A43" i="58"/>
  <c r="B26" i="58" a="1"/>
  <c r="B30" i="58"/>
  <c r="A26" i="58" a="1"/>
  <c r="N23" i="58"/>
  <c r="N22" i="58"/>
  <c r="N21" i="58"/>
  <c r="N20" i="58"/>
  <c r="N19" i="58"/>
  <c r="N18" i="58"/>
  <c r="N17" i="58"/>
  <c r="N16" i="58"/>
  <c r="N15" i="58"/>
  <c r="B15" i="58" a="1"/>
  <c r="A15" i="58" a="1"/>
  <c r="A15" i="58"/>
  <c r="B4" i="58" a="1"/>
  <c r="B8" i="58"/>
  <c r="A4" i="58" a="1"/>
  <c r="C410" i="1" a="1"/>
  <c r="D409" i="1" a="1"/>
  <c r="K409" i="1"/>
  <c r="C409" i="1"/>
  <c r="C195" i="1" a="1"/>
  <c r="L195" i="1"/>
  <c r="D194" i="1" a="1"/>
  <c r="K194" i="1"/>
  <c r="C194" i="1"/>
  <c r="C175" i="1" a="1"/>
  <c r="L175" i="1"/>
  <c r="D174" i="1" a="1"/>
  <c r="C174" i="1"/>
  <c r="B196" i="1" a="1"/>
  <c r="B203" i="1"/>
  <c r="B185" i="1" a="1"/>
  <c r="B192" i="1"/>
  <c r="B176" i="1" a="1"/>
  <c r="C1" i="1"/>
  <c r="C748" i="1" a="1"/>
  <c r="C644" i="1" a="1"/>
  <c r="I644" i="1"/>
  <c r="D643" i="1" a="1"/>
  <c r="J643" i="1"/>
  <c r="C643" i="1"/>
  <c r="A685" i="1" a="1"/>
  <c r="A690" i="1"/>
  <c r="A676" i="1" a="1"/>
  <c r="A667" i="1" a="1"/>
  <c r="A658" i="1" a="1"/>
  <c r="A664" i="1"/>
  <c r="A649" i="1" a="1"/>
  <c r="A656" i="1"/>
  <c r="A82" i="27" a="1"/>
  <c r="A69" i="27" a="1"/>
  <c r="A73" i="27"/>
  <c r="A56" i="27" a="1"/>
  <c r="A63" i="27"/>
  <c r="A115" i="34" a="1"/>
  <c r="A117" i="34"/>
  <c r="A106" i="34" a="1"/>
  <c r="A97" i="34" a="1"/>
  <c r="A88" i="34" a="1"/>
  <c r="A115" i="30" a="1"/>
  <c r="A106" i="30" a="1"/>
  <c r="A112" i="30"/>
  <c r="A97" i="30" a="1"/>
  <c r="A88" i="30" a="1"/>
  <c r="A115" i="6" a="1"/>
  <c r="A106" i="6" a="1"/>
  <c r="A97" i="6" a="1"/>
  <c r="A99" i="6"/>
  <c r="A88" i="6" a="1"/>
  <c r="B1" i="57"/>
  <c r="M4" i="1"/>
  <c r="N177" i="40"/>
  <c r="N178" i="40"/>
  <c r="N172" i="40"/>
  <c r="B56" i="41"/>
  <c r="C152" i="1" a="1"/>
  <c r="D158" i="1"/>
  <c r="F159" i="1"/>
  <c r="E198" i="2"/>
  <c r="F198" i="2"/>
  <c r="D198" i="2"/>
  <c r="B59" i="41"/>
  <c r="C220" i="6" a="1"/>
  <c r="N18" i="2"/>
  <c r="O18" i="2"/>
  <c r="F34" i="1"/>
  <c r="B14" i="5"/>
  <c r="B14" i="32"/>
  <c r="C91" i="4"/>
  <c r="D35" i="4"/>
  <c r="A709" i="8"/>
  <c r="D35" i="1"/>
  <c r="N7" i="58"/>
  <c r="B712" i="8" a="1"/>
  <c r="A713" i="8" a="1"/>
  <c r="A719" i="8"/>
  <c r="B194" i="2"/>
  <c r="B185" i="2"/>
  <c r="B187" i="2"/>
  <c r="B183" i="2"/>
  <c r="B152" i="2"/>
  <c r="B145" i="2"/>
  <c r="B138" i="2"/>
  <c r="B131" i="2"/>
  <c r="M2" i="28"/>
  <c r="D7" i="4" a="1"/>
  <c r="A196" i="57"/>
  <c r="A171" i="57"/>
  <c r="A157" i="57"/>
  <c r="D254" i="1" a="1"/>
  <c r="C255" i="1" a="1"/>
  <c r="A118" i="1"/>
  <c r="A117" i="1"/>
  <c r="A116" i="1"/>
  <c r="A115" i="1"/>
  <c r="A114" i="1"/>
  <c r="A92" i="57"/>
  <c r="A57" i="57"/>
  <c r="J1" i="57"/>
  <c r="A229" i="34" a="1"/>
  <c r="A229" i="30" a="1"/>
  <c r="A229" i="6" a="1"/>
  <c r="A256" i="34" a="1"/>
  <c r="A211" i="34" a="1"/>
  <c r="A202" i="34" a="1"/>
  <c r="A256" i="30" a="1"/>
  <c r="A256" i="30"/>
  <c r="A211" i="30" a="1"/>
  <c r="A211" i="30"/>
  <c r="A202" i="30" a="1"/>
  <c r="A206" i="30"/>
  <c r="A256" i="6" a="1"/>
  <c r="A202" i="6" a="1"/>
  <c r="A211" i="6" a="1"/>
  <c r="B77" i="2"/>
  <c r="B76" i="2"/>
  <c r="A36" i="41"/>
  <c r="A4" i="6" a="1"/>
  <c r="B105" i="2" a="1"/>
  <c r="B97" i="2" a="1"/>
  <c r="B89" i="2" a="1"/>
  <c r="A42" i="1" a="1"/>
  <c r="R143" i="1"/>
  <c r="R144" i="1"/>
  <c r="R145" i="1"/>
  <c r="R146" i="1"/>
  <c r="R147" i="1"/>
  <c r="R148" i="1"/>
  <c r="R149" i="1"/>
  <c r="R150" i="1"/>
  <c r="R151" i="1"/>
  <c r="R152" i="1"/>
  <c r="P143" i="1"/>
  <c r="P144" i="1"/>
  <c r="P145" i="1"/>
  <c r="P146" i="1"/>
  <c r="P147" i="1"/>
  <c r="P148" i="1"/>
  <c r="P149" i="1"/>
  <c r="P150" i="1"/>
  <c r="P151" i="1"/>
  <c r="P152" i="1"/>
  <c r="P142" i="1"/>
  <c r="B74" i="41"/>
  <c r="B65" i="41"/>
  <c r="C376" i="1" a="1"/>
  <c r="I326" i="1"/>
  <c r="J326" i="1"/>
  <c r="K326" i="1"/>
  <c r="L326" i="1"/>
  <c r="I301" i="1"/>
  <c r="J301" i="1"/>
  <c r="K301" i="1"/>
  <c r="L301" i="1"/>
  <c r="J300" i="1"/>
  <c r="K300" i="1"/>
  <c r="L300" i="1"/>
  <c r="I300" i="1"/>
  <c r="M62" i="57"/>
  <c r="Y91" i="29"/>
  <c r="M64" i="57"/>
  <c r="M65" i="57"/>
  <c r="M66" i="57"/>
  <c r="N87" i="40"/>
  <c r="C82" i="40"/>
  <c r="C83" i="40"/>
  <c r="C84" i="40"/>
  <c r="C85" i="40"/>
  <c r="D56" i="1"/>
  <c r="D57" i="1"/>
  <c r="E56" i="1"/>
  <c r="B58" i="1"/>
  <c r="E58" i="1"/>
  <c r="A44" i="57"/>
  <c r="C198" i="57" a="1"/>
  <c r="H198" i="57"/>
  <c r="C388" i="1" a="1"/>
  <c r="D387" i="1" a="1"/>
  <c r="C387" i="1"/>
  <c r="C160" i="57" a="1"/>
  <c r="E160" i="57"/>
  <c r="C77" i="57" a="1"/>
  <c r="K77" i="57"/>
  <c r="C184" i="57" a="1"/>
  <c r="C174" i="57" a="1"/>
  <c r="C149" i="57" a="1"/>
  <c r="C149" i="57"/>
  <c r="C139" i="57" a="1"/>
  <c r="C132" i="57" a="1"/>
  <c r="D34" i="1"/>
  <c r="E34" i="1"/>
  <c r="G34" i="1"/>
  <c r="H34" i="1"/>
  <c r="I34" i="1"/>
  <c r="J34" i="1"/>
  <c r="C34" i="1"/>
  <c r="B141" i="28"/>
  <c r="B129" i="28" a="1"/>
  <c r="B129" i="28"/>
  <c r="B137" i="28" a="1"/>
  <c r="B98" i="28" a="1"/>
  <c r="B67" i="28" a="1"/>
  <c r="B36" i="28" a="1"/>
  <c r="B5" i="28" a="1"/>
  <c r="B141" i="5"/>
  <c r="B129" i="5" a="1"/>
  <c r="B131" i="5"/>
  <c r="B98" i="5" a="1"/>
  <c r="B99" i="5"/>
  <c r="B67" i="5" a="1"/>
  <c r="B36" i="5" a="1"/>
  <c r="B5" i="5" a="1"/>
  <c r="B6" i="5"/>
  <c r="M137" i="32"/>
  <c r="M136" i="32"/>
  <c r="M135" i="32"/>
  <c r="M134" i="32"/>
  <c r="M133" i="32"/>
  <c r="M132" i="32"/>
  <c r="M131" i="32"/>
  <c r="M130" i="32"/>
  <c r="M129" i="32"/>
  <c r="A129" i="32" a="1"/>
  <c r="A133" i="32"/>
  <c r="A129" i="28" a="1"/>
  <c r="M129" i="28"/>
  <c r="M130" i="28"/>
  <c r="M131" i="28"/>
  <c r="M132" i="28"/>
  <c r="M133" i="28"/>
  <c r="M134" i="28"/>
  <c r="M135" i="28"/>
  <c r="M136" i="28"/>
  <c r="M137" i="28"/>
  <c r="A129" i="5" a="1"/>
  <c r="A130" i="5"/>
  <c r="M129" i="5"/>
  <c r="M130" i="5"/>
  <c r="M131" i="5"/>
  <c r="M132" i="5"/>
  <c r="M133" i="5"/>
  <c r="M134" i="5"/>
  <c r="M135" i="5"/>
  <c r="M136" i="5"/>
  <c r="M137" i="5"/>
  <c r="A112" i="1"/>
  <c r="A132" i="1"/>
  <c r="A136" i="1"/>
  <c r="A135" i="1"/>
  <c r="A134" i="1"/>
  <c r="A133" i="1"/>
  <c r="A130" i="1"/>
  <c r="A129" i="1"/>
  <c r="A128" i="1"/>
  <c r="A127" i="1"/>
  <c r="A126" i="1"/>
  <c r="A120" i="1"/>
  <c r="A124" i="1"/>
  <c r="A123" i="1"/>
  <c r="A122" i="1"/>
  <c r="A121" i="1"/>
  <c r="B72" i="2"/>
  <c r="C366" i="1" a="1"/>
  <c r="D365" i="1" a="1"/>
  <c r="H365" i="1"/>
  <c r="C365" i="1"/>
  <c r="C698" i="1" a="1"/>
  <c r="D698" i="1"/>
  <c r="M744" i="1"/>
  <c r="M742" i="1"/>
  <c r="M741" i="1"/>
  <c r="M740" i="1"/>
  <c r="M739" i="1"/>
  <c r="M738" i="1"/>
  <c r="M737" i="1"/>
  <c r="M736" i="1"/>
  <c r="M735" i="1"/>
  <c r="M733" i="1"/>
  <c r="M732" i="1"/>
  <c r="M731" i="1"/>
  <c r="M730" i="1"/>
  <c r="M729" i="1"/>
  <c r="M728" i="1"/>
  <c r="M727" i="1"/>
  <c r="M726" i="1"/>
  <c r="M724" i="1"/>
  <c r="M723" i="1"/>
  <c r="M722" i="1"/>
  <c r="M721" i="1"/>
  <c r="M720" i="1"/>
  <c r="M719" i="1"/>
  <c r="M718" i="1"/>
  <c r="M717" i="1"/>
  <c r="M715" i="1"/>
  <c r="M714" i="1"/>
  <c r="M713" i="1"/>
  <c r="M712" i="1"/>
  <c r="M711" i="1"/>
  <c r="M710" i="1"/>
  <c r="M709" i="1"/>
  <c r="M708" i="1"/>
  <c r="M706" i="1"/>
  <c r="M705" i="1"/>
  <c r="M704" i="1"/>
  <c r="M703" i="1"/>
  <c r="C588" i="1" a="1"/>
  <c r="C95" i="57" a="1"/>
  <c r="C105" i="57" a="1"/>
  <c r="K105" i="57"/>
  <c r="C112" i="57" a="1"/>
  <c r="F112" i="57"/>
  <c r="C122" i="57" a="1"/>
  <c r="L122" i="57"/>
  <c r="C59" i="57" a="1"/>
  <c r="D59" i="57"/>
  <c r="B59" i="57"/>
  <c r="A443" i="34"/>
  <c r="C254" i="1"/>
  <c r="N443" i="34"/>
  <c r="E53" i="57"/>
  <c r="D587" i="1" a="1"/>
  <c r="I587" i="1"/>
  <c r="C587" i="1"/>
  <c r="P344" i="1"/>
  <c r="C343" i="1" a="1"/>
  <c r="D342" i="1" a="1"/>
  <c r="C342" i="1"/>
  <c r="C277" i="1" a="1"/>
  <c r="J277" i="1"/>
  <c r="D276" i="1" a="1"/>
  <c r="C276" i="1"/>
  <c r="D140" i="1"/>
  <c r="G3" i="3"/>
  <c r="A629" i="1" a="1"/>
  <c r="A629" i="1"/>
  <c r="A735" i="1"/>
  <c r="A620" i="1" a="1"/>
  <c r="A611" i="1" a="1"/>
  <c r="A613" i="1"/>
  <c r="A719" i="1"/>
  <c r="A602" i="1" a="1"/>
  <c r="A593" i="1" a="1"/>
  <c r="C237" i="1" a="1"/>
  <c r="C228" i="1" a="1"/>
  <c r="C219" i="1" a="1"/>
  <c r="C210" i="1" a="1"/>
  <c r="C213" i="1"/>
  <c r="M486" i="1"/>
  <c r="M536" i="1"/>
  <c r="M487" i="1"/>
  <c r="M537" i="1"/>
  <c r="M488" i="1"/>
  <c r="M538" i="1"/>
  <c r="M489" i="1"/>
  <c r="M539" i="1"/>
  <c r="M490" i="1"/>
  <c r="M540" i="1"/>
  <c r="M491" i="1"/>
  <c r="M541" i="1"/>
  <c r="M492" i="1"/>
  <c r="M542" i="1"/>
  <c r="M493" i="1"/>
  <c r="M543" i="1"/>
  <c r="M495" i="1"/>
  <c r="M545" i="1"/>
  <c r="M496" i="1"/>
  <c r="M546" i="1"/>
  <c r="M497" i="1"/>
  <c r="M547" i="1"/>
  <c r="M498" i="1"/>
  <c r="M548" i="1"/>
  <c r="M499" i="1"/>
  <c r="M549" i="1"/>
  <c r="M500" i="1"/>
  <c r="M550" i="1"/>
  <c r="M501" i="1"/>
  <c r="M551" i="1"/>
  <c r="M502" i="1"/>
  <c r="M552" i="1"/>
  <c r="M504" i="1"/>
  <c r="M554" i="1"/>
  <c r="M505" i="1"/>
  <c r="M555" i="1"/>
  <c r="M506" i="1"/>
  <c r="M556" i="1"/>
  <c r="M507" i="1"/>
  <c r="M557" i="1"/>
  <c r="M508" i="1"/>
  <c r="M558" i="1"/>
  <c r="M509" i="1"/>
  <c r="M559" i="1"/>
  <c r="M510" i="1"/>
  <c r="M560" i="1"/>
  <c r="M511" i="1"/>
  <c r="M561" i="1"/>
  <c r="M513" i="1"/>
  <c r="M563" i="1"/>
  <c r="M514" i="1"/>
  <c r="M564" i="1"/>
  <c r="M515" i="1"/>
  <c r="M565" i="1"/>
  <c r="M516" i="1"/>
  <c r="M566" i="1"/>
  <c r="M517" i="1"/>
  <c r="M567" i="1"/>
  <c r="M518" i="1"/>
  <c r="M568" i="1"/>
  <c r="M519" i="1"/>
  <c r="M569" i="1"/>
  <c r="M520" i="1"/>
  <c r="M570" i="1"/>
  <c r="M522" i="1"/>
  <c r="M572" i="1"/>
  <c r="M523" i="1"/>
  <c r="M573" i="1"/>
  <c r="M524" i="1"/>
  <c r="M574" i="1"/>
  <c r="M525" i="1"/>
  <c r="M575" i="1"/>
  <c r="M526" i="1"/>
  <c r="M576" i="1"/>
  <c r="M527" i="1"/>
  <c r="M577" i="1"/>
  <c r="M528" i="1"/>
  <c r="M578" i="1"/>
  <c r="M529" i="1"/>
  <c r="M579" i="1"/>
  <c r="M531" i="1"/>
  <c r="M581" i="1"/>
  <c r="A472" i="1" a="1"/>
  <c r="A473" i="1"/>
  <c r="A523" i="1"/>
  <c r="A573" i="1"/>
  <c r="A463" i="1" a="1"/>
  <c r="A470" i="1"/>
  <c r="A520" i="1"/>
  <c r="A570" i="1"/>
  <c r="A454" i="1" a="1"/>
  <c r="A445" i="1" a="1"/>
  <c r="A436" i="1" a="1"/>
  <c r="A443" i="1"/>
  <c r="A493" i="1"/>
  <c r="A543" i="1"/>
  <c r="C435" i="1" a="1"/>
  <c r="B4" i="3" a="1"/>
  <c r="F4" i="3"/>
  <c r="P353" i="1"/>
  <c r="M345" i="1"/>
  <c r="M368" i="1"/>
  <c r="M390" i="1"/>
  <c r="M412" i="1"/>
  <c r="M346" i="1"/>
  <c r="M369" i="1"/>
  <c r="M391" i="1"/>
  <c r="M413" i="1"/>
  <c r="M347" i="1"/>
  <c r="M370" i="1"/>
  <c r="M392" i="1"/>
  <c r="M414" i="1"/>
  <c r="M348" i="1"/>
  <c r="M371" i="1"/>
  <c r="M393" i="1"/>
  <c r="M415" i="1"/>
  <c r="M349" i="1"/>
  <c r="M372" i="1"/>
  <c r="M394" i="1"/>
  <c r="M416" i="1"/>
  <c r="M350" i="1"/>
  <c r="M373" i="1"/>
  <c r="M395" i="1"/>
  <c r="M417" i="1"/>
  <c r="M351" i="1"/>
  <c r="M374" i="1"/>
  <c r="M396" i="1"/>
  <c r="M418" i="1"/>
  <c r="M353" i="1"/>
  <c r="M376" i="1"/>
  <c r="M398" i="1"/>
  <c r="M420" i="1"/>
  <c r="M354" i="1"/>
  <c r="M377" i="1"/>
  <c r="M399" i="1"/>
  <c r="M421" i="1"/>
  <c r="M355" i="1"/>
  <c r="M378" i="1"/>
  <c r="M400" i="1"/>
  <c r="M422" i="1"/>
  <c r="M356" i="1"/>
  <c r="M379" i="1"/>
  <c r="M401" i="1"/>
  <c r="M423" i="1"/>
  <c r="M357" i="1"/>
  <c r="M380" i="1"/>
  <c r="M402" i="1"/>
  <c r="M424" i="1"/>
  <c r="M358" i="1"/>
  <c r="M381" i="1"/>
  <c r="M403" i="1"/>
  <c r="M425" i="1"/>
  <c r="M359" i="1"/>
  <c r="M382" i="1"/>
  <c r="M404" i="1"/>
  <c r="M426" i="1"/>
  <c r="M360" i="1"/>
  <c r="M383" i="1"/>
  <c r="M405" i="1"/>
  <c r="M427" i="1"/>
  <c r="B343" i="1"/>
  <c r="B366" i="1"/>
  <c r="B388" i="1"/>
  <c r="B410" i="1"/>
  <c r="A352" i="1"/>
  <c r="A375" i="1"/>
  <c r="A397" i="1"/>
  <c r="A419" i="1"/>
  <c r="B342" i="1"/>
  <c r="B365" i="1"/>
  <c r="B387" i="1"/>
  <c r="B409" i="1"/>
  <c r="A342" i="1"/>
  <c r="A365" i="1"/>
  <c r="A387" i="1"/>
  <c r="A409" i="1"/>
  <c r="B287" i="1" a="1"/>
  <c r="B291" i="1"/>
  <c r="B357" i="1"/>
  <c r="B380" i="1"/>
  <c r="B402" i="1"/>
  <c r="B424" i="1"/>
  <c r="B278" i="1" a="1"/>
  <c r="B281" i="1"/>
  <c r="B347" i="1"/>
  <c r="B370" i="1"/>
  <c r="B392" i="1"/>
  <c r="B414" i="1"/>
  <c r="C96" i="40"/>
  <c r="C97" i="40"/>
  <c r="C98" i="40"/>
  <c r="C99" i="40"/>
  <c r="C177" i="40" a="1"/>
  <c r="N185" i="29"/>
  <c r="N184" i="29"/>
  <c r="N183" i="29"/>
  <c r="N182" i="29"/>
  <c r="N181" i="29"/>
  <c r="N180" i="29"/>
  <c r="N179" i="29"/>
  <c r="N178" i="29"/>
  <c r="N172" i="29"/>
  <c r="C177" i="29" a="1"/>
  <c r="M18" i="2"/>
  <c r="C177" i="4" a="1"/>
  <c r="C184" i="4"/>
  <c r="C151" i="4" a="1"/>
  <c r="C155" i="4"/>
  <c r="C151" i="29" a="1"/>
  <c r="C91" i="29"/>
  <c r="C92" i="4"/>
  <c r="C92" i="29"/>
  <c r="C100" i="40"/>
  <c r="C101" i="40"/>
  <c r="C102" i="40"/>
  <c r="C104" i="4"/>
  <c r="C104" i="29"/>
  <c r="C105" i="4"/>
  <c r="C105" i="29"/>
  <c r="C109" i="40"/>
  <c r="C110" i="40"/>
  <c r="C111" i="40"/>
  <c r="C112" i="40"/>
  <c r="C114" i="4"/>
  <c r="C114" i="29"/>
  <c r="C115" i="4"/>
  <c r="C115" i="29"/>
  <c r="C116" i="40"/>
  <c r="C117" i="40"/>
  <c r="C118" i="4"/>
  <c r="C118" i="29"/>
  <c r="C119" i="4"/>
  <c r="C119" i="29"/>
  <c r="C123" i="40"/>
  <c r="C124" i="40"/>
  <c r="C125" i="40"/>
  <c r="C126" i="40"/>
  <c r="C128" i="4"/>
  <c r="C128" i="29"/>
  <c r="C129" i="4"/>
  <c r="C129" i="29"/>
  <c r="C190" i="40"/>
  <c r="D35" i="40"/>
  <c r="E35" i="40" a="1"/>
  <c r="N185" i="40"/>
  <c r="N184" i="40"/>
  <c r="N183" i="40"/>
  <c r="N182" i="40"/>
  <c r="N181" i="40"/>
  <c r="N180" i="40"/>
  <c r="N179" i="40"/>
  <c r="N164" i="40"/>
  <c r="N158" i="40"/>
  <c r="N157" i="40"/>
  <c r="N156" i="40"/>
  <c r="N155" i="40"/>
  <c r="N154" i="40"/>
  <c r="N153" i="40"/>
  <c r="N152" i="40"/>
  <c r="N151" i="40"/>
  <c r="N149" i="40"/>
  <c r="N148" i="40"/>
  <c r="N147" i="40"/>
  <c r="N146" i="40"/>
  <c r="N145" i="40"/>
  <c r="N144" i="40"/>
  <c r="N143" i="40"/>
  <c r="N142" i="40"/>
  <c r="B142" i="40" a="1"/>
  <c r="B145" i="40"/>
  <c r="N140" i="40"/>
  <c r="N139" i="40"/>
  <c r="N138" i="40"/>
  <c r="N137" i="40"/>
  <c r="N136" i="40"/>
  <c r="N135" i="40"/>
  <c r="N134" i="40"/>
  <c r="N133" i="40"/>
  <c r="B133" i="40" a="1"/>
  <c r="B139" i="40"/>
  <c r="N131" i="40"/>
  <c r="N129" i="40"/>
  <c r="A129" i="40"/>
  <c r="F19" i="1"/>
  <c r="N114" i="40"/>
  <c r="A128" i="40"/>
  <c r="G35" i="1"/>
  <c r="N112" i="4"/>
  <c r="A127" i="40"/>
  <c r="A126" i="40"/>
  <c r="A125" i="40"/>
  <c r="A124" i="40"/>
  <c r="A123" i="40"/>
  <c r="A122" i="40"/>
  <c r="A121" i="40"/>
  <c r="N118" i="40"/>
  <c r="N117" i="40"/>
  <c r="N116" i="40"/>
  <c r="N115" i="40"/>
  <c r="N105" i="40"/>
  <c r="N92" i="40"/>
  <c r="N91" i="40"/>
  <c r="N90" i="40"/>
  <c r="N88" i="40"/>
  <c r="D34" i="40" a="1"/>
  <c r="D34" i="40"/>
  <c r="C34" i="40"/>
  <c r="A1" i="40"/>
  <c r="E35" i="4" a="1"/>
  <c r="C4" i="1"/>
  <c r="D4" i="1"/>
  <c r="E4" i="1"/>
  <c r="F4" i="1"/>
  <c r="G4" i="1"/>
  <c r="H4" i="1"/>
  <c r="I4" i="1"/>
  <c r="J4" i="1"/>
  <c r="K4" i="1"/>
  <c r="M5" i="1"/>
  <c r="A697" i="38" a="1"/>
  <c r="A687" i="38" a="1"/>
  <c r="A677" i="38" a="1"/>
  <c r="A684" i="38"/>
  <c r="A668" i="38" a="1"/>
  <c r="A670" i="38"/>
  <c r="A659" i="38" a="1"/>
  <c r="A660" i="38"/>
  <c r="A650" i="38" a="1"/>
  <c r="A652" i="38"/>
  <c r="A641" i="38" a="1"/>
  <c r="A632" i="38" a="1"/>
  <c r="A623" i="38" a="1"/>
  <c r="A629" i="38"/>
  <c r="A614" i="38" a="1"/>
  <c r="A605" i="38" a="1"/>
  <c r="A596" i="38" a="1"/>
  <c r="A587" i="38" a="1"/>
  <c r="A593" i="38"/>
  <c r="A578" i="38" a="1"/>
  <c r="A569" i="38" a="1"/>
  <c r="A574" i="38"/>
  <c r="A560" i="38" a="1"/>
  <c r="A565" i="38"/>
  <c r="A551" i="38" a="1"/>
  <c r="A542" i="38" a="1"/>
  <c r="A533" i="38" a="1"/>
  <c r="A536" i="38"/>
  <c r="A524" i="38" a="1"/>
  <c r="A515" i="38" a="1"/>
  <c r="A521" i="38"/>
  <c r="A506" i="38" a="1"/>
  <c r="A497" i="38" a="1"/>
  <c r="M495" i="38"/>
  <c r="M494" i="38"/>
  <c r="M493" i="38"/>
  <c r="M492" i="38"/>
  <c r="M491" i="38"/>
  <c r="M490" i="38"/>
  <c r="M489" i="38"/>
  <c r="M488" i="38"/>
  <c r="A488" i="38" a="1"/>
  <c r="M486" i="38"/>
  <c r="M485" i="38"/>
  <c r="M484" i="38"/>
  <c r="M483" i="38"/>
  <c r="M482" i="38"/>
  <c r="M481" i="38"/>
  <c r="M480" i="38"/>
  <c r="M479" i="38"/>
  <c r="A479" i="38" a="1"/>
  <c r="A483" i="38"/>
  <c r="M477" i="38"/>
  <c r="M476" i="38"/>
  <c r="M475" i="38"/>
  <c r="M474" i="38"/>
  <c r="M473" i="38"/>
  <c r="M472" i="38"/>
  <c r="M471" i="38"/>
  <c r="M470" i="38"/>
  <c r="A470" i="38" a="1"/>
  <c r="M468" i="38"/>
  <c r="M467" i="38"/>
  <c r="M466" i="38"/>
  <c r="M465" i="38"/>
  <c r="M464" i="38"/>
  <c r="M463" i="38"/>
  <c r="M462" i="38"/>
  <c r="M461" i="38"/>
  <c r="A461" i="38" a="1"/>
  <c r="A461" i="38"/>
  <c r="A452" i="38" a="1"/>
  <c r="A457" i="38"/>
  <c r="A443" i="38" a="1"/>
  <c r="A434" i="38" a="1"/>
  <c r="A435" i="38"/>
  <c r="A425" i="38" a="1"/>
  <c r="M423" i="38"/>
  <c r="M422" i="38"/>
  <c r="M421" i="38"/>
  <c r="M420" i="38"/>
  <c r="M419" i="38"/>
  <c r="M418" i="38"/>
  <c r="M417" i="38"/>
  <c r="M416" i="38"/>
  <c r="A416" i="38" a="1"/>
  <c r="A417" i="38"/>
  <c r="M414" i="38"/>
  <c r="M413" i="38"/>
  <c r="M412" i="38"/>
  <c r="M411" i="38"/>
  <c r="M410" i="38"/>
  <c r="M409" i="38"/>
  <c r="M408" i="38"/>
  <c r="M407" i="38"/>
  <c r="A407" i="38" a="1"/>
  <c r="M405" i="38"/>
  <c r="M404" i="38"/>
  <c r="M403" i="38"/>
  <c r="M402" i="38"/>
  <c r="M401" i="38"/>
  <c r="M400" i="38"/>
  <c r="M399" i="38"/>
  <c r="M398" i="38"/>
  <c r="A398" i="38" a="1"/>
  <c r="A401" i="38"/>
  <c r="M396" i="38"/>
  <c r="M395" i="38"/>
  <c r="M394" i="38"/>
  <c r="M393" i="38"/>
  <c r="M392" i="38"/>
  <c r="M391" i="38"/>
  <c r="M390" i="38"/>
  <c r="M389" i="38"/>
  <c r="A389" i="38" a="1"/>
  <c r="A394" i="38"/>
  <c r="A380" i="38" a="1"/>
  <c r="A384" i="38"/>
  <c r="A371" i="38" a="1"/>
  <c r="A362" i="38" a="1"/>
  <c r="A353" i="38" a="1"/>
  <c r="A359" i="38"/>
  <c r="M351" i="38"/>
  <c r="M350" i="38"/>
  <c r="M349" i="38"/>
  <c r="M348" i="38"/>
  <c r="M347" i="38"/>
  <c r="M346" i="38"/>
  <c r="M345" i="38"/>
  <c r="M344" i="38"/>
  <c r="A344" i="38" a="1"/>
  <c r="A348" i="38"/>
  <c r="M342" i="38"/>
  <c r="M341" i="38"/>
  <c r="M340" i="38"/>
  <c r="M339" i="38"/>
  <c r="M338" i="38"/>
  <c r="M337" i="38"/>
  <c r="M336" i="38"/>
  <c r="M335" i="38"/>
  <c r="A335" i="38" a="1"/>
  <c r="M333" i="38"/>
  <c r="M332" i="38"/>
  <c r="M331" i="38"/>
  <c r="M330" i="38"/>
  <c r="M329" i="38"/>
  <c r="M328" i="38"/>
  <c r="M327" i="38"/>
  <c r="M326" i="38"/>
  <c r="A326" i="38" a="1"/>
  <c r="A328" i="38"/>
  <c r="M324" i="38"/>
  <c r="M323" i="38"/>
  <c r="M322" i="38"/>
  <c r="M321" i="38"/>
  <c r="M320" i="38"/>
  <c r="M319" i="38"/>
  <c r="M318" i="38"/>
  <c r="M317" i="38"/>
  <c r="A317" i="38" a="1"/>
  <c r="M315" i="38"/>
  <c r="M314" i="38"/>
  <c r="M313" i="38"/>
  <c r="M312" i="38"/>
  <c r="M311" i="38"/>
  <c r="M310" i="38"/>
  <c r="M309" i="38"/>
  <c r="M308" i="38"/>
  <c r="A308" i="38" a="1"/>
  <c r="M306" i="38"/>
  <c r="M305" i="38"/>
  <c r="M304" i="38"/>
  <c r="M303" i="38"/>
  <c r="M302" i="38"/>
  <c r="M301" i="38"/>
  <c r="M300" i="38"/>
  <c r="M299" i="38"/>
  <c r="A299" i="38" a="1"/>
  <c r="A305" i="38"/>
  <c r="M297" i="38"/>
  <c r="M296" i="38"/>
  <c r="M295" i="38"/>
  <c r="M294" i="38"/>
  <c r="M293" i="38"/>
  <c r="M292" i="38"/>
  <c r="M291" i="38"/>
  <c r="M290" i="38"/>
  <c r="A290" i="38" a="1"/>
  <c r="M288" i="38"/>
  <c r="M287" i="38"/>
  <c r="M286" i="38"/>
  <c r="M285" i="38"/>
  <c r="M284" i="38"/>
  <c r="M283" i="38"/>
  <c r="M282" i="38"/>
  <c r="M281" i="38"/>
  <c r="A281" i="38" a="1"/>
  <c r="M279" i="38"/>
  <c r="M278" i="38"/>
  <c r="M277" i="38"/>
  <c r="M276" i="38"/>
  <c r="M275" i="38"/>
  <c r="M274" i="38"/>
  <c r="M273" i="38"/>
  <c r="M272" i="38"/>
  <c r="A272" i="38" a="1"/>
  <c r="M270" i="38"/>
  <c r="M269" i="38"/>
  <c r="M268" i="38"/>
  <c r="M267" i="38"/>
  <c r="M266" i="38"/>
  <c r="M265" i="38"/>
  <c r="M264" i="38"/>
  <c r="M263" i="38"/>
  <c r="A263" i="38" a="1"/>
  <c r="A269" i="38"/>
  <c r="M261" i="38"/>
  <c r="M260" i="38"/>
  <c r="M259" i="38"/>
  <c r="M258" i="38"/>
  <c r="M257" i="38"/>
  <c r="M256" i="38"/>
  <c r="M255" i="38"/>
  <c r="M254" i="38"/>
  <c r="A254" i="38" a="1"/>
  <c r="M252" i="38"/>
  <c r="M251" i="38"/>
  <c r="M250" i="38"/>
  <c r="M249" i="38"/>
  <c r="M248" i="38"/>
  <c r="M247" i="38"/>
  <c r="M246" i="38"/>
  <c r="M245" i="38"/>
  <c r="A245" i="38" a="1"/>
  <c r="A251" i="38"/>
  <c r="M243" i="38"/>
  <c r="A243" i="38"/>
  <c r="M242" i="38"/>
  <c r="M241" i="38"/>
  <c r="M240" i="38"/>
  <c r="A238" i="38"/>
  <c r="A224" i="38" a="1"/>
  <c r="A215" i="38" a="1"/>
  <c r="A206" i="38" a="1"/>
  <c r="A197" i="38" a="1"/>
  <c r="M195" i="38"/>
  <c r="B187" i="38" a="1"/>
  <c r="M194" i="38"/>
  <c r="M193" i="38"/>
  <c r="M192" i="38"/>
  <c r="M191" i="38"/>
  <c r="M190" i="38"/>
  <c r="M189" i="38"/>
  <c r="M188" i="38"/>
  <c r="M187" i="38"/>
  <c r="A187" i="38" a="1"/>
  <c r="A190" i="38"/>
  <c r="M185" i="38"/>
  <c r="B177" i="38" a="1"/>
  <c r="B183" i="38"/>
  <c r="M184" i="38"/>
  <c r="M183" i="38"/>
  <c r="M182" i="38"/>
  <c r="M181" i="38"/>
  <c r="M180" i="38"/>
  <c r="M179" i="38"/>
  <c r="M178" i="38"/>
  <c r="M177" i="38"/>
  <c r="A177" i="38" a="1"/>
  <c r="M175" i="38"/>
  <c r="B167" i="38" a="1"/>
  <c r="B173" i="38"/>
  <c r="B173" i="39"/>
  <c r="M174" i="38"/>
  <c r="M173" i="38"/>
  <c r="M172" i="38"/>
  <c r="M171" i="38"/>
  <c r="M170" i="38"/>
  <c r="M169" i="38"/>
  <c r="M168" i="38"/>
  <c r="M167" i="38"/>
  <c r="A167" i="38" a="1"/>
  <c r="M165" i="38"/>
  <c r="B157" i="38" a="1"/>
  <c r="M164" i="38"/>
  <c r="M163" i="38"/>
  <c r="M162" i="38"/>
  <c r="M161" i="38"/>
  <c r="M160" i="38"/>
  <c r="M159" i="38"/>
  <c r="M158" i="38"/>
  <c r="M157" i="38"/>
  <c r="A157" i="38" a="1"/>
  <c r="M155" i="38"/>
  <c r="M154" i="38"/>
  <c r="M153" i="38"/>
  <c r="M152" i="38"/>
  <c r="M151" i="38"/>
  <c r="M150" i="38"/>
  <c r="M149" i="38"/>
  <c r="M148" i="38"/>
  <c r="A148" i="38" a="1"/>
  <c r="A148" i="38"/>
  <c r="M146" i="38"/>
  <c r="M145" i="38"/>
  <c r="M144" i="38"/>
  <c r="M143" i="38"/>
  <c r="M142" i="38"/>
  <c r="M141" i="38"/>
  <c r="M140" i="38"/>
  <c r="M139" i="38"/>
  <c r="A139" i="38" a="1"/>
  <c r="M137" i="38"/>
  <c r="M136" i="38"/>
  <c r="M135" i="38"/>
  <c r="M134" i="38"/>
  <c r="M133" i="38"/>
  <c r="M132" i="38"/>
  <c r="M131" i="38"/>
  <c r="M130" i="38"/>
  <c r="A130" i="38" a="1"/>
  <c r="A130" i="38"/>
  <c r="M128" i="38"/>
  <c r="M127" i="38"/>
  <c r="M126" i="38"/>
  <c r="M125" i="38"/>
  <c r="M124" i="38"/>
  <c r="M123" i="38"/>
  <c r="M122" i="38"/>
  <c r="M121" i="38"/>
  <c r="A121" i="38" a="1"/>
  <c r="A122" i="38"/>
  <c r="M119" i="38"/>
  <c r="M118" i="38"/>
  <c r="M117" i="38"/>
  <c r="M116" i="38"/>
  <c r="M115" i="38"/>
  <c r="M114" i="38"/>
  <c r="M113" i="38"/>
  <c r="M112" i="38"/>
  <c r="A112" i="38" a="1"/>
  <c r="M110" i="38"/>
  <c r="M109" i="38"/>
  <c r="M108" i="38"/>
  <c r="M107" i="38"/>
  <c r="M106" i="38"/>
  <c r="M105" i="38"/>
  <c r="M104" i="38"/>
  <c r="M103" i="38"/>
  <c r="A103" i="38" a="1"/>
  <c r="A106" i="38"/>
  <c r="M101" i="38"/>
  <c r="M100" i="38"/>
  <c r="M99" i="38"/>
  <c r="M98" i="38"/>
  <c r="M97" i="38"/>
  <c r="M96" i="38"/>
  <c r="M95" i="38"/>
  <c r="M94" i="38"/>
  <c r="A94" i="38" a="1"/>
  <c r="M92" i="38"/>
  <c r="M91" i="38"/>
  <c r="M90" i="38"/>
  <c r="M89" i="38"/>
  <c r="M88" i="38"/>
  <c r="M87" i="38"/>
  <c r="M86" i="38"/>
  <c r="M85" i="38"/>
  <c r="A85" i="38" a="1"/>
  <c r="M83" i="38"/>
  <c r="M82" i="38"/>
  <c r="M81" i="38"/>
  <c r="M80" i="38"/>
  <c r="M79" i="38"/>
  <c r="M78" i="38"/>
  <c r="M77" i="38"/>
  <c r="M76" i="38"/>
  <c r="A76" i="38" a="1"/>
  <c r="A79" i="38"/>
  <c r="M74" i="38"/>
  <c r="M73" i="38"/>
  <c r="M72" i="38"/>
  <c r="M71" i="38"/>
  <c r="M70" i="38"/>
  <c r="M69" i="38"/>
  <c r="M68" i="38"/>
  <c r="M67" i="38"/>
  <c r="A67" i="38" a="1"/>
  <c r="A70" i="38"/>
  <c r="M65" i="38"/>
  <c r="M64" i="38"/>
  <c r="M63" i="38"/>
  <c r="M62" i="38"/>
  <c r="M61" i="38"/>
  <c r="M60" i="38"/>
  <c r="M59" i="38"/>
  <c r="M58" i="38"/>
  <c r="A58" i="38" a="1"/>
  <c r="A64" i="38"/>
  <c r="M56" i="38"/>
  <c r="M55" i="38"/>
  <c r="M54" i="38"/>
  <c r="M53" i="38"/>
  <c r="M52" i="38"/>
  <c r="M51" i="38"/>
  <c r="M50" i="38"/>
  <c r="M49" i="38"/>
  <c r="A49" i="38" a="1"/>
  <c r="B46" i="38" a="1"/>
  <c r="C28" i="6" a="1"/>
  <c r="C29" i="6"/>
  <c r="D29" i="6" a="1"/>
  <c r="D29" i="6"/>
  <c r="L28" i="6"/>
  <c r="B41" i="38" a="1"/>
  <c r="A31" i="38" a="1"/>
  <c r="E29" i="38"/>
  <c r="E26" i="38"/>
  <c r="D26" i="38"/>
  <c r="C26" i="38"/>
  <c r="B26" i="38"/>
  <c r="A18" i="38" a="1"/>
  <c r="E16" i="38"/>
  <c r="E13" i="38"/>
  <c r="D13" i="38"/>
  <c r="C13" i="38"/>
  <c r="B13" i="38"/>
  <c r="A5" i="38" a="1"/>
  <c r="A5" i="38"/>
  <c r="E3" i="38"/>
  <c r="A2" i="38"/>
  <c r="A1" i="38"/>
  <c r="N90" i="4"/>
  <c r="N118" i="29"/>
  <c r="N117" i="29"/>
  <c r="N116" i="29"/>
  <c r="N118" i="4"/>
  <c r="N117" i="4"/>
  <c r="N116" i="4"/>
  <c r="L4" i="1"/>
  <c r="I89" i="31"/>
  <c r="H89" i="31"/>
  <c r="G89" i="31"/>
  <c r="F89" i="31"/>
  <c r="I88" i="31"/>
  <c r="H88" i="31"/>
  <c r="G88" i="31"/>
  <c r="F88" i="31"/>
  <c r="I87" i="31"/>
  <c r="H87" i="31"/>
  <c r="G87" i="31"/>
  <c r="F87" i="31"/>
  <c r="I86" i="31"/>
  <c r="H86" i="31"/>
  <c r="G86" i="31"/>
  <c r="F86" i="31"/>
  <c r="I85" i="31"/>
  <c r="H85" i="31"/>
  <c r="G85" i="31"/>
  <c r="F85" i="31"/>
  <c r="I84" i="31"/>
  <c r="H84" i="31"/>
  <c r="F84" i="31"/>
  <c r="I83" i="31"/>
  <c r="G83" i="31"/>
  <c r="F83" i="31"/>
  <c r="I82" i="31"/>
  <c r="H82" i="31"/>
  <c r="G82" i="31"/>
  <c r="F82" i="31"/>
  <c r="D89" i="31"/>
  <c r="C89" i="31"/>
  <c r="B89" i="31"/>
  <c r="D88" i="31"/>
  <c r="C88" i="31"/>
  <c r="B88" i="31"/>
  <c r="D87" i="31"/>
  <c r="C87" i="31"/>
  <c r="B87" i="31"/>
  <c r="D86" i="31"/>
  <c r="C86" i="31"/>
  <c r="B86" i="31"/>
  <c r="D85" i="31"/>
  <c r="C85" i="31"/>
  <c r="B85" i="31"/>
  <c r="D84" i="31"/>
  <c r="C84" i="31"/>
  <c r="B84" i="31"/>
  <c r="B83" i="31"/>
  <c r="D82" i="31"/>
  <c r="C82" i="31"/>
  <c r="B82" i="31"/>
  <c r="I76" i="31"/>
  <c r="H76" i="31"/>
  <c r="G76" i="31"/>
  <c r="F76" i="31"/>
  <c r="I75" i="31"/>
  <c r="H75" i="31"/>
  <c r="G75" i="31"/>
  <c r="F75" i="31"/>
  <c r="I74" i="31"/>
  <c r="H74" i="31"/>
  <c r="G74" i="31"/>
  <c r="F74" i="31"/>
  <c r="I73" i="31"/>
  <c r="H73" i="31"/>
  <c r="G73" i="31"/>
  <c r="F73" i="31"/>
  <c r="I72" i="31"/>
  <c r="H72" i="31"/>
  <c r="F72" i="31"/>
  <c r="I71" i="31"/>
  <c r="H71" i="31"/>
  <c r="G71" i="31"/>
  <c r="I70" i="31"/>
  <c r="H70" i="31"/>
  <c r="G70" i="31"/>
  <c r="F70" i="31"/>
  <c r="I69" i="31"/>
  <c r="G69" i="31"/>
  <c r="F69" i="31"/>
  <c r="D76" i="31"/>
  <c r="C76" i="31"/>
  <c r="B76" i="31"/>
  <c r="D75" i="31"/>
  <c r="C75" i="31"/>
  <c r="B75" i="31"/>
  <c r="D74" i="31"/>
  <c r="C74" i="31"/>
  <c r="B74" i="31"/>
  <c r="D73" i="31"/>
  <c r="C73" i="31"/>
  <c r="D72" i="31"/>
  <c r="C72" i="31"/>
  <c r="B72" i="31"/>
  <c r="D71" i="31"/>
  <c r="C71" i="31"/>
  <c r="B71" i="31"/>
  <c r="D70" i="31"/>
  <c r="C70" i="31"/>
  <c r="D69" i="31"/>
  <c r="C69" i="31"/>
  <c r="B69" i="31"/>
  <c r="I63" i="31"/>
  <c r="H63" i="31"/>
  <c r="G63" i="31"/>
  <c r="F63" i="31"/>
  <c r="I62" i="31"/>
  <c r="H62" i="31"/>
  <c r="G62" i="31"/>
  <c r="F62" i="31"/>
  <c r="I61" i="31"/>
  <c r="H61" i="31"/>
  <c r="G61" i="31"/>
  <c r="F61" i="31"/>
  <c r="I60" i="31"/>
  <c r="H60" i="31"/>
  <c r="G60" i="31"/>
  <c r="F60" i="31"/>
  <c r="I59" i="31"/>
  <c r="H59" i="31"/>
  <c r="G59" i="31"/>
  <c r="F59" i="31"/>
  <c r="I58" i="31"/>
  <c r="H58" i="31"/>
  <c r="G58" i="31"/>
  <c r="F58" i="31"/>
  <c r="I57" i="31"/>
  <c r="H57" i="31"/>
  <c r="F57" i="31"/>
  <c r="I56" i="31"/>
  <c r="G56" i="31"/>
  <c r="C63" i="31"/>
  <c r="B63" i="31"/>
  <c r="D62" i="31"/>
  <c r="C62" i="31"/>
  <c r="B62" i="31"/>
  <c r="D61" i="31"/>
  <c r="C61" i="31"/>
  <c r="B61" i="31"/>
  <c r="D60" i="31"/>
  <c r="C60" i="31"/>
  <c r="B60" i="31"/>
  <c r="D59" i="31"/>
  <c r="C59" i="31"/>
  <c r="B59" i="31"/>
  <c r="D58" i="31"/>
  <c r="B58" i="31"/>
  <c r="D57" i="31"/>
  <c r="C57" i="31"/>
  <c r="B57" i="31"/>
  <c r="D56" i="31"/>
  <c r="C56" i="31"/>
  <c r="B56" i="31"/>
  <c r="B3" i="27"/>
  <c r="B237" i="1" a="1"/>
  <c r="A237" i="1" a="1"/>
  <c r="B228" i="1" a="1"/>
  <c r="B219" i="1" a="1"/>
  <c r="B210" i="1" a="1"/>
  <c r="C209" i="1" a="1"/>
  <c r="K209" i="1"/>
  <c r="B152" i="1" a="1"/>
  <c r="B143" i="1" a="1"/>
  <c r="C142" i="1" a="1"/>
  <c r="D141" i="1" a="1"/>
  <c r="C141" i="1"/>
  <c r="A409" i="34" a="1"/>
  <c r="A409" i="30" a="1"/>
  <c r="A416" i="30"/>
  <c r="A409" i="6" a="1"/>
  <c r="A139" i="34" a="1"/>
  <c r="A130" i="34" a="1"/>
  <c r="A139" i="30" a="1"/>
  <c r="A130" i="30" a="1"/>
  <c r="A139" i="6" a="1"/>
  <c r="A130" i="6" a="1"/>
  <c r="A132" i="37" a="1"/>
  <c r="A132" i="35" a="1"/>
  <c r="A139" i="35"/>
  <c r="A132" i="7" a="1"/>
  <c r="A697" i="39" a="1"/>
  <c r="A687" i="39" a="1"/>
  <c r="A694" i="39"/>
  <c r="A677" i="39" a="1"/>
  <c r="A668" i="39" a="1"/>
  <c r="A675" i="39"/>
  <c r="A659" i="39" a="1"/>
  <c r="A650" i="39" a="1"/>
  <c r="A654" i="39"/>
  <c r="A641" i="39" a="1"/>
  <c r="A648" i="39"/>
  <c r="A632" i="39" a="1"/>
  <c r="A623" i="39" a="1"/>
  <c r="A627" i="39"/>
  <c r="A614" i="39" a="1"/>
  <c r="A620" i="39"/>
  <c r="A605" i="39" a="1"/>
  <c r="A596" i="39" a="1"/>
  <c r="A587" i="39" a="1"/>
  <c r="A594" i="39"/>
  <c r="A578" i="39" a="1"/>
  <c r="A569" i="39" a="1"/>
  <c r="A570" i="39"/>
  <c r="A560" i="39" a="1"/>
  <c r="A551" i="39" a="1"/>
  <c r="A542" i="39" a="1"/>
  <c r="A533" i="39" a="1"/>
  <c r="A524" i="39" a="1"/>
  <c r="A515" i="39" a="1"/>
  <c r="A506" i="39" a="1"/>
  <c r="A512" i="39"/>
  <c r="A497" i="39" a="1"/>
  <c r="A503" i="39"/>
  <c r="M495" i="39"/>
  <c r="M494" i="39"/>
  <c r="M493" i="39"/>
  <c r="M492" i="39"/>
  <c r="M491" i="39"/>
  <c r="M490" i="39"/>
  <c r="M489" i="39"/>
  <c r="M488" i="39"/>
  <c r="A488" i="39" a="1"/>
  <c r="A489" i="39"/>
  <c r="M486" i="39"/>
  <c r="M485" i="39"/>
  <c r="M484" i="39"/>
  <c r="M483" i="39"/>
  <c r="M482" i="39"/>
  <c r="M481" i="39"/>
  <c r="M480" i="39"/>
  <c r="M479" i="39"/>
  <c r="A479" i="39" a="1"/>
  <c r="A483" i="39"/>
  <c r="M477" i="39"/>
  <c r="M476" i="39"/>
  <c r="M475" i="39"/>
  <c r="M474" i="39"/>
  <c r="M473" i="39"/>
  <c r="M472" i="39"/>
  <c r="M471" i="39"/>
  <c r="M470" i="39"/>
  <c r="A470" i="39" a="1"/>
  <c r="A474" i="39"/>
  <c r="M468" i="39"/>
  <c r="M467" i="39"/>
  <c r="M466" i="39"/>
  <c r="M465" i="39"/>
  <c r="M464" i="39"/>
  <c r="M463" i="39"/>
  <c r="M462" i="39"/>
  <c r="M461" i="39"/>
  <c r="A461" i="39" a="1"/>
  <c r="A468" i="39"/>
  <c r="A452" i="39" a="1"/>
  <c r="A457" i="39"/>
  <c r="A443" i="39" a="1"/>
  <c r="A434" i="39" a="1"/>
  <c r="A425" i="39" a="1"/>
  <c r="M423" i="39"/>
  <c r="M422" i="39"/>
  <c r="M421" i="39"/>
  <c r="M420" i="39"/>
  <c r="M419" i="39"/>
  <c r="M418" i="39"/>
  <c r="M417" i="39"/>
  <c r="M416" i="39"/>
  <c r="A416" i="39" a="1"/>
  <c r="A416" i="39"/>
  <c r="M414" i="39"/>
  <c r="M413" i="39"/>
  <c r="M412" i="39"/>
  <c r="M411" i="39"/>
  <c r="M410" i="39"/>
  <c r="M409" i="39"/>
  <c r="M408" i="39"/>
  <c r="M407" i="39"/>
  <c r="A407" i="39" a="1"/>
  <c r="M405" i="39"/>
  <c r="M404" i="39"/>
  <c r="M403" i="39"/>
  <c r="M402" i="39"/>
  <c r="M401" i="39"/>
  <c r="M400" i="39"/>
  <c r="M399" i="39"/>
  <c r="M398" i="39"/>
  <c r="A398" i="39" a="1"/>
  <c r="M396" i="39"/>
  <c r="M395" i="39"/>
  <c r="M394" i="39"/>
  <c r="M393" i="39"/>
  <c r="M392" i="39"/>
  <c r="M391" i="39"/>
  <c r="M390" i="39"/>
  <c r="M389" i="39"/>
  <c r="A389" i="39" a="1"/>
  <c r="A392" i="39"/>
  <c r="A380" i="39" a="1"/>
  <c r="A382" i="39"/>
  <c r="A371" i="39" a="1"/>
  <c r="A362" i="39" a="1"/>
  <c r="A362" i="39"/>
  <c r="A353" i="39" a="1"/>
  <c r="A360" i="39"/>
  <c r="M351" i="39"/>
  <c r="M350" i="39"/>
  <c r="M349" i="39"/>
  <c r="M348" i="39"/>
  <c r="M347" i="39"/>
  <c r="M346" i="39"/>
  <c r="M345" i="39"/>
  <c r="M344" i="39"/>
  <c r="A344" i="39" a="1"/>
  <c r="M342" i="39"/>
  <c r="M341" i="39"/>
  <c r="M340" i="39"/>
  <c r="M339" i="39"/>
  <c r="M338" i="39"/>
  <c r="M337" i="39"/>
  <c r="M336" i="39"/>
  <c r="M335" i="39"/>
  <c r="A335" i="39" a="1"/>
  <c r="A335" i="39"/>
  <c r="M333" i="39"/>
  <c r="M332" i="39"/>
  <c r="M331" i="39"/>
  <c r="M330" i="39"/>
  <c r="M329" i="39"/>
  <c r="M328" i="39"/>
  <c r="M327" i="39"/>
  <c r="M326" i="39"/>
  <c r="A326" i="39" a="1"/>
  <c r="A329" i="39"/>
  <c r="M324" i="39"/>
  <c r="M323" i="39"/>
  <c r="M322" i="39"/>
  <c r="M321" i="39"/>
  <c r="M320" i="39"/>
  <c r="M319" i="39"/>
  <c r="M318" i="39"/>
  <c r="M317" i="39"/>
  <c r="A317" i="39" a="1"/>
  <c r="M315" i="39"/>
  <c r="M314" i="39"/>
  <c r="M313" i="39"/>
  <c r="M312" i="39"/>
  <c r="M311" i="39"/>
  <c r="M310" i="39"/>
  <c r="M309" i="39"/>
  <c r="M308" i="39"/>
  <c r="A308" i="39" a="1"/>
  <c r="M306" i="39"/>
  <c r="M305" i="39"/>
  <c r="M304" i="39"/>
  <c r="M303" i="39"/>
  <c r="M302" i="39"/>
  <c r="M301" i="39"/>
  <c r="M300" i="39"/>
  <c r="M299" i="39"/>
  <c r="A299" i="39" a="1"/>
  <c r="A302" i="39"/>
  <c r="M297" i="39"/>
  <c r="M296" i="39"/>
  <c r="M295" i="39"/>
  <c r="M294" i="39"/>
  <c r="M293" i="39"/>
  <c r="M292" i="39"/>
  <c r="M291" i="39"/>
  <c r="M290" i="39"/>
  <c r="A290" i="39" a="1"/>
  <c r="M288" i="39"/>
  <c r="M287" i="39"/>
  <c r="M286" i="39"/>
  <c r="M285" i="39"/>
  <c r="M284" i="39"/>
  <c r="M283" i="39"/>
  <c r="M282" i="39"/>
  <c r="M281" i="39"/>
  <c r="A281" i="39" a="1"/>
  <c r="M279" i="39"/>
  <c r="M278" i="39"/>
  <c r="M277" i="39"/>
  <c r="M276" i="39"/>
  <c r="M275" i="39"/>
  <c r="M274" i="39"/>
  <c r="M273" i="39"/>
  <c r="M272" i="39"/>
  <c r="A272" i="39" a="1"/>
  <c r="A273" i="39"/>
  <c r="M270" i="39"/>
  <c r="M269" i="39"/>
  <c r="M268" i="39"/>
  <c r="M267" i="39"/>
  <c r="M266" i="39"/>
  <c r="M265" i="39"/>
  <c r="M264" i="39"/>
  <c r="M263" i="39"/>
  <c r="A263" i="39" a="1"/>
  <c r="A263" i="39"/>
  <c r="M261" i="39"/>
  <c r="M260" i="39"/>
  <c r="M259" i="39"/>
  <c r="M258" i="39"/>
  <c r="M257" i="39"/>
  <c r="M256" i="39"/>
  <c r="M255" i="39"/>
  <c r="M254" i="39"/>
  <c r="A254" i="39" a="1"/>
  <c r="A258" i="39"/>
  <c r="M252" i="39"/>
  <c r="M251" i="39"/>
  <c r="M250" i="39"/>
  <c r="M249" i="39"/>
  <c r="M248" i="39"/>
  <c r="M247" i="39"/>
  <c r="M246" i="39"/>
  <c r="M245" i="39"/>
  <c r="A245" i="39" a="1"/>
  <c r="M243" i="39"/>
  <c r="A243" i="39"/>
  <c r="M242" i="39"/>
  <c r="M241" i="39"/>
  <c r="M240" i="39"/>
  <c r="A238" i="39"/>
  <c r="A224" i="39" a="1"/>
  <c r="A231" i="39"/>
  <c r="A215" i="39" a="1"/>
  <c r="A216" i="39"/>
  <c r="A206" i="39" a="1"/>
  <c r="A197" i="39" a="1"/>
  <c r="A198" i="39"/>
  <c r="M195" i="39"/>
  <c r="M194" i="39"/>
  <c r="M193" i="39"/>
  <c r="M192" i="39"/>
  <c r="M191" i="39"/>
  <c r="M190" i="39"/>
  <c r="M189" i="39"/>
  <c r="M188" i="39"/>
  <c r="M187" i="39"/>
  <c r="A187" i="39" a="1"/>
  <c r="M185" i="39"/>
  <c r="M184" i="39"/>
  <c r="M183" i="39"/>
  <c r="M182" i="39"/>
  <c r="M181" i="39"/>
  <c r="M180" i="39"/>
  <c r="M179" i="39"/>
  <c r="M178" i="39"/>
  <c r="M177" i="39"/>
  <c r="A177" i="39" a="1"/>
  <c r="M175" i="39"/>
  <c r="M174" i="39"/>
  <c r="M173" i="39"/>
  <c r="M172" i="39"/>
  <c r="M171" i="39"/>
  <c r="M170" i="39"/>
  <c r="M169" i="39"/>
  <c r="M168" i="39"/>
  <c r="M167" i="39"/>
  <c r="A167" i="39" a="1"/>
  <c r="A169" i="39"/>
  <c r="M165" i="39"/>
  <c r="M164" i="39"/>
  <c r="M163" i="39"/>
  <c r="M162" i="39"/>
  <c r="M161" i="39"/>
  <c r="M160" i="39"/>
  <c r="M159" i="39"/>
  <c r="M158" i="39"/>
  <c r="M157" i="39"/>
  <c r="A157" i="39" a="1"/>
  <c r="A160" i="39"/>
  <c r="M155" i="39"/>
  <c r="M154" i="39"/>
  <c r="M153" i="39"/>
  <c r="M152" i="39"/>
  <c r="M151" i="39"/>
  <c r="M150" i="39"/>
  <c r="M149" i="39"/>
  <c r="M148" i="39"/>
  <c r="A148" i="39" a="1"/>
  <c r="A150" i="39"/>
  <c r="M146" i="39"/>
  <c r="M145" i="39"/>
  <c r="M144" i="39"/>
  <c r="M143" i="39"/>
  <c r="M142" i="39"/>
  <c r="M141" i="39"/>
  <c r="M140" i="39"/>
  <c r="M139" i="39"/>
  <c r="A139" i="39" a="1"/>
  <c r="M137" i="39"/>
  <c r="M136" i="39"/>
  <c r="M135" i="39"/>
  <c r="M134" i="39"/>
  <c r="M133" i="39"/>
  <c r="M132" i="39"/>
  <c r="M131" i="39"/>
  <c r="M130" i="39"/>
  <c r="A130" i="39" a="1"/>
  <c r="M128" i="39"/>
  <c r="M127" i="39"/>
  <c r="M126" i="39"/>
  <c r="M125" i="39"/>
  <c r="M124" i="39"/>
  <c r="M123" i="39"/>
  <c r="M122" i="39"/>
  <c r="M121" i="39"/>
  <c r="A121" i="39" a="1"/>
  <c r="A125" i="39"/>
  <c r="M119" i="39"/>
  <c r="M118" i="39"/>
  <c r="M117" i="39"/>
  <c r="M116" i="39"/>
  <c r="M115" i="39"/>
  <c r="M114" i="39"/>
  <c r="M113" i="39"/>
  <c r="M112" i="39"/>
  <c r="A112" i="39" a="1"/>
  <c r="A119" i="39"/>
  <c r="M110" i="39"/>
  <c r="M109" i="39"/>
  <c r="M108" i="39"/>
  <c r="M107" i="39"/>
  <c r="M106" i="39"/>
  <c r="M105" i="39"/>
  <c r="M104" i="39"/>
  <c r="M103" i="39"/>
  <c r="A103" i="39" a="1"/>
  <c r="M101" i="39"/>
  <c r="M100" i="39"/>
  <c r="M99" i="39"/>
  <c r="M98" i="39"/>
  <c r="M97" i="39"/>
  <c r="M96" i="39"/>
  <c r="M95" i="39"/>
  <c r="M94" i="39"/>
  <c r="A94" i="39" a="1"/>
  <c r="A100" i="39"/>
  <c r="M92" i="39"/>
  <c r="M91" i="39"/>
  <c r="M90" i="39"/>
  <c r="M89" i="39"/>
  <c r="M88" i="39"/>
  <c r="M87" i="39"/>
  <c r="M86" i="39"/>
  <c r="M85" i="39"/>
  <c r="A85" i="39" a="1"/>
  <c r="M83" i="39"/>
  <c r="M82" i="39"/>
  <c r="M81" i="39"/>
  <c r="M80" i="39"/>
  <c r="M79" i="39"/>
  <c r="M78" i="39"/>
  <c r="M77" i="39"/>
  <c r="M76" i="39"/>
  <c r="A76" i="39" a="1"/>
  <c r="M74" i="39"/>
  <c r="M73" i="39"/>
  <c r="M72" i="39"/>
  <c r="M71" i="39"/>
  <c r="M70" i="39"/>
  <c r="M69" i="39"/>
  <c r="M68" i="39"/>
  <c r="M67" i="39"/>
  <c r="A67" i="39" a="1"/>
  <c r="A68" i="39"/>
  <c r="M65" i="39"/>
  <c r="M64" i="39"/>
  <c r="M63" i="39"/>
  <c r="M62" i="39"/>
  <c r="M61" i="39"/>
  <c r="M60" i="39"/>
  <c r="M59" i="39"/>
  <c r="M58" i="39"/>
  <c r="A58" i="39" a="1"/>
  <c r="M56" i="39"/>
  <c r="M55" i="39"/>
  <c r="M54" i="39"/>
  <c r="M53" i="39"/>
  <c r="M52" i="39"/>
  <c r="M51" i="39"/>
  <c r="M50" i="39"/>
  <c r="M49" i="39"/>
  <c r="A49" i="39" a="1"/>
  <c r="A56" i="39"/>
  <c r="B41" i="39" a="1"/>
  <c r="A31" i="39" a="1"/>
  <c r="A32" i="39"/>
  <c r="E29" i="39"/>
  <c r="E26" i="39"/>
  <c r="D26" i="39"/>
  <c r="C26" i="39"/>
  <c r="B26" i="39"/>
  <c r="A18" i="39" a="1"/>
  <c r="A24" i="39"/>
  <c r="E16" i="39"/>
  <c r="E13" i="39"/>
  <c r="D13" i="39"/>
  <c r="C13" i="39"/>
  <c r="B13" i="39"/>
  <c r="A5" i="39" a="1"/>
  <c r="A6" i="39"/>
  <c r="E3" i="39"/>
  <c r="A2" i="39"/>
  <c r="A1" i="39"/>
  <c r="A170" i="37" a="1"/>
  <c r="A160" i="37" a="1"/>
  <c r="A150" i="37" a="1"/>
  <c r="A152" i="37"/>
  <c r="A141" i="37" a="1"/>
  <c r="A122" i="37" a="1"/>
  <c r="A123" i="37"/>
  <c r="A112" i="37" a="1"/>
  <c r="A110" i="37"/>
  <c r="A102" i="37" a="1"/>
  <c r="A106" i="37"/>
  <c r="A100" i="37"/>
  <c r="A92" i="37" a="1"/>
  <c r="A90" i="37"/>
  <c r="A82" i="37" a="1"/>
  <c r="A80" i="37"/>
  <c r="A72" i="37" a="1"/>
  <c r="A70" i="37"/>
  <c r="A62" i="37" a="1"/>
  <c r="A60" i="37"/>
  <c r="A52" i="37" a="1"/>
  <c r="A42" i="37" a="1"/>
  <c r="A32" i="37" a="1"/>
  <c r="A22" i="37" a="1"/>
  <c r="A25" i="37"/>
  <c r="B15" i="37" a="1"/>
  <c r="G13" i="37"/>
  <c r="F13" i="37"/>
  <c r="E13" i="37"/>
  <c r="D13" i="37"/>
  <c r="C13" i="37"/>
  <c r="B13" i="37"/>
  <c r="A5" i="37" a="1"/>
  <c r="G2" i="37"/>
  <c r="F2" i="37"/>
  <c r="E2" i="37"/>
  <c r="D2" i="37"/>
  <c r="A1" i="37"/>
  <c r="A170" i="35" a="1"/>
  <c r="A176" i="35"/>
  <c r="A160" i="35" a="1"/>
  <c r="A150" i="35" a="1"/>
  <c r="A152" i="35"/>
  <c r="A141" i="35" a="1"/>
  <c r="A122" i="35" a="1"/>
  <c r="A112" i="35" a="1"/>
  <c r="A110" i="35"/>
  <c r="A102" i="35" a="1"/>
  <c r="A100" i="35"/>
  <c r="A92" i="35" a="1"/>
  <c r="A90" i="35"/>
  <c r="A82" i="35" a="1"/>
  <c r="A80" i="35"/>
  <c r="A72" i="35" a="1"/>
  <c r="A70" i="35"/>
  <c r="A62" i="35" a="1"/>
  <c r="A62" i="35"/>
  <c r="A60" i="35"/>
  <c r="A52" i="35" a="1"/>
  <c r="A42" i="35" a="1"/>
  <c r="A49" i="35"/>
  <c r="A32" i="35" a="1"/>
  <c r="A36" i="35"/>
  <c r="A22" i="35" a="1"/>
  <c r="A26" i="35"/>
  <c r="B15" i="35" a="1"/>
  <c r="G13" i="35"/>
  <c r="F13" i="35"/>
  <c r="E13" i="35"/>
  <c r="D13" i="35"/>
  <c r="C13" i="35"/>
  <c r="B13" i="35"/>
  <c r="A5" i="35" a="1"/>
  <c r="G2" i="35"/>
  <c r="F2" i="35"/>
  <c r="E2" i="35"/>
  <c r="D2" i="35"/>
  <c r="A1" i="35"/>
  <c r="A650" i="8" a="1"/>
  <c r="A641" i="8" a="1"/>
  <c r="A646" i="8"/>
  <c r="A687" i="8" a="1"/>
  <c r="A677" i="8" a="1"/>
  <c r="A668" i="8" a="1"/>
  <c r="A675" i="8"/>
  <c r="A659" i="8" a="1"/>
  <c r="A663" i="8"/>
  <c r="B3" i="9" a="1"/>
  <c r="J3" i="9"/>
  <c r="K3" i="9"/>
  <c r="A1" i="9"/>
  <c r="A170" i="7" a="1"/>
  <c r="A174" i="7"/>
  <c r="A160" i="7" a="1"/>
  <c r="A165" i="7"/>
  <c r="A150" i="7" a="1"/>
  <c r="A122" i="7" a="1"/>
  <c r="A141" i="7" a="1"/>
  <c r="A141" i="7"/>
  <c r="A112" i="7" a="1"/>
  <c r="A110" i="7"/>
  <c r="A102" i="7" a="1"/>
  <c r="A80" i="7"/>
  <c r="A72" i="7" a="1"/>
  <c r="A42" i="7" a="1"/>
  <c r="A100" i="7"/>
  <c r="A92" i="7" a="1"/>
  <c r="A99" i="7"/>
  <c r="A90" i="7"/>
  <c r="A82" i="7" a="1"/>
  <c r="A70" i="7"/>
  <c r="A62" i="7" a="1"/>
  <c r="A60" i="7"/>
  <c r="A52" i="7" a="1"/>
  <c r="A32" i="7" a="1"/>
  <c r="A22" i="7" a="1"/>
  <c r="B15" i="7" a="1"/>
  <c r="A5" i="7" a="1"/>
  <c r="G2" i="7"/>
  <c r="F2" i="7"/>
  <c r="E2" i="7"/>
  <c r="D2" i="7"/>
  <c r="B116" i="2"/>
  <c r="B115" i="2"/>
  <c r="A1" i="8"/>
  <c r="A1" i="7"/>
  <c r="A1" i="34"/>
  <c r="A1" i="30"/>
  <c r="A1" i="6"/>
  <c r="A697" i="8" a="1"/>
  <c r="A632" i="8" a="1"/>
  <c r="A637" i="8"/>
  <c r="A623" i="8" a="1"/>
  <c r="A614" i="8" a="1"/>
  <c r="A614" i="8"/>
  <c r="A605" i="8" a="1"/>
  <c r="A596" i="8" a="1"/>
  <c r="A598" i="8"/>
  <c r="A587" i="8" a="1"/>
  <c r="A578" i="8" a="1"/>
  <c r="A569" i="8" a="1"/>
  <c r="A570" i="8"/>
  <c r="A560" i="8" a="1"/>
  <c r="A561" i="8"/>
  <c r="A551" i="8" a="1"/>
  <c r="A554" i="8"/>
  <c r="A542" i="8" a="1"/>
  <c r="A533" i="8" a="1"/>
  <c r="A524" i="8" a="1"/>
  <c r="A515" i="8" a="1"/>
  <c r="A519" i="8"/>
  <c r="A506" i="8" a="1"/>
  <c r="A497" i="8" a="1"/>
  <c r="M495" i="8"/>
  <c r="M494" i="8"/>
  <c r="M493" i="8"/>
  <c r="M492" i="8"/>
  <c r="M491" i="8"/>
  <c r="M490" i="8"/>
  <c r="M489" i="8"/>
  <c r="M488" i="8"/>
  <c r="A488" i="8" a="1"/>
  <c r="A490" i="8"/>
  <c r="M486" i="8"/>
  <c r="M485" i="8"/>
  <c r="M484" i="8"/>
  <c r="M483" i="8"/>
  <c r="M482" i="8"/>
  <c r="M481" i="8"/>
  <c r="M480" i="8"/>
  <c r="M479" i="8"/>
  <c r="A479" i="8" a="1"/>
  <c r="M477" i="8"/>
  <c r="M476" i="8"/>
  <c r="M475" i="8"/>
  <c r="M474" i="8"/>
  <c r="M473" i="8"/>
  <c r="M472" i="8"/>
  <c r="M471" i="8"/>
  <c r="M470" i="8"/>
  <c r="A470" i="8" a="1"/>
  <c r="M468" i="8"/>
  <c r="M467" i="8"/>
  <c r="M466" i="8"/>
  <c r="M465" i="8"/>
  <c r="M464" i="8"/>
  <c r="M463" i="8"/>
  <c r="M462" i="8"/>
  <c r="M461" i="8"/>
  <c r="A461" i="8" a="1"/>
  <c r="A465" i="8"/>
  <c r="A452" i="8" a="1"/>
  <c r="A443" i="8" a="1"/>
  <c r="A444" i="8"/>
  <c r="A434" i="8" a="1"/>
  <c r="A425" i="8" a="1"/>
  <c r="M423" i="8"/>
  <c r="M422" i="8"/>
  <c r="M421" i="8"/>
  <c r="M420" i="8"/>
  <c r="M419" i="8"/>
  <c r="M418" i="8"/>
  <c r="M417" i="8"/>
  <c r="M416" i="8"/>
  <c r="M414" i="8"/>
  <c r="M413" i="8"/>
  <c r="M412" i="8"/>
  <c r="M411" i="8"/>
  <c r="M410" i="8"/>
  <c r="M409" i="8"/>
  <c r="M408" i="8"/>
  <c r="M407" i="8"/>
  <c r="M405" i="8"/>
  <c r="M404" i="8"/>
  <c r="M403" i="8"/>
  <c r="M402" i="8"/>
  <c r="M401" i="8"/>
  <c r="M400" i="8"/>
  <c r="M399" i="8"/>
  <c r="M398" i="8"/>
  <c r="M396" i="8"/>
  <c r="M395" i="8"/>
  <c r="M394" i="8"/>
  <c r="M393" i="8"/>
  <c r="M392" i="8"/>
  <c r="M391" i="8"/>
  <c r="M390" i="8"/>
  <c r="M389" i="8"/>
  <c r="A416" i="8" a="1"/>
  <c r="A407" i="8" a="1"/>
  <c r="A398" i="8" a="1"/>
  <c r="A389" i="8" a="1"/>
  <c r="A362" i="8" a="1"/>
  <c r="A380" i="8" a="1"/>
  <c r="A371" i="8" a="1"/>
  <c r="A353" i="8" a="1"/>
  <c r="M243" i="8"/>
  <c r="M242" i="8"/>
  <c r="M241" i="8"/>
  <c r="M240" i="8"/>
  <c r="A243" i="8"/>
  <c r="M351" i="8"/>
  <c r="M350" i="8"/>
  <c r="M349" i="8"/>
  <c r="M348" i="8"/>
  <c r="M347" i="8"/>
  <c r="M346" i="8"/>
  <c r="M345" i="8"/>
  <c r="M344" i="8"/>
  <c r="A344" i="8" a="1"/>
  <c r="M342" i="8"/>
  <c r="M341" i="8"/>
  <c r="M340" i="8"/>
  <c r="M339" i="8"/>
  <c r="M338" i="8"/>
  <c r="M337" i="8"/>
  <c r="M336" i="8"/>
  <c r="M335" i="8"/>
  <c r="A335" i="8" a="1"/>
  <c r="M333" i="8"/>
  <c r="M332" i="8"/>
  <c r="M331" i="8"/>
  <c r="M330" i="8"/>
  <c r="M329" i="8"/>
  <c r="M328" i="8"/>
  <c r="M327" i="8"/>
  <c r="M326" i="8"/>
  <c r="A326" i="8" a="1"/>
  <c r="M324" i="8"/>
  <c r="M323" i="8"/>
  <c r="M322" i="8"/>
  <c r="M321" i="8"/>
  <c r="M320" i="8"/>
  <c r="M319" i="8"/>
  <c r="M318" i="8"/>
  <c r="M317" i="8"/>
  <c r="A317" i="8" a="1"/>
  <c r="A238" i="8"/>
  <c r="B167" i="2" a="1"/>
  <c r="M315" i="8"/>
  <c r="M314" i="8"/>
  <c r="M313" i="8"/>
  <c r="M312" i="8"/>
  <c r="M311" i="8"/>
  <c r="M310" i="8"/>
  <c r="M309" i="8"/>
  <c r="M308" i="8"/>
  <c r="M306" i="8"/>
  <c r="M305" i="8"/>
  <c r="M304" i="8"/>
  <c r="M303" i="8"/>
  <c r="M302" i="8"/>
  <c r="M301" i="8"/>
  <c r="M300" i="8"/>
  <c r="M299" i="8"/>
  <c r="M297" i="8"/>
  <c r="M296" i="8"/>
  <c r="M295" i="8"/>
  <c r="M294" i="8"/>
  <c r="M293" i="8"/>
  <c r="M292" i="8"/>
  <c r="M291" i="8"/>
  <c r="M290" i="8"/>
  <c r="M288" i="8"/>
  <c r="M287" i="8"/>
  <c r="M286" i="8"/>
  <c r="M285" i="8"/>
  <c r="M284" i="8"/>
  <c r="M283" i="8"/>
  <c r="M282" i="8"/>
  <c r="M281" i="8"/>
  <c r="A308" i="8" a="1"/>
  <c r="A299" i="8" a="1"/>
  <c r="A290" i="8" a="1"/>
  <c r="A292" i="8"/>
  <c r="A281" i="8" a="1"/>
  <c r="A283" i="8"/>
  <c r="M279" i="8"/>
  <c r="M278" i="8"/>
  <c r="M277" i="8"/>
  <c r="M276" i="8"/>
  <c r="M275" i="8"/>
  <c r="M274" i="8"/>
  <c r="M273" i="8"/>
  <c r="M272" i="8"/>
  <c r="A272" i="8" a="1"/>
  <c r="A273" i="8"/>
  <c r="A276" i="8"/>
  <c r="M270" i="8"/>
  <c r="M269" i="8"/>
  <c r="M268" i="8"/>
  <c r="M267" i="8"/>
  <c r="M266" i="8"/>
  <c r="M265" i="8"/>
  <c r="M264" i="8"/>
  <c r="M263" i="8"/>
  <c r="A263" i="8" a="1"/>
  <c r="M261" i="8"/>
  <c r="M260" i="8"/>
  <c r="M259" i="8"/>
  <c r="M258" i="8"/>
  <c r="M257" i="8"/>
  <c r="M256" i="8"/>
  <c r="M255" i="8"/>
  <c r="M254" i="8"/>
  <c r="A254" i="8" a="1"/>
  <c r="M252" i="8"/>
  <c r="M251" i="8"/>
  <c r="M250" i="8"/>
  <c r="M249" i="8"/>
  <c r="M248" i="8"/>
  <c r="M247" i="8"/>
  <c r="M246" i="8"/>
  <c r="M245" i="8"/>
  <c r="A245" i="8" a="1"/>
  <c r="A224" i="8" a="1"/>
  <c r="A226" i="8"/>
  <c r="A215" i="8" a="1"/>
  <c r="A206" i="8" a="1"/>
  <c r="A197" i="8" a="1"/>
  <c r="A199" i="8"/>
  <c r="M195" i="8"/>
  <c r="M185" i="8"/>
  <c r="M175" i="8"/>
  <c r="M165" i="8"/>
  <c r="B187" i="8" a="1"/>
  <c r="B191" i="8"/>
  <c r="B177" i="8" a="1"/>
  <c r="B167" i="8" a="1"/>
  <c r="B171" i="8"/>
  <c r="B157" i="8" a="1"/>
  <c r="M194" i="8"/>
  <c r="M193" i="8"/>
  <c r="M192" i="8"/>
  <c r="M191" i="8"/>
  <c r="M190" i="8"/>
  <c r="M189" i="8"/>
  <c r="M188" i="8"/>
  <c r="M187" i="8"/>
  <c r="A187" i="8" a="1"/>
  <c r="A194" i="8"/>
  <c r="M184" i="8"/>
  <c r="M183" i="8"/>
  <c r="M182" i="8"/>
  <c r="M181" i="8"/>
  <c r="M180" i="8"/>
  <c r="M179" i="8"/>
  <c r="M178" i="8"/>
  <c r="M177" i="8"/>
  <c r="A177" i="8" a="1"/>
  <c r="M174" i="8"/>
  <c r="M173" i="8"/>
  <c r="M172" i="8"/>
  <c r="M171" i="8"/>
  <c r="M170" i="8"/>
  <c r="M169" i="8"/>
  <c r="M168" i="8"/>
  <c r="M167" i="8"/>
  <c r="A167" i="8" a="1"/>
  <c r="A173" i="8"/>
  <c r="M164" i="8"/>
  <c r="M163" i="8"/>
  <c r="M162" i="8"/>
  <c r="M161" i="8"/>
  <c r="M160" i="8"/>
  <c r="M159" i="8"/>
  <c r="M158" i="8"/>
  <c r="M157" i="8"/>
  <c r="A157" i="8" a="1"/>
  <c r="M155" i="8"/>
  <c r="M154" i="8"/>
  <c r="M153" i="8"/>
  <c r="M152" i="8"/>
  <c r="M151" i="8"/>
  <c r="M150" i="8"/>
  <c r="M149" i="8"/>
  <c r="M148" i="8"/>
  <c r="M146" i="8"/>
  <c r="M145" i="8"/>
  <c r="M144" i="8"/>
  <c r="M143" i="8"/>
  <c r="M142" i="8"/>
  <c r="M141" i="8"/>
  <c r="M140" i="8"/>
  <c r="M139" i="8"/>
  <c r="M137" i="8"/>
  <c r="M136" i="8"/>
  <c r="M135" i="8"/>
  <c r="M134" i="8"/>
  <c r="M133" i="8"/>
  <c r="M132" i="8"/>
  <c r="M131" i="8"/>
  <c r="M130" i="8"/>
  <c r="M128" i="8"/>
  <c r="M127" i="8"/>
  <c r="M126" i="8"/>
  <c r="M125" i="8"/>
  <c r="M124" i="8"/>
  <c r="M123" i="8"/>
  <c r="M122" i="8"/>
  <c r="M121" i="8"/>
  <c r="A148" i="8" a="1"/>
  <c r="A152" i="8"/>
  <c r="A139" i="8" a="1"/>
  <c r="A130" i="8" a="1"/>
  <c r="A121" i="8" a="1"/>
  <c r="A31" i="8" a="1"/>
  <c r="A32" i="8"/>
  <c r="E29" i="8"/>
  <c r="A2" i="8"/>
  <c r="E16" i="8"/>
  <c r="E3" i="8"/>
  <c r="A18" i="8" a="1"/>
  <c r="A5" i="8" a="1"/>
  <c r="E26" i="8"/>
  <c r="D26" i="8"/>
  <c r="C26" i="8"/>
  <c r="B26" i="8"/>
  <c r="B175" i="2" a="1"/>
  <c r="B159" i="2" a="1"/>
  <c r="B151" i="2"/>
  <c r="G157" i="2"/>
  <c r="G150" i="2"/>
  <c r="G143" i="2"/>
  <c r="G136" i="2"/>
  <c r="I35" i="1"/>
  <c r="H35" i="1"/>
  <c r="A112" i="8" a="1"/>
  <c r="M119" i="8"/>
  <c r="M118" i="8"/>
  <c r="M117" i="8"/>
  <c r="M116" i="8"/>
  <c r="M115" i="8"/>
  <c r="M114" i="8"/>
  <c r="M113" i="8"/>
  <c r="M112" i="8"/>
  <c r="A103" i="8" a="1"/>
  <c r="A94" i="8" a="1"/>
  <c r="A85" i="8" a="1"/>
  <c r="A91" i="8"/>
  <c r="A76" i="8" a="1"/>
  <c r="M83" i="8"/>
  <c r="M82" i="8"/>
  <c r="M81" i="8"/>
  <c r="M80" i="8"/>
  <c r="M79" i="8"/>
  <c r="M78" i="8"/>
  <c r="M77" i="8"/>
  <c r="M76" i="8"/>
  <c r="A67" i="8" a="1"/>
  <c r="A69" i="8"/>
  <c r="A58" i="8" a="1"/>
  <c r="A58" i="8"/>
  <c r="A49" i="8" a="1"/>
  <c r="D13" i="8"/>
  <c r="B46" i="8" a="1"/>
  <c r="B41" i="8" a="1"/>
  <c r="D41" i="8"/>
  <c r="B127" i="34"/>
  <c r="A429" i="34" a="1"/>
  <c r="A419" i="34" a="1"/>
  <c r="A422" i="34"/>
  <c r="A400" i="34" a="1"/>
  <c r="A391" i="34" a="1"/>
  <c r="A391" i="34"/>
  <c r="A382" i="34" a="1"/>
  <c r="A373" i="34" a="1"/>
  <c r="A380" i="34"/>
  <c r="A364" i="34" a="1"/>
  <c r="A364" i="34"/>
  <c r="A355" i="34" a="1"/>
  <c r="A360" i="34"/>
  <c r="A346" i="34" a="1"/>
  <c r="A337" i="34" a="1"/>
  <c r="A339" i="34"/>
  <c r="A328" i="34" a="1"/>
  <c r="A319" i="34" a="1"/>
  <c r="A310" i="34" a="1"/>
  <c r="A317" i="34"/>
  <c r="A301" i="34" a="1"/>
  <c r="A306" i="34"/>
  <c r="A292" i="34" a="1"/>
  <c r="A283" i="34" a="1"/>
  <c r="A283" i="34"/>
  <c r="A274" i="34" a="1"/>
  <c r="A265" i="34" a="1"/>
  <c r="A247" i="34" a="1"/>
  <c r="A247" i="34"/>
  <c r="A238" i="34" a="1"/>
  <c r="A240" i="34"/>
  <c r="A220" i="34" a="1"/>
  <c r="A193" i="34" a="1"/>
  <c r="A184" i="34" a="1"/>
  <c r="A175" i="34" a="1"/>
  <c r="A166" i="34" a="1"/>
  <c r="A157" i="34" a="1"/>
  <c r="A148" i="34" a="1"/>
  <c r="A153" i="34"/>
  <c r="A79" i="34" a="1"/>
  <c r="A70" i="34" a="1"/>
  <c r="A61" i="34" a="1"/>
  <c r="A62" i="34"/>
  <c r="A52" i="34" a="1"/>
  <c r="A43" i="34" a="1"/>
  <c r="A34" i="34" a="1"/>
  <c r="A41" i="34"/>
  <c r="C26" i="34" a="1"/>
  <c r="D26" i="34"/>
  <c r="B26" i="34"/>
  <c r="M106" i="32"/>
  <c r="A106" i="32"/>
  <c r="M105" i="32"/>
  <c r="M104" i="32"/>
  <c r="M103" i="32"/>
  <c r="M102" i="32"/>
  <c r="M101" i="32"/>
  <c r="M100" i="32"/>
  <c r="M99" i="32"/>
  <c r="M98" i="32"/>
  <c r="A98" i="32" a="1"/>
  <c r="M75" i="32"/>
  <c r="A75" i="32"/>
  <c r="M74" i="32"/>
  <c r="M73" i="32"/>
  <c r="M72" i="32"/>
  <c r="M71" i="32"/>
  <c r="M70" i="32"/>
  <c r="M69" i="32"/>
  <c r="M68" i="32"/>
  <c r="M67" i="32"/>
  <c r="A67" i="32" a="1"/>
  <c r="M44" i="32"/>
  <c r="A44" i="32"/>
  <c r="M43" i="32"/>
  <c r="M42" i="32"/>
  <c r="M41" i="32"/>
  <c r="M40" i="32"/>
  <c r="M39" i="32"/>
  <c r="M38" i="32"/>
  <c r="M37" i="32"/>
  <c r="M36" i="32"/>
  <c r="A36" i="32" a="1"/>
  <c r="M14" i="32"/>
  <c r="A14" i="32"/>
  <c r="M12" i="32"/>
  <c r="M11" i="32"/>
  <c r="M10" i="32"/>
  <c r="M9" i="32"/>
  <c r="M8" i="32"/>
  <c r="M7" i="32"/>
  <c r="M6" i="32"/>
  <c r="M5" i="32"/>
  <c r="A5" i="32" a="1"/>
  <c r="C4" i="32" a="1"/>
  <c r="B4" i="32"/>
  <c r="A1" i="32"/>
  <c r="A82" i="31" a="1"/>
  <c r="A69" i="31" a="1"/>
  <c r="A75" i="31"/>
  <c r="A56" i="31" a="1"/>
  <c r="A41" i="31" a="1"/>
  <c r="A32" i="31" a="1"/>
  <c r="A23" i="31" a="1"/>
  <c r="A25" i="31"/>
  <c r="A14" i="31" a="1"/>
  <c r="A14" i="31"/>
  <c r="A5" i="31" a="1"/>
  <c r="A6" i="31"/>
  <c r="B4" i="31" a="1"/>
  <c r="A1" i="31"/>
  <c r="A429" i="30" a="1"/>
  <c r="A419" i="30" a="1"/>
  <c r="A400" i="30" a="1"/>
  <c r="A404" i="30"/>
  <c r="A391" i="30" a="1"/>
  <c r="A382" i="30" a="1"/>
  <c r="A373" i="30" a="1"/>
  <c r="A374" i="30"/>
  <c r="A364" i="30" a="1"/>
  <c r="A355" i="30" a="1"/>
  <c r="A356" i="30"/>
  <c r="A346" i="30" a="1"/>
  <c r="A337" i="30" a="1"/>
  <c r="A344" i="30"/>
  <c r="A328" i="30" a="1"/>
  <c r="A332" i="30"/>
  <c r="A319" i="30" a="1"/>
  <c r="A325" i="30"/>
  <c r="A310" i="30" a="1"/>
  <c r="A301" i="30" a="1"/>
  <c r="A292" i="30" a="1"/>
  <c r="A294" i="30"/>
  <c r="A283" i="30" a="1"/>
  <c r="A274" i="30" a="1"/>
  <c r="A276" i="30"/>
  <c r="A265" i="30" a="1"/>
  <c r="A247" i="30" a="1"/>
  <c r="A252" i="30"/>
  <c r="A238" i="30" a="1"/>
  <c r="A220" i="30" a="1"/>
  <c r="A193" i="30" a="1"/>
  <c r="A184" i="30" a="1"/>
  <c r="A188" i="30"/>
  <c r="A175" i="30" a="1"/>
  <c r="A175" i="30"/>
  <c r="A166" i="30" a="1"/>
  <c r="A157" i="30" a="1"/>
  <c r="A148" i="30" a="1"/>
  <c r="A79" i="30" a="1"/>
  <c r="A70" i="30" a="1"/>
  <c r="A61" i="30" a="1"/>
  <c r="A52" i="30" a="1"/>
  <c r="A43" i="30" a="1"/>
  <c r="A34" i="30" a="1"/>
  <c r="A35" i="30"/>
  <c r="D29" i="30" a="1"/>
  <c r="C29" i="30"/>
  <c r="L28" i="30"/>
  <c r="C28" i="30" a="1"/>
  <c r="G28" i="30"/>
  <c r="C26" i="30" a="1"/>
  <c r="B26" i="30"/>
  <c r="N158" i="29"/>
  <c r="N157" i="29"/>
  <c r="N156" i="29"/>
  <c r="N155" i="29"/>
  <c r="N154" i="29"/>
  <c r="N153" i="29"/>
  <c r="N152" i="29"/>
  <c r="N151" i="29"/>
  <c r="N149" i="29"/>
  <c r="N148" i="29"/>
  <c r="N147" i="29"/>
  <c r="N146" i="29"/>
  <c r="N145" i="29"/>
  <c r="N144" i="29"/>
  <c r="N143" i="29"/>
  <c r="N142" i="29"/>
  <c r="B142" i="29" a="1"/>
  <c r="N140" i="29"/>
  <c r="N139" i="29"/>
  <c r="N138" i="29"/>
  <c r="N137" i="29"/>
  <c r="N136" i="29"/>
  <c r="N135" i="29"/>
  <c r="N134" i="29"/>
  <c r="N133" i="29"/>
  <c r="B133" i="29" a="1"/>
  <c r="N131" i="29"/>
  <c r="N129" i="29"/>
  <c r="A129" i="29"/>
  <c r="A128" i="29"/>
  <c r="A127" i="29"/>
  <c r="A126" i="29"/>
  <c r="A125" i="29"/>
  <c r="A124" i="29"/>
  <c r="A123" i="29"/>
  <c r="A122" i="29"/>
  <c r="A121" i="29"/>
  <c r="N115" i="29"/>
  <c r="N105" i="29"/>
  <c r="N92" i="29"/>
  <c r="N91" i="29"/>
  <c r="N88" i="29"/>
  <c r="N87" i="29"/>
  <c r="E35" i="29" a="1"/>
  <c r="D34" i="29" a="1"/>
  <c r="C34" i="29"/>
  <c r="B8" i="29"/>
  <c r="B7" i="29"/>
  <c r="A1" i="29"/>
  <c r="M106" i="28"/>
  <c r="A106" i="28"/>
  <c r="M105" i="28"/>
  <c r="M104" i="28"/>
  <c r="M103" i="28"/>
  <c r="M102" i="28"/>
  <c r="M101" i="28"/>
  <c r="M100" i="28"/>
  <c r="M99" i="28"/>
  <c r="M98" i="28"/>
  <c r="A98" i="28" a="1"/>
  <c r="M75" i="28"/>
  <c r="A75" i="28"/>
  <c r="M74" i="28"/>
  <c r="M73" i="28"/>
  <c r="M72" i="28"/>
  <c r="M71" i="28"/>
  <c r="M70" i="28"/>
  <c r="M69" i="28"/>
  <c r="M68" i="28"/>
  <c r="M67" i="28"/>
  <c r="A67" i="28" a="1"/>
  <c r="M44" i="28"/>
  <c r="A44" i="28"/>
  <c r="M43" i="28"/>
  <c r="M42" i="28"/>
  <c r="M41" i="28"/>
  <c r="M40" i="28"/>
  <c r="M39" i="28"/>
  <c r="M38" i="28"/>
  <c r="M37" i="28"/>
  <c r="M36" i="28"/>
  <c r="A36" i="28" a="1"/>
  <c r="A42" i="28"/>
  <c r="M13" i="28"/>
  <c r="A14" i="28"/>
  <c r="M12" i="28"/>
  <c r="M11" i="28"/>
  <c r="M10" i="28"/>
  <c r="M9" i="28"/>
  <c r="M8" i="28"/>
  <c r="M7" i="28"/>
  <c r="M6" i="28"/>
  <c r="M5" i="28"/>
  <c r="A5" i="28" a="1"/>
  <c r="A5" i="28"/>
  <c r="C4" i="28" a="1"/>
  <c r="B4" i="28"/>
  <c r="A1" i="28"/>
  <c r="A41" i="27" a="1"/>
  <c r="A48" i="27"/>
  <c r="A32" i="27" a="1"/>
  <c r="A23" i="27" a="1"/>
  <c r="A14" i="27" a="1"/>
  <c r="A5" i="27" a="1"/>
  <c r="B4" i="27" a="1"/>
  <c r="A1" i="27"/>
  <c r="A419" i="6" a="1"/>
  <c r="A419" i="6"/>
  <c r="A429" i="6" a="1"/>
  <c r="A15" i="6" a="1"/>
  <c r="A391" i="6" a="1"/>
  <c r="A400" i="6" a="1"/>
  <c r="A402" i="6"/>
  <c r="A382" i="6" a="1"/>
  <c r="A385" i="6"/>
  <c r="A364" i="6" a="1"/>
  <c r="A373" i="6" a="1"/>
  <c r="A377" i="6"/>
  <c r="A355" i="6" a="1"/>
  <c r="A346" i="6" a="1"/>
  <c r="A328" i="6" a="1"/>
  <c r="A337" i="6" a="1"/>
  <c r="A319" i="6" a="1"/>
  <c r="A320" i="6"/>
  <c r="A310" i="6" a="1"/>
  <c r="A301" i="6" a="1"/>
  <c r="A292" i="6" a="1"/>
  <c r="A274" i="6" a="1"/>
  <c r="A278" i="6"/>
  <c r="A283" i="6" a="1"/>
  <c r="A287" i="6"/>
  <c r="A265" i="6" a="1"/>
  <c r="A247" i="6" a="1"/>
  <c r="A238" i="6" a="1"/>
  <c r="A245" i="6"/>
  <c r="A220" i="6" a="1"/>
  <c r="C79" i="6" a="1"/>
  <c r="H84" i="6"/>
  <c r="A79" i="6" a="1"/>
  <c r="A83" i="6"/>
  <c r="C70" i="6" a="1"/>
  <c r="J73" i="6"/>
  <c r="A70" i="6" a="1"/>
  <c r="C61" i="6" a="1"/>
  <c r="F64" i="6"/>
  <c r="A61" i="6" a="1"/>
  <c r="A193" i="6" a="1"/>
  <c r="A184" i="6" a="1"/>
  <c r="A175" i="6" a="1"/>
  <c r="A166" i="6" a="1"/>
  <c r="A173" i="6"/>
  <c r="A157" i="6" a="1"/>
  <c r="A148" i="6" a="1"/>
  <c r="B81" i="2"/>
  <c r="B73" i="2"/>
  <c r="B74" i="2"/>
  <c r="B82" i="2"/>
  <c r="B79" i="2"/>
  <c r="B71" i="2"/>
  <c r="B80" i="2"/>
  <c r="A52" i="6" a="1"/>
  <c r="C34" i="6" a="1"/>
  <c r="A34" i="6" a="1"/>
  <c r="C52" i="6" a="1"/>
  <c r="G52" i="6"/>
  <c r="C43" i="6" a="1"/>
  <c r="A43" i="6" a="1"/>
  <c r="B26" i="6"/>
  <c r="C26" i="6" a="1"/>
  <c r="A41" i="3" a="1"/>
  <c r="A56" i="3" a="1"/>
  <c r="A82" i="3" a="1"/>
  <c r="A69" i="3" a="1"/>
  <c r="A72" i="3"/>
  <c r="B13" i="2"/>
  <c r="B15" i="2"/>
  <c r="N185" i="4"/>
  <c r="N91" i="4"/>
  <c r="A1" i="5"/>
  <c r="A1" i="4"/>
  <c r="A1" i="3"/>
  <c r="A1" i="2"/>
  <c r="N115" i="4"/>
  <c r="F6" i="4"/>
  <c r="K25" i="9"/>
  <c r="J25" i="9"/>
  <c r="I25" i="9"/>
  <c r="H25" i="9"/>
  <c r="G25" i="9"/>
  <c r="F25" i="9"/>
  <c r="E25" i="9"/>
  <c r="D25" i="9"/>
  <c r="C25" i="9"/>
  <c r="B25" i="9"/>
  <c r="K14" i="9"/>
  <c r="J14" i="9"/>
  <c r="I14" i="9"/>
  <c r="H14" i="9"/>
  <c r="G14" i="9"/>
  <c r="F14" i="9"/>
  <c r="E14" i="9"/>
  <c r="D14" i="9"/>
  <c r="C14" i="9"/>
  <c r="B14" i="9"/>
  <c r="M110" i="8"/>
  <c r="M109" i="8"/>
  <c r="M108" i="8"/>
  <c r="M107" i="8"/>
  <c r="M106" i="8"/>
  <c r="M105" i="8"/>
  <c r="M104" i="8"/>
  <c r="M103" i="8"/>
  <c r="M101" i="8"/>
  <c r="M100" i="8"/>
  <c r="M99" i="8"/>
  <c r="M98" i="8"/>
  <c r="M97" i="8"/>
  <c r="M96" i="8"/>
  <c r="M95" i="8"/>
  <c r="M94" i="8"/>
  <c r="M92" i="8"/>
  <c r="M91" i="8"/>
  <c r="M90" i="8"/>
  <c r="M89" i="8"/>
  <c r="M88" i="8"/>
  <c r="M87" i="8"/>
  <c r="M86" i="8"/>
  <c r="M85" i="8"/>
  <c r="M74" i="8"/>
  <c r="M73" i="8"/>
  <c r="M72" i="8"/>
  <c r="M71" i="8"/>
  <c r="M70" i="8"/>
  <c r="M69" i="8"/>
  <c r="M68" i="8"/>
  <c r="M67" i="8"/>
  <c r="M65" i="8"/>
  <c r="M64" i="8"/>
  <c r="M63" i="8"/>
  <c r="M62" i="8"/>
  <c r="M61" i="8"/>
  <c r="M60" i="8"/>
  <c r="M59" i="8"/>
  <c r="M58" i="8"/>
  <c r="M56" i="8"/>
  <c r="M55" i="8"/>
  <c r="M54" i="8"/>
  <c r="M53" i="8"/>
  <c r="M52" i="8"/>
  <c r="M51" i="8"/>
  <c r="M50" i="8"/>
  <c r="M49" i="8"/>
  <c r="E13" i="8"/>
  <c r="C13" i="8"/>
  <c r="B13" i="8"/>
  <c r="G13" i="7"/>
  <c r="F13" i="7"/>
  <c r="C13" i="7"/>
  <c r="E13" i="7"/>
  <c r="D13" i="7"/>
  <c r="B13" i="7"/>
  <c r="N172" i="4"/>
  <c r="N184" i="4"/>
  <c r="N183" i="4"/>
  <c r="N182" i="4"/>
  <c r="N181" i="4"/>
  <c r="N180" i="4"/>
  <c r="N179" i="4"/>
  <c r="N178" i="4"/>
  <c r="N158" i="4"/>
  <c r="N157" i="4"/>
  <c r="N156" i="4"/>
  <c r="N155" i="4"/>
  <c r="N154" i="4"/>
  <c r="N153" i="4"/>
  <c r="N152" i="4"/>
  <c r="N151" i="4"/>
  <c r="N149" i="4"/>
  <c r="N148" i="4"/>
  <c r="N147" i="4"/>
  <c r="N146" i="4"/>
  <c r="N145" i="4"/>
  <c r="N144" i="4"/>
  <c r="N143" i="4"/>
  <c r="N142" i="4"/>
  <c r="B142" i="4" a="1"/>
  <c r="N140" i="4"/>
  <c r="N139" i="4"/>
  <c r="N138" i="4"/>
  <c r="N137" i="4"/>
  <c r="N136" i="4"/>
  <c r="N135" i="4"/>
  <c r="N134" i="4"/>
  <c r="N133" i="4"/>
  <c r="B133" i="4" a="1"/>
  <c r="N131" i="4"/>
  <c r="N129" i="4"/>
  <c r="A129" i="4"/>
  <c r="A128" i="4"/>
  <c r="A127" i="4"/>
  <c r="A126" i="4"/>
  <c r="A125" i="4"/>
  <c r="A124" i="4"/>
  <c r="A123" i="4"/>
  <c r="A122" i="4"/>
  <c r="A121" i="4"/>
  <c r="N105" i="4"/>
  <c r="N92" i="4"/>
  <c r="N88" i="4"/>
  <c r="N87" i="4"/>
  <c r="D34" i="4" a="1"/>
  <c r="C34" i="4"/>
  <c r="H8" i="4"/>
  <c r="B8" i="4"/>
  <c r="H7" i="4"/>
  <c r="B7" i="4"/>
  <c r="G6" i="4"/>
  <c r="E6" i="4"/>
  <c r="D6" i="4"/>
  <c r="M106" i="5"/>
  <c r="A106" i="5"/>
  <c r="M105" i="5"/>
  <c r="M104" i="5"/>
  <c r="M103" i="5"/>
  <c r="M102" i="5"/>
  <c r="M101" i="5"/>
  <c r="M100" i="5"/>
  <c r="M99" i="5"/>
  <c r="M98" i="5"/>
  <c r="A98" i="5" a="1"/>
  <c r="A105" i="5"/>
  <c r="M75" i="5"/>
  <c r="A75" i="5"/>
  <c r="M74" i="5"/>
  <c r="M73" i="5"/>
  <c r="M72" i="5"/>
  <c r="M71" i="5"/>
  <c r="M70" i="5"/>
  <c r="M69" i="5"/>
  <c r="M68" i="5"/>
  <c r="M67" i="5"/>
  <c r="A67" i="5" a="1"/>
  <c r="A70" i="5"/>
  <c r="M44" i="5"/>
  <c r="A44" i="5"/>
  <c r="M43" i="5"/>
  <c r="M42" i="5"/>
  <c r="M41" i="5"/>
  <c r="M40" i="5"/>
  <c r="M39" i="5"/>
  <c r="M38" i="5"/>
  <c r="M37" i="5"/>
  <c r="M36" i="5"/>
  <c r="A36" i="5" a="1"/>
  <c r="M14" i="5"/>
  <c r="A14" i="5"/>
  <c r="M12" i="5"/>
  <c r="M11" i="5"/>
  <c r="M10" i="5"/>
  <c r="M9" i="5"/>
  <c r="M8" i="5"/>
  <c r="M7" i="5"/>
  <c r="M6" i="5"/>
  <c r="M5" i="5"/>
  <c r="A5" i="5" a="1"/>
  <c r="A12" i="5"/>
  <c r="C4" i="5" a="1"/>
  <c r="B4" i="5"/>
  <c r="A32" i="3" a="1"/>
  <c r="A23" i="3" a="1"/>
  <c r="A25" i="3"/>
  <c r="A14" i="3" a="1"/>
  <c r="A15" i="3"/>
  <c r="A5" i="3" a="1"/>
  <c r="A6" i="3"/>
  <c r="B121" i="2" a="1"/>
  <c r="B122" i="2"/>
  <c r="B120" i="2"/>
  <c r="B118" i="2"/>
  <c r="B119" i="2"/>
  <c r="B117" i="2"/>
  <c r="B163" i="1" a="1"/>
  <c r="C162" i="1" a="1"/>
  <c r="J162" i="1"/>
  <c r="D161" i="1" a="1"/>
  <c r="D161" i="1"/>
  <c r="C161" i="1"/>
  <c r="M344" i="1"/>
  <c r="M367" i="1"/>
  <c r="M389" i="1"/>
  <c r="M411" i="1"/>
  <c r="B161" i="38"/>
  <c r="B182" i="38"/>
  <c r="H56" i="31"/>
  <c r="D63" i="31"/>
  <c r="G84" i="31"/>
  <c r="F71" i="31"/>
  <c r="D83" i="31"/>
  <c r="A293" i="39"/>
  <c r="B73" i="31"/>
  <c r="G72" i="31"/>
  <c r="B193" i="38"/>
  <c r="M44" i="35"/>
  <c r="E39" i="8"/>
  <c r="N196" i="6"/>
  <c r="M105" i="7"/>
  <c r="N398" i="30"/>
  <c r="M443" i="8"/>
  <c r="M570" i="38"/>
  <c r="M601" i="39"/>
  <c r="M642" i="38"/>
  <c r="N196" i="34"/>
  <c r="M643" i="38"/>
  <c r="M30" i="35"/>
  <c r="N429" i="34" a="1"/>
  <c r="N431" i="34"/>
  <c r="N342" i="30"/>
  <c r="M635" i="39"/>
  <c r="M141" i="7"/>
  <c r="M535" i="8"/>
  <c r="M500" i="8"/>
  <c r="M700" i="8"/>
  <c r="N268" i="34"/>
  <c r="M663" i="8"/>
  <c r="M88" i="7"/>
  <c r="M662" i="8"/>
  <c r="M143" i="35"/>
  <c r="M39" i="37"/>
  <c r="M527" i="39"/>
  <c r="M564" i="39"/>
  <c r="G87" i="2"/>
  <c r="M375" i="38"/>
  <c r="N396" i="30"/>
  <c r="M600" i="8"/>
  <c r="M539" i="38"/>
  <c r="N131" i="30"/>
  <c r="N289" i="34"/>
  <c r="M548" i="39"/>
  <c r="M512" i="8"/>
  <c r="M503" i="38"/>
  <c r="M609" i="38"/>
  <c r="M663" i="38"/>
  <c r="M125" i="7"/>
  <c r="M142" i="35"/>
  <c r="M177" i="7"/>
  <c r="M687" i="8"/>
  <c r="M605" i="39"/>
  <c r="M426" i="8"/>
  <c r="M98" i="37"/>
  <c r="N187" i="34"/>
  <c r="M629" i="38"/>
  <c r="M632" i="39"/>
  <c r="M134" i="37"/>
  <c r="A221" i="38"/>
  <c r="M92" i="7"/>
  <c r="M605" i="8"/>
  <c r="N332" i="6"/>
  <c r="M620" i="8"/>
  <c r="M168" i="7"/>
  <c r="M507" i="39"/>
  <c r="M605" i="38"/>
  <c r="M627" i="38"/>
  <c r="M539" i="8"/>
  <c r="N337" i="30"/>
  <c r="M625" i="8"/>
  <c r="M39" i="35"/>
  <c r="M69" i="35"/>
  <c r="M355" i="38"/>
  <c r="M52" i="35"/>
  <c r="M695" i="8"/>
  <c r="M704" i="39"/>
  <c r="M83" i="7"/>
  <c r="M678" i="38"/>
  <c r="M106" i="37"/>
  <c r="M569" i="39"/>
  <c r="M40" i="7"/>
  <c r="N343" i="30"/>
  <c r="M356" i="38"/>
  <c r="M70" i="37"/>
  <c r="N283" i="6"/>
  <c r="M454" i="39"/>
  <c r="M551" i="8"/>
  <c r="M37" i="35"/>
  <c r="M538" i="38"/>
  <c r="N277" i="34"/>
  <c r="B288" i="1"/>
  <c r="B354" i="1"/>
  <c r="B377" i="1"/>
  <c r="B399" i="1"/>
  <c r="B421" i="1"/>
  <c r="A136" i="35"/>
  <c r="A96" i="8"/>
  <c r="A537" i="8"/>
  <c r="A69" i="7"/>
  <c r="A564" i="38"/>
  <c r="I228" i="1"/>
  <c r="K228" i="1"/>
  <c r="K232" i="1"/>
  <c r="H234" i="1"/>
  <c r="I235" i="1"/>
  <c r="L229" i="1"/>
  <c r="L234" i="1"/>
  <c r="C233" i="1"/>
  <c r="I233" i="1"/>
  <c r="F235" i="1"/>
  <c r="I230" i="1"/>
  <c r="H232" i="1"/>
  <c r="D231" i="1"/>
  <c r="J232" i="1"/>
  <c r="H231" i="1"/>
  <c r="E229" i="1"/>
  <c r="F229" i="1"/>
  <c r="J234" i="1"/>
  <c r="D230" i="1"/>
  <c r="C232" i="1"/>
  <c r="J231" i="1"/>
  <c r="I232" i="1"/>
  <c r="J235" i="1"/>
  <c r="J233" i="1"/>
  <c r="D233" i="1"/>
  <c r="D228" i="1"/>
  <c r="C235" i="1"/>
  <c r="K234" i="1"/>
  <c r="G231" i="1"/>
  <c r="G235" i="1"/>
  <c r="J230" i="1"/>
  <c r="G234" i="1"/>
  <c r="J228" i="1"/>
  <c r="I229" i="1"/>
  <c r="B9" i="5"/>
  <c r="A608" i="1"/>
  <c r="A714" i="1"/>
  <c r="G342" i="1"/>
  <c r="B130" i="5"/>
  <c r="B129" i="5"/>
  <c r="B129" i="32"/>
  <c r="A204" i="38"/>
  <c r="A331" i="38"/>
  <c r="A381" i="38"/>
  <c r="M697" i="39"/>
  <c r="M697" i="38"/>
  <c r="M64" i="7"/>
  <c r="N130" i="34"/>
  <c r="N321" i="30"/>
  <c r="M160" i="37"/>
  <c r="M438" i="38"/>
  <c r="M706" i="38"/>
  <c r="M53" i="37"/>
  <c r="N338" i="34"/>
  <c r="M135" i="7"/>
  <c r="N398" i="6"/>
  <c r="M96" i="35"/>
  <c r="A45" i="3"/>
  <c r="B157" i="1"/>
  <c r="G57" i="31"/>
  <c r="A190" i="30"/>
  <c r="F243" i="1"/>
  <c r="E241" i="1"/>
  <c r="L243" i="1"/>
  <c r="L238" i="1"/>
  <c r="J241" i="1"/>
  <c r="L241" i="1"/>
  <c r="J239" i="1"/>
  <c r="F238" i="1"/>
  <c r="F239" i="1"/>
  <c r="G243" i="1"/>
  <c r="G239" i="1"/>
  <c r="E240" i="1"/>
  <c r="I244" i="1"/>
  <c r="I239" i="1"/>
  <c r="G241" i="1"/>
  <c r="K240" i="1"/>
  <c r="A622" i="1"/>
  <c r="A728" i="1"/>
  <c r="L342" i="1"/>
  <c r="J254" i="1"/>
  <c r="M549" i="38"/>
  <c r="M144" i="7"/>
  <c r="M120" i="37"/>
  <c r="M380" i="8"/>
  <c r="N194" i="30"/>
  <c r="M53" i="35"/>
  <c r="M454" i="8"/>
  <c r="N186" i="6"/>
  <c r="M578" i="8"/>
  <c r="M553" i="39"/>
  <c r="N278" i="30"/>
  <c r="M157" i="37"/>
  <c r="M585" i="39"/>
  <c r="N329" i="6"/>
  <c r="M612" i="38"/>
  <c r="M102" i="37"/>
  <c r="M97" i="7"/>
  <c r="M360" i="8"/>
  <c r="M374" i="8"/>
  <c r="N330" i="34"/>
  <c r="M638" i="38"/>
  <c r="M175" i="37"/>
  <c r="M608" i="8"/>
  <c r="M161" i="7"/>
  <c r="M607" i="39"/>
  <c r="M635" i="38"/>
  <c r="M517" i="8"/>
  <c r="M702" i="8"/>
  <c r="M359" i="8"/>
  <c r="N139" i="34"/>
  <c r="N185" i="30"/>
  <c r="M357" i="39"/>
  <c r="M119" i="7"/>
  <c r="M170" i="35"/>
  <c r="M706" i="39"/>
  <c r="M371" i="39"/>
  <c r="N177" i="6"/>
  <c r="N189" i="6"/>
  <c r="M142" i="37"/>
  <c r="M431" i="38"/>
  <c r="M518" i="39"/>
  <c r="M515" i="39"/>
  <c r="M506" i="39"/>
  <c r="M103" i="35"/>
  <c r="M702" i="38"/>
  <c r="M703" i="8"/>
  <c r="M46" i="35"/>
  <c r="M455" i="8"/>
  <c r="N326" i="6"/>
  <c r="M237" i="38"/>
  <c r="N409" i="6" a="1"/>
  <c r="N412" i="6"/>
  <c r="M93" i="37"/>
  <c r="M565" i="8"/>
  <c r="M531" i="8"/>
  <c r="M615" i="39"/>
  <c r="M553" i="38"/>
  <c r="M619" i="8"/>
  <c r="M137" i="35"/>
  <c r="M537" i="8"/>
  <c r="M175" i="35"/>
  <c r="M115" i="37"/>
  <c r="M138" i="37"/>
  <c r="M639" i="38"/>
  <c r="N442" i="34"/>
  <c r="N389" i="6"/>
  <c r="M65" i="35"/>
  <c r="M534" i="38"/>
  <c r="M64" i="35"/>
  <c r="M591" i="38"/>
  <c r="M594" i="8"/>
  <c r="M547" i="8"/>
  <c r="M608" i="38"/>
  <c r="M666" i="8"/>
  <c r="M158" i="35"/>
  <c r="M172" i="7"/>
  <c r="M176" i="7"/>
  <c r="N328" i="30"/>
  <c r="N407" i="34"/>
  <c r="M533" i="8"/>
  <c r="N184" i="6"/>
  <c r="M37" i="7"/>
  <c r="M179" i="7"/>
  <c r="N343" i="34"/>
  <c r="M42" i="35"/>
  <c r="M681" i="8"/>
  <c r="N181" i="6"/>
  <c r="M58" i="35"/>
  <c r="M513" i="8"/>
  <c r="M132" i="7"/>
  <c r="N389" i="30"/>
  <c r="M68" i="7"/>
  <c r="M512" i="39"/>
  <c r="M170" i="37"/>
  <c r="M73" i="7"/>
  <c r="M369" i="39"/>
  <c r="N180" i="30"/>
  <c r="M62" i="37"/>
  <c r="M144" i="37"/>
  <c r="M453" i="8"/>
  <c r="M614" i="38"/>
  <c r="M679" i="39"/>
  <c r="M372" i="38"/>
  <c r="M26" i="9"/>
  <c r="N267" i="34"/>
  <c r="M96" i="37"/>
  <c r="M59" i="37"/>
  <c r="M657" i="38"/>
  <c r="N383" i="34"/>
  <c r="M704" i="8"/>
  <c r="M656" i="39"/>
  <c r="N145" i="34"/>
  <c r="M522" i="39"/>
  <c r="M150" i="35"/>
  <c r="M677" i="39"/>
  <c r="M587" i="8"/>
  <c r="N137" i="34"/>
  <c r="M507" i="8"/>
  <c r="M588" i="8"/>
  <c r="M431" i="39"/>
  <c r="M584" i="38"/>
  <c r="M634" i="8"/>
  <c r="M582" i="38"/>
  <c r="M373" i="39"/>
  <c r="M134" i="35"/>
  <c r="M179" i="35"/>
  <c r="M501" i="8"/>
  <c r="M26" i="35"/>
  <c r="M429" i="8"/>
  <c r="M691" i="8"/>
  <c r="M565" i="39"/>
  <c r="M705" i="39"/>
  <c r="M11" i="9"/>
  <c r="M40" i="37"/>
  <c r="N286" i="6"/>
  <c r="M374" i="39"/>
  <c r="M147" i="7"/>
  <c r="N386" i="34"/>
  <c r="M64" i="37"/>
  <c r="M17" i="9"/>
  <c r="M601" i="8"/>
  <c r="N330" i="30"/>
  <c r="M590" i="8"/>
  <c r="M20" i="9"/>
  <c r="M371" i="8"/>
  <c r="N177" i="34"/>
  <c r="M662" i="38"/>
  <c r="N281" i="6"/>
  <c r="M703" i="38"/>
  <c r="M430" i="38"/>
  <c r="M574" i="8"/>
  <c r="M152" i="35"/>
  <c r="M72" i="37"/>
  <c r="N328" i="6"/>
  <c r="M358" i="8"/>
  <c r="M25" i="7"/>
  <c r="M680" i="39"/>
  <c r="N384" i="30"/>
  <c r="G133" i="2"/>
  <c r="M583" i="8"/>
  <c r="M540" i="39"/>
  <c r="M660" i="8"/>
  <c r="M104" i="35"/>
  <c r="M23" i="37"/>
  <c r="M19" i="9"/>
  <c r="N339" i="34"/>
  <c r="M459" i="39"/>
  <c r="M139" i="37"/>
  <c r="M672" i="8"/>
  <c r="M132" i="37"/>
  <c r="M653" i="38"/>
  <c r="M593" i="38"/>
  <c r="N419" i="6" a="1"/>
  <c r="M574" i="39"/>
  <c r="M33" i="37"/>
  <c r="M171" i="35"/>
  <c r="M558" i="39"/>
  <c r="M59" i="7"/>
  <c r="M29" i="37"/>
  <c r="N274" i="34"/>
  <c r="M371" i="38"/>
  <c r="M110" i="37"/>
  <c r="N198" i="34"/>
  <c r="N176" i="34"/>
  <c r="M629" i="39"/>
  <c r="M452" i="39"/>
  <c r="M600" i="38"/>
  <c r="M75" i="7"/>
  <c r="M354" i="8"/>
  <c r="M138" i="35"/>
  <c r="M37" i="37"/>
  <c r="M638" i="39"/>
  <c r="M567" i="8"/>
  <c r="N385" i="34"/>
  <c r="M34" i="35"/>
  <c r="M454" i="38"/>
  <c r="M22" i="9"/>
  <c r="N406" i="6"/>
  <c r="M680" i="38"/>
  <c r="M377" i="39"/>
  <c r="M53" i="7"/>
  <c r="M161" i="35"/>
  <c r="M363" i="38"/>
  <c r="M538" i="8"/>
  <c r="M36" i="7"/>
  <c r="M107" i="7"/>
  <c r="M89" i="37"/>
  <c r="M177" i="37"/>
  <c r="M92" i="37"/>
  <c r="M368" i="39"/>
  <c r="M643" i="39"/>
  <c r="M585" i="8"/>
  <c r="M599" i="8"/>
  <c r="M110" i="7"/>
  <c r="M633" i="8"/>
  <c r="M497" i="8"/>
  <c r="M384" i="39"/>
  <c r="M450" i="39"/>
  <c r="M99" i="7"/>
  <c r="N284" i="34"/>
  <c r="N344" i="34"/>
  <c r="N268" i="30"/>
  <c r="M527" i="8"/>
  <c r="M687" i="38"/>
  <c r="N146" i="30"/>
  <c r="N287" i="30"/>
  <c r="M168" i="35"/>
  <c r="M66" i="35"/>
  <c r="M175" i="7"/>
  <c r="N285" i="30"/>
  <c r="M548" i="8"/>
  <c r="N344" i="30"/>
  <c r="M21" i="9"/>
  <c r="M508" i="38"/>
  <c r="M359" i="38"/>
  <c r="M456" i="8"/>
  <c r="M540" i="38"/>
  <c r="M115" i="35"/>
  <c r="N395" i="30"/>
  <c r="N196" i="30"/>
  <c r="M444" i="38"/>
  <c r="M120" i="7"/>
  <c r="M167" i="35"/>
  <c r="N387" i="6"/>
  <c r="M611" i="39"/>
  <c r="M610" i="8"/>
  <c r="M672" i="39"/>
  <c r="M385" i="8"/>
  <c r="M155" i="37"/>
  <c r="N271" i="34"/>
  <c r="M354" i="39"/>
  <c r="M535" i="39"/>
  <c r="M659" i="8"/>
  <c r="M512" i="38"/>
  <c r="M517" i="39"/>
  <c r="M598" i="39"/>
  <c r="M128" i="7"/>
  <c r="M425" i="38"/>
  <c r="M56" i="37"/>
  <c r="M375" i="39"/>
  <c r="M386" i="39"/>
  <c r="M546" i="8"/>
  <c r="M368" i="38"/>
  <c r="M157" i="7"/>
  <c r="N184" i="30"/>
  <c r="M602" i="39"/>
  <c r="M126" i="7"/>
  <c r="M34" i="37"/>
  <c r="M614" i="39"/>
  <c r="M381" i="8"/>
  <c r="N274" i="30"/>
  <c r="M380" i="38"/>
  <c r="M621" i="38"/>
  <c r="M557" i="38"/>
  <c r="N182" i="34"/>
  <c r="N182" i="6"/>
  <c r="M173" i="35"/>
  <c r="M591" i="39"/>
  <c r="N186" i="30"/>
  <c r="N269" i="30"/>
  <c r="M572" i="8"/>
  <c r="M364" i="8"/>
  <c r="M378" i="39"/>
  <c r="M632" i="8"/>
  <c r="M513" i="38"/>
  <c r="M519" i="38"/>
  <c r="M436" i="8"/>
  <c r="M644" i="38"/>
  <c r="M551" i="38"/>
  <c r="M700" i="39"/>
  <c r="N136" i="6"/>
  <c r="M88" i="37"/>
  <c r="M661" i="39"/>
  <c r="M92" i="35"/>
  <c r="M651" i="38"/>
  <c r="M83" i="37"/>
  <c r="N189" i="34"/>
  <c r="M151" i="37"/>
  <c r="M78" i="35"/>
  <c r="N333" i="30"/>
  <c r="M674" i="39"/>
  <c r="M152" i="7"/>
  <c r="M498" i="8"/>
  <c r="G142" i="2"/>
  <c r="N137" i="6"/>
  <c r="M610" i="38"/>
  <c r="M151" i="7"/>
  <c r="M86" i="7"/>
  <c r="M616" i="38"/>
  <c r="M593" i="39"/>
  <c r="M153" i="35"/>
  <c r="N198" i="30"/>
  <c r="M628" i="8"/>
  <c r="M446" i="39"/>
  <c r="M46" i="37"/>
  <c r="M563" i="8"/>
  <c r="N197" i="30"/>
  <c r="M32" i="7"/>
  <c r="N395" i="34"/>
  <c r="M160" i="7"/>
  <c r="M554" i="8"/>
  <c r="M435" i="39"/>
  <c r="M636" i="8"/>
  <c r="M155" i="7"/>
  <c r="M562" i="39"/>
  <c r="M135" i="35"/>
  <c r="M534" i="8"/>
  <c r="M456" i="39"/>
  <c r="N338" i="30"/>
  <c r="M448" i="8"/>
  <c r="M525" i="39"/>
  <c r="N405" i="30"/>
  <c r="N284" i="30"/>
  <c r="N404" i="6"/>
  <c r="N389" i="34"/>
  <c r="M381" i="38"/>
  <c r="N438" i="30"/>
  <c r="M153" i="7"/>
  <c r="N180" i="6"/>
  <c r="N385" i="6"/>
  <c r="M446" i="8"/>
  <c r="M565" i="38"/>
  <c r="M520" i="39"/>
  <c r="M62" i="35"/>
  <c r="M74" i="35"/>
  <c r="M689" i="39"/>
  <c r="C39" i="38"/>
  <c r="M560" i="39"/>
  <c r="M573" i="38"/>
  <c r="M499" i="38"/>
  <c r="M238" i="39"/>
  <c r="M355" i="8"/>
  <c r="N274" i="6"/>
  <c r="N289" i="6"/>
  <c r="M549" i="8"/>
  <c r="N338" i="6"/>
  <c r="M685" i="38"/>
  <c r="L710" i="8"/>
  <c r="N341" i="6"/>
  <c r="M607" i="38"/>
  <c r="M427" i="8"/>
  <c r="M23" i="7"/>
  <c r="N191" i="34"/>
  <c r="M637" i="39"/>
  <c r="M171" i="37"/>
  <c r="N290" i="30"/>
  <c r="N288" i="34"/>
  <c r="M531" i="38"/>
  <c r="M508" i="39"/>
  <c r="M118" i="37"/>
  <c r="M697" i="8"/>
  <c r="N175" i="34"/>
  <c r="M100" i="7"/>
  <c r="M63" i="37"/>
  <c r="M654" i="38"/>
  <c r="M449" i="39"/>
  <c r="M133" i="37"/>
  <c r="M576" i="8"/>
  <c r="M104" i="37"/>
  <c r="N276" i="34"/>
  <c r="M98" i="35"/>
  <c r="M648" i="8"/>
  <c r="N438" i="34"/>
  <c r="N396" i="34"/>
  <c r="M615" i="8"/>
  <c r="M119" i="35"/>
  <c r="M46" i="7"/>
  <c r="M675" i="38"/>
  <c r="M136" i="7"/>
  <c r="M124" i="35"/>
  <c r="M528" i="8"/>
  <c r="N133" i="34"/>
  <c r="M141" i="35"/>
  <c r="M148" i="35"/>
  <c r="M603" i="38"/>
  <c r="N268" i="6"/>
  <c r="N280" i="34"/>
  <c r="N272" i="6"/>
  <c r="M556" i="8"/>
  <c r="M561" i="8"/>
  <c r="M518" i="8"/>
  <c r="M571" i="38"/>
  <c r="M682" i="8"/>
  <c r="M508" i="8"/>
  <c r="M653" i="39"/>
  <c r="M376" i="38"/>
  <c r="N193" i="6"/>
  <c r="M32" i="9"/>
  <c r="M606" i="38"/>
  <c r="N175" i="30"/>
  <c r="M162" i="37"/>
  <c r="N322" i="6"/>
  <c r="M445" i="39"/>
  <c r="M90" i="7"/>
  <c r="N344" i="6"/>
  <c r="M449" i="8"/>
  <c r="M136" i="37"/>
  <c r="M85" i="37"/>
  <c r="M449" i="38"/>
  <c r="N394" i="30"/>
  <c r="M530" i="38"/>
  <c r="M448" i="38"/>
  <c r="M578" i="38"/>
  <c r="M600" i="39"/>
  <c r="M382" i="8"/>
  <c r="M237" i="39"/>
  <c r="M176" i="35"/>
  <c r="M27" i="37"/>
  <c r="N392" i="30"/>
  <c r="M688" i="39"/>
  <c r="M528" i="39"/>
  <c r="M501" i="38"/>
  <c r="M685" i="8"/>
  <c r="M113" i="7"/>
  <c r="M457" i="39"/>
  <c r="M83" i="35"/>
  <c r="N135" i="6"/>
  <c r="M387" i="39"/>
  <c r="N132" i="34"/>
  <c r="M79" i="35"/>
  <c r="M386" i="8"/>
  <c r="M68" i="37"/>
  <c r="A537" i="38"/>
  <c r="A576" i="38"/>
  <c r="A569" i="38"/>
  <c r="A573" i="38"/>
  <c r="B153" i="1"/>
  <c r="A125" i="38"/>
  <c r="A199" i="38"/>
  <c r="A198" i="38"/>
  <c r="A293" i="38"/>
  <c r="A297" i="38"/>
  <c r="A327" i="38"/>
  <c r="A333" i="38"/>
  <c r="A368" i="38"/>
  <c r="A398" i="38"/>
  <c r="B158" i="1"/>
  <c r="A571" i="38"/>
  <c r="A209" i="34"/>
  <c r="A205" i="34"/>
  <c r="M633" i="38"/>
  <c r="N402" i="6"/>
  <c r="M562" i="8"/>
  <c r="A98" i="37"/>
  <c r="J26" i="34"/>
  <c r="M694" i="38"/>
  <c r="M116" i="7"/>
  <c r="M623" i="39"/>
  <c r="M507" i="38"/>
  <c r="N384" i="6"/>
  <c r="M141" i="37"/>
  <c r="M636" i="38"/>
  <c r="M86" i="37"/>
  <c r="M164" i="35"/>
  <c r="E254" i="1"/>
  <c r="N133" i="6"/>
  <c r="M630" i="38"/>
  <c r="M663" i="39"/>
  <c r="M106" i="35"/>
  <c r="M563" i="39"/>
  <c r="M651" i="8"/>
  <c r="M177" i="35"/>
  <c r="M137" i="37"/>
  <c r="M428" i="8"/>
  <c r="M178" i="7"/>
  <c r="N177" i="30"/>
  <c r="N176" i="6"/>
  <c r="M128" i="37"/>
  <c r="M102" i="35"/>
  <c r="M529" i="39"/>
  <c r="A203" i="34"/>
  <c r="M43" i="37"/>
  <c r="M666" i="39"/>
  <c r="M173" i="37"/>
  <c r="M598" i="8"/>
  <c r="M55" i="35"/>
  <c r="N200" i="34"/>
  <c r="N290" i="6"/>
  <c r="M172" i="37"/>
  <c r="M98" i="7"/>
  <c r="M501" i="39"/>
  <c r="M8" i="9"/>
  <c r="N141" i="30"/>
  <c r="M450" i="8"/>
  <c r="M52" i="7"/>
  <c r="M517" i="38"/>
  <c r="M126" i="37"/>
  <c r="M655" i="39"/>
  <c r="N280" i="6"/>
  <c r="M672" i="38"/>
  <c r="M43" i="7"/>
  <c r="M383" i="38"/>
  <c r="M24" i="37"/>
  <c r="M606" i="39"/>
  <c r="M85" i="7"/>
  <c r="N287" i="6"/>
  <c r="M77" i="7"/>
  <c r="M666" i="38"/>
  <c r="N195" i="30"/>
  <c r="M56" i="35"/>
  <c r="M59" i="35"/>
  <c r="M536" i="39"/>
  <c r="N193" i="34"/>
  <c r="M522" i="38"/>
  <c r="M163" i="7"/>
  <c r="M446" i="38"/>
  <c r="M684" i="39"/>
  <c r="N385" i="30"/>
  <c r="M130" i="37"/>
  <c r="M167" i="7"/>
  <c r="M66" i="7"/>
  <c r="M564" i="8"/>
  <c r="N179" i="34"/>
  <c r="N339" i="30"/>
  <c r="M431" i="8"/>
  <c r="M113" i="37"/>
  <c r="M367" i="38"/>
  <c r="M77" i="35"/>
  <c r="N181" i="34"/>
  <c r="M108" i="37"/>
  <c r="M28" i="37"/>
  <c r="M127" i="37"/>
  <c r="N190" i="34"/>
  <c r="M704" i="38"/>
  <c r="N267" i="6"/>
  <c r="M377" i="8"/>
  <c r="M698" i="38"/>
  <c r="M562" i="38"/>
  <c r="N134" i="6"/>
  <c r="M542" i="38"/>
  <c r="M548" i="38"/>
  <c r="M95" i="35"/>
  <c r="M544" i="38"/>
  <c r="M145" i="7"/>
  <c r="M28" i="35"/>
  <c r="M578" i="39"/>
  <c r="N394" i="34"/>
  <c r="M381" i="39"/>
  <c r="N388" i="30"/>
  <c r="I254" i="1"/>
  <c r="K254" i="1"/>
  <c r="M76" i="7"/>
  <c r="N324" i="30"/>
  <c r="N142" i="30"/>
  <c r="N179" i="6"/>
  <c r="N140" i="6"/>
  <c r="N175" i="6"/>
  <c r="M125" i="37"/>
  <c r="M55" i="37"/>
  <c r="M668" i="8"/>
  <c r="M651" i="39"/>
  <c r="M654" i="39"/>
  <c r="M443" i="39"/>
  <c r="M566" i="39"/>
  <c r="M695" i="39"/>
  <c r="M642" i="8"/>
  <c r="M669" i="39"/>
  <c r="M55" i="7"/>
  <c r="M692" i="8"/>
  <c r="N400" i="30"/>
  <c r="A206" i="34"/>
  <c r="A99" i="37"/>
  <c r="A540" i="39"/>
  <c r="A344" i="34"/>
  <c r="A337" i="38"/>
  <c r="A447" i="8"/>
  <c r="A376" i="34"/>
  <c r="A163" i="37"/>
  <c r="A17" i="31"/>
  <c r="A19" i="31"/>
  <c r="A102" i="7"/>
  <c r="E243" i="1"/>
  <c r="K239" i="1"/>
  <c r="K241" i="1"/>
  <c r="C238" i="1"/>
  <c r="C237" i="1"/>
  <c r="J237" i="1"/>
  <c r="F244" i="1"/>
  <c r="D244" i="1"/>
  <c r="C239" i="1"/>
  <c r="J238" i="1"/>
  <c r="F242" i="1"/>
  <c r="H237" i="1"/>
  <c r="F237" i="1"/>
  <c r="C240" i="1"/>
  <c r="G238" i="1"/>
  <c r="E237" i="1"/>
  <c r="A626" i="8"/>
  <c r="A623" i="8"/>
  <c r="C154" i="4"/>
  <c r="C151" i="4"/>
  <c r="C156" i="4"/>
  <c r="D139" i="57"/>
  <c r="L174" i="57"/>
  <c r="C174" i="57"/>
  <c r="F174" i="57"/>
  <c r="H174" i="57"/>
  <c r="K174" i="57"/>
  <c r="J174" i="57"/>
  <c r="E35" i="40"/>
  <c r="E44" i="6"/>
  <c r="C83" i="31"/>
  <c r="C52" i="30" a="1"/>
  <c r="H59" i="30"/>
  <c r="A336" i="8"/>
  <c r="A236" i="6"/>
  <c r="A230" i="6"/>
  <c r="A231" i="6"/>
  <c r="B97" i="2"/>
  <c r="A17" i="27"/>
  <c r="A14" i="27"/>
  <c r="A407" i="34"/>
  <c r="A446" i="1"/>
  <c r="A496" i="1"/>
  <c r="A546" i="1"/>
  <c r="A39" i="5"/>
  <c r="A265" i="6"/>
  <c r="A304" i="6"/>
  <c r="A402" i="34"/>
  <c r="A43" i="5"/>
  <c r="A168" i="6"/>
  <c r="A275" i="8"/>
  <c r="A167" i="7"/>
  <c r="A388" i="34"/>
  <c r="A315" i="38"/>
  <c r="A161" i="7"/>
  <c r="A290" i="39"/>
  <c r="G7" i="4"/>
  <c r="A96" i="37"/>
  <c r="A97" i="37"/>
  <c r="A94" i="37"/>
  <c r="A119" i="37"/>
  <c r="A113" i="37"/>
  <c r="F56" i="31"/>
  <c r="C61" i="30" a="1"/>
  <c r="K63" i="30"/>
  <c r="B70" i="31"/>
  <c r="C43" i="30" a="1"/>
  <c r="G44" i="30"/>
  <c r="A479" i="1"/>
  <c r="A529" i="1"/>
  <c r="A579" i="1"/>
  <c r="A616" i="1"/>
  <c r="A722" i="1"/>
  <c r="A612" i="1"/>
  <c r="A718" i="1"/>
  <c r="A614" i="1"/>
  <c r="A720" i="1"/>
  <c r="A617" i="1"/>
  <c r="A723" i="1"/>
  <c r="A615" i="1"/>
  <c r="A721" i="1"/>
  <c r="A618" i="1"/>
  <c r="A724" i="1"/>
  <c r="A611" i="1"/>
  <c r="A717" i="1"/>
  <c r="A352" i="6"/>
  <c r="A367" i="8"/>
  <c r="K15" i="7"/>
  <c r="C58" i="31"/>
  <c r="C34" i="30" a="1"/>
  <c r="F41" i="30"/>
  <c r="A331" i="39"/>
  <c r="H83" i="31"/>
  <c r="C79" i="30" a="1"/>
  <c r="B179" i="38"/>
  <c r="B178" i="38"/>
  <c r="B194" i="8"/>
  <c r="C178" i="40"/>
  <c r="L35" i="40"/>
  <c r="B144" i="29"/>
  <c r="D7" i="4"/>
  <c r="E7" i="4"/>
  <c r="D8" i="4" a="1"/>
  <c r="F7" i="4"/>
  <c r="C152" i="4"/>
  <c r="C153" i="4"/>
  <c r="C157" i="4"/>
  <c r="C158" i="4"/>
  <c r="A8" i="28"/>
  <c r="A6" i="28"/>
  <c r="A11" i="28"/>
  <c r="A311" i="30"/>
  <c r="A378" i="30"/>
  <c r="A377" i="30"/>
  <c r="A376" i="30"/>
  <c r="A30" i="31"/>
  <c r="N413" i="6"/>
  <c r="H162" i="1"/>
  <c r="A386" i="38"/>
  <c r="A368" i="8"/>
  <c r="A362" i="8"/>
  <c r="A367" i="39"/>
  <c r="A450" i="38"/>
  <c r="L383" i="1"/>
  <c r="L405" i="1"/>
  <c r="L343" i="1"/>
  <c r="B149" i="29"/>
  <c r="B147" i="29"/>
  <c r="B146" i="29"/>
  <c r="B142" i="29"/>
  <c r="A21" i="3"/>
  <c r="A238" i="6"/>
  <c r="A284" i="6"/>
  <c r="G41" i="8"/>
  <c r="I41" i="8"/>
  <c r="A225" i="30"/>
  <c r="A207" i="8"/>
  <c r="A294" i="8"/>
  <c r="A293" i="8"/>
  <c r="A419" i="38"/>
  <c r="A418" i="8"/>
  <c r="A63" i="38"/>
  <c r="A226" i="30"/>
  <c r="A292" i="39"/>
  <c r="J52" i="6"/>
  <c r="A19" i="27"/>
  <c r="A63" i="30"/>
  <c r="A401" i="30"/>
  <c r="A534" i="39"/>
  <c r="A189" i="38"/>
  <c r="A206" i="38"/>
  <c r="A311" i="38"/>
  <c r="A380" i="38"/>
  <c r="A385" i="38"/>
  <c r="A382" i="38"/>
  <c r="C244" i="1"/>
  <c r="L244" i="1"/>
  <c r="H238" i="1"/>
  <c r="G240" i="1"/>
  <c r="I242" i="1"/>
  <c r="H240" i="1"/>
  <c r="F241" i="1"/>
  <c r="I243" i="1"/>
  <c r="H243" i="1"/>
  <c r="C243" i="1"/>
  <c r="D241" i="1"/>
  <c r="I238" i="1"/>
  <c r="K244" i="1"/>
  <c r="D237" i="1"/>
  <c r="C241" i="1"/>
  <c r="F240" i="1"/>
  <c r="E242" i="1"/>
  <c r="D239" i="1"/>
  <c r="E239" i="1"/>
  <c r="H244" i="1"/>
  <c r="K237" i="1"/>
  <c r="G237" i="1"/>
  <c r="H241" i="1"/>
  <c r="J240" i="1"/>
  <c r="I237" i="1"/>
  <c r="L239" i="1"/>
  <c r="J242" i="1"/>
  <c r="K238" i="1"/>
  <c r="K243" i="1"/>
  <c r="C242" i="1"/>
  <c r="K242" i="1"/>
  <c r="A625" i="1"/>
  <c r="A731" i="1"/>
  <c r="A621" i="1"/>
  <c r="A727" i="1"/>
  <c r="L387" i="1"/>
  <c r="E387" i="1"/>
  <c r="A202" i="34"/>
  <c r="A204" i="34"/>
  <c r="A232" i="6"/>
  <c r="A234" i="6"/>
  <c r="J57" i="6"/>
  <c r="A449" i="8"/>
  <c r="A348" i="6"/>
  <c r="A266" i="8"/>
  <c r="A107" i="7"/>
  <c r="A222" i="30"/>
  <c r="A223" i="30"/>
  <c r="H277" i="1"/>
  <c r="A16" i="31"/>
  <c r="A18" i="31"/>
  <c r="A122" i="37"/>
  <c r="A128" i="37"/>
  <c r="A129" i="37"/>
  <c r="A576" i="39"/>
  <c r="A575" i="39"/>
  <c r="A15" i="31"/>
  <c r="A166" i="7"/>
  <c r="A162" i="7"/>
  <c r="A127" i="37"/>
  <c r="B193" i="8"/>
  <c r="C70" i="30" a="1"/>
  <c r="I74" i="30"/>
  <c r="H69" i="31"/>
  <c r="E80" i="6"/>
  <c r="L86" i="6"/>
  <c r="C83" i="6"/>
  <c r="L80" i="6"/>
  <c r="F86" i="6"/>
  <c r="F82" i="6"/>
  <c r="H86" i="6"/>
  <c r="J81" i="6"/>
  <c r="I82" i="6"/>
  <c r="K85" i="6"/>
  <c r="L84" i="6"/>
  <c r="A429" i="6"/>
  <c r="A433" i="6"/>
  <c r="G82" i="6"/>
  <c r="F83" i="6"/>
  <c r="I83" i="6"/>
  <c r="H80" i="6"/>
  <c r="L79" i="6"/>
  <c r="A41" i="30"/>
  <c r="A253" i="30"/>
  <c r="A296" i="30"/>
  <c r="A293" i="30"/>
  <c r="A297" i="30"/>
  <c r="A375" i="30"/>
  <c r="A196" i="34"/>
  <c r="A332" i="39"/>
  <c r="A464" i="39"/>
  <c r="A194" i="39"/>
  <c r="A96" i="39"/>
  <c r="A467" i="39"/>
  <c r="A463" i="39"/>
  <c r="A409" i="38"/>
  <c r="A264" i="38"/>
  <c r="A158" i="38"/>
  <c r="A133" i="38"/>
  <c r="A449" i="38"/>
  <c r="A38" i="38"/>
  <c r="A413" i="38"/>
  <c r="A135" i="38"/>
  <c r="A445" i="38"/>
  <c r="A347" i="38"/>
  <c r="A268" i="38"/>
  <c r="A37" i="38"/>
  <c r="A31" i="38"/>
  <c r="A446" i="38"/>
  <c r="A412" i="38"/>
  <c r="A216" i="8"/>
  <c r="A278" i="8"/>
  <c r="A347" i="8"/>
  <c r="A555" i="8"/>
  <c r="A587" i="8"/>
  <c r="A588" i="8"/>
  <c r="A274" i="8"/>
  <c r="A260" i="8"/>
  <c r="A299" i="8"/>
  <c r="A535" i="8"/>
  <c r="A533" i="8"/>
  <c r="A99" i="8"/>
  <c r="A556" i="8"/>
  <c r="A564" i="8"/>
  <c r="A279" i="8"/>
  <c r="A717" i="8"/>
  <c r="A146" i="6"/>
  <c r="A143" i="6"/>
  <c r="A145" i="6"/>
  <c r="A140" i="6"/>
  <c r="A139" i="6"/>
  <c r="A67" i="6"/>
  <c r="A68" i="6"/>
  <c r="A18" i="6"/>
  <c r="A141" i="6"/>
  <c r="A224" i="6"/>
  <c r="A272" i="6"/>
  <c r="A411" i="30"/>
  <c r="A310" i="30"/>
  <c r="A341" i="30"/>
  <c r="A58" i="30"/>
  <c r="A227" i="30"/>
  <c r="A248" i="30"/>
  <c r="A298" i="30"/>
  <c r="E47" i="57"/>
  <c r="E48" i="57"/>
  <c r="A222" i="34"/>
  <c r="E46" i="57"/>
  <c r="E49" i="57"/>
  <c r="A378" i="34"/>
  <c r="B111" i="2"/>
  <c r="B106" i="2"/>
  <c r="B108" i="2"/>
  <c r="B103" i="2"/>
  <c r="A59" i="27"/>
  <c r="A71" i="27"/>
  <c r="A72" i="27"/>
  <c r="A119" i="6"/>
  <c r="A91" i="6"/>
  <c r="A74" i="31"/>
  <c r="A26" i="31"/>
  <c r="A70" i="31"/>
  <c r="A21" i="31"/>
  <c r="A84" i="31"/>
  <c r="A11" i="31"/>
  <c r="A323" i="30"/>
  <c r="A324" i="30"/>
  <c r="A511" i="8"/>
  <c r="A512" i="8"/>
  <c r="A508" i="8"/>
  <c r="A59" i="7"/>
  <c r="A48" i="37"/>
  <c r="A42" i="37"/>
  <c r="A628" i="39"/>
  <c r="B212" i="1"/>
  <c r="A72" i="38"/>
  <c r="A67" i="38"/>
  <c r="A220" i="38"/>
  <c r="A215" i="38"/>
  <c r="A217" i="38"/>
  <c r="A288" i="38"/>
  <c r="A286" i="38"/>
  <c r="A592" i="38"/>
  <c r="C180" i="29"/>
  <c r="C183" i="29"/>
  <c r="C184" i="29"/>
  <c r="C177" i="29"/>
  <c r="C179" i="29"/>
  <c r="C178" i="29"/>
  <c r="A287" i="38"/>
  <c r="C181" i="29"/>
  <c r="A25" i="35"/>
  <c r="B238" i="1"/>
  <c r="B294" i="1"/>
  <c r="B360" i="1"/>
  <c r="B383" i="1"/>
  <c r="B405" i="1"/>
  <c r="B427" i="1"/>
  <c r="A65" i="6"/>
  <c r="A284" i="8"/>
  <c r="A72" i="28"/>
  <c r="A688" i="39"/>
  <c r="A169" i="6"/>
  <c r="A338" i="8"/>
  <c r="A399" i="8"/>
  <c r="A542" i="8"/>
  <c r="A664" i="39"/>
  <c r="B237" i="1"/>
  <c r="B240" i="1"/>
  <c r="A245" i="38"/>
  <c r="A531" i="38"/>
  <c r="A529" i="38"/>
  <c r="B293" i="1"/>
  <c r="B359" i="1"/>
  <c r="B382" i="1"/>
  <c r="B404" i="1"/>
  <c r="B426" i="1"/>
  <c r="B287" i="1"/>
  <c r="B353" i="1"/>
  <c r="B376" i="1"/>
  <c r="B398" i="1"/>
  <c r="B420" i="1"/>
  <c r="B290" i="1"/>
  <c r="B356" i="1"/>
  <c r="B379" i="1"/>
  <c r="B401" i="1"/>
  <c r="B423" i="1"/>
  <c r="B292" i="1"/>
  <c r="B358" i="1"/>
  <c r="B381" i="1"/>
  <c r="B403" i="1"/>
  <c r="B425" i="1"/>
  <c r="A62" i="6"/>
  <c r="A167" i="6"/>
  <c r="A39" i="6"/>
  <c r="A506" i="8"/>
  <c r="A554" i="39"/>
  <c r="A170" i="35"/>
  <c r="A342" i="8"/>
  <c r="A397" i="30"/>
  <c r="A321" i="38"/>
  <c r="A74" i="28"/>
  <c r="A61" i="6"/>
  <c r="A64" i="6"/>
  <c r="A527" i="38"/>
  <c r="C182" i="29"/>
  <c r="B244" i="1"/>
  <c r="A692" i="39"/>
  <c r="A691" i="39"/>
  <c r="A219" i="38"/>
  <c r="G213" i="1"/>
  <c r="K212" i="1"/>
  <c r="D216" i="1"/>
  <c r="J343" i="1"/>
  <c r="E52" i="57"/>
  <c r="L698" i="1"/>
  <c r="B12" i="5"/>
  <c r="B10" i="5"/>
  <c r="B136" i="5"/>
  <c r="B136" i="32"/>
  <c r="B133" i="5"/>
  <c r="B134" i="5"/>
  <c r="B135" i="5"/>
  <c r="B132" i="5"/>
  <c r="B69" i="28"/>
  <c r="B70" i="28"/>
  <c r="B71" i="28"/>
  <c r="B107" i="2"/>
  <c r="B110" i="2"/>
  <c r="D35" i="29"/>
  <c r="M387" i="38"/>
  <c r="M32" i="35"/>
  <c r="M597" i="39"/>
  <c r="N405" i="34"/>
  <c r="N284" i="6"/>
  <c r="N146" i="6"/>
  <c r="M95" i="37"/>
  <c r="N325" i="6"/>
  <c r="M377" i="38"/>
  <c r="M429" i="39"/>
  <c r="M135" i="37"/>
  <c r="M705" i="38"/>
  <c r="M516" i="8"/>
  <c r="M84" i="7"/>
  <c r="M511" i="39"/>
  <c r="M57" i="35"/>
  <c r="M642" i="39"/>
  <c r="M456" i="38"/>
  <c r="M543" i="38"/>
  <c r="N397" i="34"/>
  <c r="M376" i="39"/>
  <c r="M571" i="39"/>
  <c r="M661" i="8"/>
  <c r="N331" i="6"/>
  <c r="M356" i="8"/>
  <c r="M652" i="8"/>
  <c r="M647" i="8"/>
  <c r="M73" i="37"/>
  <c r="M516" i="38"/>
  <c r="M542" i="8"/>
  <c r="M117" i="35"/>
  <c r="M114" i="35"/>
  <c r="N387" i="30"/>
  <c r="N341" i="34"/>
  <c r="N188" i="6"/>
  <c r="M693" i="38"/>
  <c r="N323" i="6"/>
  <c r="M636" i="39"/>
  <c r="M38" i="7"/>
  <c r="N144" i="30"/>
  <c r="M107" i="37"/>
  <c r="M567" i="38"/>
  <c r="M569" i="38"/>
  <c r="M657" i="8"/>
  <c r="M645" i="38"/>
  <c r="M515" i="38"/>
  <c r="M73" i="35"/>
  <c r="M4" i="9"/>
  <c r="N324" i="34"/>
  <c r="M22" i="37"/>
  <c r="M573" i="39"/>
  <c r="N387" i="34"/>
  <c r="M124" i="37"/>
  <c r="M161" i="37"/>
  <c r="M434" i="8"/>
  <c r="M36" i="35"/>
  <c r="M670" i="39"/>
  <c r="M543" i="39"/>
  <c r="M689" i="38"/>
  <c r="M648" i="38"/>
  <c r="M693" i="39"/>
  <c r="M48" i="7"/>
  <c r="M174" i="35"/>
  <c r="M526" i="8"/>
  <c r="M701" i="38"/>
  <c r="M617" i="39"/>
  <c r="M49" i="37"/>
  <c r="M619" i="39"/>
  <c r="M458" i="38"/>
  <c r="M573" i="8"/>
  <c r="M114" i="7"/>
  <c r="G154" i="2"/>
  <c r="M660" i="38"/>
  <c r="M445" i="8"/>
  <c r="M236" i="8"/>
  <c r="M588" i="38"/>
  <c r="M29" i="7"/>
  <c r="N195" i="6"/>
  <c r="M75" i="37"/>
  <c r="M116" i="35"/>
  <c r="M238" i="8"/>
  <c r="M50" i="7"/>
  <c r="M58" i="7"/>
  <c r="M540" i="8"/>
  <c r="N185" i="6"/>
  <c r="M115" i="7"/>
  <c r="M630" i="8"/>
  <c r="N326" i="30"/>
  <c r="M684" i="8"/>
  <c r="N135" i="34"/>
  <c r="M683" i="8"/>
  <c r="N131" i="34"/>
  <c r="M444" i="8"/>
  <c r="M358" i="38"/>
  <c r="M646" i="8"/>
  <c r="K41" i="8"/>
  <c r="E41" i="8"/>
  <c r="H41" i="8"/>
  <c r="D46" i="38"/>
  <c r="A414" i="38"/>
  <c r="K644" i="1"/>
  <c r="E644" i="1"/>
  <c r="L644" i="1"/>
  <c r="D644" i="1"/>
  <c r="F644" i="1"/>
  <c r="J644" i="1"/>
  <c r="C644" i="1"/>
  <c r="G644" i="1"/>
  <c r="A325" i="6"/>
  <c r="A321" i="6"/>
  <c r="E58" i="6"/>
  <c r="A18" i="27"/>
  <c r="B148" i="29"/>
  <c r="A9" i="28"/>
  <c r="B133" i="4"/>
  <c r="A193" i="6"/>
  <c r="A322" i="6"/>
  <c r="H44" i="6"/>
  <c r="A401" i="34"/>
  <c r="A356" i="6"/>
  <c r="A357" i="6"/>
  <c r="A321" i="30"/>
  <c r="E47" i="6"/>
  <c r="A630" i="8"/>
  <c r="A5" i="5"/>
  <c r="A20" i="31"/>
  <c r="A95" i="37"/>
  <c r="A118" i="7"/>
  <c r="B242" i="1"/>
  <c r="A41" i="27"/>
  <c r="I15" i="37"/>
  <c r="A197" i="6"/>
  <c r="A693" i="39"/>
  <c r="A222" i="38"/>
  <c r="A143" i="38"/>
  <c r="A68" i="38"/>
  <c r="A690" i="39"/>
  <c r="B101" i="2"/>
  <c r="A160" i="37"/>
  <c r="J15" i="37"/>
  <c r="A11" i="27"/>
  <c r="A251" i="8"/>
  <c r="A304" i="39"/>
  <c r="A459" i="38"/>
  <c r="A454" i="38"/>
  <c r="C277" i="1"/>
  <c r="A135" i="28"/>
  <c r="J255" i="1"/>
  <c r="G255" i="1"/>
  <c r="C255" i="1"/>
  <c r="D255" i="1"/>
  <c r="K255" i="1"/>
  <c r="J712" i="8"/>
  <c r="A74" i="32"/>
  <c r="A71" i="32"/>
  <c r="A77" i="7"/>
  <c r="A134" i="6"/>
  <c r="A136" i="6"/>
  <c r="A137" i="6"/>
  <c r="A130" i="6"/>
  <c r="B226" i="1"/>
  <c r="A326" i="38"/>
  <c r="A463" i="38"/>
  <c r="A539" i="38"/>
  <c r="K229" i="1"/>
  <c r="F230" i="1"/>
  <c r="N429" i="6" a="1"/>
  <c r="N429" i="6"/>
  <c r="M156" i="37"/>
  <c r="M500" i="39"/>
  <c r="M638" i="8"/>
  <c r="N200" i="6"/>
  <c r="N275" i="34"/>
  <c r="N277" i="30"/>
  <c r="M626" i="38"/>
  <c r="N265" i="30"/>
  <c r="M48" i="35"/>
  <c r="N197" i="6"/>
  <c r="M692" i="39"/>
  <c r="M84" i="35"/>
  <c r="M694" i="8"/>
  <c r="M154" i="35"/>
  <c r="M596" i="39"/>
  <c r="N335" i="34"/>
  <c r="M86" i="35"/>
  <c r="M579" i="38"/>
  <c r="N194" i="34"/>
  <c r="N130" i="30"/>
  <c r="M154" i="37"/>
  <c r="N403" i="6"/>
  <c r="M522" i="8"/>
  <c r="M510" i="8"/>
  <c r="M369" i="8"/>
  <c r="N393" i="34"/>
  <c r="M430" i="39"/>
  <c r="N407" i="6"/>
  <c r="M616" i="39"/>
  <c r="N393" i="6"/>
  <c r="N326" i="34"/>
  <c r="N402" i="34"/>
  <c r="M695" i="38"/>
  <c r="M535" i="38"/>
  <c r="M588" i="39"/>
  <c r="N200" i="30"/>
  <c r="M235" i="38"/>
  <c r="M109" i="35"/>
  <c r="M656" i="8"/>
  <c r="M688" i="8"/>
  <c r="M67" i="7"/>
  <c r="M534" i="39"/>
  <c r="N395" i="6"/>
  <c r="M627" i="8"/>
  <c r="M373" i="8"/>
  <c r="M706" i="8"/>
  <c r="M426" i="39"/>
  <c r="M637" i="38"/>
  <c r="C39" i="39"/>
  <c r="N286" i="30"/>
  <c r="M146" i="37"/>
  <c r="M45" i="37"/>
  <c r="M457" i="8"/>
  <c r="M129" i="35"/>
  <c r="M153" i="37"/>
  <c r="M237" i="8"/>
  <c r="M659" i="39"/>
  <c r="M497" i="39"/>
  <c r="M63" i="35"/>
  <c r="M129" i="37"/>
  <c r="M364" i="38"/>
  <c r="M601" i="38"/>
  <c r="M34" i="7"/>
  <c r="M54" i="35"/>
  <c r="N397" i="6"/>
  <c r="M123" i="35"/>
  <c r="M654" i="8"/>
  <c r="M44" i="7"/>
  <c r="N272" i="30"/>
  <c r="M82" i="35"/>
  <c r="M447" i="8"/>
  <c r="N199" i="6"/>
  <c r="M689" i="8"/>
  <c r="N442" i="30"/>
  <c r="M533" i="38"/>
  <c r="M35" i="35"/>
  <c r="M459" i="8"/>
  <c r="N132" i="6"/>
  <c r="M114" i="37"/>
  <c r="M617" i="8"/>
  <c r="M156" i="35"/>
  <c r="N184" i="34"/>
  <c r="M375" i="8"/>
  <c r="N341" i="30"/>
  <c r="N290" i="34"/>
  <c r="M448" i="39"/>
  <c r="M624" i="39"/>
  <c r="M385" i="39"/>
  <c r="M624" i="38"/>
  <c r="M608" i="39"/>
  <c r="N320" i="30"/>
  <c r="M132" i="35"/>
  <c r="M533" i="39"/>
  <c r="M23" i="9"/>
  <c r="M164" i="7"/>
  <c r="N340" i="34"/>
  <c r="M31" i="9"/>
  <c r="M56" i="7"/>
  <c r="M504" i="8"/>
  <c r="M33" i="9"/>
  <c r="M362" i="39"/>
  <c r="N334" i="6"/>
  <c r="N265" i="34"/>
  <c r="M453" i="38"/>
  <c r="M682" i="39"/>
  <c r="N320" i="34"/>
  <c r="M699" i="38"/>
  <c r="M556" i="38"/>
  <c r="N332" i="30"/>
  <c r="N321" i="6"/>
  <c r="M26" i="7"/>
  <c r="M683" i="39"/>
  <c r="M499" i="39"/>
  <c r="N143" i="30"/>
  <c r="N329" i="30"/>
  <c r="M584" i="39"/>
  <c r="M623" i="8"/>
  <c r="M373" i="38"/>
  <c r="M134" i="7"/>
  <c r="N335" i="6"/>
  <c r="M28" i="7"/>
  <c r="M148" i="7"/>
  <c r="M29" i="35"/>
  <c r="M365" i="39"/>
  <c r="M453" i="39"/>
  <c r="M38" i="35"/>
  <c r="M366" i="39"/>
  <c r="M118" i="7"/>
  <c r="M530" i="39"/>
  <c r="M607" i="8"/>
  <c r="M538" i="39"/>
  <c r="M581" i="39"/>
  <c r="M547" i="38"/>
  <c r="M103" i="7"/>
  <c r="M606" i="8"/>
  <c r="M536" i="8"/>
  <c r="M87" i="35"/>
  <c r="N145" i="6"/>
  <c r="N140" i="30"/>
  <c r="M635" i="8"/>
  <c r="M50" i="35"/>
  <c r="N270" i="34"/>
  <c r="N392" i="34"/>
  <c r="M366" i="8"/>
  <c r="M650" i="8"/>
  <c r="N197" i="34"/>
  <c r="M63" i="7"/>
  <c r="N178" i="6"/>
  <c r="M580" i="38"/>
  <c r="M675" i="8"/>
  <c r="M673" i="8"/>
  <c r="M572" i="38"/>
  <c r="M33" i="7"/>
  <c r="M437" i="8"/>
  <c r="M168" i="37"/>
  <c r="N384" i="34"/>
  <c r="M671" i="39"/>
  <c r="M385" i="38"/>
  <c r="M668" i="39"/>
  <c r="N135" i="30"/>
  <c r="G147" i="2"/>
  <c r="M458" i="8"/>
  <c r="M444" i="39"/>
  <c r="N409" i="30" a="1"/>
  <c r="M117" i="37"/>
  <c r="M670" i="8"/>
  <c r="M79" i="7"/>
  <c r="N388" i="6"/>
  <c r="M644" i="8"/>
  <c r="M700" i="38"/>
  <c r="M621" i="39"/>
  <c r="M118" i="35"/>
  <c r="N334" i="34"/>
  <c r="M30" i="37"/>
  <c r="N287" i="34"/>
  <c r="M602" i="8"/>
  <c r="M561" i="39"/>
  <c r="B39" i="39"/>
  <c r="M49" i="35"/>
  <c r="M128" i="35"/>
  <c r="M50" i="37"/>
  <c r="N194" i="6"/>
  <c r="M639" i="8"/>
  <c r="M589" i="38"/>
  <c r="M108" i="35"/>
  <c r="M359" i="39"/>
  <c r="M612" i="39"/>
  <c r="M428" i="38"/>
  <c r="M89" i="7"/>
  <c r="N266" i="30"/>
  <c r="M366" i="38"/>
  <c r="N272" i="34"/>
  <c r="M630" i="39"/>
  <c r="M70" i="7"/>
  <c r="M166" i="7"/>
  <c r="M367" i="8"/>
  <c r="M164" i="37"/>
  <c r="D39" i="39"/>
  <c r="M87" i="7"/>
  <c r="M24" i="7"/>
  <c r="M116" i="37"/>
  <c r="M357" i="8"/>
  <c r="M634" i="38"/>
  <c r="M455" i="39"/>
  <c r="N190" i="6"/>
  <c r="M376" i="8"/>
  <c r="N281" i="30"/>
  <c r="M698" i="8"/>
  <c r="M138" i="7"/>
  <c r="M597" i="38"/>
  <c r="M611" i="38"/>
  <c r="M593" i="8"/>
  <c r="M387" i="8"/>
  <c r="M678" i="8"/>
  <c r="M365" i="38"/>
  <c r="M661" i="38"/>
  <c r="M691" i="38"/>
  <c r="N271" i="6"/>
  <c r="N143" i="34"/>
  <c r="N132" i="30"/>
  <c r="M527" i="38"/>
  <c r="M362" i="38"/>
  <c r="M597" i="8"/>
  <c r="M590" i="39"/>
  <c r="M596" i="38"/>
  <c r="M137" i="7"/>
  <c r="N383" i="6"/>
  <c r="N325" i="30"/>
  <c r="M165" i="7"/>
  <c r="M93" i="7"/>
  <c r="M89" i="35"/>
  <c r="M36" i="37"/>
  <c r="M437" i="38"/>
  <c r="M378" i="38"/>
  <c r="M57" i="7"/>
  <c r="A653" i="1"/>
  <c r="A8" i="3"/>
  <c r="A73" i="5"/>
  <c r="A68" i="5"/>
  <c r="A69" i="5"/>
  <c r="A74" i="5"/>
  <c r="A172" i="6"/>
  <c r="A376" i="6"/>
  <c r="A396" i="6"/>
  <c r="A393" i="6"/>
  <c r="A67" i="28"/>
  <c r="A28" i="31"/>
  <c r="A27" i="31"/>
  <c r="A72" i="31"/>
  <c r="A73" i="31"/>
  <c r="A36" i="32"/>
  <c r="A41" i="32"/>
  <c r="A34" i="8"/>
  <c r="A25" i="7"/>
  <c r="A26" i="7"/>
  <c r="A24" i="7"/>
  <c r="A29" i="7"/>
  <c r="A64" i="7"/>
  <c r="A96" i="7"/>
  <c r="A97" i="7"/>
  <c r="A142" i="7"/>
  <c r="A176" i="7"/>
  <c r="A173" i="7"/>
  <c r="A669" i="8"/>
  <c r="A46" i="35"/>
  <c r="A154" i="35"/>
  <c r="A153" i="35"/>
  <c r="A124" i="37"/>
  <c r="A125" i="37"/>
  <c r="A171" i="37"/>
  <c r="A173" i="37"/>
  <c r="A174" i="37"/>
  <c r="A9" i="39"/>
  <c r="A8" i="39"/>
  <c r="A12" i="39"/>
  <c r="A37" i="39"/>
  <c r="A35" i="39"/>
  <c r="A34" i="39"/>
  <c r="A103" i="39"/>
  <c r="A108" i="39"/>
  <c r="A109" i="39"/>
  <c r="A107" i="39"/>
  <c r="A319" i="39"/>
  <c r="A320" i="39"/>
  <c r="A323" i="39"/>
  <c r="A498" i="39"/>
  <c r="A535" i="39"/>
  <c r="A533" i="39"/>
  <c r="A574" i="39"/>
  <c r="A138" i="7"/>
  <c r="B152" i="1"/>
  <c r="B155" i="1"/>
  <c r="B154" i="1"/>
  <c r="B156" i="1"/>
  <c r="A121" i="38"/>
  <c r="A160" i="38"/>
  <c r="A200" i="38"/>
  <c r="A202" i="38"/>
  <c r="A203" i="38"/>
  <c r="A197" i="38"/>
  <c r="A270" i="38"/>
  <c r="A336" i="38"/>
  <c r="A335" i="38"/>
  <c r="A434" i="38"/>
  <c r="A437" i="38"/>
  <c r="A519" i="38"/>
  <c r="G366" i="1"/>
  <c r="A89" i="6"/>
  <c r="A172" i="7"/>
  <c r="A24" i="31"/>
  <c r="A76" i="31"/>
  <c r="A597" i="8"/>
  <c r="A603" i="8"/>
  <c r="A67" i="5"/>
  <c r="A70" i="28"/>
  <c r="A139" i="7"/>
  <c r="A398" i="6"/>
  <c r="B159" i="1"/>
  <c r="A38" i="32"/>
  <c r="A126" i="37"/>
  <c r="A201" i="38"/>
  <c r="A177" i="37"/>
  <c r="A150" i="35"/>
  <c r="A156" i="35"/>
  <c r="A23" i="7"/>
  <c r="A172" i="37"/>
  <c r="A145" i="7"/>
  <c r="A106" i="39"/>
  <c r="A75" i="27"/>
  <c r="A23" i="31"/>
  <c r="A29" i="31"/>
  <c r="A383" i="34"/>
  <c r="A37" i="32"/>
  <c r="A40" i="32"/>
  <c r="A69" i="31"/>
  <c r="A602" i="8"/>
  <c r="A72" i="5"/>
  <c r="A104" i="39"/>
  <c r="A170" i="37"/>
  <c r="A92" i="7"/>
  <c r="A66" i="7"/>
  <c r="A10" i="39"/>
  <c r="L216" i="1"/>
  <c r="B11" i="5"/>
  <c r="B11" i="32"/>
  <c r="B7" i="5"/>
  <c r="B7" i="32"/>
  <c r="K83" i="6"/>
  <c r="A266" i="6"/>
  <c r="K214" i="1"/>
  <c r="C41" i="8"/>
  <c r="J41" i="8"/>
  <c r="A689" i="39"/>
  <c r="A687" i="39"/>
  <c r="E255" i="1"/>
  <c r="I255" i="1"/>
  <c r="A33" i="38"/>
  <c r="A306" i="6"/>
  <c r="B289" i="1"/>
  <c r="B355" i="1"/>
  <c r="B378" i="1"/>
  <c r="B400" i="1"/>
  <c r="B422" i="1"/>
  <c r="I215" i="1"/>
  <c r="K216" i="1"/>
  <c r="A135" i="6"/>
  <c r="A133" i="6"/>
  <c r="E228" i="1"/>
  <c r="G233" i="1"/>
  <c r="N286" i="34"/>
  <c r="M580" i="8"/>
  <c r="M520" i="8"/>
  <c r="M167" i="37"/>
  <c r="N270" i="6"/>
  <c r="N142" i="6"/>
  <c r="M574" i="38"/>
  <c r="M521" i="39"/>
  <c r="M589" i="39"/>
  <c r="M90" i="37"/>
  <c r="M125" i="35"/>
  <c r="M554" i="38"/>
  <c r="A36" i="3"/>
  <c r="A34" i="3"/>
  <c r="A33" i="3"/>
  <c r="A37" i="3"/>
  <c r="A35" i="3"/>
  <c r="A37" i="28"/>
  <c r="A41" i="28"/>
  <c r="A39" i="28"/>
  <c r="A36" i="28"/>
  <c r="A40" i="28"/>
  <c r="I28" i="30"/>
  <c r="H28" i="30"/>
  <c r="C28" i="30"/>
  <c r="J28" i="30"/>
  <c r="E28" i="30"/>
  <c r="D28" i="30"/>
  <c r="A338" i="30"/>
  <c r="A339" i="30"/>
  <c r="A340" i="30"/>
  <c r="A343" i="30"/>
  <c r="A18" i="8"/>
  <c r="A22" i="8"/>
  <c r="A52" i="35"/>
  <c r="A119" i="35"/>
  <c r="A63" i="37"/>
  <c r="A65" i="37"/>
  <c r="A68" i="37"/>
  <c r="A62" i="37"/>
  <c r="A69" i="37"/>
  <c r="A64" i="37"/>
  <c r="A67" i="37"/>
  <c r="A66" i="37"/>
  <c r="A102" i="37"/>
  <c r="A107" i="37"/>
  <c r="A109" i="37"/>
  <c r="A108" i="37"/>
  <c r="A105" i="37"/>
  <c r="A103" i="37"/>
  <c r="A104" i="37"/>
  <c r="A118" i="39"/>
  <c r="A113" i="39"/>
  <c r="A112" i="39"/>
  <c r="A115" i="39"/>
  <c r="A117" i="39"/>
  <c r="A114" i="39"/>
  <c r="A172" i="39"/>
  <c r="A247" i="39"/>
  <c r="A252" i="39"/>
  <c r="A251" i="39"/>
  <c r="A249" i="39"/>
  <c r="A546" i="39"/>
  <c r="A634" i="39"/>
  <c r="A240" i="1"/>
  <c r="A242" i="1"/>
  <c r="A239" i="1"/>
  <c r="A243" i="1"/>
  <c r="A244" i="1"/>
  <c r="A241" i="1"/>
  <c r="A238" i="1"/>
  <c r="A237" i="1"/>
  <c r="A6" i="38"/>
  <c r="A119" i="38"/>
  <c r="A691" i="38"/>
  <c r="A688" i="38"/>
  <c r="E4" i="3"/>
  <c r="A129" i="32"/>
  <c r="B100" i="28"/>
  <c r="B100" i="32"/>
  <c r="B105" i="28"/>
  <c r="B98" i="28"/>
  <c r="B101" i="28"/>
  <c r="B101" i="32"/>
  <c r="B99" i="28"/>
  <c r="B99" i="32"/>
  <c r="J198" i="57"/>
  <c r="H4" i="27"/>
  <c r="E4" i="27"/>
  <c r="G4" i="28"/>
  <c r="L4" i="28"/>
  <c r="C4" i="28"/>
  <c r="F4" i="28"/>
  <c r="H4" i="28"/>
  <c r="K4" i="28"/>
  <c r="J4" i="28"/>
  <c r="D4" i="28"/>
  <c r="A190" i="34"/>
  <c r="A72" i="35"/>
  <c r="A143" i="37"/>
  <c r="A450" i="39"/>
  <c r="A584" i="39"/>
  <c r="K142" i="1"/>
  <c r="J382" i="1"/>
  <c r="J426" i="1"/>
  <c r="J378" i="1"/>
  <c r="J400" i="1"/>
  <c r="G376" i="1"/>
  <c r="G420" i="1"/>
  <c r="F381" i="1"/>
  <c r="D381" i="1"/>
  <c r="K381" i="1"/>
  <c r="K403" i="1"/>
  <c r="C376" i="1"/>
  <c r="F382" i="1"/>
  <c r="F426" i="1"/>
  <c r="E378" i="1"/>
  <c r="E400" i="1"/>
  <c r="K382" i="1"/>
  <c r="K404" i="1"/>
  <c r="C383" i="1"/>
  <c r="C405" i="1"/>
  <c r="G382" i="1"/>
  <c r="F380" i="1"/>
  <c r="D380" i="1"/>
  <c r="L380" i="1"/>
  <c r="L424" i="1"/>
  <c r="I377" i="1"/>
  <c r="I421" i="1"/>
  <c r="J381" i="1"/>
  <c r="J425" i="1"/>
  <c r="J383" i="1"/>
  <c r="J427" i="1"/>
  <c r="H382" i="1"/>
  <c r="H404" i="1"/>
  <c r="H376" i="1"/>
  <c r="C382" i="1"/>
  <c r="F378" i="1"/>
  <c r="D378" i="1"/>
  <c r="D400" i="1"/>
  <c r="G378" i="1"/>
  <c r="G400" i="1"/>
  <c r="L382" i="1"/>
  <c r="L426" i="1"/>
  <c r="H380" i="1"/>
  <c r="H424" i="1"/>
  <c r="D377" i="1"/>
  <c r="D421" i="1"/>
  <c r="L376" i="1"/>
  <c r="J377" i="1"/>
  <c r="F376" i="1"/>
  <c r="F398" i="1"/>
  <c r="F383" i="1"/>
  <c r="F427" i="1"/>
  <c r="I379" i="1"/>
  <c r="I401" i="1"/>
  <c r="D383" i="1"/>
  <c r="D427" i="1"/>
  <c r="A6" i="6"/>
  <c r="A7" i="6"/>
  <c r="A8" i="6"/>
  <c r="A11" i="6"/>
  <c r="A9" i="6"/>
  <c r="A5" i="6"/>
  <c r="A10" i="6"/>
  <c r="A4" i="6"/>
  <c r="A102" i="6"/>
  <c r="E50" i="30"/>
  <c r="A410" i="30"/>
  <c r="A38" i="28"/>
  <c r="A173" i="39"/>
  <c r="F46" i="30"/>
  <c r="A103" i="5"/>
  <c r="A104" i="5"/>
  <c r="A99" i="5"/>
  <c r="A34" i="27"/>
  <c r="A36" i="27"/>
  <c r="A39" i="27"/>
  <c r="A38" i="27"/>
  <c r="A35" i="27"/>
  <c r="A32" i="27"/>
  <c r="A33" i="27"/>
  <c r="A37" i="27"/>
  <c r="B140" i="29"/>
  <c r="B135" i="29"/>
  <c r="B134" i="29"/>
  <c r="B139" i="29"/>
  <c r="A38" i="30"/>
  <c r="A39" i="30"/>
  <c r="A34" i="30"/>
  <c r="A37" i="30"/>
  <c r="A243" i="34"/>
  <c r="A245" i="34"/>
  <c r="A238" i="34"/>
  <c r="A54" i="8"/>
  <c r="A52" i="8"/>
  <c r="A98" i="35"/>
  <c r="A34" i="37"/>
  <c r="A33" i="37"/>
  <c r="A39" i="37"/>
  <c r="A35" i="37"/>
  <c r="A37" i="37"/>
  <c r="A82" i="37"/>
  <c r="A83" i="37"/>
  <c r="A89" i="37"/>
  <c r="A88" i="37"/>
  <c r="A87" i="37"/>
  <c r="A86" i="37"/>
  <c r="A84" i="37"/>
  <c r="A85" i="37"/>
  <c r="A142" i="39"/>
  <c r="A139" i="39"/>
  <c r="A191" i="39"/>
  <c r="A193" i="39"/>
  <c r="A187" i="39"/>
  <c r="A192" i="39"/>
  <c r="A188" i="39"/>
  <c r="A315" i="39"/>
  <c r="A513" i="39"/>
  <c r="A507" i="39"/>
  <c r="A509" i="39"/>
  <c r="A605" i="39"/>
  <c r="A608" i="39"/>
  <c r="A415" i="30"/>
  <c r="F209" i="1"/>
  <c r="G209" i="1"/>
  <c r="J209" i="1"/>
  <c r="D209" i="1"/>
  <c r="H209" i="1"/>
  <c r="I209" i="1"/>
  <c r="L209" i="1"/>
  <c r="C209" i="1"/>
  <c r="A633" i="38"/>
  <c r="A632" i="38"/>
  <c r="A637" i="38"/>
  <c r="A639" i="38"/>
  <c r="A635" i="38"/>
  <c r="A638" i="38"/>
  <c r="A665" i="38"/>
  <c r="A663" i="38"/>
  <c r="A659" i="38"/>
  <c r="A664" i="38"/>
  <c r="M35" i="4"/>
  <c r="G35" i="4"/>
  <c r="J35" i="4"/>
  <c r="F35" i="4"/>
  <c r="H35" i="4"/>
  <c r="B37" i="5"/>
  <c r="B37" i="32"/>
  <c r="B41" i="5"/>
  <c r="B38" i="5"/>
  <c r="B43" i="5"/>
  <c r="B39" i="5"/>
  <c r="B42" i="5"/>
  <c r="B40" i="5"/>
  <c r="B40" i="32"/>
  <c r="C131" i="4"/>
  <c r="C131" i="29"/>
  <c r="L149" i="57"/>
  <c r="J160" i="57"/>
  <c r="A43" i="1"/>
  <c r="A45" i="1"/>
  <c r="A48" i="1"/>
  <c r="A44" i="1"/>
  <c r="A42" i="1"/>
  <c r="A46" i="1"/>
  <c r="A49" i="1"/>
  <c r="A47" i="1"/>
  <c r="A103" i="6"/>
  <c r="K29" i="6"/>
  <c r="A38" i="3"/>
  <c r="E209" i="1"/>
  <c r="A290" i="34"/>
  <c r="A24" i="8"/>
  <c r="A692" i="38"/>
  <c r="A100" i="30"/>
  <c r="A241" i="34"/>
  <c r="A7" i="38"/>
  <c r="A189" i="39"/>
  <c r="A190" i="39"/>
  <c r="A40" i="30"/>
  <c r="K379" i="1"/>
  <c r="A661" i="38"/>
  <c r="A38" i="37"/>
  <c r="A116" i="39"/>
  <c r="B36" i="5"/>
  <c r="B36" i="32"/>
  <c r="K198" i="57"/>
  <c r="N437" i="34"/>
  <c r="A38" i="5"/>
  <c r="A5" i="3"/>
  <c r="G162" i="1"/>
  <c r="I162" i="1"/>
  <c r="D162" i="1"/>
  <c r="A60" i="3"/>
  <c r="K39" i="6"/>
  <c r="K162" i="1"/>
  <c r="A566" i="8"/>
  <c r="A563" i="8"/>
  <c r="A85" i="7"/>
  <c r="A150" i="7"/>
  <c r="E3" i="9"/>
  <c r="A675" i="38"/>
  <c r="A205" i="6"/>
  <c r="H255" i="1"/>
  <c r="F255" i="1"/>
  <c r="L255" i="1"/>
  <c r="A220" i="8"/>
  <c r="A326" i="30"/>
  <c r="A319" i="30"/>
  <c r="A74" i="7"/>
  <c r="A78" i="7"/>
  <c r="A73" i="7"/>
  <c r="A525" i="39"/>
  <c r="B224" i="1"/>
  <c r="B225" i="1"/>
  <c r="A130" i="8"/>
  <c r="A418" i="38"/>
  <c r="A420" i="38"/>
  <c r="F231" i="1"/>
  <c r="I234" i="1"/>
  <c r="D235" i="1"/>
  <c r="C234" i="1"/>
  <c r="I15" i="35"/>
  <c r="K15" i="35"/>
  <c r="B72" i="28"/>
  <c r="B68" i="28"/>
  <c r="A649" i="1"/>
  <c r="A650" i="1"/>
  <c r="A296" i="39"/>
  <c r="A364" i="6"/>
  <c r="A5" i="27"/>
  <c r="A440" i="1"/>
  <c r="A490" i="1"/>
  <c r="A540" i="1"/>
  <c r="F343" i="1"/>
  <c r="A101" i="8"/>
  <c r="A100" i="8"/>
  <c r="A629" i="8"/>
  <c r="A627" i="8"/>
  <c r="A625" i="8"/>
  <c r="A578" i="39"/>
  <c r="A585" i="39"/>
  <c r="B5" i="5"/>
  <c r="B5" i="32"/>
  <c r="B8" i="5"/>
  <c r="B8" i="32"/>
  <c r="A101" i="6"/>
  <c r="A98" i="6"/>
  <c r="A97" i="6"/>
  <c r="A104" i="6"/>
  <c r="A100" i="6"/>
  <c r="A83" i="7"/>
  <c r="A36" i="37"/>
  <c r="A32" i="37"/>
  <c r="A422" i="38"/>
  <c r="A481" i="38"/>
  <c r="A70" i="27"/>
  <c r="A69" i="27"/>
  <c r="B73" i="28"/>
  <c r="B67" i="28"/>
  <c r="B74" i="28"/>
  <c r="D376" i="1"/>
  <c r="E376" i="1"/>
  <c r="H383" i="1"/>
  <c r="H427" i="1"/>
  <c r="L379" i="1"/>
  <c r="L423" i="1"/>
  <c r="G379" i="1"/>
  <c r="G423" i="1"/>
  <c r="A669" i="1"/>
  <c r="A654" i="1"/>
  <c r="A670" i="1"/>
  <c r="A651" i="1"/>
  <c r="A655" i="1"/>
  <c r="A667" i="1"/>
  <c r="A652" i="1"/>
  <c r="A660" i="1"/>
  <c r="A372" i="38"/>
  <c r="N97" i="4"/>
  <c r="N123" i="29"/>
  <c r="N99" i="40"/>
  <c r="N123" i="40"/>
  <c r="N113" i="29"/>
  <c r="N125" i="40"/>
  <c r="N101" i="29"/>
  <c r="N95" i="40"/>
  <c r="N125" i="29"/>
  <c r="N127" i="29"/>
  <c r="N101" i="4"/>
  <c r="N102" i="29"/>
  <c r="N109" i="4"/>
  <c r="N102" i="40"/>
  <c r="N103" i="4"/>
  <c r="N127" i="4"/>
  <c r="N109" i="40"/>
  <c r="N96" i="29"/>
  <c r="N113" i="40"/>
  <c r="N113" i="4"/>
  <c r="N112" i="29"/>
  <c r="N109" i="29"/>
  <c r="N111" i="4"/>
  <c r="N112" i="40"/>
  <c r="N107" i="40"/>
  <c r="N126" i="29"/>
  <c r="N103" i="40"/>
  <c r="N98" i="40"/>
  <c r="N111" i="40"/>
  <c r="N101" i="40"/>
  <c r="N102" i="4"/>
  <c r="N126" i="40"/>
  <c r="N99" i="29"/>
  <c r="N103" i="29"/>
  <c r="N94" i="40"/>
  <c r="N97" i="40"/>
  <c r="N126" i="4"/>
  <c r="N123" i="4"/>
  <c r="N121" i="40"/>
  <c r="C184" i="40"/>
  <c r="A206" i="39"/>
  <c r="A208" i="39"/>
  <c r="A209" i="39"/>
  <c r="A211" i="39"/>
  <c r="A207" i="39"/>
  <c r="A683" i="39"/>
  <c r="A679" i="39"/>
  <c r="A414" i="6"/>
  <c r="A178" i="38"/>
  <c r="A184" i="38"/>
  <c r="A273" i="38"/>
  <c r="A180" i="38"/>
  <c r="A183" i="38"/>
  <c r="H58" i="6"/>
  <c r="K55" i="6"/>
  <c r="A421" i="6"/>
  <c r="C182" i="4"/>
  <c r="C180" i="40"/>
  <c r="N127" i="40"/>
  <c r="A213" i="39"/>
  <c r="A179" i="38"/>
  <c r="A191" i="8"/>
  <c r="A189" i="8"/>
  <c r="A193" i="8"/>
  <c r="A187" i="8"/>
  <c r="A309" i="8"/>
  <c r="A417" i="8"/>
  <c r="A421" i="8"/>
  <c r="A700" i="38"/>
  <c r="A697" i="38"/>
  <c r="A701" i="38"/>
  <c r="A702" i="38"/>
  <c r="C181" i="4"/>
  <c r="C178" i="4"/>
  <c r="C179" i="4"/>
  <c r="C180" i="4"/>
  <c r="N96" i="4"/>
  <c r="A190" i="8"/>
  <c r="A188" i="8"/>
  <c r="N125" i="4"/>
  <c r="C177" i="4"/>
  <c r="C177" i="40"/>
  <c r="C183" i="4"/>
  <c r="A16" i="3"/>
  <c r="A20" i="3"/>
  <c r="A18" i="3"/>
  <c r="A14" i="3"/>
  <c r="A17" i="3"/>
  <c r="B142" i="4"/>
  <c r="B149" i="4"/>
  <c r="A74" i="3"/>
  <c r="A76" i="3"/>
  <c r="A75" i="3"/>
  <c r="A71" i="3"/>
  <c r="A70" i="3"/>
  <c r="H55" i="6"/>
  <c r="E53" i="6"/>
  <c r="I58" i="6"/>
  <c r="K59" i="6"/>
  <c r="G59" i="6"/>
  <c r="L59" i="6"/>
  <c r="K58" i="6"/>
  <c r="L57" i="6"/>
  <c r="F55" i="6"/>
  <c r="J58" i="6"/>
  <c r="I56" i="6"/>
  <c r="G55" i="6"/>
  <c r="H56" i="6"/>
  <c r="I55" i="6"/>
  <c r="F52" i="6"/>
  <c r="A251" i="6"/>
  <c r="A250" i="6"/>
  <c r="A406" i="6"/>
  <c r="A404" i="6"/>
  <c r="A401" i="6"/>
  <c r="A420" i="6"/>
  <c r="A61" i="34"/>
  <c r="A164" i="34"/>
  <c r="A253" i="34"/>
  <c r="A311" i="34"/>
  <c r="A144" i="8"/>
  <c r="A615" i="8"/>
  <c r="A10" i="35"/>
  <c r="A7" i="35"/>
  <c r="A23" i="35"/>
  <c r="A24" i="35"/>
  <c r="A27" i="35"/>
  <c r="A70" i="39"/>
  <c r="A73" i="39"/>
  <c r="A71" i="39"/>
  <c r="A67" i="39"/>
  <c r="A74" i="39"/>
  <c r="A72" i="39"/>
  <c r="A168" i="39"/>
  <c r="A171" i="39"/>
  <c r="A167" i="39"/>
  <c r="A174" i="39"/>
  <c r="A592" i="39"/>
  <c r="A646" i="39"/>
  <c r="A642" i="39"/>
  <c r="A137" i="30"/>
  <c r="A131" i="30"/>
  <c r="A132" i="30"/>
  <c r="A130" i="30"/>
  <c r="A83" i="38"/>
  <c r="A302" i="38"/>
  <c r="A300" i="38"/>
  <c r="A303" i="38"/>
  <c r="A299" i="38"/>
  <c r="A301" i="38"/>
  <c r="A304" i="38"/>
  <c r="A306" i="38"/>
  <c r="A313" i="34"/>
  <c r="A400" i="6"/>
  <c r="A333" i="6"/>
  <c r="A73" i="3"/>
  <c r="A19" i="3"/>
  <c r="K54" i="6"/>
  <c r="L58" i="6"/>
  <c r="L56" i="6"/>
  <c r="A192" i="8"/>
  <c r="C181" i="40"/>
  <c r="A69" i="3"/>
  <c r="N108" i="40"/>
  <c r="A170" i="39"/>
  <c r="A403" i="6"/>
  <c r="N96" i="40"/>
  <c r="A69" i="39"/>
  <c r="A27" i="3"/>
  <c r="H4" i="5"/>
  <c r="G4" i="5"/>
  <c r="A46" i="3"/>
  <c r="A47" i="3"/>
  <c r="E224" i="1"/>
  <c r="A596" i="1"/>
  <c r="A702" i="1"/>
  <c r="A599" i="1"/>
  <c r="A705" i="1"/>
  <c r="A598" i="1"/>
  <c r="A704" i="1"/>
  <c r="A600" i="1"/>
  <c r="A706" i="1"/>
  <c r="A595" i="1"/>
  <c r="A701" i="1"/>
  <c r="J105" i="57"/>
  <c r="A129" i="28"/>
  <c r="A136" i="28"/>
  <c r="A131" i="28"/>
  <c r="A134" i="28"/>
  <c r="B100" i="5"/>
  <c r="A93" i="7"/>
  <c r="A94" i="7"/>
  <c r="A98" i="7"/>
  <c r="A95" i="7"/>
  <c r="A144" i="7"/>
  <c r="A146" i="7"/>
  <c r="A147" i="7"/>
  <c r="A644" i="8"/>
  <c r="A647" i="8"/>
  <c r="A116" i="35"/>
  <c r="A166" i="35"/>
  <c r="A148" i="37"/>
  <c r="A99" i="39"/>
  <c r="A222" i="39"/>
  <c r="A402" i="39"/>
  <c r="A401" i="39"/>
  <c r="A522" i="39"/>
  <c r="A548" i="39"/>
  <c r="A549" i="39"/>
  <c r="A650" i="39"/>
  <c r="A134" i="7"/>
  <c r="A136" i="7"/>
  <c r="J142" i="1"/>
  <c r="A22" i="38"/>
  <c r="A20" i="38"/>
  <c r="F28" i="6"/>
  <c r="G28" i="6"/>
  <c r="K28" i="6"/>
  <c r="I28" i="6"/>
  <c r="A88" i="38"/>
  <c r="A211" i="8"/>
  <c r="A206" i="8"/>
  <c r="A448" i="8"/>
  <c r="A443" i="8"/>
  <c r="L34" i="40"/>
  <c r="A464" i="1"/>
  <c r="A514" i="1"/>
  <c r="A564" i="1"/>
  <c r="D211" i="1"/>
  <c r="D215" i="1"/>
  <c r="I212" i="1"/>
  <c r="E213" i="1"/>
  <c r="F211" i="1"/>
  <c r="H215" i="1"/>
  <c r="H211" i="1"/>
  <c r="H213" i="1"/>
  <c r="F213" i="1"/>
  <c r="D213" i="1"/>
  <c r="F215" i="1"/>
  <c r="L213" i="1"/>
  <c r="F214" i="1"/>
  <c r="L215" i="1"/>
  <c r="L217" i="1"/>
  <c r="I210" i="1"/>
  <c r="L214" i="1"/>
  <c r="C210" i="1"/>
  <c r="I213" i="1"/>
  <c r="C214" i="1"/>
  <c r="L210" i="1"/>
  <c r="D214" i="1"/>
  <c r="L211" i="1"/>
  <c r="J212" i="1"/>
  <c r="F216" i="1"/>
  <c r="J211" i="1"/>
  <c r="D212" i="1"/>
  <c r="E214" i="1"/>
  <c r="K213" i="1"/>
  <c r="F212" i="1"/>
  <c r="F210" i="1"/>
  <c r="C215" i="1"/>
  <c r="G214" i="1"/>
  <c r="H216" i="1"/>
  <c r="C212" i="1"/>
  <c r="H210" i="1"/>
  <c r="C211" i="1"/>
  <c r="I211" i="1"/>
  <c r="I214" i="1"/>
  <c r="G215" i="1"/>
  <c r="G217" i="1"/>
  <c r="E217" i="1"/>
  <c r="C216" i="1"/>
  <c r="D210" i="1"/>
  <c r="J216" i="1"/>
  <c r="E210" i="1"/>
  <c r="J213" i="1"/>
  <c r="I217" i="1"/>
  <c r="J214" i="1"/>
  <c r="G216" i="1"/>
  <c r="K210" i="1"/>
  <c r="K217" i="1"/>
  <c r="H214" i="1"/>
  <c r="K211" i="1"/>
  <c r="E215" i="1"/>
  <c r="D238" i="1"/>
  <c r="D243" i="1"/>
  <c r="I241" i="1"/>
  <c r="E238" i="1"/>
  <c r="J243" i="1"/>
  <c r="L242" i="1"/>
  <c r="E244" i="1"/>
  <c r="L237" i="1"/>
  <c r="G242" i="1"/>
  <c r="G244" i="1"/>
  <c r="D240" i="1"/>
  <c r="L240" i="1"/>
  <c r="J244" i="1"/>
  <c r="H239" i="1"/>
  <c r="H242" i="1"/>
  <c r="I240" i="1"/>
  <c r="D242" i="1"/>
  <c r="A627" i="1"/>
  <c r="A733" i="1"/>
  <c r="A623" i="1"/>
  <c r="A729" i="1"/>
  <c r="A620" i="1"/>
  <c r="A726" i="1"/>
  <c r="I342" i="1"/>
  <c r="D342" i="1"/>
  <c r="F342" i="1"/>
  <c r="K342" i="1"/>
  <c r="E342" i="1"/>
  <c r="J587" i="1"/>
  <c r="A120" i="34"/>
  <c r="A121" i="34"/>
  <c r="A62" i="27"/>
  <c r="A57" i="27"/>
  <c r="A58" i="27"/>
  <c r="A56" i="27"/>
  <c r="A61" i="27"/>
  <c r="A60" i="27"/>
  <c r="A171" i="35"/>
  <c r="A175" i="35"/>
  <c r="A448" i="38"/>
  <c r="A444" i="38"/>
  <c r="E698" i="1"/>
  <c r="H698" i="1"/>
  <c r="G698" i="1"/>
  <c r="B105" i="2"/>
  <c r="B109" i="2"/>
  <c r="L28" i="34"/>
  <c r="A76" i="27"/>
  <c r="A74" i="27"/>
  <c r="N437" i="6"/>
  <c r="K149" i="57"/>
  <c r="E198" i="57"/>
  <c r="H105" i="57"/>
  <c r="E105" i="57"/>
  <c r="L198" i="57"/>
  <c r="I105" i="57"/>
  <c r="K160" i="57"/>
  <c r="G59" i="57"/>
  <c r="F160" i="57"/>
  <c r="I198" i="57"/>
  <c r="J59" i="57"/>
  <c r="C160" i="57"/>
  <c r="D198" i="57"/>
  <c r="G198" i="57"/>
  <c r="F198" i="57"/>
  <c r="G139" i="57"/>
  <c r="D105" i="57"/>
  <c r="H59" i="57"/>
  <c r="H112" i="57"/>
  <c r="C184" i="57"/>
  <c r="G122" i="57"/>
  <c r="C105" i="57"/>
  <c r="H122" i="57"/>
  <c r="F105" i="57"/>
  <c r="G160" i="57"/>
  <c r="L160" i="57"/>
  <c r="C198" i="57"/>
  <c r="F139" i="57"/>
  <c r="L105" i="57"/>
  <c r="E59" i="57"/>
  <c r="K59" i="57"/>
  <c r="G105" i="57"/>
  <c r="F149" i="57"/>
  <c r="G149" i="57"/>
  <c r="C59" i="57"/>
  <c r="I160" i="57"/>
  <c r="H160" i="57"/>
  <c r="E149" i="57"/>
  <c r="J149" i="57"/>
  <c r="H149" i="57"/>
  <c r="F59" i="57"/>
  <c r="E95" i="57"/>
  <c r="K112" i="57"/>
  <c r="I59" i="57"/>
  <c r="D160" i="57"/>
  <c r="D149" i="57"/>
  <c r="I149" i="57"/>
  <c r="L59" i="57"/>
  <c r="G174" i="57"/>
  <c r="D174" i="57"/>
  <c r="J112" i="57"/>
  <c r="A261" i="39"/>
  <c r="A257" i="39"/>
  <c r="A256" i="39"/>
  <c r="A381" i="39"/>
  <c r="A454" i="39"/>
  <c r="A565" i="39"/>
  <c r="A563" i="39"/>
  <c r="A566" i="39"/>
  <c r="A637" i="39"/>
  <c r="A635" i="39"/>
  <c r="A632" i="39"/>
  <c r="A638" i="39"/>
  <c r="A669" i="39"/>
  <c r="A461" i="1"/>
  <c r="A511" i="1"/>
  <c r="A561" i="1"/>
  <c r="A458" i="1"/>
  <c r="A508" i="1"/>
  <c r="A558" i="1"/>
  <c r="A456" i="1"/>
  <c r="A506" i="1"/>
  <c r="A556" i="1"/>
  <c r="A454" i="1"/>
  <c r="A504" i="1"/>
  <c r="A554" i="1"/>
  <c r="A457" i="1"/>
  <c r="A507" i="1"/>
  <c r="A557" i="1"/>
  <c r="D224" i="1"/>
  <c r="I219" i="1"/>
  <c r="K220" i="1"/>
  <c r="L220" i="1"/>
  <c r="L222" i="1"/>
  <c r="J366" i="1"/>
  <c r="L366" i="1"/>
  <c r="K366" i="1"/>
  <c r="H366" i="1"/>
  <c r="I366" i="1"/>
  <c r="B43" i="28"/>
  <c r="B39" i="28"/>
  <c r="B37" i="28"/>
  <c r="B41" i="28"/>
  <c r="B38" i="28"/>
  <c r="B36" i="28"/>
  <c r="B40" i="28"/>
  <c r="L132" i="57"/>
  <c r="J132" i="57"/>
  <c r="I132" i="57"/>
  <c r="A211" i="6"/>
  <c r="A214" i="6"/>
  <c r="A212" i="6"/>
  <c r="A217" i="6"/>
  <c r="A215" i="6"/>
  <c r="A258" i="34"/>
  <c r="A259" i="34"/>
  <c r="A103" i="30"/>
  <c r="A99" i="30"/>
  <c r="A98" i="30"/>
  <c r="A104" i="30"/>
  <c r="L112" i="57"/>
  <c r="A492" i="39"/>
  <c r="A214" i="30"/>
  <c r="A61" i="3"/>
  <c r="A57" i="3"/>
  <c r="A58" i="3"/>
  <c r="A59" i="3"/>
  <c r="A68" i="34"/>
  <c r="A103" i="7"/>
  <c r="A104" i="7"/>
  <c r="A106" i="7"/>
  <c r="A109" i="7"/>
  <c r="A105" i="7"/>
  <c r="A108" i="7"/>
  <c r="A76" i="37"/>
  <c r="A25" i="39"/>
  <c r="A23" i="39"/>
  <c r="A22" i="39"/>
  <c r="A128" i="39"/>
  <c r="A122" i="39"/>
  <c r="A121" i="39"/>
  <c r="A184" i="39"/>
  <c r="B133" i="40"/>
  <c r="B135" i="40"/>
  <c r="B137" i="40"/>
  <c r="B140" i="40"/>
  <c r="K139" i="57"/>
  <c r="J139" i="57"/>
  <c r="G387" i="1"/>
  <c r="D387" i="1"/>
  <c r="K387" i="1"/>
  <c r="F387" i="1"/>
  <c r="H387" i="1"/>
  <c r="J387" i="1"/>
  <c r="A202" i="6"/>
  <c r="A208" i="6"/>
  <c r="A203" i="6"/>
  <c r="A720" i="8"/>
  <c r="A716" i="8"/>
  <c r="A714" i="8"/>
  <c r="A718" i="8"/>
  <c r="C1" i="27"/>
  <c r="C1" i="37"/>
  <c r="C1" i="3"/>
  <c r="C1" i="7"/>
  <c r="C1" i="28"/>
  <c r="C1" i="39"/>
  <c r="C1" i="4"/>
  <c r="C1" i="32"/>
  <c r="D1" i="6"/>
  <c r="C1" i="40"/>
  <c r="C1" i="29"/>
  <c r="C1" i="31"/>
  <c r="C1" i="8"/>
  <c r="C1" i="38"/>
  <c r="F1" i="57"/>
  <c r="C1" i="9"/>
  <c r="D1" i="2"/>
  <c r="D1" i="30"/>
  <c r="C1" i="5"/>
  <c r="D112" i="57"/>
  <c r="F132" i="57"/>
  <c r="J184" i="57"/>
  <c r="E139" i="57"/>
  <c r="L139" i="57"/>
  <c r="H139" i="57"/>
  <c r="E132" i="57"/>
  <c r="N433" i="6"/>
  <c r="B101" i="5"/>
  <c r="K221" i="1"/>
  <c r="A123" i="39"/>
  <c r="A56" i="3"/>
  <c r="A218" i="6"/>
  <c r="A213" i="6"/>
  <c r="A459" i="1"/>
  <c r="A509" i="1"/>
  <c r="A559" i="1"/>
  <c r="A217" i="30"/>
  <c r="A102" i="30"/>
  <c r="A636" i="39"/>
  <c r="B134" i="40"/>
  <c r="C132" i="57"/>
  <c r="M34" i="4"/>
  <c r="C366" i="1"/>
  <c r="F366" i="1"/>
  <c r="C1" i="35"/>
  <c r="A351" i="39"/>
  <c r="A419" i="39"/>
  <c r="A488" i="39"/>
  <c r="A530" i="39"/>
  <c r="A528" i="39"/>
  <c r="A524" i="39"/>
  <c r="A527" i="39"/>
  <c r="A602" i="39"/>
  <c r="J4" i="3"/>
  <c r="C4" i="3"/>
  <c r="D4" i="3"/>
  <c r="B4" i="3"/>
  <c r="H4" i="3"/>
  <c r="K4" i="3"/>
  <c r="A135" i="5"/>
  <c r="A132" i="5"/>
  <c r="A133" i="5"/>
  <c r="A136" i="5"/>
  <c r="A129" i="5"/>
  <c r="A134" i="5"/>
  <c r="B98" i="5"/>
  <c r="B98" i="32"/>
  <c r="B105" i="5"/>
  <c r="B105" i="32"/>
  <c r="B102" i="5"/>
  <c r="B104" i="5"/>
  <c r="B103" i="5"/>
  <c r="A218" i="30"/>
  <c r="A215" i="30"/>
  <c r="A213" i="30"/>
  <c r="A234" i="34"/>
  <c r="A113" i="6"/>
  <c r="C112" i="57"/>
  <c r="G112" i="57"/>
  <c r="H132" i="57"/>
  <c r="C219" i="1"/>
  <c r="A674" i="39"/>
  <c r="A97" i="30"/>
  <c r="A460" i="1"/>
  <c r="A510" i="1"/>
  <c r="A560" i="1"/>
  <c r="A212" i="30"/>
  <c r="I4" i="3"/>
  <c r="A639" i="39"/>
  <c r="A459" i="39"/>
  <c r="N435" i="6"/>
  <c r="N436" i="6"/>
  <c r="D366" i="1"/>
  <c r="D34" i="4"/>
  <c r="E34" i="4"/>
  <c r="F34" i="4"/>
  <c r="J34" i="4"/>
  <c r="H34" i="4"/>
  <c r="L34" i="4"/>
  <c r="K34" i="4"/>
  <c r="C26" i="34"/>
  <c r="I26" i="34"/>
  <c r="G26" i="34"/>
  <c r="E26" i="34"/>
  <c r="F26" i="34"/>
  <c r="A35" i="7"/>
  <c r="A33" i="7"/>
  <c r="A143" i="35"/>
  <c r="A148" i="35"/>
  <c r="A144" i="35"/>
  <c r="A142" i="35"/>
  <c r="K15" i="37"/>
  <c r="C15" i="37"/>
  <c r="D15" i="37"/>
  <c r="E15" i="37"/>
  <c r="A57" i="37"/>
  <c r="A52" i="37"/>
  <c r="A59" i="37"/>
  <c r="A54" i="37"/>
  <c r="A153" i="37"/>
  <c r="A151" i="37"/>
  <c r="A155" i="37"/>
  <c r="A52" i="39"/>
  <c r="A53" i="39"/>
  <c r="A90" i="39"/>
  <c r="A89" i="39"/>
  <c r="A158" i="39"/>
  <c r="A159" i="39"/>
  <c r="A157" i="39"/>
  <c r="A162" i="39"/>
  <c r="A202" i="39"/>
  <c r="A204" i="39"/>
  <c r="N128" i="4"/>
  <c r="N128" i="29"/>
  <c r="N104" i="4"/>
  <c r="N128" i="40"/>
  <c r="N104" i="29"/>
  <c r="N114" i="29"/>
  <c r="N104" i="40"/>
  <c r="A469" i="1"/>
  <c r="A519" i="1"/>
  <c r="A569" i="1"/>
  <c r="A467" i="1"/>
  <c r="A517" i="1"/>
  <c r="A567" i="1"/>
  <c r="A468" i="1"/>
  <c r="A518" i="1"/>
  <c r="A568" i="1"/>
  <c r="A466" i="1"/>
  <c r="A516" i="1"/>
  <c r="A566" i="1"/>
  <c r="A465" i="1"/>
  <c r="A515" i="1"/>
  <c r="A565" i="1"/>
  <c r="A662" i="1"/>
  <c r="A663" i="1"/>
  <c r="E112" i="57"/>
  <c r="D132" i="57"/>
  <c r="I112" i="57"/>
  <c r="I139" i="57"/>
  <c r="C139" i="57"/>
  <c r="K132" i="57"/>
  <c r="N431" i="6"/>
  <c r="B42" i="28"/>
  <c r="A463" i="1"/>
  <c r="A513" i="1"/>
  <c r="A563" i="1"/>
  <c r="A493" i="39"/>
  <c r="C225" i="1"/>
  <c r="A124" i="39"/>
  <c r="A531" i="39"/>
  <c r="A562" i="39"/>
  <c r="A232" i="34"/>
  <c r="A62" i="3"/>
  <c r="A216" i="30"/>
  <c r="A216" i="6"/>
  <c r="A455" i="1"/>
  <c r="A505" i="1"/>
  <c r="A555" i="1"/>
  <c r="A101" i="30"/>
  <c r="G4" i="3"/>
  <c r="A633" i="39"/>
  <c r="A631" i="1"/>
  <c r="A737" i="1"/>
  <c r="E366" i="1"/>
  <c r="A53" i="37"/>
  <c r="A560" i="39"/>
  <c r="A156" i="37"/>
  <c r="A49" i="39"/>
  <c r="A203" i="39"/>
  <c r="A21" i="39"/>
  <c r="A260" i="39"/>
  <c r="N114" i="4"/>
  <c r="I387" i="1"/>
  <c r="A131" i="5"/>
  <c r="D1" i="34"/>
  <c r="A63" i="3"/>
  <c r="N416" i="6"/>
  <c r="N410" i="6"/>
  <c r="A185" i="30"/>
  <c r="A249" i="30"/>
  <c r="A251" i="30"/>
  <c r="A254" i="30"/>
  <c r="A250" i="30"/>
  <c r="A247" i="30"/>
  <c r="A322" i="30"/>
  <c r="A320" i="30"/>
  <c r="A71" i="5"/>
  <c r="B121" i="2"/>
  <c r="A36" i="5"/>
  <c r="B125" i="2"/>
  <c r="A11" i="5"/>
  <c r="A47" i="27"/>
  <c r="J49" i="6"/>
  <c r="A540" i="8"/>
  <c r="A536" i="8"/>
  <c r="A538" i="8"/>
  <c r="A479" i="38"/>
  <c r="A482" i="38"/>
  <c r="A9" i="5"/>
  <c r="A41" i="5"/>
  <c r="A40" i="5"/>
  <c r="A194" i="6"/>
  <c r="A196" i="6"/>
  <c r="A223" i="6"/>
  <c r="A288" i="6"/>
  <c r="A371" i="6"/>
  <c r="A365" i="6"/>
  <c r="A10" i="27"/>
  <c r="A9" i="27"/>
  <c r="B143" i="29"/>
  <c r="B145" i="29"/>
  <c r="A48" i="30"/>
  <c r="A49" i="30"/>
  <c r="A406" i="30"/>
  <c r="A405" i="30"/>
  <c r="A407" i="30"/>
  <c r="A339" i="39"/>
  <c r="A337" i="39"/>
  <c r="H39" i="6"/>
  <c r="J217" i="1"/>
  <c r="J210" i="1"/>
  <c r="M677" i="8"/>
  <c r="M109" i="7"/>
  <c r="M519" i="39"/>
  <c r="M664" i="38"/>
  <c r="N288" i="6"/>
  <c r="M450" i="38"/>
  <c r="M665" i="38"/>
  <c r="M28" i="9"/>
  <c r="M564" i="38"/>
  <c r="M671" i="8"/>
  <c r="N322" i="34"/>
  <c r="M123" i="37"/>
  <c r="M677" i="38"/>
  <c r="N331" i="34"/>
  <c r="M172" i="35"/>
  <c r="M637" i="8"/>
  <c r="M526" i="39"/>
  <c r="M554" i="39"/>
  <c r="M525" i="38"/>
  <c r="M40" i="35"/>
  <c r="M587" i="39"/>
  <c r="M555" i="38"/>
  <c r="M72" i="7"/>
  <c r="M671" i="38"/>
  <c r="N337" i="6"/>
  <c r="N269" i="6"/>
  <c r="M38" i="37"/>
  <c r="N429" i="30" a="1"/>
  <c r="N432" i="30"/>
  <c r="N435" i="30"/>
  <c r="M104" i="7"/>
  <c r="M45" i="7"/>
  <c r="M130" i="7"/>
  <c r="N339" i="6"/>
  <c r="N188" i="34"/>
  <c r="M383" i="8"/>
  <c r="M529" i="38"/>
  <c r="M641" i="39"/>
  <c r="M429" i="38"/>
  <c r="N140" i="34"/>
  <c r="M683" i="38"/>
  <c r="N285" i="6"/>
  <c r="M504" i="38"/>
  <c r="M609" i="8"/>
  <c r="N443" i="30"/>
  <c r="M147" i="37"/>
  <c r="M79" i="37"/>
  <c r="M378" i="8"/>
  <c r="M69" i="37"/>
  <c r="M646" i="39"/>
  <c r="N319" i="34"/>
  <c r="N323" i="34"/>
  <c r="M372" i="8"/>
  <c r="M603" i="8"/>
  <c r="N187" i="30"/>
  <c r="M443" i="38"/>
  <c r="N388" i="34"/>
  <c r="M106" i="7"/>
  <c r="M87" i="37"/>
  <c r="M557" i="39"/>
  <c r="N136" i="30"/>
  <c r="M22" i="35"/>
  <c r="B39" i="8"/>
  <c r="N281" i="34"/>
  <c r="M32" i="37"/>
  <c r="M447" i="38"/>
  <c r="M436" i="38"/>
  <c r="M60" i="35"/>
  <c r="N185" i="34"/>
  <c r="N382" i="30"/>
  <c r="M611" i="8"/>
  <c r="M509" i="38"/>
  <c r="N144" i="34"/>
  <c r="G135" i="2"/>
  <c r="M545" i="39"/>
  <c r="M100" i="35"/>
  <c r="M236" i="39"/>
  <c r="M645" i="8"/>
  <c r="M558" i="8"/>
  <c r="M497" i="38"/>
  <c r="M575" i="38"/>
  <c r="M698" i="39"/>
  <c r="L409" i="1"/>
  <c r="H410" i="1"/>
  <c r="E194" i="1"/>
  <c r="I410" i="1"/>
  <c r="C118" i="40"/>
  <c r="B178" i="1"/>
  <c r="I194" i="1"/>
  <c r="D409" i="1"/>
  <c r="D410" i="1"/>
  <c r="L410" i="1"/>
  <c r="E409" i="1"/>
  <c r="I409" i="1"/>
  <c r="F410" i="1"/>
  <c r="J410" i="1"/>
  <c r="F409" i="1"/>
  <c r="J409" i="1"/>
  <c r="C410" i="1"/>
  <c r="G410" i="1"/>
  <c r="G409" i="1"/>
  <c r="A330" i="8"/>
  <c r="A329" i="8"/>
  <c r="A332" i="8"/>
  <c r="A653" i="8"/>
  <c r="A657" i="8"/>
  <c r="A651" i="8"/>
  <c r="A652" i="8"/>
  <c r="A654" i="8"/>
  <c r="A650" i="8"/>
  <c r="A656" i="8"/>
  <c r="B144" i="1"/>
  <c r="B146" i="1"/>
  <c r="B147" i="1"/>
  <c r="B145" i="1"/>
  <c r="B148" i="1"/>
  <c r="B149" i="1"/>
  <c r="B143" i="1"/>
  <c r="B150" i="1"/>
  <c r="A167" i="38"/>
  <c r="A174" i="38"/>
  <c r="A169" i="38"/>
  <c r="K365" i="1"/>
  <c r="F365" i="1"/>
  <c r="I365" i="1"/>
  <c r="D365" i="1"/>
  <c r="L365" i="1"/>
  <c r="E365" i="1"/>
  <c r="G365" i="1"/>
  <c r="J365" i="1"/>
  <c r="B5" i="28"/>
  <c r="B7" i="28"/>
  <c r="B9" i="28"/>
  <c r="B12" i="28"/>
  <c r="B12" i="32"/>
  <c r="B8" i="28"/>
  <c r="A689" i="1"/>
  <c r="A180" i="6"/>
  <c r="A178" i="6"/>
  <c r="A181" i="6"/>
  <c r="A177" i="6"/>
  <c r="A176" i="6"/>
  <c r="A175" i="6"/>
  <c r="A179" i="6"/>
  <c r="A182" i="6"/>
  <c r="A252" i="34"/>
  <c r="A249" i="34"/>
  <c r="A250" i="34"/>
  <c r="A254" i="34"/>
  <c r="B170" i="2"/>
  <c r="B173" i="2"/>
  <c r="A88" i="27"/>
  <c r="A82" i="27"/>
  <c r="A661" i="1"/>
  <c r="A659" i="1"/>
  <c r="A658" i="1"/>
  <c r="K643" i="1"/>
  <c r="E643" i="1"/>
  <c r="F643" i="1"/>
  <c r="D643" i="1"/>
  <c r="I643" i="1"/>
  <c r="A75" i="34"/>
  <c r="A394" i="8"/>
  <c r="A390" i="8"/>
  <c r="A395" i="8"/>
  <c r="A392" i="8"/>
  <c r="A431" i="8"/>
  <c r="A428" i="8"/>
  <c r="A47" i="35"/>
  <c r="A43" i="35"/>
  <c r="A48" i="35"/>
  <c r="A42" i="35"/>
  <c r="A224" i="39"/>
  <c r="A226" i="39"/>
  <c r="A225" i="39"/>
  <c r="A229" i="39"/>
  <c r="J46" i="38"/>
  <c r="B46" i="38"/>
  <c r="C46" i="38"/>
  <c r="H46" i="38"/>
  <c r="K46" i="38"/>
  <c r="F46" i="38"/>
  <c r="E46" i="38"/>
  <c r="G46" i="38"/>
  <c r="A112" i="38"/>
  <c r="A116" i="38"/>
  <c r="A115" i="38"/>
  <c r="A227" i="38"/>
  <c r="A324" i="38"/>
  <c r="A391" i="38"/>
  <c r="A543" i="38"/>
  <c r="A547" i="38"/>
  <c r="A546" i="38"/>
  <c r="A653" i="38"/>
  <c r="A655" i="38"/>
  <c r="H588" i="1"/>
  <c r="J588" i="1"/>
  <c r="I588" i="1"/>
  <c r="E588" i="1"/>
  <c r="K588" i="1"/>
  <c r="L588" i="1"/>
  <c r="D588" i="1"/>
  <c r="C588" i="1"/>
  <c r="F122" i="57"/>
  <c r="I122" i="57"/>
  <c r="J388" i="1"/>
  <c r="A114" i="38"/>
  <c r="A80" i="38"/>
  <c r="A113" i="38"/>
  <c r="B6" i="28"/>
  <c r="B10" i="28"/>
  <c r="B10" i="32"/>
  <c r="D122" i="57"/>
  <c r="A253" i="6"/>
  <c r="A248" i="6"/>
  <c r="A252" i="6"/>
  <c r="A247" i="6"/>
  <c r="A254" i="6"/>
  <c r="A193" i="30"/>
  <c r="A194" i="30"/>
  <c r="A195" i="30"/>
  <c r="A200" i="30"/>
  <c r="A197" i="30"/>
  <c r="A369" i="30"/>
  <c r="A366" i="30"/>
  <c r="A371" i="30"/>
  <c r="A370" i="30"/>
  <c r="A365" i="30"/>
  <c r="A364" i="30"/>
  <c r="A367" i="30"/>
  <c r="A81" i="34"/>
  <c r="A84" i="34"/>
  <c r="A152" i="34"/>
  <c r="A88" i="8"/>
  <c r="A90" i="8"/>
  <c r="A286" i="8"/>
  <c r="A285" i="8"/>
  <c r="A282" i="8"/>
  <c r="A476" i="1"/>
  <c r="A526" i="1"/>
  <c r="A576" i="1"/>
  <c r="A475" i="1"/>
  <c r="A525" i="1"/>
  <c r="A575" i="1"/>
  <c r="A478" i="1"/>
  <c r="A528" i="1"/>
  <c r="A578" i="1"/>
  <c r="A472" i="1"/>
  <c r="A522" i="1"/>
  <c r="A572" i="1"/>
  <c r="A477" i="1"/>
  <c r="A527" i="1"/>
  <c r="A577" i="1"/>
  <c r="A474" i="1"/>
  <c r="A524" i="1"/>
  <c r="A574" i="1"/>
  <c r="A633" i="1"/>
  <c r="A739" i="1"/>
  <c r="A636" i="1"/>
  <c r="A742" i="1"/>
  <c r="A630" i="1"/>
  <c r="A736" i="1"/>
  <c r="A632" i="1"/>
  <c r="A738" i="1"/>
  <c r="A634" i="1"/>
  <c r="A740" i="1"/>
  <c r="A635" i="1"/>
  <c r="A741" i="1"/>
  <c r="A584" i="38"/>
  <c r="G388" i="1"/>
  <c r="A117" i="38"/>
  <c r="G225" i="1"/>
  <c r="F224" i="1"/>
  <c r="J225" i="1"/>
  <c r="H223" i="1"/>
  <c r="A82" i="38"/>
  <c r="A249" i="6"/>
  <c r="A665" i="1"/>
  <c r="A437" i="1"/>
  <c r="A487" i="1"/>
  <c r="A537" i="1"/>
  <c r="A230" i="39"/>
  <c r="A655" i="8"/>
  <c r="B11" i="28"/>
  <c r="L643" i="1"/>
  <c r="A287" i="8"/>
  <c r="A198" i="30"/>
  <c r="D220" i="1"/>
  <c r="F588" i="1"/>
  <c r="C220" i="1"/>
  <c r="A180" i="34"/>
  <c r="A176" i="34"/>
  <c r="A179" i="34"/>
  <c r="A178" i="34"/>
  <c r="A360" i="8"/>
  <c r="A355" i="8"/>
  <c r="A358" i="8"/>
  <c r="A502" i="8"/>
  <c r="A503" i="8"/>
  <c r="A504" i="8"/>
  <c r="A500" i="8"/>
  <c r="A684" i="8"/>
  <c r="A682" i="8"/>
  <c r="A679" i="8"/>
  <c r="A683" i="8"/>
  <c r="A678" i="8"/>
  <c r="A680" i="8"/>
  <c r="A148" i="39"/>
  <c r="A153" i="39"/>
  <c r="A8" i="38"/>
  <c r="A11" i="38"/>
  <c r="A9" i="38"/>
  <c r="A10" i="38"/>
  <c r="A77" i="38"/>
  <c r="A81" i="38"/>
  <c r="A76" i="38"/>
  <c r="A151" i="38"/>
  <c r="A155" i="38"/>
  <c r="A150" i="38"/>
  <c r="A149" i="38"/>
  <c r="A152" i="38"/>
  <c r="A257" i="38"/>
  <c r="A260" i="38"/>
  <c r="A356" i="38"/>
  <c r="A620" i="38"/>
  <c r="K122" i="57"/>
  <c r="J122" i="57"/>
  <c r="A131" i="32"/>
  <c r="A136" i="32"/>
  <c r="A132" i="32"/>
  <c r="A135" i="32"/>
  <c r="A134" i="32"/>
  <c r="B67" i="5"/>
  <c r="B71" i="5"/>
  <c r="B71" i="32"/>
  <c r="B70" i="5"/>
  <c r="B73" i="5"/>
  <c r="B73" i="32"/>
  <c r="B72" i="5"/>
  <c r="B68" i="5"/>
  <c r="B134" i="28"/>
  <c r="B134" i="32"/>
  <c r="B132" i="28"/>
  <c r="B136" i="28"/>
  <c r="C77" i="57"/>
  <c r="L77" i="57"/>
  <c r="J77" i="57"/>
  <c r="F77" i="57"/>
  <c r="E77" i="57"/>
  <c r="D77" i="57"/>
  <c r="L388" i="1"/>
  <c r="E388" i="1"/>
  <c r="F388" i="1"/>
  <c r="D388" i="1"/>
  <c r="A692" i="1"/>
  <c r="A686" i="1"/>
  <c r="A691" i="1"/>
  <c r="A688" i="1"/>
  <c r="G77" i="57"/>
  <c r="E122" i="57"/>
  <c r="C122" i="57"/>
  <c r="A78" i="38"/>
  <c r="A154" i="38"/>
  <c r="A44" i="35"/>
  <c r="I46" i="38"/>
  <c r="G588" i="1"/>
  <c r="A159" i="30"/>
  <c r="A157" i="30"/>
  <c r="A160" i="30"/>
  <c r="A164" i="30"/>
  <c r="A163" i="30"/>
  <c r="A161" i="30"/>
  <c r="A158" i="30"/>
  <c r="A330" i="30"/>
  <c r="A335" i="30"/>
  <c r="A9" i="31"/>
  <c r="A7" i="31"/>
  <c r="A5" i="31"/>
  <c r="A12" i="31"/>
  <c r="A8" i="31"/>
  <c r="A10" i="31"/>
  <c r="A44" i="34"/>
  <c r="A43" i="34"/>
  <c r="A298" i="34"/>
  <c r="A249" i="8"/>
  <c r="A250" i="8"/>
  <c r="A248" i="8"/>
  <c r="A252" i="8"/>
  <c r="A246" i="8"/>
  <c r="A247" i="8"/>
  <c r="A436" i="1"/>
  <c r="A486" i="1"/>
  <c r="A536" i="1"/>
  <c r="A442" i="1"/>
  <c r="A492" i="1"/>
  <c r="A542" i="1"/>
  <c r="J223" i="1"/>
  <c r="J221" i="1"/>
  <c r="H224" i="1"/>
  <c r="D223" i="1"/>
  <c r="C224" i="1"/>
  <c r="I226" i="1"/>
  <c r="G221" i="1"/>
  <c r="F225" i="1"/>
  <c r="J219" i="1"/>
  <c r="H219" i="1"/>
  <c r="G223" i="1"/>
  <c r="F221" i="1"/>
  <c r="D226" i="1"/>
  <c r="I220" i="1"/>
  <c r="L221" i="1"/>
  <c r="K226" i="1"/>
  <c r="G226" i="1"/>
  <c r="C221" i="1"/>
  <c r="K222" i="1"/>
  <c r="E223" i="1"/>
  <c r="J224" i="1"/>
  <c r="K219" i="1"/>
  <c r="D219" i="1"/>
  <c r="H221" i="1"/>
  <c r="J226" i="1"/>
  <c r="E220" i="1"/>
  <c r="G219" i="1"/>
  <c r="E226" i="1"/>
  <c r="G224" i="1"/>
  <c r="C226" i="1"/>
  <c r="I221" i="1"/>
  <c r="L219" i="1"/>
  <c r="E222" i="1"/>
  <c r="F223" i="1"/>
  <c r="C222" i="1"/>
  <c r="L224" i="1"/>
  <c r="J222" i="1"/>
  <c r="K224" i="1"/>
  <c r="H225" i="1"/>
  <c r="I225" i="1"/>
  <c r="L226" i="1"/>
  <c r="C223" i="1"/>
  <c r="J220" i="1"/>
  <c r="H226" i="1"/>
  <c r="I224" i="1"/>
  <c r="I222" i="1"/>
  <c r="L225" i="1"/>
  <c r="F220" i="1"/>
  <c r="E219" i="1"/>
  <c r="F222" i="1"/>
  <c r="D222" i="1"/>
  <c r="E225" i="1"/>
  <c r="H220" i="1"/>
  <c r="H222" i="1"/>
  <c r="F219" i="1"/>
  <c r="F226" i="1"/>
  <c r="G276" i="1"/>
  <c r="F276" i="1"/>
  <c r="H276" i="1"/>
  <c r="L276" i="1"/>
  <c r="F587" i="1"/>
  <c r="E587" i="1"/>
  <c r="L587" i="1"/>
  <c r="D587" i="1"/>
  <c r="I77" i="57"/>
  <c r="H77" i="57"/>
  <c r="A45" i="35"/>
  <c r="H587" i="1"/>
  <c r="A118" i="38"/>
  <c r="K223" i="1"/>
  <c r="D221" i="1"/>
  <c r="G220" i="1"/>
  <c r="I223" i="1"/>
  <c r="G222" i="1"/>
  <c r="A248" i="34"/>
  <c r="A687" i="1"/>
  <c r="A685" i="1"/>
  <c r="A438" i="1"/>
  <c r="A488" i="1"/>
  <c r="A538" i="1"/>
  <c r="A170" i="38"/>
  <c r="A130" i="32"/>
  <c r="A153" i="38"/>
  <c r="A12" i="38"/>
  <c r="B130" i="28"/>
  <c r="B130" i="32"/>
  <c r="A353" i="8"/>
  <c r="A368" i="30"/>
  <c r="B69" i="5"/>
  <c r="A245" i="8"/>
  <c r="H643" i="1"/>
  <c r="B74" i="5"/>
  <c r="B74" i="32"/>
  <c r="A353" i="38"/>
  <c r="A162" i="30"/>
  <c r="L223" i="1"/>
  <c r="E221" i="1"/>
  <c r="A329" i="30"/>
  <c r="K35" i="4"/>
  <c r="I35" i="4"/>
  <c r="D110" i="29" a="1"/>
  <c r="L35" i="4"/>
  <c r="E35" i="4"/>
  <c r="E34" i="40"/>
  <c r="H34" i="40"/>
  <c r="I34" i="40"/>
  <c r="A703" i="38"/>
  <c r="A699" i="38"/>
  <c r="A698" i="38"/>
  <c r="A704" i="38"/>
  <c r="H57" i="6"/>
  <c r="J55" i="6"/>
  <c r="A267" i="6"/>
  <c r="A271" i="6"/>
  <c r="A302" i="6"/>
  <c r="A305" i="6"/>
  <c r="A301" i="6"/>
  <c r="A407" i="6"/>
  <c r="A405" i="6"/>
  <c r="A431" i="6"/>
  <c r="A436" i="6"/>
  <c r="A281" i="30"/>
  <c r="A301" i="30"/>
  <c r="A373" i="30"/>
  <c r="A380" i="30"/>
  <c r="A379" i="30"/>
  <c r="A431" i="30"/>
  <c r="A82" i="31"/>
  <c r="A73" i="32"/>
  <c r="A69" i="32"/>
  <c r="A199" i="34"/>
  <c r="F46" i="8"/>
  <c r="E46" i="8"/>
  <c r="A97" i="8"/>
  <c r="A98" i="8"/>
  <c r="N417" i="6"/>
  <c r="N411" i="6"/>
  <c r="C4" i="5"/>
  <c r="F4" i="5"/>
  <c r="A220" i="34"/>
  <c r="A553" i="8"/>
  <c r="A551" i="8"/>
  <c r="A552" i="8"/>
  <c r="A591" i="8"/>
  <c r="A594" i="8"/>
  <c r="A590" i="8"/>
  <c r="A592" i="8"/>
  <c r="A72" i="7"/>
  <c r="A79" i="7"/>
  <c r="A113" i="7"/>
  <c r="A114" i="7"/>
  <c r="A112" i="7"/>
  <c r="A67" i="35"/>
  <c r="A82" i="35"/>
  <c r="A85" i="35"/>
  <c r="A87" i="35"/>
  <c r="A31" i="39"/>
  <c r="A33" i="39"/>
  <c r="A38" i="39"/>
  <c r="A303" i="39"/>
  <c r="A299" i="39"/>
  <c r="A306" i="39"/>
  <c r="A327" i="39"/>
  <c r="A438" i="39"/>
  <c r="A435" i="39"/>
  <c r="A440" i="39"/>
  <c r="A641" i="38"/>
  <c r="A648" i="38"/>
  <c r="B136" i="40"/>
  <c r="B138" i="40"/>
  <c r="J49" i="30"/>
  <c r="A221" i="6"/>
  <c r="A573" i="8"/>
  <c r="A459" i="8"/>
  <c r="A456" i="8"/>
  <c r="M673" i="39"/>
  <c r="N279" i="30"/>
  <c r="M363" i="39"/>
  <c r="M537" i="38"/>
  <c r="M97" i="37"/>
  <c r="N141" i="34"/>
  <c r="N391" i="34"/>
  <c r="N182" i="30"/>
  <c r="N131" i="6"/>
  <c r="M531" i="39"/>
  <c r="M572" i="39"/>
  <c r="N179" i="30"/>
  <c r="M576" i="39"/>
  <c r="M662" i="39"/>
  <c r="G149" i="2"/>
  <c r="N330" i="6"/>
  <c r="M143" i="37"/>
  <c r="M6" i="9"/>
  <c r="N195" i="34"/>
  <c r="N279" i="34"/>
  <c r="M67" i="37"/>
  <c r="M566" i="38"/>
  <c r="M659" i="38"/>
  <c r="M66" i="37"/>
  <c r="M358" i="39"/>
  <c r="M455" i="38"/>
  <c r="N386" i="6"/>
  <c r="M503" i="39"/>
  <c r="N333" i="6"/>
  <c r="M113" i="35"/>
  <c r="M621" i="8"/>
  <c r="N400" i="34"/>
  <c r="N391" i="30"/>
  <c r="M80" i="7"/>
  <c r="M440" i="39"/>
  <c r="M43" i="35"/>
  <c r="M647" i="38"/>
  <c r="M435" i="38"/>
  <c r="M69" i="7"/>
  <c r="M620" i="38"/>
  <c r="M694" i="39"/>
  <c r="M58" i="37"/>
  <c r="M521" i="38"/>
  <c r="M122" i="37"/>
  <c r="N397" i="30"/>
  <c r="M633" i="39"/>
  <c r="M509" i="39"/>
  <c r="M680" i="8"/>
  <c r="N280" i="30"/>
  <c r="N134" i="34"/>
  <c r="M372" i="39"/>
  <c r="M27" i="35"/>
  <c r="N340" i="6"/>
  <c r="M542" i="39"/>
  <c r="M544" i="8"/>
  <c r="M179" i="37"/>
  <c r="M524" i="8"/>
  <c r="M80" i="35"/>
  <c r="N419" i="30" a="1"/>
  <c r="N426" i="30"/>
  <c r="N396" i="6"/>
  <c r="M165" i="37"/>
  <c r="M685" i="39"/>
  <c r="M684" i="38"/>
  <c r="M552" i="8"/>
  <c r="M82" i="7"/>
  <c r="M425" i="8"/>
  <c r="M170" i="7"/>
  <c r="N332" i="34"/>
  <c r="M382" i="39"/>
  <c r="N283" i="34"/>
  <c r="M437" i="39"/>
  <c r="N404" i="34"/>
  <c r="M97" i="35"/>
  <c r="N278" i="34"/>
  <c r="M504" i="39"/>
  <c r="M383" i="39"/>
  <c r="N442" i="6"/>
  <c r="M528" i="38"/>
  <c r="M144" i="35"/>
  <c r="M668" i="38"/>
  <c r="M146" i="7"/>
  <c r="M555" i="39"/>
  <c r="M145" i="35"/>
  <c r="M432" i="38"/>
  <c r="M384" i="8"/>
  <c r="N188" i="30"/>
  <c r="M42" i="7"/>
  <c r="M619" i="38"/>
  <c r="M158" i="37"/>
  <c r="M427" i="38"/>
  <c r="M174" i="37"/>
  <c r="M614" i="8"/>
  <c r="N403" i="34"/>
  <c r="M374" i="38"/>
  <c r="M592" i="38"/>
  <c r="N285" i="34"/>
  <c r="M664" i="8"/>
  <c r="M519" i="8"/>
  <c r="M602" i="38"/>
  <c r="M52" i="37"/>
  <c r="B39" i="38"/>
  <c r="N400" i="6"/>
  <c r="M80" i="37"/>
  <c r="M543" i="8"/>
  <c r="N178" i="34"/>
  <c r="M30" i="7"/>
  <c r="M441" i="39"/>
  <c r="N407" i="30"/>
  <c r="M509" i="8"/>
  <c r="M94" i="37"/>
  <c r="M42" i="37"/>
  <c r="M660" i="39"/>
  <c r="M703" i="39"/>
  <c r="M67" i="35"/>
  <c r="M60" i="37"/>
  <c r="M439" i="39"/>
  <c r="M35" i="7"/>
  <c r="M657" i="39"/>
  <c r="N382" i="6"/>
  <c r="M665" i="8"/>
  <c r="M94" i="35"/>
  <c r="M88" i="35"/>
  <c r="M576" i="38"/>
  <c r="M699" i="8"/>
  <c r="M154" i="7"/>
  <c r="M502" i="39"/>
  <c r="N335" i="30"/>
  <c r="M569" i="8"/>
  <c r="M609" i="39"/>
  <c r="M594" i="39"/>
  <c r="M76" i="35"/>
  <c r="G132" i="57"/>
  <c r="C92" i="40"/>
  <c r="A257" i="6"/>
  <c r="B190" i="1"/>
  <c r="B185" i="1"/>
  <c r="B186" i="1"/>
  <c r="B196" i="1"/>
  <c r="B177" i="1"/>
  <c r="B189" i="1"/>
  <c r="B200" i="1"/>
  <c r="D194" i="1"/>
  <c r="H194" i="1"/>
  <c r="L194" i="1"/>
  <c r="E195" i="1"/>
  <c r="I195" i="1"/>
  <c r="F195" i="1"/>
  <c r="J195" i="1"/>
  <c r="F194" i="1"/>
  <c r="J194" i="1"/>
  <c r="C195" i="1"/>
  <c r="G195" i="1"/>
  <c r="K195" i="1"/>
  <c r="G194" i="1"/>
  <c r="D195" i="1"/>
  <c r="H195" i="1"/>
  <c r="E175" i="1"/>
  <c r="I175" i="1"/>
  <c r="F175" i="1"/>
  <c r="J175" i="1"/>
  <c r="C175" i="1"/>
  <c r="G175" i="1"/>
  <c r="K175" i="1"/>
  <c r="D175" i="1"/>
  <c r="H175" i="1"/>
  <c r="B179" i="1"/>
  <c r="B187" i="1"/>
  <c r="B191" i="1"/>
  <c r="B197" i="1"/>
  <c r="B201" i="1"/>
  <c r="B188" i="1"/>
  <c r="B198" i="1"/>
  <c r="B202" i="1"/>
  <c r="B199" i="1"/>
  <c r="A70" i="6"/>
  <c r="F4" i="32"/>
  <c r="J4" i="32"/>
  <c r="L4" i="32"/>
  <c r="E4" i="32"/>
  <c r="G4" i="32"/>
  <c r="D4" i="32"/>
  <c r="K4" i="32"/>
  <c r="H4" i="32"/>
  <c r="C4" i="32"/>
  <c r="I4" i="32"/>
  <c r="A700" i="8"/>
  <c r="A701" i="8"/>
  <c r="A183" i="8"/>
  <c r="A177" i="8"/>
  <c r="A182" i="8"/>
  <c r="A178" i="8"/>
  <c r="A180" i="8"/>
  <c r="A582" i="8"/>
  <c r="A578" i="8"/>
  <c r="A583" i="8"/>
  <c r="A584" i="8"/>
  <c r="A580" i="8"/>
  <c r="A581" i="8"/>
  <c r="A579" i="8"/>
  <c r="A585" i="8"/>
  <c r="A6" i="37"/>
  <c r="A9" i="37"/>
  <c r="A8" i="37"/>
  <c r="A110" i="38"/>
  <c r="A103" i="38"/>
  <c r="A108" i="30"/>
  <c r="A113" i="30"/>
  <c r="A30" i="27"/>
  <c r="A26" i="27"/>
  <c r="A25" i="27"/>
  <c r="A23" i="27"/>
  <c r="A28" i="27"/>
  <c r="A29" i="27"/>
  <c r="A27" i="27"/>
  <c r="A24" i="27"/>
  <c r="B178" i="2"/>
  <c r="B181" i="2"/>
  <c r="B175" i="2"/>
  <c r="B177" i="2"/>
  <c r="B176" i="2"/>
  <c r="B179" i="2"/>
  <c r="B180" i="2"/>
  <c r="A529" i="8"/>
  <c r="A531" i="8"/>
  <c r="A525" i="8"/>
  <c r="A530" i="8"/>
  <c r="A524" i="8"/>
  <c r="A526" i="8"/>
  <c r="A527" i="8"/>
  <c r="A528" i="8"/>
  <c r="A9" i="7"/>
  <c r="A8" i="7"/>
  <c r="A11" i="7"/>
  <c r="A12" i="7"/>
  <c r="A6" i="7"/>
  <c r="A7" i="7"/>
  <c r="B282" i="1"/>
  <c r="B348" i="1"/>
  <c r="B371" i="1"/>
  <c r="B393" i="1"/>
  <c r="B415" i="1"/>
  <c r="B279" i="1"/>
  <c r="B345" i="1"/>
  <c r="B368" i="1"/>
  <c r="B390" i="1"/>
  <c r="B412" i="1"/>
  <c r="B278" i="1"/>
  <c r="B344" i="1"/>
  <c r="B367" i="1"/>
  <c r="B389" i="1"/>
  <c r="B411" i="1"/>
  <c r="B280" i="1"/>
  <c r="B346" i="1"/>
  <c r="B369" i="1"/>
  <c r="B391" i="1"/>
  <c r="B413" i="1"/>
  <c r="B283" i="1"/>
  <c r="B349" i="1"/>
  <c r="B372" i="1"/>
  <c r="B394" i="1"/>
  <c r="B416" i="1"/>
  <c r="B284" i="1"/>
  <c r="B350" i="1"/>
  <c r="B373" i="1"/>
  <c r="B395" i="1"/>
  <c r="B417" i="1"/>
  <c r="B285" i="1"/>
  <c r="B351" i="1"/>
  <c r="B374" i="1"/>
  <c r="B396" i="1"/>
  <c r="B418" i="1"/>
  <c r="B91" i="2"/>
  <c r="B95" i="2"/>
  <c r="B92" i="2"/>
  <c r="B94" i="2"/>
  <c r="B89" i="2"/>
  <c r="B93" i="2"/>
  <c r="B90" i="2"/>
  <c r="A99" i="34"/>
  <c r="D68" i="30"/>
  <c r="N414" i="6"/>
  <c r="N409" i="6"/>
  <c r="A366" i="6"/>
  <c r="A369" i="6"/>
  <c r="A368" i="6"/>
  <c r="A288" i="8"/>
  <c r="A281" i="8"/>
  <c r="A102" i="35"/>
  <c r="K276" i="1"/>
  <c r="D276" i="1"/>
  <c r="K587" i="1"/>
  <c r="G587" i="1"/>
  <c r="B135" i="28"/>
  <c r="B135" i="32"/>
  <c r="B133" i="28"/>
  <c r="B131" i="28"/>
  <c r="B131" i="32"/>
  <c r="N415" i="6"/>
  <c r="A361" i="6"/>
  <c r="A359" i="6"/>
  <c r="A10" i="28"/>
  <c r="A7" i="28"/>
  <c r="A12" i="28"/>
  <c r="F34" i="29"/>
  <c r="I34" i="29"/>
  <c r="K34" i="29"/>
  <c r="E34" i="29"/>
  <c r="H34" i="29"/>
  <c r="A269" i="30"/>
  <c r="A271" i="30"/>
  <c r="A66" i="34"/>
  <c r="A259" i="8"/>
  <c r="A254" i="8"/>
  <c r="L162" i="1"/>
  <c r="E162" i="1"/>
  <c r="F162" i="1"/>
  <c r="C162" i="1"/>
  <c r="J4" i="5"/>
  <c r="I4" i="5"/>
  <c r="K4" i="5"/>
  <c r="L4" i="5"/>
  <c r="A203" i="8"/>
  <c r="A200" i="8"/>
  <c r="A204" i="8"/>
  <c r="A119" i="7"/>
  <c r="A115" i="7"/>
  <c r="A117" i="7"/>
  <c r="A116" i="7"/>
  <c r="A175" i="7"/>
  <c r="A171" i="7"/>
  <c r="A170" i="7"/>
  <c r="B15" i="37"/>
  <c r="F15" i="37"/>
  <c r="H15" i="37"/>
  <c r="G15" i="37"/>
  <c r="A58" i="37"/>
  <c r="A55" i="37"/>
  <c r="A56" i="37"/>
  <c r="A79" i="37"/>
  <c r="A73" i="37"/>
  <c r="A132" i="38"/>
  <c r="A341" i="38"/>
  <c r="A338" i="38"/>
  <c r="A46" i="27"/>
  <c r="A42" i="27"/>
  <c r="A319" i="8"/>
  <c r="A330" i="39"/>
  <c r="A560" i="38"/>
  <c r="A242" i="6"/>
  <c r="A241" i="6"/>
  <c r="A96" i="38"/>
  <c r="D229" i="1"/>
  <c r="F232" i="1"/>
  <c r="E231" i="1"/>
  <c r="D232" i="1"/>
  <c r="A172" i="8"/>
  <c r="N434" i="30"/>
  <c r="G161" i="1"/>
  <c r="J161" i="1"/>
  <c r="E161" i="1"/>
  <c r="L161" i="1"/>
  <c r="K161" i="1"/>
  <c r="F161" i="1"/>
  <c r="I161" i="1"/>
  <c r="H161" i="1"/>
  <c r="A48" i="31"/>
  <c r="A41" i="31"/>
  <c r="A42" i="31"/>
  <c r="A43" i="31"/>
  <c r="A45" i="31"/>
  <c r="A47" i="31"/>
  <c r="A44" i="31"/>
  <c r="A46" i="31"/>
  <c r="A98" i="32"/>
  <c r="A103" i="32"/>
  <c r="A59" i="34"/>
  <c r="A52" i="34"/>
  <c r="A470" i="39"/>
  <c r="A473" i="39"/>
  <c r="A471" i="39"/>
  <c r="A477" i="39"/>
  <c r="A472" i="39"/>
  <c r="A476" i="39"/>
  <c r="A701" i="39"/>
  <c r="K4" i="31"/>
  <c r="B4" i="31"/>
  <c r="I4" i="31"/>
  <c r="F4" i="31"/>
  <c r="J4" i="31"/>
  <c r="D4" i="31"/>
  <c r="C4" i="31"/>
  <c r="G4" i="31"/>
  <c r="A35" i="35"/>
  <c r="A33" i="35"/>
  <c r="A34" i="35"/>
  <c r="A38" i="35"/>
  <c r="A37" i="35"/>
  <c r="A39" i="35"/>
  <c r="A32" i="35"/>
  <c r="A69" i="35"/>
  <c r="A64" i="35"/>
  <c r="A88" i="35"/>
  <c r="A84" i="35"/>
  <c r="A83" i="35"/>
  <c r="A86" i="35"/>
  <c r="A89" i="35"/>
  <c r="A107" i="35"/>
  <c r="A109" i="35"/>
  <c r="A146" i="35"/>
  <c r="A147" i="35"/>
  <c r="A145" i="35"/>
  <c r="A141" i="35"/>
  <c r="A134" i="39"/>
  <c r="A136" i="39"/>
  <c r="A132" i="39"/>
  <c r="A131" i="39"/>
  <c r="A133" i="39"/>
  <c r="A164" i="39"/>
  <c r="A161" i="39"/>
  <c r="A163" i="39"/>
  <c r="A181" i="39"/>
  <c r="A259" i="39"/>
  <c r="A254" i="39"/>
  <c r="A363" i="39"/>
  <c r="A365" i="39"/>
  <c r="A366" i="39"/>
  <c r="A368" i="39"/>
  <c r="A364" i="39"/>
  <c r="A395" i="39"/>
  <c r="A389" i="39"/>
  <c r="A391" i="39"/>
  <c r="A390" i="39"/>
  <c r="A393" i="39"/>
  <c r="A394" i="39"/>
  <c r="A396" i="39"/>
  <c r="A452" i="39"/>
  <c r="E4" i="31"/>
  <c r="H4" i="31"/>
  <c r="G34" i="4"/>
  <c r="I34" i="4"/>
  <c r="A322" i="8"/>
  <c r="A318" i="8"/>
  <c r="A320" i="8"/>
  <c r="A324" i="8"/>
  <c r="A317" i="8"/>
  <c r="A323" i="8"/>
  <c r="A321" i="8"/>
  <c r="A617" i="8"/>
  <c r="A620" i="8"/>
  <c r="A618" i="8"/>
  <c r="A621" i="8"/>
  <c r="A619" i="8"/>
  <c r="F45" i="30"/>
  <c r="I45" i="30"/>
  <c r="H48" i="30"/>
  <c r="A24" i="3"/>
  <c r="A29" i="3"/>
  <c r="A26" i="3"/>
  <c r="A28" i="3"/>
  <c r="A30" i="3"/>
  <c r="A23" i="3"/>
  <c r="A101" i="5"/>
  <c r="A98" i="5"/>
  <c r="A100" i="5"/>
  <c r="A102" i="5"/>
  <c r="A70" i="32"/>
  <c r="A68" i="32"/>
  <c r="A308" i="8"/>
  <c r="A314" i="8"/>
  <c r="A72" i="32"/>
  <c r="A53" i="30"/>
  <c r="A56" i="30"/>
  <c r="A55" i="30"/>
  <c r="A54" i="30"/>
  <c r="A43" i="32"/>
  <c r="A42" i="32"/>
  <c r="A39" i="32"/>
  <c r="A452" i="38"/>
  <c r="A456" i="38"/>
  <c r="A458" i="38"/>
  <c r="A453" i="38"/>
  <c r="J35" i="40"/>
  <c r="I35" i="40"/>
  <c r="F35" i="40"/>
  <c r="H35" i="40"/>
  <c r="G35" i="40"/>
  <c r="H342" i="1"/>
  <c r="J342" i="1"/>
  <c r="A313" i="8"/>
  <c r="A310" i="8"/>
  <c r="A67" i="32"/>
  <c r="B126" i="2"/>
  <c r="B124" i="2"/>
  <c r="D4" i="5"/>
  <c r="E4" i="5"/>
  <c r="A200" i="6"/>
  <c r="A319" i="6"/>
  <c r="A326" i="6"/>
  <c r="A324" i="6"/>
  <c r="A323" i="6"/>
  <c r="A349" i="6"/>
  <c r="A351" i="6"/>
  <c r="A350" i="6"/>
  <c r="A79" i="30"/>
  <c r="A387" i="34"/>
  <c r="H46" i="8"/>
  <c r="A94" i="8"/>
  <c r="A95" i="8"/>
  <c r="A38" i="8"/>
  <c r="A642" i="8"/>
  <c r="A648" i="8"/>
  <c r="A281" i="39"/>
  <c r="A283" i="39"/>
  <c r="A359" i="39"/>
  <c r="A354" i="39"/>
  <c r="A356" i="39"/>
  <c r="A353" i="39"/>
  <c r="A358" i="39"/>
  <c r="A499" i="39"/>
  <c r="A133" i="35"/>
  <c r="A138" i="35"/>
  <c r="A132" i="35"/>
  <c r="A134" i="35"/>
  <c r="A135" i="35"/>
  <c r="A137" i="35"/>
  <c r="G230" i="1"/>
  <c r="C229" i="1"/>
  <c r="E235" i="1"/>
  <c r="K235" i="1"/>
  <c r="E230" i="1"/>
  <c r="D234" i="1"/>
  <c r="H229" i="1"/>
  <c r="C228" i="1"/>
  <c r="E233" i="1"/>
  <c r="K233" i="1"/>
  <c r="L235" i="1"/>
  <c r="L233" i="1"/>
  <c r="G228" i="1"/>
  <c r="G232" i="1"/>
  <c r="L228" i="1"/>
  <c r="K230" i="1"/>
  <c r="E234" i="1"/>
  <c r="G229" i="1"/>
  <c r="I231" i="1"/>
  <c r="H230" i="1"/>
  <c r="H235" i="1"/>
  <c r="F228" i="1"/>
  <c r="C231" i="1"/>
  <c r="K231" i="1"/>
  <c r="H228" i="1"/>
  <c r="C230" i="1"/>
  <c r="F234" i="1"/>
  <c r="L230" i="1"/>
  <c r="L232" i="1"/>
  <c r="L231" i="1"/>
  <c r="E232" i="1"/>
  <c r="F233" i="1"/>
  <c r="H233" i="1"/>
  <c r="J229" i="1"/>
  <c r="A607" i="1"/>
  <c r="A713" i="1"/>
  <c r="A604" i="1"/>
  <c r="A710" i="1"/>
  <c r="A605" i="1"/>
  <c r="A711" i="1"/>
  <c r="A230" i="30"/>
  <c r="B173" i="8"/>
  <c r="B170" i="8"/>
  <c r="B172" i="8"/>
  <c r="B169" i="8"/>
  <c r="B221" i="1"/>
  <c r="B220" i="1"/>
  <c r="B223" i="1"/>
  <c r="A28" i="37"/>
  <c r="A295" i="30"/>
  <c r="B141" i="32"/>
  <c r="A117" i="6"/>
  <c r="H409" i="1"/>
  <c r="A86" i="31"/>
  <c r="A89" i="31"/>
  <c r="A87" i="31"/>
  <c r="A412" i="39"/>
  <c r="A414" i="39"/>
  <c r="A145" i="34"/>
  <c r="A139" i="34"/>
  <c r="B146" i="40"/>
  <c r="B149" i="40"/>
  <c r="B147" i="40"/>
  <c r="A83" i="31"/>
  <c r="A441" i="1"/>
  <c r="A491" i="1"/>
  <c r="A541" i="1"/>
  <c r="A439" i="1"/>
  <c r="A489" i="1"/>
  <c r="A539" i="1"/>
  <c r="A19" i="39"/>
  <c r="A127" i="39"/>
  <c r="A20" i="39"/>
  <c r="N430" i="6"/>
  <c r="D55" i="6"/>
  <c r="G53" i="6"/>
  <c r="G56" i="6"/>
  <c r="A593" i="39"/>
  <c r="E59" i="6"/>
  <c r="L53" i="6"/>
  <c r="F58" i="6"/>
  <c r="E55" i="6"/>
  <c r="F53" i="6"/>
  <c r="L54" i="6"/>
  <c r="E52" i="6"/>
  <c r="J53" i="6"/>
  <c r="C52" i="6"/>
  <c r="G57" i="6"/>
  <c r="A8" i="27"/>
  <c r="F28" i="30"/>
  <c r="A36" i="30"/>
  <c r="B137" i="29"/>
  <c r="A337" i="30"/>
  <c r="A9" i="32"/>
  <c r="A7" i="32"/>
  <c r="A342" i="30"/>
  <c r="K28" i="30"/>
  <c r="K28" i="34"/>
  <c r="A43" i="28"/>
  <c r="C151" i="29"/>
  <c r="B142" i="40"/>
  <c r="A662" i="39"/>
  <c r="A666" i="39"/>
  <c r="B143" i="40"/>
  <c r="D3" i="9"/>
  <c r="A88" i="31"/>
  <c r="A315" i="34"/>
  <c r="A77" i="30"/>
  <c r="A403" i="30"/>
  <c r="A7" i="27"/>
  <c r="A22" i="7"/>
  <c r="A27" i="7"/>
  <c r="A28" i="7"/>
  <c r="A63" i="7"/>
  <c r="A68" i="7"/>
  <c r="A62" i="7"/>
  <c r="A160" i="7"/>
  <c r="A163" i="7"/>
  <c r="A164" i="7"/>
  <c r="A101" i="38"/>
  <c r="A99" i="38"/>
  <c r="A208" i="38"/>
  <c r="A209" i="38"/>
  <c r="A340" i="38"/>
  <c r="A339" i="38"/>
  <c r="A342" i="38"/>
  <c r="A407" i="38"/>
  <c r="A411" i="38"/>
  <c r="A443" i="38"/>
  <c r="A447" i="38"/>
  <c r="N122" i="40"/>
  <c r="N111" i="29"/>
  <c r="A21" i="59"/>
  <c r="A15" i="59"/>
  <c r="A22" i="59"/>
  <c r="A589" i="39"/>
  <c r="H3" i="9"/>
  <c r="A12" i="32"/>
  <c r="A10" i="32"/>
  <c r="G3" i="9"/>
  <c r="N432" i="6"/>
  <c r="A659" i="39"/>
  <c r="F3" i="9"/>
  <c r="C152" i="29"/>
  <c r="B144" i="40"/>
  <c r="A663" i="39"/>
  <c r="A482" i="39"/>
  <c r="B3" i="9"/>
  <c r="A85" i="31"/>
  <c r="E56" i="6"/>
  <c r="I53" i="6"/>
  <c r="K57" i="6"/>
  <c r="A317" i="30"/>
  <c r="A312" i="30"/>
  <c r="A316" i="30"/>
  <c r="A402" i="30"/>
  <c r="A400" i="30"/>
  <c r="A157" i="35"/>
  <c r="A151" i="35"/>
  <c r="A155" i="35"/>
  <c r="B241" i="1"/>
  <c r="B243" i="1"/>
  <c r="B239" i="1"/>
  <c r="A122" i="34"/>
  <c r="A115" i="34"/>
  <c r="A591" i="39"/>
  <c r="I3" i="9"/>
  <c r="A6" i="32"/>
  <c r="C3" i="9"/>
  <c r="A342" i="39"/>
  <c r="B148" i="40"/>
  <c r="A661" i="39"/>
  <c r="A18" i="39"/>
  <c r="A626" i="39"/>
  <c r="I26" i="6"/>
  <c r="A177" i="34"/>
  <c r="A181" i="34"/>
  <c r="A242" i="34"/>
  <c r="A244" i="34"/>
  <c r="A411" i="34"/>
  <c r="A409" i="34"/>
  <c r="B222" i="1"/>
  <c r="B219" i="1"/>
  <c r="A609" i="1"/>
  <c r="A715" i="1"/>
  <c r="A606" i="1"/>
  <c r="A712" i="1"/>
  <c r="A603" i="1"/>
  <c r="A709" i="1"/>
  <c r="A602" i="1"/>
  <c r="A708" i="1"/>
  <c r="H343" i="1"/>
  <c r="E343" i="1"/>
  <c r="E51" i="57"/>
  <c r="E45" i="57"/>
  <c r="A259" i="6"/>
  <c r="A208" i="34"/>
  <c r="A207" i="34"/>
  <c r="K410" i="1"/>
  <c r="E410" i="1"/>
  <c r="A42" i="3"/>
  <c r="A539" i="8"/>
  <c r="A534" i="8"/>
  <c r="A177" i="7"/>
  <c r="A22" i="35"/>
  <c r="A529" i="39"/>
  <c r="A526" i="39"/>
  <c r="G643" i="1"/>
  <c r="A52" i="58"/>
  <c r="A50" i="58"/>
  <c r="C3" i="60"/>
  <c r="F3" i="60"/>
  <c r="A674" i="38"/>
  <c r="A669" i="38"/>
  <c r="B30" i="59"/>
  <c r="B30" i="60"/>
  <c r="B27" i="59"/>
  <c r="A39" i="60"/>
  <c r="A398" i="39"/>
  <c r="A399" i="39"/>
  <c r="C128" i="40"/>
  <c r="C115" i="40"/>
  <c r="C105" i="40"/>
  <c r="N325" i="34"/>
  <c r="M692" i="38"/>
  <c r="M575" i="39"/>
  <c r="N278" i="6"/>
  <c r="M382" i="38"/>
  <c r="M427" i="39"/>
  <c r="M160" i="35"/>
  <c r="M178" i="35"/>
  <c r="M499" i="8"/>
  <c r="M553" i="8"/>
  <c r="M546" i="39"/>
  <c r="N275" i="30"/>
  <c r="M353" i="8"/>
  <c r="N333" i="34"/>
  <c r="M641" i="38"/>
  <c r="M162" i="35"/>
  <c r="M174" i="7"/>
  <c r="M583" i="38"/>
  <c r="M655" i="38"/>
  <c r="N141" i="6"/>
  <c r="N401" i="6"/>
  <c r="M440" i="8"/>
  <c r="M148" i="37"/>
  <c r="M235" i="8"/>
  <c r="N275" i="6"/>
  <c r="M618" i="38"/>
  <c r="M498" i="39"/>
  <c r="M575" i="8"/>
  <c r="M143" i="7"/>
  <c r="M119" i="37"/>
  <c r="M139" i="35"/>
  <c r="N189" i="30"/>
  <c r="M30" i="9"/>
  <c r="N276" i="6"/>
  <c r="M384" i="38"/>
  <c r="M641" i="8"/>
  <c r="M598" i="38"/>
  <c r="M96" i="7"/>
  <c r="M356" i="39"/>
  <c r="M124" i="7"/>
  <c r="N383" i="30"/>
  <c r="M78" i="37"/>
  <c r="M620" i="39"/>
  <c r="A53" i="58"/>
  <c r="N29" i="59"/>
  <c r="A52" i="59"/>
  <c r="A53" i="59"/>
  <c r="I3" i="60"/>
  <c r="N431" i="30"/>
  <c r="N430" i="30"/>
  <c r="N433" i="30"/>
  <c r="N429" i="30"/>
  <c r="N427" i="30"/>
  <c r="N420" i="30"/>
  <c r="N424" i="30"/>
  <c r="D100" i="29" a="1"/>
  <c r="N427" i="6"/>
  <c r="N425" i="6"/>
  <c r="A350" i="8"/>
  <c r="A351" i="8"/>
  <c r="A348" i="8"/>
  <c r="A345" i="8"/>
  <c r="A344" i="8"/>
  <c r="A346" i="8"/>
  <c r="A349" i="8"/>
  <c r="A387" i="8"/>
  <c r="A386" i="8"/>
  <c r="A385" i="8"/>
  <c r="A382" i="8"/>
  <c r="A381" i="8"/>
  <c r="A384" i="8"/>
  <c r="A383" i="8"/>
  <c r="A480" i="8"/>
  <c r="A481" i="8"/>
  <c r="A483" i="8"/>
  <c r="A479" i="8"/>
  <c r="A486" i="8"/>
  <c r="A484" i="8"/>
  <c r="A698" i="8"/>
  <c r="A699" i="8"/>
  <c r="A5" i="7"/>
  <c r="A10" i="7"/>
  <c r="A129" i="7"/>
  <c r="A124" i="7"/>
  <c r="A125" i="7"/>
  <c r="A126" i="7"/>
  <c r="A122" i="7"/>
  <c r="A692" i="8"/>
  <c r="A693" i="8"/>
  <c r="A6" i="35"/>
  <c r="A9" i="35"/>
  <c r="A11" i="35"/>
  <c r="A8" i="35"/>
  <c r="A59" i="35"/>
  <c r="A58" i="35"/>
  <c r="A57" i="35"/>
  <c r="A56" i="35"/>
  <c r="A55" i="35"/>
  <c r="A54" i="35"/>
  <c r="A53" i="35"/>
  <c r="A77" i="35"/>
  <c r="A79" i="35"/>
  <c r="A74" i="35"/>
  <c r="A75" i="35"/>
  <c r="A73" i="35"/>
  <c r="A76" i="35"/>
  <c r="A78" i="35"/>
  <c r="A99" i="35"/>
  <c r="A97" i="35"/>
  <c r="A93" i="35"/>
  <c r="A95" i="35"/>
  <c r="A92" i="35"/>
  <c r="A96" i="35"/>
  <c r="A94" i="35"/>
  <c r="A113" i="35"/>
  <c r="A117" i="35"/>
  <c r="A118" i="35"/>
  <c r="A114" i="35"/>
  <c r="A112" i="35"/>
  <c r="A115" i="35"/>
  <c r="A162" i="35"/>
  <c r="A160" i="35"/>
  <c r="A154" i="37"/>
  <c r="A157" i="37"/>
  <c r="A150" i="37"/>
  <c r="A50" i="39"/>
  <c r="A51" i="39"/>
  <c r="A55" i="39"/>
  <c r="A54" i="39"/>
  <c r="A76" i="39"/>
  <c r="A79" i="39"/>
  <c r="A81" i="39"/>
  <c r="A138" i="37"/>
  <c r="A134" i="37"/>
  <c r="A139" i="37"/>
  <c r="A137" i="37"/>
  <c r="A132" i="37"/>
  <c r="A133" i="37"/>
  <c r="A136" i="37"/>
  <c r="A135" i="37"/>
  <c r="G142" i="1"/>
  <c r="H142" i="1"/>
  <c r="L142" i="1"/>
  <c r="F142" i="1"/>
  <c r="I142" i="1"/>
  <c r="E142" i="1"/>
  <c r="D142" i="1"/>
  <c r="C142" i="1"/>
  <c r="B211" i="1"/>
  <c r="B210" i="1"/>
  <c r="B215" i="1"/>
  <c r="B213" i="1"/>
  <c r="B216" i="1"/>
  <c r="B217" i="1"/>
  <c r="B214" i="1"/>
  <c r="A51" i="38"/>
  <c r="A55" i="38"/>
  <c r="A50" i="38"/>
  <c r="A471" i="38"/>
  <c r="A476" i="38"/>
  <c r="A474" i="38"/>
  <c r="A473" i="38"/>
  <c r="A475" i="38"/>
  <c r="A472" i="38"/>
  <c r="A470" i="38"/>
  <c r="A477" i="38"/>
  <c r="A507" i="38"/>
  <c r="A511" i="38"/>
  <c r="A508" i="38"/>
  <c r="A512" i="38"/>
  <c r="A513" i="38"/>
  <c r="A509" i="38"/>
  <c r="A542" i="38"/>
  <c r="A548" i="38"/>
  <c r="A549" i="38"/>
  <c r="A545" i="38"/>
  <c r="A544" i="38"/>
  <c r="A579" i="38"/>
  <c r="A582" i="38"/>
  <c r="A619" i="38"/>
  <c r="A621" i="38"/>
  <c r="M34" i="40"/>
  <c r="K34" i="40"/>
  <c r="J34" i="40"/>
  <c r="G34" i="40"/>
  <c r="F34" i="40"/>
  <c r="A448" i="1"/>
  <c r="A498" i="1"/>
  <c r="A548" i="1"/>
  <c r="A451" i="1"/>
  <c r="A501" i="1"/>
  <c r="A551" i="1"/>
  <c r="A445" i="1"/>
  <c r="A495" i="1"/>
  <c r="A545" i="1"/>
  <c r="A447" i="1"/>
  <c r="A497" i="1"/>
  <c r="A547" i="1"/>
  <c r="A450" i="1"/>
  <c r="A500" i="1"/>
  <c r="A550" i="1"/>
  <c r="A449" i="1"/>
  <c r="A499" i="1"/>
  <c r="A549" i="1"/>
  <c r="A452" i="1"/>
  <c r="A502" i="1"/>
  <c r="A552" i="1"/>
  <c r="A482" i="8"/>
  <c r="A485" i="8"/>
  <c r="A380" i="8"/>
  <c r="A127" i="7"/>
  <c r="I276" i="1"/>
  <c r="E276" i="1"/>
  <c r="J276" i="1"/>
  <c r="K95" i="57"/>
  <c r="I95" i="57"/>
  <c r="J95" i="57"/>
  <c r="D95" i="57"/>
  <c r="L95" i="57"/>
  <c r="G95" i="57"/>
  <c r="C95" i="57"/>
  <c r="H95" i="57"/>
  <c r="F95" i="57"/>
  <c r="A55" i="6"/>
  <c r="A52" i="6"/>
  <c r="A329" i="6"/>
  <c r="A334" i="6"/>
  <c r="A21" i="6"/>
  <c r="A15" i="6"/>
  <c r="A16" i="6"/>
  <c r="B4" i="27"/>
  <c r="G4" i="27"/>
  <c r="F4" i="27"/>
  <c r="D4" i="27"/>
  <c r="J4" i="27"/>
  <c r="A101" i="28"/>
  <c r="E35" i="29"/>
  <c r="J35" i="29"/>
  <c r="A7" i="8"/>
  <c r="A8" i="8"/>
  <c r="A159" i="8"/>
  <c r="A164" i="8"/>
  <c r="A301" i="8"/>
  <c r="A305" i="8"/>
  <c r="A306" i="8"/>
  <c r="A304" i="8"/>
  <c r="A416" i="8"/>
  <c r="A422" i="8"/>
  <c r="A419" i="8"/>
  <c r="A452" i="8"/>
  <c r="A458" i="8"/>
  <c r="A455" i="8"/>
  <c r="A454" i="8"/>
  <c r="A453" i="8"/>
  <c r="H15" i="7"/>
  <c r="B15" i="7"/>
  <c r="J15" i="7"/>
  <c r="E15" i="7"/>
  <c r="F15" i="7"/>
  <c r="A54" i="7"/>
  <c r="A52" i="7"/>
  <c r="A82" i="7"/>
  <c r="A88" i="7"/>
  <c r="A89" i="7"/>
  <c r="A87" i="7"/>
  <c r="A49" i="7"/>
  <c r="A43" i="7"/>
  <c r="A666" i="8"/>
  <c r="A660" i="8"/>
  <c r="A129" i="35"/>
  <c r="A128" i="35"/>
  <c r="A125" i="35"/>
  <c r="A126" i="35"/>
  <c r="A127" i="35"/>
  <c r="A172" i="35"/>
  <c r="A173" i="35"/>
  <c r="A46" i="37"/>
  <c r="A45" i="37"/>
  <c r="A44" i="37"/>
  <c r="A47" i="37"/>
  <c r="A43" i="37"/>
  <c r="A164" i="37"/>
  <c r="A166" i="37"/>
  <c r="A167" i="37"/>
  <c r="A165" i="37"/>
  <c r="A162" i="37"/>
  <c r="A200" i="39"/>
  <c r="A199" i="39"/>
  <c r="A266" i="39"/>
  <c r="A267" i="39"/>
  <c r="A265" i="39"/>
  <c r="A268" i="39"/>
  <c r="A341" i="39"/>
  <c r="A336" i="39"/>
  <c r="A410" i="39"/>
  <c r="A409" i="39"/>
  <c r="A408" i="39"/>
  <c r="A446" i="39"/>
  <c r="A448" i="39"/>
  <c r="A445" i="39"/>
  <c r="A481" i="39"/>
  <c r="A485" i="39"/>
  <c r="A517" i="39"/>
  <c r="A516" i="39"/>
  <c r="A519" i="39"/>
  <c r="A547" i="39"/>
  <c r="A544" i="39"/>
  <c r="A579" i="39"/>
  <c r="A583" i="39"/>
  <c r="A581" i="39"/>
  <c r="A610" i="39"/>
  <c r="A606" i="39"/>
  <c r="A611" i="39"/>
  <c r="A612" i="39"/>
  <c r="A680" i="39"/>
  <c r="A682" i="39"/>
  <c r="A416" i="6"/>
  <c r="A410" i="6"/>
  <c r="A413" i="6"/>
  <c r="A415" i="6"/>
  <c r="I277" i="1"/>
  <c r="G277" i="1"/>
  <c r="L277" i="1"/>
  <c r="F277" i="1"/>
  <c r="E277" i="1"/>
  <c r="C343" i="1"/>
  <c r="K343" i="1"/>
  <c r="D343" i="1"/>
  <c r="A177" i="35"/>
  <c r="G15" i="7"/>
  <c r="A545" i="39"/>
  <c r="A518" i="39"/>
  <c r="A659" i="8"/>
  <c r="B123" i="2"/>
  <c r="H35" i="29"/>
  <c r="A423" i="8"/>
  <c r="A29" i="35"/>
  <c r="A105" i="28"/>
  <c r="A328" i="6"/>
  <c r="A457" i="8"/>
  <c r="D15" i="7"/>
  <c r="A609" i="39"/>
  <c r="A582" i="39"/>
  <c r="A447" i="39"/>
  <c r="C4" i="27"/>
  <c r="A542" i="39"/>
  <c r="A480" i="39"/>
  <c r="A122" i="35"/>
  <c r="A161" i="37"/>
  <c r="A377" i="34"/>
  <c r="A49" i="37"/>
  <c r="A47" i="7"/>
  <c r="A520" i="39"/>
  <c r="A84" i="7"/>
  <c r="A124" i="35"/>
  <c r="A340" i="39"/>
  <c r="A53" i="7"/>
  <c r="A54" i="6"/>
  <c r="A300" i="8"/>
  <c r="A301" i="39"/>
  <c r="A412" i="6"/>
  <c r="K4" i="27"/>
  <c r="A10" i="8"/>
  <c r="A379" i="34"/>
  <c r="A662" i="8"/>
  <c r="K277" i="1"/>
  <c r="A7" i="3"/>
  <c r="A10" i="3"/>
  <c r="A12" i="3"/>
  <c r="A9" i="3"/>
  <c r="A11" i="3"/>
  <c r="A37" i="6"/>
  <c r="A38" i="6"/>
  <c r="A41" i="6"/>
  <c r="A34" i="6"/>
  <c r="A40" i="6"/>
  <c r="A36" i="6"/>
  <c r="A190" i="6"/>
  <c r="A185" i="6"/>
  <c r="A187" i="6"/>
  <c r="A244" i="6"/>
  <c r="A240" i="6"/>
  <c r="A353" i="6"/>
  <c r="A347" i="6"/>
  <c r="A435" i="6"/>
  <c r="A434" i="6"/>
  <c r="A430" i="6"/>
  <c r="A73" i="28"/>
  <c r="A68" i="28"/>
  <c r="A69" i="28"/>
  <c r="A71" i="28"/>
  <c r="A68" i="30"/>
  <c r="A67" i="30"/>
  <c r="A65" i="30"/>
  <c r="A61" i="30"/>
  <c r="A64" i="30"/>
  <c r="A66" i="30"/>
  <c r="A199" i="30"/>
  <c r="A196" i="30"/>
  <c r="A394" i="30"/>
  <c r="A393" i="30"/>
  <c r="A160" i="34"/>
  <c r="A158" i="34"/>
  <c r="A188" i="34"/>
  <c r="A187" i="34"/>
  <c r="A184" i="34"/>
  <c r="A185" i="34"/>
  <c r="A114" i="8"/>
  <c r="A113" i="8"/>
  <c r="A112" i="8"/>
  <c r="A19" i="8"/>
  <c r="A23" i="8"/>
  <c r="A25" i="8"/>
  <c r="A21" i="8"/>
  <c r="A20" i="8"/>
  <c r="A137" i="8"/>
  <c r="A136" i="8"/>
  <c r="F217" i="1"/>
  <c r="D217" i="1"/>
  <c r="E216" i="1"/>
  <c r="E211" i="1"/>
  <c r="G211" i="1"/>
  <c r="L212" i="1"/>
  <c r="E212" i="1"/>
  <c r="G210" i="1"/>
  <c r="H217" i="1"/>
  <c r="K215" i="1"/>
  <c r="J215" i="1"/>
  <c r="I216" i="1"/>
  <c r="H212" i="1"/>
  <c r="A597" i="1"/>
  <c r="A703" i="1"/>
  <c r="A594" i="1"/>
  <c r="A700" i="1"/>
  <c r="K380" i="1"/>
  <c r="K402" i="1"/>
  <c r="K377" i="1"/>
  <c r="K421" i="1"/>
  <c r="L381" i="1"/>
  <c r="I382" i="1"/>
  <c r="C379" i="1"/>
  <c r="G377" i="1"/>
  <c r="G399" i="1"/>
  <c r="C381" i="1"/>
  <c r="C425" i="1"/>
  <c r="E381" i="1"/>
  <c r="E403" i="1"/>
  <c r="F377" i="1"/>
  <c r="F399" i="1"/>
  <c r="K376" i="1"/>
  <c r="K398" i="1"/>
  <c r="E377" i="1"/>
  <c r="H381" i="1"/>
  <c r="I378" i="1"/>
  <c r="H379" i="1"/>
  <c r="H401" i="1"/>
  <c r="F379" i="1"/>
  <c r="F401" i="1"/>
  <c r="K378" i="1"/>
  <c r="K400" i="1"/>
  <c r="G381" i="1"/>
  <c r="G425" i="1"/>
  <c r="E379" i="1"/>
  <c r="E401" i="1"/>
  <c r="C378" i="1"/>
  <c r="E383" i="1"/>
  <c r="H377" i="1"/>
  <c r="J376" i="1"/>
  <c r="I381" i="1"/>
  <c r="I403" i="1"/>
  <c r="E380" i="1"/>
  <c r="E424" i="1"/>
  <c r="K383" i="1"/>
  <c r="K405" i="1"/>
  <c r="H378" i="1"/>
  <c r="H400" i="1"/>
  <c r="G383" i="1"/>
  <c r="I380" i="1"/>
  <c r="J380" i="1"/>
  <c r="G380" i="1"/>
  <c r="G402" i="1"/>
  <c r="I376" i="1"/>
  <c r="I398" i="1"/>
  <c r="D382" i="1"/>
  <c r="D426" i="1"/>
  <c r="I383" i="1"/>
  <c r="I405" i="1"/>
  <c r="C377" i="1"/>
  <c r="C421" i="1"/>
  <c r="C380" i="1"/>
  <c r="E382" i="1"/>
  <c r="D379" i="1"/>
  <c r="D401" i="1"/>
  <c r="L378" i="1"/>
  <c r="L422" i="1"/>
  <c r="J379" i="1"/>
  <c r="J401" i="1"/>
  <c r="L377" i="1"/>
  <c r="L399" i="1"/>
  <c r="C91" i="40"/>
  <c r="A672" i="1"/>
  <c r="A674" i="1"/>
  <c r="A671" i="1"/>
  <c r="A673" i="1"/>
  <c r="A668" i="1"/>
  <c r="A174" i="35"/>
  <c r="I15" i="7"/>
  <c r="A543" i="39"/>
  <c r="A515" i="39"/>
  <c r="A645" i="8"/>
  <c r="A661" i="8"/>
  <c r="B127" i="2"/>
  <c r="A134" i="30"/>
  <c r="A251" i="34"/>
  <c r="A420" i="8"/>
  <c r="A409" i="6"/>
  <c r="A133" i="30"/>
  <c r="A28" i="35"/>
  <c r="A79" i="6"/>
  <c r="A411" i="6"/>
  <c r="A677" i="39"/>
  <c r="I343" i="1"/>
  <c r="C15" i="7"/>
  <c r="A432" i="6"/>
  <c r="A607" i="39"/>
  <c r="A580" i="39"/>
  <c r="A449" i="39"/>
  <c r="I4" i="27"/>
  <c r="A288" i="34"/>
  <c r="G343" i="1"/>
  <c r="D277" i="1"/>
  <c r="A174" i="8"/>
  <c r="A346" i="6"/>
  <c r="A593" i="1"/>
  <c r="A699" i="1"/>
  <c r="C217" i="1"/>
  <c r="A407" i="39"/>
  <c r="A521" i="39"/>
  <c r="A86" i="7"/>
  <c r="A123" i="35"/>
  <c r="A374" i="39"/>
  <c r="A58" i="7"/>
  <c r="A338" i="39"/>
  <c r="A46" i="7"/>
  <c r="A35" i="6"/>
  <c r="A416" i="34"/>
  <c r="A410" i="34"/>
  <c r="A415" i="34"/>
  <c r="A396" i="30"/>
  <c r="A58" i="6"/>
  <c r="A22" i="6"/>
  <c r="A184" i="6"/>
  <c r="A664" i="8"/>
  <c r="A62" i="30"/>
  <c r="A303" i="8"/>
  <c r="A374" i="34"/>
  <c r="A171" i="8"/>
  <c r="A665" i="8"/>
  <c r="G212" i="1"/>
  <c r="A282" i="38"/>
  <c r="A283" i="38"/>
  <c r="A284" i="38"/>
  <c r="C698" i="1"/>
  <c r="F698" i="1"/>
  <c r="J698" i="1"/>
  <c r="I698" i="1"/>
  <c r="A44" i="27"/>
  <c r="A43" i="27"/>
  <c r="A92" i="37"/>
  <c r="A93" i="37"/>
  <c r="A626" i="1"/>
  <c r="A732" i="1"/>
  <c r="A624" i="1"/>
  <c r="A730" i="1"/>
  <c r="A258" i="6"/>
  <c r="A261" i="6"/>
  <c r="A9" i="58"/>
  <c r="A7" i="58"/>
  <c r="A11" i="58"/>
  <c r="A10" i="58"/>
  <c r="A4" i="58"/>
  <c r="A6" i="58"/>
  <c r="A8" i="58"/>
  <c r="A21" i="27"/>
  <c r="A16" i="27"/>
  <c r="A46" i="30"/>
  <c r="A45" i="30"/>
  <c r="A406" i="34"/>
  <c r="A400" i="34"/>
  <c r="B41" i="8"/>
  <c r="F41" i="8"/>
  <c r="F254" i="1"/>
  <c r="L254" i="1"/>
  <c r="D254" i="1"/>
  <c r="N45" i="60"/>
  <c r="N37" i="60"/>
  <c r="N27" i="60"/>
  <c r="N10" i="60"/>
  <c r="N9" i="60"/>
  <c r="N8" i="60"/>
  <c r="N7" i="60"/>
  <c r="N44" i="60"/>
  <c r="N41" i="60"/>
  <c r="N38" i="60"/>
  <c r="N32" i="60"/>
  <c r="N30" i="60"/>
  <c r="N42" i="59"/>
  <c r="N38" i="59"/>
  <c r="N34" i="59"/>
  <c r="N31" i="59"/>
  <c r="N28" i="59"/>
  <c r="N10" i="59"/>
  <c r="N8" i="59"/>
  <c r="N43" i="58"/>
  <c r="N39" i="58"/>
  <c r="N34" i="58"/>
  <c r="N30" i="58"/>
  <c r="N26" i="58"/>
  <c r="N11" i="58"/>
  <c r="N9" i="58"/>
  <c r="N40" i="60"/>
  <c r="N29" i="60"/>
  <c r="N26" i="60"/>
  <c r="N6" i="60"/>
  <c r="N45" i="59"/>
  <c r="N41" i="59"/>
  <c r="N37" i="59"/>
  <c r="N27" i="59"/>
  <c r="N5" i="59"/>
  <c r="N42" i="58"/>
  <c r="N38" i="58"/>
  <c r="N33" i="58"/>
  <c r="N29" i="58"/>
  <c r="N43" i="60"/>
  <c r="N44" i="59"/>
  <c r="N26" i="59"/>
  <c r="N11" i="59"/>
  <c r="N6" i="59"/>
  <c r="N44" i="58"/>
  <c r="N27" i="58"/>
  <c r="N6" i="58"/>
  <c r="N144" i="6"/>
  <c r="N334" i="30"/>
  <c r="M45" i="35"/>
  <c r="M557" i="8"/>
  <c r="M623" i="38"/>
  <c r="M363" i="8"/>
  <c r="N320" i="6"/>
  <c r="M549" i="39"/>
  <c r="M112" i="35"/>
  <c r="M74" i="7"/>
  <c r="M439" i="8"/>
  <c r="M447" i="39"/>
  <c r="N406" i="30"/>
  <c r="M47" i="7"/>
  <c r="M353" i="39"/>
  <c r="M650" i="39"/>
  <c r="M49" i="7"/>
  <c r="M120" i="35"/>
  <c r="N394" i="6"/>
  <c r="N340" i="30"/>
  <c r="M571" i="8"/>
  <c r="N136" i="34"/>
  <c r="M127" i="7"/>
  <c r="M364" i="39"/>
  <c r="M547" i="39"/>
  <c r="N143" i="6"/>
  <c r="M530" i="8"/>
  <c r="M705" i="8"/>
  <c r="N331" i="30"/>
  <c r="M625" i="39"/>
  <c r="M500" i="38"/>
  <c r="M142" i="7"/>
  <c r="M458" i="39"/>
  <c r="M652" i="38"/>
  <c r="N42" i="60"/>
  <c r="N34" i="60"/>
  <c r="N28" i="60"/>
  <c r="N43" i="59"/>
  <c r="N30" i="59"/>
  <c r="N9" i="59"/>
  <c r="N41" i="58"/>
  <c r="N32" i="58"/>
  <c r="N8" i="58"/>
  <c r="N39" i="60"/>
  <c r="N33" i="60"/>
  <c r="N40" i="59"/>
  <c r="N33" i="59"/>
  <c r="N7" i="59"/>
  <c r="N12" i="58"/>
  <c r="N5" i="58"/>
  <c r="N419" i="34" a="1"/>
  <c r="N423" i="34"/>
  <c r="N422" i="34"/>
  <c r="M628" i="39"/>
  <c r="N391" i="6"/>
  <c r="N193" i="30"/>
  <c r="M679" i="38"/>
  <c r="M178" i="37"/>
  <c r="M452" i="38"/>
  <c r="M524" i="38"/>
  <c r="N190" i="30"/>
  <c r="N142" i="34"/>
  <c r="M585" i="38"/>
  <c r="N343" i="6"/>
  <c r="M610" i="39"/>
  <c r="M436" i="39"/>
  <c r="M156" i="7"/>
  <c r="M581" i="8"/>
  <c r="M612" i="8"/>
  <c r="M77" i="37"/>
  <c r="M426" i="38"/>
  <c r="M506" i="8"/>
  <c r="M368" i="8"/>
  <c r="N438" i="6"/>
  <c r="M664" i="39"/>
  <c r="M656" i="38"/>
  <c r="M380" i="39"/>
  <c r="M48" i="37"/>
  <c r="M681" i="38"/>
  <c r="N443" i="6"/>
  <c r="M123" i="7"/>
  <c r="M112" i="37"/>
  <c r="M639" i="39"/>
  <c r="N270" i="30"/>
  <c r="M591" i="8"/>
  <c r="N199" i="30"/>
  <c r="M561" i="38"/>
  <c r="N337" i="34"/>
  <c r="M99" i="37"/>
  <c r="C39" i="8"/>
  <c r="M82" i="37"/>
  <c r="M12" i="9"/>
  <c r="M355" i="39"/>
  <c r="M647" i="39"/>
  <c r="M552" i="39"/>
  <c r="N187" i="6"/>
  <c r="M23" i="35"/>
  <c r="M108" i="7"/>
  <c r="M687" i="39"/>
  <c r="M365" i="8"/>
  <c r="M65" i="7"/>
  <c r="M545" i="8"/>
  <c r="M127" i="35"/>
  <c r="M441" i="8"/>
  <c r="M459" i="38"/>
  <c r="M24" i="35"/>
  <c r="M434" i="39"/>
  <c r="M629" i="8"/>
  <c r="M162" i="7"/>
  <c r="M526" i="38"/>
  <c r="M646" i="38"/>
  <c r="M163" i="37"/>
  <c r="M439" i="38"/>
  <c r="M107" i="35"/>
  <c r="M675" i="39"/>
  <c r="M85" i="35"/>
  <c r="M139" i="7"/>
  <c r="M596" i="8"/>
  <c r="M582" i="39"/>
  <c r="M626" i="8"/>
  <c r="N178" i="30"/>
  <c r="M163" i="35"/>
  <c r="M681" i="39"/>
  <c r="M627" i="39"/>
  <c r="M33" i="35"/>
  <c r="G140" i="2"/>
  <c r="M618" i="39"/>
  <c r="M691" i="39"/>
  <c r="M146" i="35"/>
  <c r="M35" i="37"/>
  <c r="M650" i="38"/>
  <c r="M39" i="7"/>
  <c r="M353" i="38"/>
  <c r="M567" i="39"/>
  <c r="N328" i="34"/>
  <c r="N404" i="30"/>
  <c r="M84" i="37"/>
  <c r="M693" i="8"/>
  <c r="M643" i="8"/>
  <c r="M150" i="7"/>
  <c r="M581" i="38"/>
  <c r="N139" i="30"/>
  <c r="M122" i="7"/>
  <c r="M54" i="7"/>
  <c r="M432" i="8"/>
  <c r="N393" i="30"/>
  <c r="M173" i="7"/>
  <c r="M65" i="37"/>
  <c r="M151" i="35"/>
  <c r="M510" i="38"/>
  <c r="M518" i="38"/>
  <c r="N386" i="30"/>
  <c r="E39" i="38"/>
  <c r="M648" i="39"/>
  <c r="M109" i="37"/>
  <c r="M674" i="8"/>
  <c r="M22" i="7"/>
  <c r="N277" i="6"/>
  <c r="N403" i="30"/>
  <c r="M60" i="7"/>
  <c r="N145" i="30"/>
  <c r="M624" i="8"/>
  <c r="M690" i="38"/>
  <c r="M15" i="9"/>
  <c r="M165" i="35"/>
  <c r="M545" i="38"/>
  <c r="M47" i="37"/>
  <c r="N146" i="34"/>
  <c r="E39" i="39"/>
  <c r="M579" i="8"/>
  <c r="M525" i="8"/>
  <c r="M445" i="38"/>
  <c r="M618" i="8"/>
  <c r="M10" i="9"/>
  <c r="M171" i="7"/>
  <c r="M129" i="7"/>
  <c r="M558" i="38"/>
  <c r="N269" i="34"/>
  <c r="N324" i="6"/>
  <c r="M166" i="35"/>
  <c r="N401" i="34"/>
  <c r="M440" i="38"/>
  <c r="M130" i="35"/>
  <c r="M690" i="39"/>
  <c r="M9" i="9"/>
  <c r="M592" i="39"/>
  <c r="N319" i="6"/>
  <c r="M524" i="39"/>
  <c r="N271" i="30"/>
  <c r="N382" i="34"/>
  <c r="M133" i="35"/>
  <c r="M583" i="39"/>
  <c r="N266" i="34"/>
  <c r="M679" i="8"/>
  <c r="M594" i="38"/>
  <c r="N198" i="6"/>
  <c r="M669" i="38"/>
  <c r="M386" i="38"/>
  <c r="M150" i="37"/>
  <c r="M354" i="38"/>
  <c r="M674" i="38"/>
  <c r="M590" i="38"/>
  <c r="M122" i="35"/>
  <c r="M76" i="37"/>
  <c r="N283" i="30"/>
  <c r="M513" i="39"/>
  <c r="M425" i="39"/>
  <c r="M94" i="7"/>
  <c r="M136" i="35"/>
  <c r="M503" i="8"/>
  <c r="N191" i="30"/>
  <c r="N288" i="30"/>
  <c r="M566" i="8"/>
  <c r="N130" i="6"/>
  <c r="M117" i="7"/>
  <c r="M360" i="39"/>
  <c r="N289" i="30"/>
  <c r="N405" i="6"/>
  <c r="M112" i="7"/>
  <c r="N265" i="6"/>
  <c r="M644" i="39"/>
  <c r="M430" i="8"/>
  <c r="N398" i="34"/>
  <c r="N406" i="34"/>
  <c r="M563" i="38"/>
  <c r="M75" i="35"/>
  <c r="M536" i="38"/>
  <c r="M367" i="39"/>
  <c r="M653" i="8"/>
  <c r="G156" i="2"/>
  <c r="M510" i="39"/>
  <c r="N180" i="34"/>
  <c r="N319" i="30"/>
  <c r="M556" i="39"/>
  <c r="M457" i="38"/>
  <c r="M236" i="38"/>
  <c r="M99" i="35"/>
  <c r="M570" i="8"/>
  <c r="M537" i="39"/>
  <c r="M34" i="9"/>
  <c r="M133" i="7"/>
  <c r="M506" i="38"/>
  <c r="M516" i="39"/>
  <c r="M678" i="39"/>
  <c r="M157" i="35"/>
  <c r="N266" i="6"/>
  <c r="N322" i="30"/>
  <c r="M502" i="8"/>
  <c r="M625" i="38"/>
  <c r="M690" i="8"/>
  <c r="N267" i="30"/>
  <c r="N139" i="6"/>
  <c r="M579" i="39"/>
  <c r="M147" i="35"/>
  <c r="M699" i="39"/>
  <c r="M74" i="37"/>
  <c r="M669" i="8"/>
  <c r="M570" i="39"/>
  <c r="N402" i="30"/>
  <c r="N176" i="30"/>
  <c r="M57" i="37"/>
  <c r="M47" i="35"/>
  <c r="M544" i="39"/>
  <c r="M634" i="39"/>
  <c r="M362" i="8"/>
  <c r="M95" i="7"/>
  <c r="M360" i="38"/>
  <c r="M498" i="38"/>
  <c r="M701" i="39"/>
  <c r="M552" i="38"/>
  <c r="M152" i="37"/>
  <c r="M93" i="35"/>
  <c r="M155" i="35"/>
  <c r="N342" i="34"/>
  <c r="M520" i="38"/>
  <c r="M438" i="8"/>
  <c r="N279" i="6"/>
  <c r="M584" i="8"/>
  <c r="M105" i="35"/>
  <c r="N321" i="34"/>
  <c r="M555" i="8"/>
  <c r="M701" i="8"/>
  <c r="M560" i="38"/>
  <c r="M616" i="8"/>
  <c r="M645" i="39"/>
  <c r="N186" i="34"/>
  <c r="N276" i="30"/>
  <c r="M539" i="39"/>
  <c r="M511" i="8"/>
  <c r="M688" i="38"/>
  <c r="M103" i="37"/>
  <c r="M665" i="39"/>
  <c r="M235" i="39"/>
  <c r="M673" i="38"/>
  <c r="M652" i="39"/>
  <c r="M592" i="8"/>
  <c r="M72" i="35"/>
  <c r="N31" i="60"/>
  <c r="N11" i="60"/>
  <c r="N4" i="60"/>
  <c r="N39" i="59"/>
  <c r="N32" i="59"/>
  <c r="N4" i="59"/>
  <c r="N45" i="58"/>
  <c r="N31" i="58"/>
  <c r="N10" i="58"/>
  <c r="N4" i="58"/>
  <c r="N12" i="60"/>
  <c r="N5" i="60"/>
  <c r="N12" i="59"/>
  <c r="N40" i="58"/>
  <c r="N28" i="58"/>
  <c r="H644" i="1"/>
  <c r="N37" i="58"/>
  <c r="A30" i="60"/>
  <c r="A27" i="60"/>
  <c r="A32" i="60"/>
  <c r="A31" i="60"/>
  <c r="A28" i="60"/>
  <c r="B14" i="28"/>
  <c r="C1" i="60"/>
  <c r="C1" i="59"/>
  <c r="C1" i="58"/>
  <c r="C3" i="58"/>
  <c r="E3" i="58"/>
  <c r="F3" i="58"/>
  <c r="B17" i="59"/>
  <c r="A42" i="60"/>
  <c r="A43" i="60"/>
  <c r="A40" i="60"/>
  <c r="A44" i="60"/>
  <c r="A18" i="59"/>
  <c r="A54" i="59"/>
  <c r="A10" i="60"/>
  <c r="A7" i="60"/>
  <c r="A11" i="60"/>
  <c r="A36" i="34"/>
  <c r="A40" i="34"/>
  <c r="A34" i="34"/>
  <c r="A171" i="34"/>
  <c r="A170" i="34"/>
  <c r="A172" i="34"/>
  <c r="A166" i="34"/>
  <c r="A270" i="34"/>
  <c r="A272" i="34"/>
  <c r="A268" i="34"/>
  <c r="A267" i="34"/>
  <c r="A266" i="34"/>
  <c r="A265" i="34"/>
  <c r="A334" i="34"/>
  <c r="A332" i="34"/>
  <c r="A331" i="34"/>
  <c r="A329" i="34"/>
  <c r="A384" i="34"/>
  <c r="A382" i="34"/>
  <c r="A389" i="34"/>
  <c r="A131" i="34"/>
  <c r="A130" i="34"/>
  <c r="A135" i="34"/>
  <c r="A103" i="34"/>
  <c r="A97" i="34"/>
  <c r="A100" i="34"/>
  <c r="A101" i="34"/>
  <c r="A74" i="34"/>
  <c r="A73" i="34"/>
  <c r="A72" i="34"/>
  <c r="A76" i="34"/>
  <c r="A200" i="34"/>
  <c r="A197" i="34"/>
  <c r="A195" i="34"/>
  <c r="A194" i="34"/>
  <c r="A294" i="34"/>
  <c r="A299" i="34"/>
  <c r="A292" i="34"/>
  <c r="A293" i="34"/>
  <c r="A296" i="34"/>
  <c r="A359" i="34"/>
  <c r="A355" i="34"/>
  <c r="A361" i="34"/>
  <c r="A358" i="34"/>
  <c r="A419" i="34"/>
  <c r="A426" i="34"/>
  <c r="A218" i="34"/>
  <c r="A214" i="34"/>
  <c r="A335" i="34"/>
  <c r="A104" i="34"/>
  <c r="A173" i="34"/>
  <c r="A198" i="34"/>
  <c r="A297" i="34"/>
  <c r="A70" i="34"/>
  <c r="A357" i="34"/>
  <c r="A133" i="34"/>
  <c r="A269" i="34"/>
  <c r="A169" i="34"/>
  <c r="A168" i="34"/>
  <c r="A50" i="34"/>
  <c r="A47" i="34"/>
  <c r="A49" i="34"/>
  <c r="A46" i="34"/>
  <c r="A79" i="34"/>
  <c r="A86" i="34"/>
  <c r="A80" i="34"/>
  <c r="A85" i="34"/>
  <c r="A225" i="34"/>
  <c r="A226" i="34"/>
  <c r="A221" i="34"/>
  <c r="A227" i="34"/>
  <c r="A434" i="34"/>
  <c r="A436" i="34"/>
  <c r="A432" i="34"/>
  <c r="A256" i="34"/>
  <c r="A257" i="34"/>
  <c r="A260" i="34"/>
  <c r="A261" i="34"/>
  <c r="A262" i="34"/>
  <c r="A233" i="34"/>
  <c r="A229" i="34"/>
  <c r="A230" i="34"/>
  <c r="A231" i="34"/>
  <c r="A113" i="34"/>
  <c r="A112" i="34"/>
  <c r="A111" i="34"/>
  <c r="A108" i="34"/>
  <c r="A102" i="34"/>
  <c r="A366" i="34"/>
  <c r="A295" i="34"/>
  <c r="A328" i="34"/>
  <c r="A83" i="34"/>
  <c r="A71" i="34"/>
  <c r="A107" i="34"/>
  <c r="A263" i="34"/>
  <c r="A235" i="34"/>
  <c r="N436" i="34"/>
  <c r="A362" i="34"/>
  <c r="A385" i="34"/>
  <c r="A48" i="34"/>
  <c r="A39" i="34"/>
  <c r="A38" i="34"/>
  <c r="A35" i="34"/>
  <c r="A333" i="34"/>
  <c r="A132" i="34"/>
  <c r="A98" i="34"/>
  <c r="A193" i="34"/>
  <c r="A109" i="34"/>
  <c r="A368" i="34"/>
  <c r="A45" i="34"/>
  <c r="A330" i="34"/>
  <c r="A82" i="34"/>
  <c r="A77" i="34"/>
  <c r="A106" i="34"/>
  <c r="A167" i="34"/>
  <c r="A236" i="34"/>
  <c r="A110" i="34"/>
  <c r="N433" i="34"/>
  <c r="A356" i="34"/>
  <c r="A397" i="34"/>
  <c r="A386" i="34"/>
  <c r="A37" i="34"/>
  <c r="A271" i="34"/>
  <c r="A136" i="34"/>
  <c r="A54" i="34"/>
  <c r="A57" i="34"/>
  <c r="A182" i="34"/>
  <c r="A175" i="34"/>
  <c r="H26" i="34"/>
  <c r="K26" i="34"/>
  <c r="A310" i="34"/>
  <c r="A239" i="34"/>
  <c r="L26" i="34"/>
  <c r="L3" i="60"/>
  <c r="H3" i="60"/>
  <c r="D3" i="60"/>
  <c r="K3" i="60"/>
  <c r="G3" i="60"/>
  <c r="A144" i="34"/>
  <c r="A303" i="34"/>
  <c r="A64" i="34"/>
  <c r="A89" i="34"/>
  <c r="A90" i="34"/>
  <c r="N432" i="34"/>
  <c r="N430" i="34"/>
  <c r="A395" i="34"/>
  <c r="A392" i="34"/>
  <c r="A396" i="34"/>
  <c r="A212" i="34"/>
  <c r="A304" i="34"/>
  <c r="A148" i="34"/>
  <c r="A213" i="34"/>
  <c r="A367" i="34"/>
  <c r="A433" i="34"/>
  <c r="A307" i="34"/>
  <c r="A285" i="34"/>
  <c r="A286" i="34"/>
  <c r="A340" i="34"/>
  <c r="A341" i="34"/>
  <c r="A412" i="34"/>
  <c r="A414" i="34"/>
  <c r="A215" i="34"/>
  <c r="A211" i="34"/>
  <c r="A370" i="34"/>
  <c r="A155" i="34"/>
  <c r="A151" i="34"/>
  <c r="A429" i="34"/>
  <c r="N434" i="34"/>
  <c r="A141" i="34"/>
  <c r="A371" i="34"/>
  <c r="A150" i="34"/>
  <c r="A149" i="34"/>
  <c r="A435" i="34"/>
  <c r="N435" i="34"/>
  <c r="A67" i="34"/>
  <c r="A65" i="34"/>
  <c r="A119" i="34"/>
  <c r="A302" i="34"/>
  <c r="A316" i="34"/>
  <c r="A314" i="34"/>
  <c r="A163" i="34"/>
  <c r="A161" i="34"/>
  <c r="A88" i="34"/>
  <c r="N429" i="34"/>
  <c r="A284" i="34"/>
  <c r="A191" i="34"/>
  <c r="A398" i="34"/>
  <c r="A394" i="34"/>
  <c r="A92" i="34"/>
  <c r="A430" i="34"/>
  <c r="A365" i="34"/>
  <c r="A337" i="34"/>
  <c r="A413" i="34"/>
  <c r="A308" i="34"/>
  <c r="A373" i="34"/>
  <c r="A375" i="34"/>
  <c r="A63" i="34"/>
  <c r="A369" i="34"/>
  <c r="A154" i="34"/>
  <c r="A118" i="34"/>
  <c r="A116" i="34"/>
  <c r="A159" i="34"/>
  <c r="A162" i="34"/>
  <c r="A157" i="34"/>
  <c r="A189" i="34"/>
  <c r="A186" i="34"/>
  <c r="A393" i="34"/>
  <c r="A289" i="34"/>
  <c r="A216" i="34"/>
  <c r="A305" i="34"/>
  <c r="A343" i="34"/>
  <c r="A94" i="34"/>
  <c r="A431" i="34"/>
  <c r="A342" i="34"/>
  <c r="A287" i="34"/>
  <c r="A140" i="34"/>
  <c r="A338" i="34"/>
  <c r="A142" i="34"/>
  <c r="A143" i="34"/>
  <c r="A146" i="34"/>
  <c r="A301" i="34"/>
  <c r="A223" i="34"/>
  <c r="A224" i="34"/>
  <c r="A137" i="34"/>
  <c r="A134" i="34"/>
  <c r="A217" i="34"/>
  <c r="A93" i="34"/>
  <c r="A19" i="60"/>
  <c r="A58" i="60"/>
  <c r="A8" i="60"/>
  <c r="A16" i="60"/>
  <c r="A20" i="60"/>
  <c r="A49" i="60"/>
  <c r="A50" i="60"/>
  <c r="A51" i="60"/>
  <c r="A52" i="60"/>
  <c r="A53" i="60"/>
  <c r="A54" i="60"/>
  <c r="A62" i="60"/>
  <c r="A5" i="60"/>
  <c r="A9" i="60"/>
  <c r="A17" i="60"/>
  <c r="A21" i="60"/>
  <c r="A26" i="60"/>
  <c r="A29" i="60"/>
  <c r="A33" i="60"/>
  <c r="A41" i="60"/>
  <c r="A6" i="60"/>
  <c r="A15" i="60"/>
  <c r="A18" i="60"/>
  <c r="A38" i="60"/>
  <c r="A153" i="30"/>
  <c r="A150" i="30"/>
  <c r="A149" i="30"/>
  <c r="A151" i="30"/>
  <c r="A111" i="30"/>
  <c r="A109" i="30"/>
  <c r="A106" i="30"/>
  <c r="A154" i="30"/>
  <c r="A155" i="30"/>
  <c r="L68" i="30"/>
  <c r="A220" i="30"/>
  <c r="A224" i="30"/>
  <c r="A221" i="30"/>
  <c r="A413" i="30"/>
  <c r="A412" i="30"/>
  <c r="A414" i="30"/>
  <c r="A409" i="30"/>
  <c r="A184" i="30"/>
  <c r="A186" i="30"/>
  <c r="A187" i="30"/>
  <c r="A107" i="30"/>
  <c r="A191" i="30"/>
  <c r="A266" i="30"/>
  <c r="A265" i="30"/>
  <c r="A110" i="30"/>
  <c r="A148" i="30"/>
  <c r="H34" i="30"/>
  <c r="A260" i="30"/>
  <c r="A152" i="30"/>
  <c r="A270" i="30"/>
  <c r="A189" i="30"/>
  <c r="A52" i="30"/>
  <c r="A59" i="30"/>
  <c r="A57" i="30"/>
  <c r="A243" i="30"/>
  <c r="A238" i="30"/>
  <c r="A292" i="30"/>
  <c r="A299" i="30"/>
  <c r="A152" i="6"/>
  <c r="A154" i="6"/>
  <c r="A389" i="6"/>
  <c r="A386" i="6"/>
  <c r="A387" i="6"/>
  <c r="A388" i="6"/>
  <c r="A382" i="6"/>
  <c r="I29" i="6"/>
  <c r="L29" i="6"/>
  <c r="G29" i="6"/>
  <c r="A110" i="6"/>
  <c r="A109" i="6"/>
  <c r="A112" i="6"/>
  <c r="A106" i="6"/>
  <c r="A107" i="6"/>
  <c r="J29" i="6"/>
  <c r="H29" i="6"/>
  <c r="A46" i="6"/>
  <c r="A50" i="6"/>
  <c r="A279" i="6"/>
  <c r="A274" i="6"/>
  <c r="A276" i="6"/>
  <c r="A281" i="6"/>
  <c r="A277" i="6"/>
  <c r="A422" i="6"/>
  <c r="A424" i="6"/>
  <c r="A425" i="6"/>
  <c r="A121" i="6"/>
  <c r="A118" i="6"/>
  <c r="A116" i="6"/>
  <c r="A331" i="6"/>
  <c r="A423" i="6"/>
  <c r="E29" i="6"/>
  <c r="F29" i="6"/>
  <c r="A243" i="6"/>
  <c r="A171" i="6"/>
  <c r="A170" i="6"/>
  <c r="A76" i="6"/>
  <c r="A71" i="6"/>
  <c r="A233" i="6"/>
  <c r="A235" i="6"/>
  <c r="A229" i="6"/>
  <c r="A80" i="6"/>
  <c r="A82" i="6"/>
  <c r="A86" i="6"/>
  <c r="A342" i="6"/>
  <c r="A344" i="6"/>
  <c r="A337" i="6"/>
  <c r="A343" i="6"/>
  <c r="A155" i="6"/>
  <c r="A289" i="6"/>
  <c r="A85" i="6"/>
  <c r="A341" i="6"/>
  <c r="A286" i="6"/>
  <c r="A383" i="6"/>
  <c r="A315" i="6"/>
  <c r="A375" i="6"/>
  <c r="A378" i="6"/>
  <c r="A373" i="6"/>
  <c r="A93" i="6"/>
  <c r="A94" i="6"/>
  <c r="A88" i="6"/>
  <c r="A95" i="6"/>
  <c r="A47" i="6"/>
  <c r="A108" i="6"/>
  <c r="A84" i="6"/>
  <c r="A335" i="6"/>
  <c r="A338" i="6"/>
  <c r="A283" i="6"/>
  <c r="A115" i="6"/>
  <c r="A275" i="6"/>
  <c r="A239" i="6"/>
  <c r="A198" i="6"/>
  <c r="A199" i="6"/>
  <c r="A394" i="6"/>
  <c r="A397" i="6"/>
  <c r="A395" i="6"/>
  <c r="A391" i="6"/>
  <c r="A392" i="6"/>
  <c r="H28" i="6"/>
  <c r="E28" i="6"/>
  <c r="C28" i="6"/>
  <c r="A204" i="6"/>
  <c r="A207" i="6"/>
  <c r="A120" i="6"/>
  <c r="A195" i="6"/>
  <c r="A74" i="6"/>
  <c r="A290" i="6"/>
  <c r="A111" i="6"/>
  <c r="A206" i="6"/>
  <c r="A209" i="6"/>
  <c r="D28" i="6"/>
  <c r="B17" i="35" a="1"/>
  <c r="A426" i="6"/>
  <c r="A332" i="6"/>
  <c r="A81" i="6"/>
  <c r="J28" i="6"/>
  <c r="A90" i="6"/>
  <c r="A374" i="6"/>
  <c r="A339" i="6"/>
  <c r="A166" i="6"/>
  <c r="A92" i="6"/>
  <c r="A122" i="6"/>
  <c r="A330" i="6"/>
  <c r="A280" i="6"/>
  <c r="A285" i="6"/>
  <c r="G26" i="6"/>
  <c r="J26" i="6"/>
  <c r="H52" i="6"/>
  <c r="C56" i="6"/>
  <c r="L55" i="6"/>
  <c r="D59" i="6"/>
  <c r="F57" i="6"/>
  <c r="G54" i="6"/>
  <c r="I59" i="6"/>
  <c r="C58" i="6"/>
  <c r="G58" i="6"/>
  <c r="D53" i="6"/>
  <c r="I52" i="6"/>
  <c r="D52" i="6"/>
  <c r="D58" i="6"/>
  <c r="C54" i="6"/>
  <c r="K53" i="6"/>
  <c r="E54" i="6"/>
  <c r="H54" i="6"/>
  <c r="F59" i="6"/>
  <c r="F54" i="6"/>
  <c r="K52" i="6"/>
  <c r="D56" i="6"/>
  <c r="F76" i="6"/>
  <c r="A222" i="6"/>
  <c r="A220" i="6"/>
  <c r="A227" i="6"/>
  <c r="A225" i="6"/>
  <c r="A226" i="6"/>
  <c r="A270" i="6"/>
  <c r="A268" i="6"/>
  <c r="A269" i="6"/>
  <c r="A340" i="6"/>
  <c r="A358" i="6"/>
  <c r="A362" i="6"/>
  <c r="A355" i="6"/>
  <c r="A360" i="6"/>
  <c r="A384" i="6"/>
  <c r="A17" i="6"/>
  <c r="A19" i="6"/>
  <c r="A20" i="6"/>
  <c r="N421" i="6"/>
  <c r="N419" i="6"/>
  <c r="A59" i="6"/>
  <c r="A63" i="6"/>
  <c r="A66" i="6"/>
  <c r="H81" i="6"/>
  <c r="D84" i="6"/>
  <c r="C86" i="6"/>
  <c r="F81" i="6"/>
  <c r="K80" i="6"/>
  <c r="I79" i="6"/>
  <c r="G85" i="6"/>
  <c r="J84" i="6"/>
  <c r="D80" i="6"/>
  <c r="I84" i="6"/>
  <c r="E84" i="6"/>
  <c r="K82" i="6"/>
  <c r="L81" i="6"/>
  <c r="K81" i="6"/>
  <c r="E86" i="6"/>
  <c r="C80" i="6"/>
  <c r="I85" i="6"/>
  <c r="A370" i="6"/>
  <c r="A367" i="6"/>
  <c r="C29" i="34"/>
  <c r="A144" i="6"/>
  <c r="A142" i="6"/>
  <c r="I28" i="34"/>
  <c r="A217" i="39"/>
  <c r="A218" i="39"/>
  <c r="A276" i="39"/>
  <c r="A275" i="39"/>
  <c r="A313" i="39"/>
  <c r="A310" i="39"/>
  <c r="A347" i="39"/>
  <c r="A346" i="39"/>
  <c r="A619" i="39"/>
  <c r="A617" i="39"/>
  <c r="A418" i="39"/>
  <c r="A699" i="39"/>
  <c r="A272" i="39"/>
  <c r="A154" i="39"/>
  <c r="A149" i="39"/>
  <c r="A458" i="39"/>
  <c r="A345" i="39"/>
  <c r="A668" i="39"/>
  <c r="A700" i="39"/>
  <c r="A490" i="39"/>
  <c r="A420" i="39"/>
  <c r="A348" i="39"/>
  <c r="A384" i="39"/>
  <c r="A386" i="39"/>
  <c r="A670" i="39"/>
  <c r="A456" i="39"/>
  <c r="A653" i="39"/>
  <c r="A221" i="39"/>
  <c r="A618" i="39"/>
  <c r="A647" i="39"/>
  <c r="A621" i="39"/>
  <c r="A308" i="39"/>
  <c r="A380" i="39"/>
  <c r="A311" i="39"/>
  <c r="A314" i="39"/>
  <c r="A78" i="39"/>
  <c r="A215" i="39"/>
  <c r="G41" i="39"/>
  <c r="A569" i="39"/>
  <c r="A197" i="39"/>
  <c r="A274" i="39"/>
  <c r="A624" i="39"/>
  <c r="A553" i="39"/>
  <c r="A326" i="39"/>
  <c r="A551" i="39"/>
  <c r="A552" i="39"/>
  <c r="A98" i="39"/>
  <c r="A278" i="39"/>
  <c r="A62" i="39"/>
  <c r="A652" i="39"/>
  <c r="A11" i="39"/>
  <c r="A5" i="39"/>
  <c r="A201" i="39"/>
  <c r="A228" i="39"/>
  <c r="A250" i="39"/>
  <c r="A246" i="39"/>
  <c r="A322" i="39"/>
  <c r="A317" i="39"/>
  <c r="A318" i="39"/>
  <c r="A461" i="39"/>
  <c r="A462" i="39"/>
  <c r="A466" i="39"/>
  <c r="A590" i="39"/>
  <c r="A587" i="39"/>
  <c r="A681" i="39"/>
  <c r="A678" i="39"/>
  <c r="A455" i="39"/>
  <c r="A421" i="39"/>
  <c r="A698" i="39"/>
  <c r="A453" i="39"/>
  <c r="A152" i="39"/>
  <c r="A344" i="39"/>
  <c r="A387" i="39"/>
  <c r="A704" i="39"/>
  <c r="A495" i="39"/>
  <c r="A494" i="39"/>
  <c r="A422" i="39"/>
  <c r="A349" i="39"/>
  <c r="A672" i="39"/>
  <c r="A671" i="39"/>
  <c r="A383" i="39"/>
  <c r="A644" i="39"/>
  <c r="A616" i="39"/>
  <c r="A615" i="39"/>
  <c r="A673" i="39"/>
  <c r="A309" i="39"/>
  <c r="A558" i="39"/>
  <c r="A556" i="39"/>
  <c r="F41" i="39"/>
  <c r="K41" i="39"/>
  <c r="A59" i="39"/>
  <c r="A64" i="39"/>
  <c r="A65" i="39"/>
  <c r="A83" i="39"/>
  <c r="A82" i="39"/>
  <c r="A77" i="39"/>
  <c r="A97" i="39"/>
  <c r="A94" i="39"/>
  <c r="A294" i="39"/>
  <c r="A297" i="39"/>
  <c r="A291" i="39"/>
  <c r="A405" i="39"/>
  <c r="A403" i="39"/>
  <c r="A404" i="39"/>
  <c r="A400" i="39"/>
  <c r="A437" i="39"/>
  <c r="A434" i="39"/>
  <c r="A511" i="39"/>
  <c r="A510" i="39"/>
  <c r="A537" i="39"/>
  <c r="A536" i="39"/>
  <c r="A572" i="39"/>
  <c r="A571" i="39"/>
  <c r="A625" i="39"/>
  <c r="A629" i="39"/>
  <c r="A623" i="39"/>
  <c r="A657" i="39"/>
  <c r="A369" i="39"/>
  <c r="A137" i="39"/>
  <c r="A702" i="39"/>
  <c r="A475" i="39"/>
  <c r="A441" i="39"/>
  <c r="A328" i="39"/>
  <c r="A279" i="39"/>
  <c r="A227" i="39"/>
  <c r="A151" i="39"/>
  <c r="A155" i="39"/>
  <c r="A417" i="39"/>
  <c r="A601" i="39"/>
  <c r="A491" i="39"/>
  <c r="A423" i="39"/>
  <c r="A350" i="39"/>
  <c r="A385" i="39"/>
  <c r="A255" i="39"/>
  <c r="A465" i="39"/>
  <c r="A219" i="39"/>
  <c r="A641" i="39"/>
  <c r="A645" i="39"/>
  <c r="A643" i="39"/>
  <c r="A588" i="39"/>
  <c r="A684" i="39"/>
  <c r="A614" i="39"/>
  <c r="A126" i="39"/>
  <c r="A321" i="39"/>
  <c r="A506" i="39"/>
  <c r="A508" i="39"/>
  <c r="A312" i="39"/>
  <c r="A80" i="39"/>
  <c r="A220" i="39"/>
  <c r="H41" i="39"/>
  <c r="B41" i="39"/>
  <c r="A248" i="39"/>
  <c r="A245" i="39"/>
  <c r="A539" i="39"/>
  <c r="A504" i="39"/>
  <c r="A324" i="39"/>
  <c r="A36" i="39"/>
  <c r="A7" i="39"/>
  <c r="A630" i="39"/>
  <c r="A95" i="39"/>
  <c r="A101" i="39"/>
  <c r="A502" i="39"/>
  <c r="A333" i="39"/>
  <c r="A357" i="39"/>
  <c r="A573" i="39"/>
  <c r="A538" i="39"/>
  <c r="A277" i="39"/>
  <c r="A295" i="39"/>
  <c r="A58" i="39"/>
  <c r="A355" i="39"/>
  <c r="A105" i="39"/>
  <c r="A110" i="39"/>
  <c r="A269" i="39"/>
  <c r="A264" i="39"/>
  <c r="A270" i="39"/>
  <c r="A305" i="39"/>
  <c r="A300" i="39"/>
  <c r="A373" i="39"/>
  <c r="A411" i="39"/>
  <c r="A413" i="39"/>
  <c r="A443" i="39"/>
  <c r="A444" i="39"/>
  <c r="A479" i="39"/>
  <c r="A484" i="39"/>
  <c r="A486" i="39"/>
  <c r="A86" i="38"/>
  <c r="A92" i="38"/>
  <c r="A89" i="38"/>
  <c r="A162" i="38"/>
  <c r="A161" i="38"/>
  <c r="A163" i="38"/>
  <c r="A650" i="38"/>
  <c r="A651" i="38"/>
  <c r="A390" i="38"/>
  <c r="A395" i="38"/>
  <c r="A62" i="38"/>
  <c r="A357" i="38"/>
  <c r="A516" i="38"/>
  <c r="A87" i="38"/>
  <c r="A464" i="38"/>
  <c r="A164" i="38"/>
  <c r="B171" i="38"/>
  <c r="B171" i="39"/>
  <c r="A193" i="38"/>
  <c r="A191" i="38"/>
  <c r="A188" i="38"/>
  <c r="A362" i="38"/>
  <c r="A365" i="38"/>
  <c r="A363" i="38"/>
  <c r="A524" i="38"/>
  <c r="A528" i="38"/>
  <c r="A587" i="38"/>
  <c r="A588" i="38"/>
  <c r="A591" i="38"/>
  <c r="A694" i="38"/>
  <c r="A693" i="38"/>
  <c r="A210" i="38"/>
  <c r="A136" i="38"/>
  <c r="A617" i="38"/>
  <c r="A358" i="38"/>
  <c r="A657" i="38"/>
  <c r="A654" i="38"/>
  <c r="A389" i="38"/>
  <c r="A396" i="38"/>
  <c r="A91" i="38"/>
  <c r="A59" i="38"/>
  <c r="G41" i="38"/>
  <c r="A486" i="38"/>
  <c r="A522" i="38"/>
  <c r="A100" i="38"/>
  <c r="A689" i="38"/>
  <c r="A687" i="38"/>
  <c r="A128" i="38"/>
  <c r="A267" i="38"/>
  <c r="A124" i="38"/>
  <c r="A52" i="38"/>
  <c r="A462" i="38"/>
  <c r="A285" i="38"/>
  <c r="A589" i="38"/>
  <c r="A530" i="38"/>
  <c r="A594" i="38"/>
  <c r="A281" i="38"/>
  <c r="A265" i="38"/>
  <c r="A137" i="38"/>
  <c r="A192" i="38"/>
  <c r="A309" i="38"/>
  <c r="A194" i="38"/>
  <c r="A668" i="38"/>
  <c r="A314" i="38"/>
  <c r="A367" i="38"/>
  <c r="A90" i="38"/>
  <c r="A572" i="38"/>
  <c r="A213" i="38"/>
  <c r="B168" i="38"/>
  <c r="B180" i="38"/>
  <c r="A34" i="38"/>
  <c r="A36" i="38"/>
  <c r="A32" i="38"/>
  <c r="A35" i="38"/>
  <c r="A141" i="38"/>
  <c r="A144" i="38"/>
  <c r="A146" i="38"/>
  <c r="A182" i="38"/>
  <c r="A177" i="38"/>
  <c r="A181" i="38"/>
  <c r="A216" i="38"/>
  <c r="A218" i="38"/>
  <c r="A272" i="38"/>
  <c r="A277" i="38"/>
  <c r="A374" i="38"/>
  <c r="A408" i="38"/>
  <c r="A410" i="38"/>
  <c r="A506" i="38"/>
  <c r="A510" i="38"/>
  <c r="A602" i="38"/>
  <c r="A599" i="38"/>
  <c r="A634" i="38"/>
  <c r="A636" i="38"/>
  <c r="A662" i="38"/>
  <c r="A666" i="38"/>
  <c r="A65" i="38"/>
  <c r="A61" i="38"/>
  <c r="A60" i="38"/>
  <c r="A428" i="38"/>
  <c r="A427" i="38"/>
  <c r="A515" i="38"/>
  <c r="A518" i="38"/>
  <c r="A355" i="38"/>
  <c r="A354" i="38"/>
  <c r="A393" i="38"/>
  <c r="A614" i="38"/>
  <c r="A126" i="38"/>
  <c r="A123" i="38"/>
  <c r="A58" i="38"/>
  <c r="A71" i="38"/>
  <c r="A73" i="38"/>
  <c r="A438" i="38"/>
  <c r="A440" i="38"/>
  <c r="A436" i="38"/>
  <c r="A624" i="38"/>
  <c r="A630" i="38"/>
  <c r="A212" i="38"/>
  <c r="A94" i="38"/>
  <c r="A134" i="38"/>
  <c r="A682" i="38"/>
  <c r="A615" i="38"/>
  <c r="A616" i="38"/>
  <c r="A618" i="38"/>
  <c r="A360" i="38"/>
  <c r="A392" i="38"/>
  <c r="A656" i="38"/>
  <c r="A430" i="38"/>
  <c r="A85" i="38"/>
  <c r="A690" i="38"/>
  <c r="A263" i="38"/>
  <c r="A441" i="38"/>
  <c r="A157" i="38"/>
  <c r="A127" i="38"/>
  <c r="A74" i="38"/>
  <c r="A526" i="38"/>
  <c r="A525" i="38"/>
  <c r="A590" i="38"/>
  <c r="A69" i="38"/>
  <c r="A159" i="38"/>
  <c r="A131" i="38"/>
  <c r="A266" i="38"/>
  <c r="A207" i="38"/>
  <c r="A187" i="38"/>
  <c r="A520" i="38"/>
  <c r="A439" i="38"/>
  <c r="A369" i="38"/>
  <c r="A211" i="38"/>
  <c r="A224" i="38"/>
  <c r="A228" i="38"/>
  <c r="A344" i="38"/>
  <c r="A349" i="38"/>
  <c r="A346" i="38"/>
  <c r="A416" i="38"/>
  <c r="A421" i="38"/>
  <c r="A423" i="38"/>
  <c r="A480" i="38"/>
  <c r="A485" i="38"/>
  <c r="A484" i="38"/>
  <c r="A517" i="38"/>
  <c r="A540" i="38"/>
  <c r="A538" i="38"/>
  <c r="A575" i="38"/>
  <c r="A570" i="38"/>
  <c r="A672" i="38"/>
  <c r="A671" i="38"/>
  <c r="A673" i="38"/>
  <c r="A110" i="8"/>
  <c r="A108" i="8"/>
  <c r="A128" i="8"/>
  <c r="A122" i="8"/>
  <c r="A124" i="8"/>
  <c r="A126" i="8"/>
  <c r="A123" i="8"/>
  <c r="A403" i="8"/>
  <c r="A400" i="8"/>
  <c r="A405" i="8"/>
  <c r="A398" i="8"/>
  <c r="A425" i="8"/>
  <c r="A430" i="8"/>
  <c r="A609" i="8"/>
  <c r="A606" i="8"/>
  <c r="A610" i="8"/>
  <c r="H712" i="8"/>
  <c r="K712" i="8"/>
  <c r="G712" i="8"/>
  <c r="D712" i="8"/>
  <c r="B712" i="8"/>
  <c r="E712" i="8"/>
  <c r="A107" i="8"/>
  <c r="A576" i="8"/>
  <c r="A72" i="8"/>
  <c r="A105" i="8"/>
  <c r="A638" i="8"/>
  <c r="A605" i="8"/>
  <c r="A76" i="8"/>
  <c r="A82" i="8"/>
  <c r="A79" i="8"/>
  <c r="A83" i="8"/>
  <c r="A119" i="8"/>
  <c r="A116" i="8"/>
  <c r="A118" i="8"/>
  <c r="A5" i="8"/>
  <c r="A6" i="8"/>
  <c r="A12" i="8"/>
  <c r="A11" i="8"/>
  <c r="A312" i="8"/>
  <c r="A315" i="8"/>
  <c r="A326" i="8"/>
  <c r="A327" i="8"/>
  <c r="A364" i="8"/>
  <c r="A366" i="8"/>
  <c r="A369" i="8"/>
  <c r="A363" i="8"/>
  <c r="A365" i="8"/>
  <c r="A410" i="8"/>
  <c r="A408" i="8"/>
  <c r="A411" i="8"/>
  <c r="A438" i="8"/>
  <c r="A437" i="8"/>
  <c r="A435" i="8"/>
  <c r="A436" i="8"/>
  <c r="A475" i="8"/>
  <c r="A473" i="8"/>
  <c r="A477" i="8"/>
  <c r="A472" i="8"/>
  <c r="A518" i="8"/>
  <c r="A517" i="8"/>
  <c r="A545" i="8"/>
  <c r="A544" i="8"/>
  <c r="A549" i="8"/>
  <c r="A547" i="8"/>
  <c r="A572" i="8"/>
  <c r="A426" i="8"/>
  <c r="A331" i="8"/>
  <c r="A104" i="8"/>
  <c r="A575" i="8"/>
  <c r="A115" i="8"/>
  <c r="A78" i="8"/>
  <c r="A600" i="8"/>
  <c r="C712" i="8"/>
  <c r="A474" i="8"/>
  <c r="A125" i="8"/>
  <c r="A607" i="8"/>
  <c r="A103" i="8"/>
  <c r="A55" i="8"/>
  <c r="A49" i="8"/>
  <c r="A53" i="8"/>
  <c r="A51" i="8"/>
  <c r="A168" i="8"/>
  <c r="A170" i="8"/>
  <c r="A167" i="8"/>
  <c r="A169" i="8"/>
  <c r="B164" i="8"/>
  <c r="B158" i="8"/>
  <c r="B158" i="39"/>
  <c r="B162" i="8"/>
  <c r="B163" i="8"/>
  <c r="B188" i="8"/>
  <c r="B192" i="8"/>
  <c r="B189" i="8"/>
  <c r="B190" i="8"/>
  <c r="B187" i="8"/>
  <c r="A217" i="8"/>
  <c r="A215" i="8"/>
  <c r="A218" i="8"/>
  <c r="A222" i="8"/>
  <c r="A269" i="8"/>
  <c r="A268" i="8"/>
  <c r="A340" i="8"/>
  <c r="A341" i="8"/>
  <c r="A337" i="8"/>
  <c r="A357" i="8"/>
  <c r="A359" i="8"/>
  <c r="A74" i="8"/>
  <c r="A73" i="8"/>
  <c r="A71" i="8"/>
  <c r="A70" i="8"/>
  <c r="A153" i="8"/>
  <c r="A149" i="8"/>
  <c r="A150" i="8"/>
  <c r="A148" i="8"/>
  <c r="A155" i="8"/>
  <c r="A464" i="8"/>
  <c r="A466" i="8"/>
  <c r="A493" i="8"/>
  <c r="A489" i="8"/>
  <c r="A571" i="8"/>
  <c r="A569" i="8"/>
  <c r="A633" i="8"/>
  <c r="A632" i="8"/>
  <c r="A639" i="8"/>
  <c r="A690" i="8"/>
  <c r="A691" i="8"/>
  <c r="A688" i="8"/>
  <c r="A151" i="8"/>
  <c r="A432" i="8"/>
  <c r="A154" i="8"/>
  <c r="A401" i="8"/>
  <c r="A635" i="8"/>
  <c r="A68" i="8"/>
  <c r="A311" i="8"/>
  <c r="A574" i="8"/>
  <c r="A121" i="8"/>
  <c r="A427" i="8"/>
  <c r="A429" i="8"/>
  <c r="A328" i="8"/>
  <c r="A67" i="8"/>
  <c r="A402" i="8"/>
  <c r="A117" i="8"/>
  <c r="A333" i="8"/>
  <c r="A81" i="8"/>
  <c r="A521" i="8"/>
  <c r="F712" i="8"/>
  <c r="I712" i="8"/>
  <c r="A434" i="8"/>
  <c r="A687" i="8"/>
  <c r="A476" i="8"/>
  <c r="A404" i="8"/>
  <c r="A77" i="8"/>
  <c r="A80" i="8"/>
  <c r="A414" i="8"/>
  <c r="A9" i="8"/>
  <c r="A520" i="8"/>
  <c r="A145" i="8"/>
  <c r="A139" i="8"/>
  <c r="A142" i="8"/>
  <c r="A140" i="8"/>
  <c r="A184" i="8"/>
  <c r="A179" i="8"/>
  <c r="A181" i="8"/>
  <c r="B174" i="8"/>
  <c r="B168" i="8"/>
  <c r="B167" i="8"/>
  <c r="A201" i="8"/>
  <c r="A202" i="8"/>
  <c r="A197" i="8"/>
  <c r="A198" i="8"/>
  <c r="A295" i="8"/>
  <c r="A297" i="8"/>
  <c r="A291" i="8"/>
  <c r="A296" i="8"/>
  <c r="A290" i="8"/>
  <c r="A565" i="8"/>
  <c r="A567" i="8"/>
  <c r="A560" i="8"/>
  <c r="A562" i="8"/>
  <c r="A601" i="8"/>
  <c r="A596" i="8"/>
  <c r="A599" i="8"/>
  <c r="A636" i="8"/>
  <c r="A677" i="8"/>
  <c r="A681" i="8"/>
  <c r="A715" i="8"/>
  <c r="A713" i="8"/>
  <c r="A641" i="8"/>
  <c r="A616" i="8"/>
  <c r="A134" i="8"/>
  <c r="A373" i="8"/>
  <c r="A371" i="8"/>
  <c r="A277" i="8"/>
  <c r="A302" i="8"/>
  <c r="A272" i="8"/>
  <c r="A446" i="8"/>
  <c r="A643" i="8"/>
  <c r="A59" i="60"/>
  <c r="A63" i="60"/>
  <c r="A67" i="60"/>
  <c r="A71" i="60"/>
  <c r="A60" i="60"/>
  <c r="A64" i="60"/>
  <c r="A68" i="60"/>
  <c r="A72" i="60"/>
  <c r="A61" i="60"/>
  <c r="A69" i="60"/>
  <c r="A73" i="60"/>
  <c r="A70" i="60"/>
  <c r="B163" i="38"/>
  <c r="B163" i="39"/>
  <c r="B157" i="38"/>
  <c r="B157" i="39"/>
  <c r="B162" i="38"/>
  <c r="B158" i="38"/>
  <c r="B164" i="38"/>
  <c r="A491" i="38"/>
  <c r="A492" i="38"/>
  <c r="A600" i="38"/>
  <c r="A494" i="38"/>
  <c r="A109" i="38"/>
  <c r="A104" i="38"/>
  <c r="A679" i="38"/>
  <c r="A230" i="38"/>
  <c r="A231" i="38"/>
  <c r="A225" i="38"/>
  <c r="A489" i="38"/>
  <c r="I41" i="38"/>
  <c r="A276" i="38"/>
  <c r="A627" i="38"/>
  <c r="A56" i="38"/>
  <c r="A465" i="38"/>
  <c r="A623" i="38"/>
  <c r="A246" i="38"/>
  <c r="A626" i="38"/>
  <c r="A628" i="38"/>
  <c r="A431" i="38"/>
  <c r="A250" i="38"/>
  <c r="A466" i="38"/>
  <c r="A140" i="38"/>
  <c r="A145" i="38"/>
  <c r="C41" i="38"/>
  <c r="A432" i="38"/>
  <c r="A54" i="38"/>
  <c r="A680" i="38"/>
  <c r="A493" i="38"/>
  <c r="A603" i="38"/>
  <c r="A345" i="38"/>
  <c r="A351" i="38"/>
  <c r="A350" i="38"/>
  <c r="A598" i="38"/>
  <c r="A597" i="38"/>
  <c r="K41" i="38"/>
  <c r="D41" i="38"/>
  <c r="A275" i="38"/>
  <c r="A279" i="38"/>
  <c r="A53" i="38"/>
  <c r="E41" i="38"/>
  <c r="A252" i="38"/>
  <c r="A429" i="38"/>
  <c r="A625" i="38"/>
  <c r="A425" i="38"/>
  <c r="A247" i="38"/>
  <c r="A468" i="38"/>
  <c r="A139" i="38"/>
  <c r="A49" i="38"/>
  <c r="A678" i="38"/>
  <c r="A677" i="38"/>
  <c r="A274" i="38"/>
  <c r="A488" i="38"/>
  <c r="A601" i="38"/>
  <c r="B160" i="38"/>
  <c r="A296" i="38"/>
  <c r="A294" i="38"/>
  <c r="A291" i="38"/>
  <c r="A292" i="38"/>
  <c r="A405" i="38"/>
  <c r="A399" i="38"/>
  <c r="A402" i="38"/>
  <c r="A403" i="38"/>
  <c r="A400" i="38"/>
  <c r="A561" i="38"/>
  <c r="A566" i="38"/>
  <c r="A562" i="38"/>
  <c r="A596" i="38"/>
  <c r="A495" i="38"/>
  <c r="A105" i="38"/>
  <c r="A108" i="38"/>
  <c r="A683" i="38"/>
  <c r="A226" i="38"/>
  <c r="A229" i="38"/>
  <c r="A490" i="38"/>
  <c r="A567" i="38"/>
  <c r="A107" i="38"/>
  <c r="A681" i="38"/>
  <c r="A426" i="38"/>
  <c r="H41" i="38"/>
  <c r="J41" i="38"/>
  <c r="A278" i="38"/>
  <c r="A249" i="38"/>
  <c r="A142" i="38"/>
  <c r="A467" i="38"/>
  <c r="A404" i="38"/>
  <c r="A563" i="38"/>
  <c r="B159" i="38"/>
  <c r="A97" i="38"/>
  <c r="A98" i="38"/>
  <c r="A95" i="38"/>
  <c r="B170" i="38"/>
  <c r="B170" i="39"/>
  <c r="B169" i="38"/>
  <c r="B167" i="38"/>
  <c r="B174" i="38"/>
  <c r="B174" i="39"/>
  <c r="B172" i="38"/>
  <c r="B184" i="38"/>
  <c r="B181" i="38"/>
  <c r="B177" i="38"/>
  <c r="B189" i="38"/>
  <c r="B192" i="38"/>
  <c r="B187" i="38"/>
  <c r="B190" i="38"/>
  <c r="A248" i="38"/>
  <c r="A330" i="38"/>
  <c r="A329" i="38"/>
  <c r="A332" i="38"/>
  <c r="A383" i="38"/>
  <c r="A533" i="38"/>
  <c r="A534" i="38"/>
  <c r="A8" i="59"/>
  <c r="A60" i="59"/>
  <c r="A64" i="59"/>
  <c r="A29" i="59"/>
  <c r="A40" i="59"/>
  <c r="E3" i="59"/>
  <c r="A59" i="59"/>
  <c r="A63" i="59"/>
  <c r="A7" i="59"/>
  <c r="A10" i="59"/>
  <c r="A11" i="59"/>
  <c r="A19" i="59"/>
  <c r="B26" i="59"/>
  <c r="A48" i="59"/>
  <c r="A51" i="59"/>
  <c r="A55" i="59"/>
  <c r="I3" i="59"/>
  <c r="A62" i="59"/>
  <c r="A387" i="38"/>
  <c r="A535" i="38"/>
  <c r="A4" i="59"/>
  <c r="A6" i="59"/>
  <c r="B9" i="59"/>
  <c r="B10" i="59"/>
  <c r="B28" i="59"/>
  <c r="B32" i="59"/>
  <c r="A41" i="59"/>
  <c r="A44" i="59"/>
  <c r="A58" i="59"/>
  <c r="A61" i="59"/>
  <c r="F3" i="59"/>
  <c r="J3" i="59"/>
  <c r="C3" i="59"/>
  <c r="G3" i="59"/>
  <c r="K3" i="59"/>
  <c r="D3" i="59"/>
  <c r="H3" i="59"/>
  <c r="A80" i="30"/>
  <c r="A83" i="30"/>
  <c r="A81" i="30"/>
  <c r="A85" i="30"/>
  <c r="A182" i="30"/>
  <c r="A180" i="30"/>
  <c r="A178" i="30"/>
  <c r="A181" i="30"/>
  <c r="A179" i="30"/>
  <c r="A176" i="30"/>
  <c r="A177" i="30"/>
  <c r="A307" i="30"/>
  <c r="A306" i="30"/>
  <c r="A302" i="30"/>
  <c r="A308" i="30"/>
  <c r="A304" i="30"/>
  <c r="A386" i="30"/>
  <c r="A387" i="30"/>
  <c r="A383" i="30"/>
  <c r="A382" i="30"/>
  <c r="A384" i="30"/>
  <c r="A389" i="30"/>
  <c r="A425" i="30"/>
  <c r="A420" i="30"/>
  <c r="A426" i="30"/>
  <c r="A423" i="30"/>
  <c r="A422" i="30"/>
  <c r="A424" i="30"/>
  <c r="A143" i="30"/>
  <c r="A139" i="30"/>
  <c r="A141" i="30"/>
  <c r="A140" i="30"/>
  <c r="A146" i="30"/>
  <c r="A234" i="30"/>
  <c r="A235" i="30"/>
  <c r="A122" i="30"/>
  <c r="A120" i="30"/>
  <c r="A118" i="30"/>
  <c r="A117" i="30"/>
  <c r="A119" i="30"/>
  <c r="A121" i="30"/>
  <c r="A305" i="30"/>
  <c r="A421" i="30"/>
  <c r="A385" i="30"/>
  <c r="A144" i="30"/>
  <c r="A233" i="30"/>
  <c r="A303" i="30"/>
  <c r="L26" i="30"/>
  <c r="D26" i="30"/>
  <c r="K26" i="30"/>
  <c r="L29" i="30"/>
  <c r="F29" i="30"/>
  <c r="E29" i="30"/>
  <c r="I29" i="30"/>
  <c r="J29" i="30"/>
  <c r="H29" i="30"/>
  <c r="D29" i="30"/>
  <c r="D29" i="34"/>
  <c r="A241" i="30"/>
  <c r="A244" i="30"/>
  <c r="A240" i="30"/>
  <c r="A242" i="30"/>
  <c r="A239" i="30"/>
  <c r="A245" i="30"/>
  <c r="A279" i="30"/>
  <c r="A278" i="30"/>
  <c r="A274" i="30"/>
  <c r="A280" i="30"/>
  <c r="A277" i="30"/>
  <c r="A331" i="30"/>
  <c r="A333" i="30"/>
  <c r="A334" i="30"/>
  <c r="A358" i="30"/>
  <c r="A355" i="30"/>
  <c r="A362" i="30"/>
  <c r="A361" i="30"/>
  <c r="A360" i="30"/>
  <c r="A357" i="30"/>
  <c r="A434" i="30"/>
  <c r="A429" i="30"/>
  <c r="A430" i="30"/>
  <c r="A432" i="30"/>
  <c r="A435" i="30"/>
  <c r="A436" i="30"/>
  <c r="A203" i="30"/>
  <c r="A205" i="30"/>
  <c r="A202" i="30"/>
  <c r="A208" i="30"/>
  <c r="A209" i="30"/>
  <c r="A262" i="30"/>
  <c r="A259" i="30"/>
  <c r="A258" i="30"/>
  <c r="A257" i="30"/>
  <c r="A261" i="30"/>
  <c r="A88" i="30"/>
  <c r="A89" i="30"/>
  <c r="A95" i="30"/>
  <c r="A94" i="30"/>
  <c r="A93" i="30"/>
  <c r="A90" i="30"/>
  <c r="A91" i="30"/>
  <c r="A231" i="30"/>
  <c r="A82" i="30"/>
  <c r="A229" i="30"/>
  <c r="A419" i="30"/>
  <c r="A388" i="30"/>
  <c r="A145" i="30"/>
  <c r="A92" i="30"/>
  <c r="A204" i="30"/>
  <c r="A359" i="30"/>
  <c r="A115" i="30"/>
  <c r="G29" i="30"/>
  <c r="G29" i="34"/>
  <c r="J39" i="30"/>
  <c r="E61" i="30"/>
  <c r="F63" i="30"/>
  <c r="K64" i="30"/>
  <c r="H65" i="30"/>
  <c r="E65" i="30"/>
  <c r="F61" i="30"/>
  <c r="A236" i="30"/>
  <c r="A84" i="30"/>
  <c r="A433" i="30"/>
  <c r="A275" i="30"/>
  <c r="A328" i="30"/>
  <c r="A116" i="30"/>
  <c r="A142" i="30"/>
  <c r="K29" i="30"/>
  <c r="N416" i="30"/>
  <c r="N412" i="30"/>
  <c r="N417" i="30"/>
  <c r="N410" i="30"/>
  <c r="A207" i="30"/>
  <c r="A232" i="30"/>
  <c r="A263" i="30"/>
  <c r="A86" i="30"/>
  <c r="L71" i="30"/>
  <c r="K74" i="30"/>
  <c r="B20" i="59"/>
  <c r="B16" i="59"/>
  <c r="B16" i="60"/>
  <c r="B15" i="59"/>
  <c r="B19" i="59"/>
  <c r="B18" i="59"/>
  <c r="B21" i="59"/>
  <c r="A170" i="30"/>
  <c r="A167" i="30"/>
  <c r="A166" i="30"/>
  <c r="B4" i="59"/>
  <c r="B12" i="59"/>
  <c r="A31" i="59"/>
  <c r="A27" i="59"/>
  <c r="A30" i="59"/>
  <c r="A33" i="59"/>
  <c r="B8" i="59"/>
  <c r="B11" i="59"/>
  <c r="B7" i="59"/>
  <c r="B5" i="59"/>
  <c r="A28" i="59"/>
  <c r="A16" i="59"/>
  <c r="A20" i="59"/>
  <c r="A5" i="59"/>
  <c r="A17" i="59"/>
  <c r="B29" i="59"/>
  <c r="B33" i="59"/>
  <c r="A38" i="59"/>
  <c r="A42" i="59"/>
  <c r="A39" i="59"/>
  <c r="A463" i="8"/>
  <c r="A462" i="8"/>
  <c r="A85" i="8"/>
  <c r="A86" i="8"/>
  <c r="A674" i="8"/>
  <c r="A231" i="8"/>
  <c r="A468" i="8"/>
  <c r="A354" i="8"/>
  <c r="A224" i="8"/>
  <c r="A492" i="8"/>
  <c r="A158" i="8"/>
  <c r="A157" i="8"/>
  <c r="A228" i="8"/>
  <c r="A35" i="8"/>
  <c r="A33" i="8"/>
  <c r="A668" i="8"/>
  <c r="A31" i="8"/>
  <c r="A264" i="8"/>
  <c r="A470" i="8"/>
  <c r="A339" i="8"/>
  <c r="A441" i="8"/>
  <c r="A440" i="8"/>
  <c r="A611" i="8"/>
  <c r="D46" i="8"/>
  <c r="A270" i="8"/>
  <c r="A495" i="8"/>
  <c r="A60" i="8"/>
  <c r="A163" i="8"/>
  <c r="A230" i="8"/>
  <c r="A412" i="8"/>
  <c r="A516" i="8"/>
  <c r="C46" i="8"/>
  <c r="A670" i="8"/>
  <c r="A106" i="8"/>
  <c r="A109" i="8"/>
  <c r="A229" i="8"/>
  <c r="A160" i="8"/>
  <c r="A673" i="8"/>
  <c r="A263" i="8"/>
  <c r="A491" i="8"/>
  <c r="A494" i="8"/>
  <c r="A87" i="8"/>
  <c r="A92" i="8"/>
  <c r="A36" i="8"/>
  <c r="G46" i="8"/>
  <c r="J46" i="8"/>
  <c r="A356" i="8"/>
  <c r="A461" i="8"/>
  <c r="A467" i="8"/>
  <c r="A89" i="8"/>
  <c r="A488" i="8"/>
  <c r="A409" i="8"/>
  <c r="A161" i="8"/>
  <c r="A672" i="8"/>
  <c r="A671" i="8"/>
  <c r="A37" i="8"/>
  <c r="A515" i="8"/>
  <c r="A267" i="8"/>
  <c r="A694" i="8"/>
  <c r="A689" i="8"/>
  <c r="A471" i="8"/>
  <c r="A335" i="8"/>
  <c r="A376" i="8"/>
  <c r="A439" i="8"/>
  <c r="A372" i="8"/>
  <c r="A558" i="8"/>
  <c r="A557" i="8"/>
  <c r="A127" i="8"/>
  <c r="A612" i="8"/>
  <c r="A608" i="8"/>
  <c r="A522" i="8"/>
  <c r="A227" i="8"/>
  <c r="A225" i="8"/>
  <c r="A407" i="8"/>
  <c r="A413" i="8"/>
  <c r="A162" i="8"/>
  <c r="A265" i="8"/>
  <c r="A628" i="8"/>
  <c r="A624" i="8"/>
  <c r="A60" i="58"/>
  <c r="A64" i="58"/>
  <c r="A40" i="58"/>
  <c r="A42" i="58"/>
  <c r="A59" i="58"/>
  <c r="A63" i="58"/>
  <c r="A38" i="58"/>
  <c r="A62" i="58"/>
  <c r="A37" i="58"/>
  <c r="A41" i="58"/>
  <c r="I3" i="58"/>
  <c r="A58" i="58"/>
  <c r="A61" i="58"/>
  <c r="L3" i="58"/>
  <c r="H3" i="58"/>
  <c r="D3" i="58"/>
  <c r="K3" i="58"/>
  <c r="G3" i="58"/>
  <c r="B11" i="58"/>
  <c r="B29" i="58"/>
  <c r="B29" i="60"/>
  <c r="A19" i="58"/>
  <c r="B31" i="58"/>
  <c r="B31" i="60"/>
  <c r="B7" i="58"/>
  <c r="B7" i="60"/>
  <c r="B27" i="58"/>
  <c r="B26" i="58"/>
  <c r="B26" i="60"/>
  <c r="B33" i="58"/>
  <c r="A44" i="58"/>
  <c r="A54" i="58"/>
  <c r="A31" i="58"/>
  <c r="A27" i="58"/>
  <c r="A32" i="58"/>
  <c r="A30" i="58"/>
  <c r="A28" i="58"/>
  <c r="A22" i="58"/>
  <c r="A29" i="58"/>
  <c r="B4" i="58"/>
  <c r="B6" i="58"/>
  <c r="B6" i="60"/>
  <c r="B10" i="58"/>
  <c r="B10" i="60"/>
  <c r="B22" i="58"/>
  <c r="B5" i="58"/>
  <c r="B5" i="60"/>
  <c r="B9" i="58"/>
  <c r="B9" i="60"/>
  <c r="A21" i="58"/>
  <c r="A17" i="58"/>
  <c r="A20" i="58"/>
  <c r="A16" i="58"/>
  <c r="A18" i="58"/>
  <c r="A26" i="58"/>
  <c r="A33" i="58"/>
  <c r="A51" i="58"/>
  <c r="A55" i="58"/>
  <c r="A5" i="58"/>
  <c r="B28" i="58"/>
  <c r="B32" i="58"/>
  <c r="A39" i="58"/>
  <c r="N420" i="34"/>
  <c r="N425" i="34"/>
  <c r="N419" i="34"/>
  <c r="N424" i="34"/>
  <c r="N427" i="34"/>
  <c r="N426" i="34"/>
  <c r="B189" i="39"/>
  <c r="I44" i="6"/>
  <c r="H45" i="6"/>
  <c r="J50" i="6"/>
  <c r="F44" i="6"/>
  <c r="I46" i="6"/>
  <c r="A15" i="27"/>
  <c r="A20" i="27"/>
  <c r="A63" i="39"/>
  <c r="A60" i="39"/>
  <c r="A61" i="39"/>
  <c r="A136" i="30"/>
  <c r="A135" i="30"/>
  <c r="B137" i="4"/>
  <c r="B138" i="4"/>
  <c r="B159" i="8"/>
  <c r="B159" i="39"/>
  <c r="B157" i="8"/>
  <c r="K35" i="40"/>
  <c r="M35" i="40"/>
  <c r="E3" i="60"/>
  <c r="J3" i="60"/>
  <c r="I81" i="6"/>
  <c r="A313" i="6"/>
  <c r="A131" i="6"/>
  <c r="A132" i="6"/>
  <c r="A37" i="5"/>
  <c r="A42" i="5"/>
  <c r="A445" i="8"/>
  <c r="A450" i="8"/>
  <c r="A112" i="37"/>
  <c r="A117" i="37"/>
  <c r="A290" i="38"/>
  <c r="A295" i="38"/>
  <c r="A48" i="58"/>
  <c r="A49" i="58"/>
  <c r="A55" i="60"/>
  <c r="A48" i="60"/>
  <c r="E174" i="57"/>
  <c r="I174" i="57"/>
  <c r="C726" i="1" a="1"/>
  <c r="D730" i="1"/>
  <c r="C708" i="1" a="1"/>
  <c r="H714" i="1"/>
  <c r="C735" i="1" a="1"/>
  <c r="K735" i="1"/>
  <c r="E737" i="1"/>
  <c r="C738" i="1"/>
  <c r="J741" i="1"/>
  <c r="L736" i="1"/>
  <c r="E741" i="1"/>
  <c r="C744" i="1" a="1"/>
  <c r="H744" i="1"/>
  <c r="C717" i="1" a="1"/>
  <c r="K720" i="1"/>
  <c r="F713" i="1"/>
  <c r="E710" i="1"/>
  <c r="J713" i="1"/>
  <c r="K709" i="1"/>
  <c r="J709" i="1"/>
  <c r="D711" i="1"/>
  <c r="L713" i="1"/>
  <c r="H709" i="1"/>
  <c r="F708" i="1"/>
  <c r="G709" i="1"/>
  <c r="I711" i="1"/>
  <c r="E709" i="1"/>
  <c r="H710" i="1"/>
  <c r="I712" i="1"/>
  <c r="D708" i="1"/>
  <c r="G710" i="1"/>
  <c r="L715" i="1"/>
  <c r="J708" i="1"/>
  <c r="G713" i="1"/>
  <c r="I714" i="1"/>
  <c r="G708" i="1"/>
  <c r="I708" i="1"/>
  <c r="H715" i="1"/>
  <c r="K708" i="1"/>
  <c r="I710" i="1"/>
  <c r="L741" i="1"/>
  <c r="H740" i="1"/>
  <c r="K710" i="1"/>
  <c r="H713" i="1"/>
  <c r="H712" i="1"/>
  <c r="L709" i="1"/>
  <c r="K711" i="1"/>
  <c r="D741" i="1"/>
  <c r="J737" i="1"/>
  <c r="F736" i="1"/>
  <c r="L737" i="1"/>
  <c r="I735" i="1"/>
  <c r="G742" i="1"/>
  <c r="C713" i="1"/>
  <c r="F711" i="1"/>
  <c r="E713" i="1"/>
  <c r="G712" i="1"/>
  <c r="D714" i="1"/>
  <c r="E735" i="1"/>
  <c r="C740" i="1"/>
  <c r="D737" i="1"/>
  <c r="J735" i="1"/>
  <c r="H735" i="1"/>
  <c r="L738" i="1"/>
  <c r="H738" i="1"/>
  <c r="J742" i="1"/>
  <c r="C741" i="1"/>
  <c r="G741" i="1"/>
  <c r="L735" i="1"/>
  <c r="I740" i="1"/>
  <c r="D715" i="1"/>
  <c r="K714" i="1"/>
  <c r="C744" i="1"/>
  <c r="F744" i="1"/>
  <c r="C723" i="1"/>
  <c r="G720" i="1"/>
  <c r="C717" i="1"/>
  <c r="E724" i="1"/>
  <c r="G724" i="1"/>
  <c r="E718" i="1"/>
  <c r="K719" i="1"/>
  <c r="F721" i="1"/>
  <c r="H718" i="1"/>
  <c r="G722" i="1"/>
  <c r="I721" i="1"/>
  <c r="L721" i="1"/>
  <c r="F718" i="1"/>
  <c r="L720" i="1"/>
  <c r="L722" i="1"/>
  <c r="I718" i="1"/>
  <c r="H721" i="1"/>
  <c r="J720" i="1"/>
  <c r="L718" i="1"/>
  <c r="J724" i="1"/>
  <c r="H723" i="1"/>
  <c r="H720" i="1"/>
  <c r="I720" i="1"/>
  <c r="E720" i="1"/>
  <c r="E719" i="1"/>
  <c r="G723" i="1"/>
  <c r="K723" i="1"/>
  <c r="D722" i="1"/>
  <c r="F717" i="1"/>
  <c r="F719" i="1"/>
  <c r="L723" i="1"/>
  <c r="G721" i="1"/>
  <c r="D724" i="1"/>
  <c r="H742" i="1"/>
  <c r="F741" i="1"/>
  <c r="K741" i="1"/>
  <c r="J738" i="1"/>
  <c r="E738" i="1"/>
  <c r="B165" i="1"/>
  <c r="B167" i="1"/>
  <c r="B168" i="1"/>
  <c r="B166" i="1"/>
  <c r="B170" i="1"/>
  <c r="B163" i="1"/>
  <c r="B164" i="1"/>
  <c r="B169" i="1"/>
  <c r="A83" i="3"/>
  <c r="A89" i="3"/>
  <c r="A86" i="3"/>
  <c r="A88" i="3"/>
  <c r="A82" i="3"/>
  <c r="A87" i="3"/>
  <c r="A84" i="3"/>
  <c r="A85" i="3"/>
  <c r="A163" i="6"/>
  <c r="A160" i="6"/>
  <c r="A158" i="6"/>
  <c r="A157" i="6"/>
  <c r="A164" i="6"/>
  <c r="A162" i="6"/>
  <c r="A161" i="6"/>
  <c r="A159" i="6"/>
  <c r="A292" i="6"/>
  <c r="A297" i="6"/>
  <c r="A293" i="6"/>
  <c r="A298" i="6"/>
  <c r="A296" i="6"/>
  <c r="A294" i="6"/>
  <c r="A299" i="6"/>
  <c r="A312" i="6"/>
  <c r="A310" i="6"/>
  <c r="A316" i="6"/>
  <c r="A311" i="6"/>
  <c r="A314" i="6"/>
  <c r="A317" i="6"/>
  <c r="C26" i="30"/>
  <c r="F26" i="30"/>
  <c r="J26" i="30"/>
  <c r="H26" i="30"/>
  <c r="G26" i="30"/>
  <c r="I26" i="30"/>
  <c r="A285" i="30"/>
  <c r="A286" i="30"/>
  <c r="A289" i="30"/>
  <c r="A287" i="30"/>
  <c r="A284" i="30"/>
  <c r="A290" i="30"/>
  <c r="A288" i="30"/>
  <c r="A283" i="30"/>
  <c r="A350" i="30"/>
  <c r="A348" i="30"/>
  <c r="A349" i="30"/>
  <c r="A347" i="30"/>
  <c r="A346" i="30"/>
  <c r="A352" i="30"/>
  <c r="A351" i="30"/>
  <c r="A353" i="30"/>
  <c r="A33" i="31"/>
  <c r="A34" i="31"/>
  <c r="A39" i="31"/>
  <c r="A32" i="31"/>
  <c r="A35" i="31"/>
  <c r="A36" i="31"/>
  <c r="A37" i="31"/>
  <c r="A38" i="31"/>
  <c r="A280" i="34"/>
  <c r="A277" i="34"/>
  <c r="A279" i="34"/>
  <c r="A278" i="34"/>
  <c r="A281" i="34"/>
  <c r="A274" i="34"/>
  <c r="A276" i="34"/>
  <c r="A275" i="34"/>
  <c r="A324" i="34"/>
  <c r="A319" i="34"/>
  <c r="A320" i="34"/>
  <c r="A325" i="34"/>
  <c r="A321" i="34"/>
  <c r="A322" i="34"/>
  <c r="A326" i="34"/>
  <c r="A323" i="34"/>
  <c r="A352" i="34"/>
  <c r="A353" i="34"/>
  <c r="B159" i="2"/>
  <c r="B161" i="2"/>
  <c r="B162" i="2"/>
  <c r="B163" i="2"/>
  <c r="B164" i="2"/>
  <c r="B165" i="2"/>
  <c r="B160" i="2"/>
  <c r="B167" i="39"/>
  <c r="A347" i="34"/>
  <c r="B187" i="39"/>
  <c r="A295" i="6"/>
  <c r="B165" i="38"/>
  <c r="E26" i="30"/>
  <c r="B16" i="7" a="1"/>
  <c r="I16" i="7"/>
  <c r="B16" i="35" a="1"/>
  <c r="I16" i="35"/>
  <c r="C2" i="28" a="1"/>
  <c r="C27" i="6" a="1"/>
  <c r="D124" i="29" a="1"/>
  <c r="C645" i="1" a="1"/>
  <c r="C645" i="1"/>
  <c r="D100" i="4" a="1"/>
  <c r="D100" i="4"/>
  <c r="B42" i="38" a="1"/>
  <c r="C699" i="1" a="1"/>
  <c r="F701" i="1"/>
  <c r="N422" i="30"/>
  <c r="N425" i="30"/>
  <c r="N437" i="30"/>
  <c r="N422" i="6"/>
  <c r="A6" i="27"/>
  <c r="A12" i="27"/>
  <c r="I4" i="28"/>
  <c r="E4" i="28"/>
  <c r="B133" i="29"/>
  <c r="B136" i="29"/>
  <c r="B138" i="29"/>
  <c r="D225" i="1"/>
  <c r="K225" i="1"/>
  <c r="A7" i="5"/>
  <c r="A6" i="5"/>
  <c r="A8" i="5"/>
  <c r="A10" i="5"/>
  <c r="A43" i="3"/>
  <c r="A48" i="3"/>
  <c r="A44" i="3"/>
  <c r="A41" i="3"/>
  <c r="A380" i="6"/>
  <c r="A379" i="6"/>
  <c r="J34" i="29"/>
  <c r="D34" i="29"/>
  <c r="L34" i="29"/>
  <c r="G34" i="29"/>
  <c r="M34" i="29"/>
  <c r="A73" i="30"/>
  <c r="A71" i="30"/>
  <c r="K46" i="8"/>
  <c r="K46" i="39"/>
  <c r="I46" i="8"/>
  <c r="B46" i="8"/>
  <c r="A221" i="8"/>
  <c r="A219" i="8"/>
  <c r="A257" i="8"/>
  <c r="A255" i="8"/>
  <c r="A261" i="8"/>
  <c r="A256" i="8"/>
  <c r="A258" i="8"/>
  <c r="A374" i="8"/>
  <c r="A375" i="8"/>
  <c r="A377" i="8"/>
  <c r="A378" i="8"/>
  <c r="A143" i="7"/>
  <c r="A148" i="7"/>
  <c r="A436" i="39"/>
  <c r="A439" i="39"/>
  <c r="A501" i="39"/>
  <c r="A500" i="39"/>
  <c r="A497" i="39"/>
  <c r="A598" i="39"/>
  <c r="A600" i="39"/>
  <c r="A596" i="39"/>
  <c r="A137" i="7"/>
  <c r="A133" i="7"/>
  <c r="A135" i="7"/>
  <c r="A132" i="7"/>
  <c r="A32" i="3"/>
  <c r="A39" i="3"/>
  <c r="A188" i="6"/>
  <c r="A186" i="6"/>
  <c r="A191" i="6"/>
  <c r="A189" i="6"/>
  <c r="A47" i="30"/>
  <c r="A50" i="30"/>
  <c r="A43" i="30"/>
  <c r="A44" i="30"/>
  <c r="A5" i="32"/>
  <c r="A11" i="32"/>
  <c r="A8" i="32"/>
  <c r="K698" i="1"/>
  <c r="A89" i="27"/>
  <c r="A87" i="27"/>
  <c r="A546" i="8"/>
  <c r="A26" i="59"/>
  <c r="A50" i="59"/>
  <c r="A37" i="59"/>
  <c r="G42" i="38"/>
  <c r="B42" i="38"/>
  <c r="I42" i="38"/>
  <c r="E27" i="6"/>
  <c r="J645" i="1"/>
  <c r="E645" i="1"/>
  <c r="G705" i="1"/>
  <c r="E703" i="1"/>
  <c r="D710" i="1"/>
  <c r="B169" i="39"/>
  <c r="A71" i="31"/>
  <c r="A307" i="6"/>
  <c r="C1" i="41"/>
  <c r="K110" i="29"/>
  <c r="D110" i="29"/>
  <c r="B133" i="32"/>
  <c r="C129" i="40"/>
  <c r="C119" i="40"/>
  <c r="C114" i="40"/>
  <c r="C104" i="40"/>
  <c r="L727" i="1"/>
  <c r="I729" i="1"/>
  <c r="H727" i="1"/>
  <c r="B164" i="39"/>
  <c r="C131" i="40"/>
  <c r="E701" i="1"/>
  <c r="H699" i="1"/>
  <c r="D699" i="1"/>
  <c r="G701" i="1"/>
  <c r="C701" i="1"/>
  <c r="H645" i="1"/>
  <c r="B192" i="39"/>
  <c r="B175" i="38"/>
  <c r="B190" i="39"/>
  <c r="B193" i="39"/>
  <c r="A45" i="27"/>
  <c r="H728" i="1"/>
  <c r="H731" i="1"/>
  <c r="E739" i="1"/>
  <c r="H737" i="1"/>
  <c r="H706" i="1"/>
  <c r="C700" i="1"/>
  <c r="B43" i="8" a="1"/>
  <c r="E43" i="8"/>
  <c r="L729" i="1"/>
  <c r="K739" i="1"/>
  <c r="J740" i="1"/>
  <c r="K717" i="1"/>
  <c r="D718" i="1"/>
  <c r="L719" i="1"/>
  <c r="C721" i="1"/>
  <c r="E717" i="1"/>
  <c r="D720" i="1"/>
  <c r="C719" i="1"/>
  <c r="C718" i="1"/>
  <c r="I724" i="1"/>
  <c r="I722" i="1"/>
  <c r="F723" i="1"/>
  <c r="G740" i="1"/>
  <c r="L740" i="1"/>
  <c r="D735" i="1"/>
  <c r="D740" i="1"/>
  <c r="K737" i="1"/>
  <c r="C736" i="1"/>
  <c r="C735" i="1"/>
  <c r="H739" i="1"/>
  <c r="G737" i="1"/>
  <c r="D738" i="1"/>
  <c r="E29" i="34"/>
  <c r="B168" i="39"/>
  <c r="B162" i="39"/>
  <c r="B43" i="38" a="1"/>
  <c r="N436" i="30"/>
  <c r="B72" i="32"/>
  <c r="N434" i="6"/>
  <c r="B195" i="8"/>
  <c r="H730" i="1"/>
  <c r="G726" i="1"/>
  <c r="G733" i="1"/>
  <c r="F727" i="1"/>
  <c r="E729" i="1"/>
  <c r="G728" i="1"/>
  <c r="L728" i="1"/>
  <c r="H732" i="1"/>
  <c r="E727" i="1"/>
  <c r="F730" i="1"/>
  <c r="F729" i="1"/>
  <c r="D727" i="1"/>
  <c r="K733" i="1"/>
  <c r="G731" i="1"/>
  <c r="I730" i="1"/>
  <c r="C733" i="1"/>
  <c r="D728" i="1"/>
  <c r="I728" i="1"/>
  <c r="J727" i="1"/>
  <c r="J732" i="1"/>
  <c r="D729" i="1"/>
  <c r="J733" i="1"/>
  <c r="C727" i="1"/>
  <c r="H726" i="1"/>
  <c r="F726" i="1"/>
  <c r="J731" i="1"/>
  <c r="F733" i="1"/>
  <c r="D726" i="1"/>
  <c r="E731" i="1"/>
  <c r="I733" i="1"/>
  <c r="C726" i="1"/>
  <c r="C730" i="1"/>
  <c r="D733" i="1"/>
  <c r="J728" i="1"/>
  <c r="G727" i="1"/>
  <c r="K728" i="1"/>
  <c r="D731" i="1"/>
  <c r="G729" i="1"/>
  <c r="C728" i="1"/>
  <c r="L732" i="1"/>
  <c r="K731" i="1"/>
  <c r="F732" i="1"/>
  <c r="A497" i="38"/>
  <c r="A501" i="38"/>
  <c r="A500" i="38"/>
  <c r="A504" i="38"/>
  <c r="A499" i="38"/>
  <c r="A503" i="38"/>
  <c r="A498" i="38"/>
  <c r="A502" i="38"/>
  <c r="B106" i="5"/>
  <c r="L141" i="1"/>
  <c r="K141" i="1"/>
  <c r="J141" i="1"/>
  <c r="G141" i="1"/>
  <c r="I141" i="1"/>
  <c r="D141" i="1"/>
  <c r="F141" i="1"/>
  <c r="E141" i="1"/>
  <c r="H141" i="1"/>
  <c r="A608" i="38"/>
  <c r="A606" i="38"/>
  <c r="A609" i="38"/>
  <c r="A610" i="38"/>
  <c r="A611" i="38"/>
  <c r="A607" i="38"/>
  <c r="A605" i="38"/>
  <c r="A612" i="38"/>
  <c r="D748" i="1"/>
  <c r="F748" i="1"/>
  <c r="C748" i="1"/>
  <c r="I748" i="1"/>
  <c r="E748" i="1"/>
  <c r="H748" i="1"/>
  <c r="L748" i="1"/>
  <c r="J748" i="1"/>
  <c r="K748" i="1"/>
  <c r="G748" i="1"/>
  <c r="K174" i="1"/>
  <c r="I174" i="1"/>
  <c r="H174" i="1"/>
  <c r="L174" i="1"/>
  <c r="E174" i="1"/>
  <c r="D174" i="1"/>
  <c r="F174" i="1"/>
  <c r="J174" i="1"/>
  <c r="G174" i="1"/>
  <c r="B20" i="58"/>
  <c r="B20" i="60"/>
  <c r="B16" i="58"/>
  <c r="B21" i="58"/>
  <c r="B21" i="60"/>
  <c r="B15" i="58"/>
  <c r="B15" i="60"/>
  <c r="B17" i="58"/>
  <c r="B17" i="60"/>
  <c r="B19" i="58"/>
  <c r="B19" i="60"/>
  <c r="B18" i="58"/>
  <c r="B18" i="60"/>
  <c r="A71" i="59"/>
  <c r="A69" i="59"/>
  <c r="A68" i="59"/>
  <c r="A70" i="59"/>
  <c r="A67" i="59"/>
  <c r="A72" i="59"/>
  <c r="A73" i="59"/>
  <c r="A74" i="59"/>
  <c r="A554" i="38"/>
  <c r="A553" i="38"/>
  <c r="A551" i="38"/>
  <c r="A558" i="38"/>
  <c r="A555" i="38"/>
  <c r="A557" i="38"/>
  <c r="A556" i="38"/>
  <c r="A552" i="38"/>
  <c r="C27" i="6"/>
  <c r="J27" i="6"/>
  <c r="K17" i="35"/>
  <c r="F17" i="35"/>
  <c r="E17" i="35"/>
  <c r="I17" i="35"/>
  <c r="K100" i="29"/>
  <c r="D100" i="29"/>
  <c r="A70" i="58"/>
  <c r="A69" i="58"/>
  <c r="A72" i="58"/>
  <c r="A67" i="58"/>
  <c r="A71" i="58"/>
  <c r="B16" i="7"/>
  <c r="K124" i="29"/>
  <c r="I124" i="29"/>
  <c r="D124" i="29"/>
  <c r="G17" i="35"/>
  <c r="K435" i="1"/>
  <c r="K485" i="1"/>
  <c r="K535" i="1"/>
  <c r="C435" i="1"/>
  <c r="C485" i="1"/>
  <c r="C535" i="1"/>
  <c r="F435" i="1"/>
  <c r="F485" i="1"/>
  <c r="F535" i="1"/>
  <c r="L435" i="1"/>
  <c r="L485" i="1"/>
  <c r="L535" i="1"/>
  <c r="J435" i="1"/>
  <c r="J485" i="1"/>
  <c r="J535" i="1"/>
  <c r="I435" i="1"/>
  <c r="I485" i="1"/>
  <c r="I535" i="1"/>
  <c r="H435" i="1"/>
  <c r="H485" i="1"/>
  <c r="H535" i="1"/>
  <c r="G435" i="1"/>
  <c r="G485" i="1"/>
  <c r="G535" i="1"/>
  <c r="E435" i="1"/>
  <c r="E485" i="1"/>
  <c r="E535" i="1"/>
  <c r="D435" i="1"/>
  <c r="D485" i="1"/>
  <c r="D535" i="1"/>
  <c r="C81" i="30"/>
  <c r="H79" i="30"/>
  <c r="L80" i="30"/>
  <c r="A349" i="34"/>
  <c r="A350" i="34"/>
  <c r="A346" i="34"/>
  <c r="C702" i="1"/>
  <c r="F699" i="1"/>
  <c r="C704" i="1"/>
  <c r="F703" i="1"/>
  <c r="G706" i="1"/>
  <c r="D705" i="1"/>
  <c r="F704" i="1"/>
  <c r="D701" i="1"/>
  <c r="C706" i="1"/>
  <c r="H703" i="1"/>
  <c r="E706" i="1"/>
  <c r="E702" i="1"/>
  <c r="H702" i="1"/>
  <c r="H700" i="1"/>
  <c r="G699" i="1"/>
  <c r="D700" i="1"/>
  <c r="A348" i="34"/>
  <c r="I100" i="29"/>
  <c r="A68" i="58"/>
  <c r="B175" i="8"/>
  <c r="C30" i="30" a="1"/>
  <c r="L30" i="30"/>
  <c r="A73" i="58"/>
  <c r="C26" i="6"/>
  <c r="E26" i="6"/>
  <c r="D26" i="6"/>
  <c r="L26" i="6"/>
  <c r="K26" i="6"/>
  <c r="F26" i="6"/>
  <c r="H26" i="6"/>
  <c r="C76" i="30"/>
  <c r="D71" i="30"/>
  <c r="A59" i="31"/>
  <c r="A62" i="31"/>
  <c r="A60" i="31"/>
  <c r="A63" i="31"/>
  <c r="A61" i="31"/>
  <c r="A57" i="31"/>
  <c r="A56" i="31"/>
  <c r="A58" i="31"/>
  <c r="A61" i="8"/>
  <c r="A62" i="8"/>
  <c r="A64" i="8"/>
  <c r="A680" i="1"/>
  <c r="A678" i="1"/>
  <c r="A679" i="1"/>
  <c r="A683" i="1"/>
  <c r="A677" i="1"/>
  <c r="A676" i="1"/>
  <c r="A682" i="1"/>
  <c r="A681" i="1"/>
  <c r="C705" i="1"/>
  <c r="E705" i="1"/>
  <c r="B16" i="35"/>
  <c r="A74" i="58"/>
  <c r="A351" i="34"/>
  <c r="A59" i="8"/>
  <c r="A65" i="8"/>
  <c r="H28" i="34"/>
  <c r="B17" i="7" a="1"/>
  <c r="C398" i="1" a="1"/>
  <c r="E43" i="38"/>
  <c r="G43" i="38"/>
  <c r="B18" i="7" a="1"/>
  <c r="B44" i="8" a="1"/>
  <c r="I44" i="8"/>
  <c r="B18" i="35" a="1"/>
  <c r="C30" i="6" a="1"/>
  <c r="G30" i="6"/>
  <c r="B44" i="38" a="1"/>
  <c r="F8" i="4"/>
  <c r="E8" i="4"/>
  <c r="D8" i="4"/>
  <c r="G8" i="4"/>
  <c r="A423" i="34"/>
  <c r="A421" i="34"/>
  <c r="A425" i="34"/>
  <c r="A424" i="34"/>
  <c r="A420" i="34"/>
  <c r="B180" i="8"/>
  <c r="B180" i="39"/>
  <c r="B184" i="8"/>
  <c r="B184" i="39"/>
  <c r="B181" i="8"/>
  <c r="B181" i="39"/>
  <c r="B183" i="8"/>
  <c r="B183" i="39"/>
  <c r="B177" i="8"/>
  <c r="B182" i="8"/>
  <c r="B182" i="39"/>
  <c r="B179" i="8"/>
  <c r="B179" i="39"/>
  <c r="B178" i="8"/>
  <c r="B178" i="39"/>
  <c r="F700" i="1"/>
  <c r="E699" i="1"/>
  <c r="G16" i="35"/>
  <c r="A63" i="8"/>
  <c r="F29" i="34"/>
  <c r="A53" i="6"/>
  <c r="A56" i="6"/>
  <c r="A57" i="6"/>
  <c r="A150" i="6"/>
  <c r="A149" i="6"/>
  <c r="A153" i="6"/>
  <c r="A151" i="6"/>
  <c r="A148" i="6"/>
  <c r="A75" i="6"/>
  <c r="A72" i="6"/>
  <c r="A77" i="6"/>
  <c r="A73" i="6"/>
  <c r="A172" i="30"/>
  <c r="A173" i="30"/>
  <c r="A171" i="30"/>
  <c r="A169" i="30"/>
  <c r="A168" i="30"/>
  <c r="A267" i="30"/>
  <c r="A268" i="30"/>
  <c r="A272" i="30"/>
  <c r="A99" i="32"/>
  <c r="A102" i="32"/>
  <c r="A104" i="32"/>
  <c r="A105" i="32"/>
  <c r="A101" i="32"/>
  <c r="A100" i="32"/>
  <c r="A208" i="8"/>
  <c r="A210" i="8"/>
  <c r="A213" i="8"/>
  <c r="A212" i="8"/>
  <c r="A209" i="8"/>
  <c r="B168" i="2"/>
  <c r="B167" i="2"/>
  <c r="B169" i="2"/>
  <c r="B171" i="2"/>
  <c r="B172" i="2"/>
  <c r="A702" i="8"/>
  <c r="A703" i="8"/>
  <c r="A704" i="8"/>
  <c r="A697" i="8"/>
  <c r="A55" i="7"/>
  <c r="A56" i="7"/>
  <c r="A57" i="7"/>
  <c r="A42" i="7"/>
  <c r="A44" i="7"/>
  <c r="A45" i="7"/>
  <c r="A48" i="7"/>
  <c r="A153" i="7"/>
  <c r="A154" i="7"/>
  <c r="A152" i="7"/>
  <c r="A155" i="7"/>
  <c r="A157" i="7"/>
  <c r="A156" i="7"/>
  <c r="A151" i="7"/>
  <c r="A142" i="37"/>
  <c r="A147" i="37"/>
  <c r="A141" i="37"/>
  <c r="A146" i="37"/>
  <c r="A145" i="37"/>
  <c r="A144" i="37"/>
  <c r="B234" i="1"/>
  <c r="B235" i="1"/>
  <c r="B233" i="1"/>
  <c r="B232" i="1"/>
  <c r="B230" i="1"/>
  <c r="B228" i="1"/>
  <c r="B229" i="1"/>
  <c r="B231" i="1"/>
  <c r="A23" i="38"/>
  <c r="A18" i="38"/>
  <c r="A25" i="38"/>
  <c r="A19" i="38"/>
  <c r="A24" i="38"/>
  <c r="A21" i="38"/>
  <c r="A259" i="38"/>
  <c r="A255" i="38"/>
  <c r="A258" i="38"/>
  <c r="A261" i="38"/>
  <c r="A256" i="38"/>
  <c r="A254" i="38"/>
  <c r="A318" i="38"/>
  <c r="A317" i="38"/>
  <c r="A323" i="38"/>
  <c r="A320" i="38"/>
  <c r="A319" i="38"/>
  <c r="A322" i="38"/>
  <c r="A375" i="38"/>
  <c r="A378" i="38"/>
  <c r="A377" i="38"/>
  <c r="A371" i="38"/>
  <c r="A373" i="38"/>
  <c r="A376" i="38"/>
  <c r="C157" i="29"/>
  <c r="C158" i="29"/>
  <c r="C153" i="29"/>
  <c r="C156" i="29"/>
  <c r="C154" i="29"/>
  <c r="C155" i="29"/>
  <c r="B185" i="38"/>
  <c r="B172" i="39"/>
  <c r="B134" i="4"/>
  <c r="B140" i="4"/>
  <c r="B135" i="4"/>
  <c r="B139" i="4"/>
  <c r="B136" i="4"/>
  <c r="A45" i="6"/>
  <c r="A49" i="6"/>
  <c r="A48" i="6"/>
  <c r="A43" i="6"/>
  <c r="A44" i="6"/>
  <c r="A398" i="30"/>
  <c r="A391" i="30"/>
  <c r="A392" i="30"/>
  <c r="A395" i="30"/>
  <c r="A177" i="39"/>
  <c r="A183" i="39"/>
  <c r="A182" i="39"/>
  <c r="A178" i="39"/>
  <c r="A179" i="39"/>
  <c r="A180" i="39"/>
  <c r="D101" i="4"/>
  <c r="H110" i="29"/>
  <c r="N414" i="30"/>
  <c r="N411" i="30"/>
  <c r="N415" i="30"/>
  <c r="N409" i="30"/>
  <c r="N413" i="30"/>
  <c r="B146" i="4"/>
  <c r="B145" i="4"/>
  <c r="B143" i="4"/>
  <c r="B144" i="4"/>
  <c r="B147" i="4"/>
  <c r="B148" i="4"/>
  <c r="K48" i="6"/>
  <c r="H46" i="6"/>
  <c r="K43" i="6"/>
  <c r="C44" i="6"/>
  <c r="D50" i="6"/>
  <c r="G45" i="6"/>
  <c r="L43" i="6"/>
  <c r="L44" i="6"/>
  <c r="K46" i="6"/>
  <c r="H49" i="6"/>
  <c r="E50" i="6"/>
  <c r="A103" i="28"/>
  <c r="A102" i="28"/>
  <c r="A98" i="28"/>
  <c r="A104" i="28"/>
  <c r="A100" i="28"/>
  <c r="A99" i="28"/>
  <c r="L35" i="29"/>
  <c r="K35" i="29"/>
  <c r="F35" i="29"/>
  <c r="I35" i="29"/>
  <c r="M35" i="29"/>
  <c r="G35" i="29"/>
  <c r="A76" i="30"/>
  <c r="A75" i="30"/>
  <c r="A70" i="30"/>
  <c r="A72" i="30"/>
  <c r="A74" i="30"/>
  <c r="J15" i="35"/>
  <c r="C15" i="35"/>
  <c r="D15" i="35"/>
  <c r="B15" i="35"/>
  <c r="G15" i="35"/>
  <c r="F15" i="35"/>
  <c r="E15" i="35"/>
  <c r="H15" i="35"/>
  <c r="A167" i="35"/>
  <c r="A163" i="35"/>
  <c r="A161" i="35"/>
  <c r="A164" i="35"/>
  <c r="A165" i="35"/>
  <c r="A10" i="37"/>
  <c r="A12" i="37"/>
  <c r="A7" i="37"/>
  <c r="A11" i="37"/>
  <c r="A5" i="37"/>
  <c r="A77" i="37"/>
  <c r="A75" i="37"/>
  <c r="A72" i="37"/>
  <c r="A74" i="37"/>
  <c r="A78" i="37"/>
  <c r="A88" i="39"/>
  <c r="A85" i="39"/>
  <c r="A91" i="39"/>
  <c r="A86" i="39"/>
  <c r="A87" i="39"/>
  <c r="A92" i="39"/>
  <c r="A140" i="39"/>
  <c r="A143" i="39"/>
  <c r="A145" i="39"/>
  <c r="A146" i="39"/>
  <c r="A141" i="39"/>
  <c r="A144" i="39"/>
  <c r="A377" i="39"/>
  <c r="A378" i="39"/>
  <c r="A376" i="39"/>
  <c r="A372" i="39"/>
  <c r="A371" i="39"/>
  <c r="A375" i="39"/>
  <c r="A432" i="39"/>
  <c r="A427" i="39"/>
  <c r="A429" i="39"/>
  <c r="A425" i="39"/>
  <c r="A431" i="39"/>
  <c r="A426" i="39"/>
  <c r="A430" i="39"/>
  <c r="A428" i="39"/>
  <c r="A597" i="39"/>
  <c r="A603" i="39"/>
  <c r="A599" i="39"/>
  <c r="A651" i="39"/>
  <c r="A656" i="39"/>
  <c r="A655" i="39"/>
  <c r="E744" i="1"/>
  <c r="J744" i="1"/>
  <c r="C43" i="38"/>
  <c r="B42" i="8" a="1"/>
  <c r="C27" i="30" a="1"/>
  <c r="C27" i="30"/>
  <c r="C27" i="34"/>
  <c r="D124" i="4" a="1"/>
  <c r="K124" i="4"/>
  <c r="K124" i="40"/>
  <c r="C589" i="1" a="1"/>
  <c r="D110" i="4" a="1"/>
  <c r="I110" i="4"/>
  <c r="D44" i="6"/>
  <c r="E740" i="1"/>
  <c r="F722" i="1"/>
  <c r="I723" i="1"/>
  <c r="F724" i="1"/>
  <c r="H724" i="1"/>
  <c r="F720" i="1"/>
  <c r="H741" i="1"/>
  <c r="F738" i="1"/>
  <c r="I742" i="1"/>
  <c r="K713" i="1"/>
  <c r="G736" i="1"/>
  <c r="G739" i="1"/>
  <c r="L708" i="1"/>
  <c r="J715" i="1"/>
  <c r="K712" i="1"/>
  <c r="J714" i="1"/>
  <c r="E714" i="1"/>
  <c r="N421" i="34"/>
  <c r="N421" i="30"/>
  <c r="N419" i="30"/>
  <c r="N423" i="30"/>
  <c r="B69" i="32"/>
  <c r="A634" i="8"/>
  <c r="A703" i="39"/>
  <c r="A697" i="39"/>
  <c r="A172" i="38"/>
  <c r="A171" i="38"/>
  <c r="A168" i="38"/>
  <c r="A173" i="38"/>
  <c r="B194" i="38"/>
  <c r="B194" i="39"/>
  <c r="B191" i="38"/>
  <c r="B191" i="39"/>
  <c r="B188" i="38"/>
  <c r="B44" i="28"/>
  <c r="N426" i="6"/>
  <c r="N424" i="6"/>
  <c r="N423" i="6"/>
  <c r="N420" i="6"/>
  <c r="A501" i="8"/>
  <c r="A497" i="8"/>
  <c r="A498" i="8"/>
  <c r="A499" i="8"/>
  <c r="A12" i="35"/>
  <c r="A5" i="35"/>
  <c r="A68" i="35"/>
  <c r="A66" i="35"/>
  <c r="A63" i="35"/>
  <c r="A65" i="35"/>
  <c r="A103" i="35"/>
  <c r="A104" i="35"/>
  <c r="A106" i="35"/>
  <c r="A105" i="35"/>
  <c r="A108" i="35"/>
  <c r="A29" i="37"/>
  <c r="A27" i="37"/>
  <c r="A26" i="37"/>
  <c r="A24" i="37"/>
  <c r="A22" i="37"/>
  <c r="A23" i="37"/>
  <c r="A116" i="37"/>
  <c r="A115" i="37"/>
  <c r="A114" i="37"/>
  <c r="A118" i="37"/>
  <c r="D41" i="39"/>
  <c r="C41" i="39"/>
  <c r="J41" i="39"/>
  <c r="I41" i="39"/>
  <c r="E41" i="39"/>
  <c r="A585" i="38"/>
  <c r="A581" i="38"/>
  <c r="A583" i="38"/>
  <c r="A578" i="38"/>
  <c r="A580" i="38"/>
  <c r="A645" i="38"/>
  <c r="A646" i="38"/>
  <c r="A642" i="38"/>
  <c r="A643" i="38"/>
  <c r="A644" i="38"/>
  <c r="A647" i="38"/>
  <c r="B176" i="1"/>
  <c r="B181" i="1"/>
  <c r="B183" i="1"/>
  <c r="B180" i="1"/>
  <c r="B182" i="1"/>
  <c r="G714" i="1"/>
  <c r="D709" i="1"/>
  <c r="F710" i="1"/>
  <c r="L710" i="1"/>
  <c r="C708" i="1"/>
  <c r="I713" i="1"/>
  <c r="H17" i="35"/>
  <c r="A135" i="8"/>
  <c r="A131" i="8"/>
  <c r="A132" i="8"/>
  <c r="A133" i="8"/>
  <c r="B161" i="8"/>
  <c r="B161" i="39"/>
  <c r="B160" i="8"/>
  <c r="A557" i="39"/>
  <c r="A555" i="39"/>
  <c r="I388" i="1"/>
  <c r="K388" i="1"/>
  <c r="H388" i="1"/>
  <c r="C388" i="1"/>
  <c r="L714" i="1"/>
  <c r="B102" i="2"/>
  <c r="B99" i="2"/>
  <c r="B100" i="2"/>
  <c r="B98" i="2"/>
  <c r="A260" i="6"/>
  <c r="A263" i="6"/>
  <c r="A262" i="6"/>
  <c r="A256" i="6"/>
  <c r="A83" i="27"/>
  <c r="A86" i="27"/>
  <c r="A85" i="27"/>
  <c r="A84" i="27"/>
  <c r="I17" i="7"/>
  <c r="A55" i="34"/>
  <c r="A56" i="34"/>
  <c r="A53" i="34"/>
  <c r="A58" i="34"/>
  <c r="A146" i="8"/>
  <c r="A141" i="8"/>
  <c r="A143" i="8"/>
  <c r="A396" i="8"/>
  <c r="A391" i="8"/>
  <c r="A393" i="8"/>
  <c r="A389" i="8"/>
  <c r="A32" i="7"/>
  <c r="A34" i="7"/>
  <c r="A36" i="7"/>
  <c r="A38" i="7"/>
  <c r="A37" i="7"/>
  <c r="A39" i="7"/>
  <c r="A128" i="7"/>
  <c r="A123" i="7"/>
  <c r="A282" i="39"/>
  <c r="A285" i="39"/>
  <c r="A288" i="39"/>
  <c r="A287" i="39"/>
  <c r="A284" i="39"/>
  <c r="A286" i="39"/>
  <c r="A567" i="39"/>
  <c r="A561" i="39"/>
  <c r="A564" i="39"/>
  <c r="B41" i="38"/>
  <c r="F41" i="38"/>
  <c r="A313" i="38"/>
  <c r="A308" i="38"/>
  <c r="A310" i="38"/>
  <c r="A312" i="38"/>
  <c r="A364" i="38"/>
  <c r="A366" i="38"/>
  <c r="C182" i="40"/>
  <c r="C183" i="40"/>
  <c r="C179" i="40"/>
  <c r="G184" i="57"/>
  <c r="H184" i="57"/>
  <c r="L184" i="57"/>
  <c r="F184" i="57"/>
  <c r="I184" i="57"/>
  <c r="D184" i="57"/>
  <c r="E184" i="57"/>
  <c r="K184" i="57"/>
  <c r="A95" i="34"/>
  <c r="A91" i="34"/>
  <c r="A404" i="34"/>
  <c r="A405" i="34"/>
  <c r="A403" i="34"/>
  <c r="A56" i="8"/>
  <c r="A50" i="8"/>
  <c r="A510" i="8"/>
  <c r="A513" i="8"/>
  <c r="A509" i="8"/>
  <c r="A507" i="8"/>
  <c r="A660" i="39"/>
  <c r="A665" i="39"/>
  <c r="J17" i="35"/>
  <c r="B42" i="32"/>
  <c r="J100" i="4"/>
  <c r="A308" i="6"/>
  <c r="A303" i="6"/>
  <c r="A593" i="8"/>
  <c r="A589" i="8"/>
  <c r="A76" i="7"/>
  <c r="A75" i="7"/>
  <c r="A455" i="38"/>
  <c r="A132" i="28"/>
  <c r="A130" i="28"/>
  <c r="A133" i="28"/>
  <c r="B103" i="28"/>
  <c r="B102" i="28"/>
  <c r="B102" i="32"/>
  <c r="B104" i="28"/>
  <c r="B104" i="32"/>
  <c r="B68" i="32"/>
  <c r="G30" i="30"/>
  <c r="G30" i="34"/>
  <c r="A312" i="34"/>
  <c r="A548" i="8"/>
  <c r="A543" i="8"/>
  <c r="A65" i="7"/>
  <c r="A67" i="7"/>
  <c r="A210" i="39"/>
  <c r="A212" i="39"/>
  <c r="I100" i="4"/>
  <c r="E17" i="7"/>
  <c r="E17" i="37"/>
  <c r="M100" i="4"/>
  <c r="D39" i="6"/>
  <c r="F37" i="6"/>
  <c r="A315" i="30"/>
  <c r="A314" i="30"/>
  <c r="A313" i="30"/>
  <c r="A176" i="37"/>
  <c r="A175" i="37"/>
  <c r="A135" i="39"/>
  <c r="A130" i="39"/>
  <c r="B137" i="5" a="1"/>
  <c r="B137" i="5"/>
  <c r="B137" i="32"/>
  <c r="H254" i="1"/>
  <c r="J329" i="1"/>
  <c r="G254" i="1"/>
  <c r="J28" i="34"/>
  <c r="B70" i="32"/>
  <c r="B9" i="32"/>
  <c r="N329" i="34"/>
  <c r="M166" i="37"/>
  <c r="M68" i="35"/>
  <c r="M62" i="7"/>
  <c r="M44" i="37"/>
  <c r="M560" i="8"/>
  <c r="M632" i="38"/>
  <c r="M599" i="39"/>
  <c r="M626" i="39"/>
  <c r="D39" i="8"/>
  <c r="M617" i="38"/>
  <c r="M628" i="38"/>
  <c r="M369" i="38"/>
  <c r="M452" i="8"/>
  <c r="M615" i="38"/>
  <c r="M502" i="38"/>
  <c r="M238" i="38"/>
  <c r="M589" i="8"/>
  <c r="M105" i="37"/>
  <c r="N392" i="6"/>
  <c r="M70" i="35"/>
  <c r="M599" i="38"/>
  <c r="N342" i="6"/>
  <c r="M580" i="39"/>
  <c r="M529" i="8"/>
  <c r="M26" i="37"/>
  <c r="N409" i="34" a="1"/>
  <c r="M438" i="39"/>
  <c r="N401" i="30"/>
  <c r="M435" i="8"/>
  <c r="M27" i="7"/>
  <c r="M145" i="37"/>
  <c r="M587" i="38"/>
  <c r="D39" i="38"/>
  <c r="N134" i="30"/>
  <c r="M670" i="38"/>
  <c r="M546" i="38"/>
  <c r="M78" i="7"/>
  <c r="M357" i="38"/>
  <c r="M551" i="39"/>
  <c r="M110" i="35"/>
  <c r="M54" i="37"/>
  <c r="M441" i="38"/>
  <c r="M100" i="37"/>
  <c r="N137" i="30"/>
  <c r="M102" i="7"/>
  <c r="M428" i="39"/>
  <c r="M702" i="39"/>
  <c r="M515" i="8"/>
  <c r="M511" i="38"/>
  <c r="N191" i="6"/>
  <c r="N181" i="30"/>
  <c r="N199" i="34"/>
  <c r="N133" i="30"/>
  <c r="M158" i="7"/>
  <c r="M521" i="8"/>
  <c r="N323" i="30"/>
  <c r="M603" i="39"/>
  <c r="M25" i="35"/>
  <c r="M582" i="8"/>
  <c r="M682" i="38"/>
  <c r="M176" i="37"/>
  <c r="M432" i="39"/>
  <c r="M434" i="38"/>
  <c r="M655" i="8"/>
  <c r="M90" i="35"/>
  <c r="M25" i="37"/>
  <c r="M126" i="35"/>
  <c r="C57" i="6"/>
  <c r="K43" i="38"/>
  <c r="B6" i="32"/>
  <c r="B77" i="41"/>
  <c r="E704" i="1"/>
  <c r="G702" i="1"/>
  <c r="G703" i="1"/>
  <c r="F706" i="1"/>
  <c r="F705" i="1"/>
  <c r="D706" i="1"/>
  <c r="I736" i="1"/>
  <c r="K742" i="1"/>
  <c r="G717" i="1"/>
  <c r="K722" i="1"/>
  <c r="D721" i="1"/>
  <c r="C724" i="1"/>
  <c r="H717" i="1"/>
  <c r="I717" i="1"/>
  <c r="J723" i="1"/>
  <c r="J718" i="1"/>
  <c r="K718" i="1"/>
  <c r="D723" i="1"/>
  <c r="I744" i="1"/>
  <c r="K744" i="1"/>
  <c r="E405" i="1"/>
  <c r="K729" i="1"/>
  <c r="I727" i="1"/>
  <c r="C731" i="1"/>
  <c r="E742" i="1"/>
  <c r="I739" i="1"/>
  <c r="L742" i="1"/>
  <c r="F735" i="1"/>
  <c r="G732" i="1"/>
  <c r="E730" i="1"/>
  <c r="J710" i="1"/>
  <c r="H733" i="1"/>
  <c r="K727" i="1"/>
  <c r="E726" i="1"/>
  <c r="D736" i="1"/>
  <c r="F731" i="1"/>
  <c r="L712" i="1"/>
  <c r="J739" i="1"/>
  <c r="E708" i="1"/>
  <c r="C714" i="1"/>
  <c r="F709" i="1"/>
  <c r="G711" i="1"/>
  <c r="J712" i="1"/>
  <c r="I738" i="1"/>
  <c r="K736" i="1"/>
  <c r="C729" i="1"/>
  <c r="I732" i="1"/>
  <c r="D713" i="1"/>
  <c r="C703" i="1"/>
  <c r="G704" i="1"/>
  <c r="H705" i="1"/>
  <c r="D702" i="1"/>
  <c r="G700" i="1"/>
  <c r="C699" i="1"/>
  <c r="I741" i="1"/>
  <c r="D719" i="1"/>
  <c r="J719" i="1"/>
  <c r="E722" i="1"/>
  <c r="D717" i="1"/>
  <c r="L717" i="1"/>
  <c r="E721" i="1"/>
  <c r="C722" i="1"/>
  <c r="K724" i="1"/>
  <c r="E723" i="1"/>
  <c r="H722" i="1"/>
  <c r="L744" i="1"/>
  <c r="D744" i="1"/>
  <c r="I402" i="1"/>
  <c r="J729" i="1"/>
  <c r="K732" i="1"/>
  <c r="I726" i="1"/>
  <c r="D739" i="1"/>
  <c r="C737" i="1"/>
  <c r="L739" i="1"/>
  <c r="I737" i="1"/>
  <c r="L733" i="1"/>
  <c r="E732" i="1"/>
  <c r="I715" i="1"/>
  <c r="L731" i="1"/>
  <c r="K730" i="1"/>
  <c r="F728" i="1"/>
  <c r="F740" i="1"/>
  <c r="H729" i="1"/>
  <c r="E712" i="1"/>
  <c r="C710" i="1"/>
  <c r="F712" i="1"/>
  <c r="F714" i="1"/>
  <c r="E711" i="1"/>
  <c r="C711" i="1"/>
  <c r="K715" i="1"/>
  <c r="E715" i="1"/>
  <c r="H736" i="1"/>
  <c r="F737" i="1"/>
  <c r="K726" i="1"/>
  <c r="F402" i="1"/>
  <c r="D403" i="1"/>
  <c r="C709" i="1"/>
  <c r="H701" i="1"/>
  <c r="F702" i="1"/>
  <c r="D704" i="1"/>
  <c r="D703" i="1"/>
  <c r="E700" i="1"/>
  <c r="H704" i="1"/>
  <c r="J726" i="1"/>
  <c r="G738" i="1"/>
  <c r="K740" i="1"/>
  <c r="I719" i="1"/>
  <c r="H719" i="1"/>
  <c r="C720" i="1"/>
  <c r="J717" i="1"/>
  <c r="K721" i="1"/>
  <c r="G719" i="1"/>
  <c r="J722" i="1"/>
  <c r="L724" i="1"/>
  <c r="J721" i="1"/>
  <c r="G718" i="1"/>
  <c r="G744" i="1"/>
  <c r="C400" i="1"/>
  <c r="J402" i="1"/>
  <c r="J730" i="1"/>
  <c r="C732" i="1"/>
  <c r="K738" i="1"/>
  <c r="D742" i="1"/>
  <c r="C739" i="1"/>
  <c r="C742" i="1"/>
  <c r="L730" i="1"/>
  <c r="E728" i="1"/>
  <c r="E733" i="1"/>
  <c r="G715" i="1"/>
  <c r="G730" i="1"/>
  <c r="L726" i="1"/>
  <c r="F739" i="1"/>
  <c r="G735" i="1"/>
  <c r="L711" i="1"/>
  <c r="F742" i="1"/>
  <c r="C712" i="1"/>
  <c r="H708" i="1"/>
  <c r="H711" i="1"/>
  <c r="I709" i="1"/>
  <c r="C715" i="1"/>
  <c r="D712" i="1"/>
  <c r="J711" i="1"/>
  <c r="F715" i="1"/>
  <c r="J736" i="1"/>
  <c r="E736" i="1"/>
  <c r="I731" i="1"/>
  <c r="D732" i="1"/>
  <c r="B132" i="32"/>
  <c r="B137" i="28"/>
  <c r="B75" i="5"/>
  <c r="B38" i="32"/>
  <c r="B41" i="32"/>
  <c r="K61" i="30"/>
  <c r="L65" i="30"/>
  <c r="K34" i="30"/>
  <c r="J79" i="30"/>
  <c r="H43" i="8"/>
  <c r="E124" i="4"/>
  <c r="B46" i="39"/>
  <c r="J43" i="38"/>
  <c r="K81" i="30"/>
  <c r="K81" i="34"/>
  <c r="K67" i="30"/>
  <c r="E68" i="30"/>
  <c r="K68" i="30"/>
  <c r="J61" i="30"/>
  <c r="D61" i="30"/>
  <c r="E36" i="30"/>
  <c r="F34" i="30"/>
  <c r="I34" i="30"/>
  <c r="H35" i="30"/>
  <c r="E85" i="30"/>
  <c r="G38" i="30"/>
  <c r="C86" i="30"/>
  <c r="C86" i="34"/>
  <c r="I39" i="30"/>
  <c r="J67" i="30"/>
  <c r="C66" i="30"/>
  <c r="K84" i="30"/>
  <c r="K100" i="4"/>
  <c r="K100" i="40"/>
  <c r="K43" i="8"/>
  <c r="H124" i="4"/>
  <c r="I46" i="39"/>
  <c r="J322" i="1"/>
  <c r="F35" i="6"/>
  <c r="F100" i="29"/>
  <c r="K62" i="30"/>
  <c r="E67" i="30"/>
  <c r="D65" i="30"/>
  <c r="G64" i="30"/>
  <c r="C68" i="30"/>
  <c r="F35" i="30"/>
  <c r="G34" i="30"/>
  <c r="D73" i="30"/>
  <c r="D34" i="30"/>
  <c r="D85" i="30"/>
  <c r="J41" i="30"/>
  <c r="G66" i="30"/>
  <c r="I100" i="40"/>
  <c r="J83" i="30"/>
  <c r="J43" i="8"/>
  <c r="J43" i="39"/>
  <c r="D64" i="30"/>
  <c r="L36" i="30"/>
  <c r="G84" i="30"/>
  <c r="G67" i="30"/>
  <c r="C64" i="30"/>
  <c r="K30" i="6"/>
  <c r="H64" i="30"/>
  <c r="F40" i="30"/>
  <c r="E39" i="30"/>
  <c r="L61" i="30"/>
  <c r="I79" i="30"/>
  <c r="I79" i="34"/>
  <c r="J34" i="6"/>
  <c r="F16" i="7"/>
  <c r="C42" i="38"/>
  <c r="G46" i="39"/>
  <c r="K82" i="30"/>
  <c r="K82" i="34"/>
  <c r="K65" i="30"/>
  <c r="L67" i="30"/>
  <c r="J35" i="30"/>
  <c r="H41" i="30"/>
  <c r="E52" i="30"/>
  <c r="I65" i="30"/>
  <c r="D2" i="28"/>
  <c r="D16" i="7"/>
  <c r="G43" i="8"/>
  <c r="G43" i="39"/>
  <c r="J17" i="7"/>
  <c r="J17" i="37"/>
  <c r="H100" i="29"/>
  <c r="H100" i="40"/>
  <c r="H84" i="30"/>
  <c r="H84" i="34"/>
  <c r="I67" i="30"/>
  <c r="J64" i="30"/>
  <c r="H68" i="30"/>
  <c r="G62" i="30"/>
  <c r="G65" i="30"/>
  <c r="F62" i="30"/>
  <c r="L41" i="30"/>
  <c r="H70" i="6"/>
  <c r="E82" i="30"/>
  <c r="E83" i="30"/>
  <c r="F74" i="30"/>
  <c r="I61" i="30"/>
  <c r="F68" i="30"/>
  <c r="H63" i="30"/>
  <c r="D67" i="30"/>
  <c r="C63" i="30"/>
  <c r="I40" i="30"/>
  <c r="K41" i="30"/>
  <c r="J37" i="30"/>
  <c r="D62" i="30"/>
  <c r="H43" i="38"/>
  <c r="L84" i="30"/>
  <c r="G61" i="30"/>
  <c r="J66" i="30"/>
  <c r="C67" i="30"/>
  <c r="L38" i="30"/>
  <c r="C80" i="30"/>
  <c r="C80" i="34"/>
  <c r="D41" i="30"/>
  <c r="K325" i="1"/>
  <c r="D101" i="29"/>
  <c r="D101" i="40"/>
  <c r="H100" i="4"/>
  <c r="F124" i="4"/>
  <c r="D27" i="30"/>
  <c r="H34" i="6"/>
  <c r="H34" i="34"/>
  <c r="H66" i="30"/>
  <c r="F65" i="30"/>
  <c r="L66" i="30"/>
  <c r="G36" i="30"/>
  <c r="E38" i="30"/>
  <c r="F86" i="30"/>
  <c r="F86" i="34"/>
  <c r="L63" i="30"/>
  <c r="K27" i="6"/>
  <c r="D16" i="35"/>
  <c r="J347" i="1"/>
  <c r="J18" i="7"/>
  <c r="M100" i="29"/>
  <c r="M100" i="40"/>
  <c r="J81" i="30"/>
  <c r="J81" i="34"/>
  <c r="E63" i="30"/>
  <c r="E66" i="30"/>
  <c r="G63" i="30"/>
  <c r="I64" i="30"/>
  <c r="E64" i="30"/>
  <c r="I68" i="30"/>
  <c r="L74" i="6"/>
  <c r="L74" i="34"/>
  <c r="J86" i="30"/>
  <c r="L64" i="30"/>
  <c r="J65" i="30"/>
  <c r="E38" i="6"/>
  <c r="K30" i="30"/>
  <c r="K30" i="34"/>
  <c r="L77" i="30"/>
  <c r="I73" i="30"/>
  <c r="L73" i="30"/>
  <c r="C73" i="30"/>
  <c r="I72" i="30"/>
  <c r="J59" i="30"/>
  <c r="F73" i="30"/>
  <c r="J74" i="30"/>
  <c r="L74" i="30"/>
  <c r="L75" i="30"/>
  <c r="F46" i="39"/>
  <c r="J49" i="34"/>
  <c r="G72" i="30"/>
  <c r="G645" i="1"/>
  <c r="H27" i="6"/>
  <c r="H16" i="35"/>
  <c r="H124" i="29"/>
  <c r="G589" i="1"/>
  <c r="H110" i="4"/>
  <c r="H110" i="40"/>
  <c r="D28" i="34"/>
  <c r="C17" i="35"/>
  <c r="C17" i="7"/>
  <c r="C17" i="37"/>
  <c r="D75" i="30"/>
  <c r="F17" i="7"/>
  <c r="J46" i="39"/>
  <c r="E73" i="30"/>
  <c r="F77" i="30"/>
  <c r="E71" i="30"/>
  <c r="G70" i="6"/>
  <c r="H77" i="30"/>
  <c r="I56" i="30"/>
  <c r="E72" i="30"/>
  <c r="F75" i="30"/>
  <c r="G70" i="30"/>
  <c r="K45" i="30"/>
  <c r="D57" i="6"/>
  <c r="D54" i="6"/>
  <c r="J59" i="6"/>
  <c r="H53" i="6"/>
  <c r="K56" i="6"/>
  <c r="L82" i="6"/>
  <c r="K86" i="6"/>
  <c r="E81" i="6"/>
  <c r="E81" i="34"/>
  <c r="F79" i="6"/>
  <c r="D30" i="6"/>
  <c r="I27" i="6"/>
  <c r="L110" i="4"/>
  <c r="J76" i="30"/>
  <c r="J75" i="30"/>
  <c r="G71" i="30"/>
  <c r="K73" i="30"/>
  <c r="H72" i="30"/>
  <c r="K77" i="30"/>
  <c r="D72" i="30"/>
  <c r="F30" i="30"/>
  <c r="G16" i="7"/>
  <c r="F16" i="35"/>
  <c r="F16" i="37"/>
  <c r="F42" i="38"/>
  <c r="F43" i="8"/>
  <c r="L124" i="4"/>
  <c r="F43" i="38"/>
  <c r="H73" i="30"/>
  <c r="H71" i="30"/>
  <c r="E76" i="30"/>
  <c r="F72" i="30"/>
  <c r="I77" i="30"/>
  <c r="K74" i="6"/>
  <c r="K74" i="34"/>
  <c r="F76" i="30"/>
  <c r="F76" i="34"/>
  <c r="C53" i="6"/>
  <c r="C55" i="6"/>
  <c r="I57" i="6"/>
  <c r="I54" i="6"/>
  <c r="J56" i="6"/>
  <c r="H50" i="30"/>
  <c r="I86" i="6"/>
  <c r="C85" i="6"/>
  <c r="J83" i="6"/>
  <c r="H59" i="6"/>
  <c r="H59" i="34"/>
  <c r="I76" i="30"/>
  <c r="D30" i="30"/>
  <c r="D30" i="34"/>
  <c r="C43" i="8"/>
  <c r="C43" i="39"/>
  <c r="L351" i="1"/>
  <c r="D76" i="30"/>
  <c r="C74" i="30"/>
  <c r="E70" i="30"/>
  <c r="F54" i="30"/>
  <c r="F54" i="34"/>
  <c r="K76" i="30"/>
  <c r="H46" i="39"/>
  <c r="C43" i="30"/>
  <c r="H30" i="30"/>
  <c r="F30" i="6"/>
  <c r="G27" i="6"/>
  <c r="H589" i="1"/>
  <c r="H27" i="30"/>
  <c r="E75" i="30"/>
  <c r="G77" i="30"/>
  <c r="K58" i="30"/>
  <c r="K58" i="34"/>
  <c r="F70" i="30"/>
  <c r="K75" i="30"/>
  <c r="F53" i="30"/>
  <c r="F53" i="34"/>
  <c r="D47" i="30"/>
  <c r="J72" i="30"/>
  <c r="D70" i="30"/>
  <c r="D100" i="40"/>
  <c r="L80" i="34"/>
  <c r="G74" i="30"/>
  <c r="L55" i="30"/>
  <c r="E74" i="30"/>
  <c r="J71" i="30"/>
  <c r="C71" i="30"/>
  <c r="E46" i="39"/>
  <c r="C59" i="6"/>
  <c r="J54" i="6"/>
  <c r="L52" i="6"/>
  <c r="E57" i="6"/>
  <c r="F56" i="6"/>
  <c r="J76" i="6"/>
  <c r="J79" i="6"/>
  <c r="E79" i="6"/>
  <c r="F80" i="6"/>
  <c r="C84" i="6"/>
  <c r="L39" i="6"/>
  <c r="L645" i="1"/>
  <c r="G44" i="38"/>
  <c r="H30" i="6"/>
  <c r="H35" i="6"/>
  <c r="J41" i="6"/>
  <c r="M124" i="4"/>
  <c r="K307" i="1"/>
  <c r="H72" i="6"/>
  <c r="J29" i="34"/>
  <c r="I18" i="7"/>
  <c r="I30" i="30"/>
  <c r="H18" i="7"/>
  <c r="I29" i="34"/>
  <c r="I30" i="6"/>
  <c r="G54" i="30"/>
  <c r="G54" i="34"/>
  <c r="F52" i="30"/>
  <c r="F52" i="34"/>
  <c r="E56" i="30"/>
  <c r="E56" i="34"/>
  <c r="H56" i="30"/>
  <c r="H56" i="34"/>
  <c r="I36" i="6"/>
  <c r="F75" i="6"/>
  <c r="E41" i="6"/>
  <c r="K70" i="6"/>
  <c r="C85" i="30"/>
  <c r="I81" i="30"/>
  <c r="I81" i="34"/>
  <c r="H81" i="30"/>
  <c r="H81" i="34"/>
  <c r="C83" i="30"/>
  <c r="C83" i="34"/>
  <c r="D82" i="30"/>
  <c r="C84" i="30"/>
  <c r="H80" i="30"/>
  <c r="H80" i="34"/>
  <c r="G80" i="30"/>
  <c r="L82" i="30"/>
  <c r="D80" i="30"/>
  <c r="D80" i="34"/>
  <c r="E79" i="30"/>
  <c r="F79" i="30"/>
  <c r="D79" i="30"/>
  <c r="I86" i="30"/>
  <c r="F83" i="30"/>
  <c r="F83" i="34"/>
  <c r="E80" i="30"/>
  <c r="E80" i="34"/>
  <c r="D83" i="30"/>
  <c r="I84" i="30"/>
  <c r="I84" i="34"/>
  <c r="K86" i="30"/>
  <c r="C79" i="30"/>
  <c r="E86" i="30"/>
  <c r="E86" i="34"/>
  <c r="G79" i="30"/>
  <c r="H86" i="30"/>
  <c r="H86" i="34"/>
  <c r="F80" i="30"/>
  <c r="K79" i="30"/>
  <c r="F82" i="30"/>
  <c r="F82" i="34"/>
  <c r="J82" i="30"/>
  <c r="I82" i="30"/>
  <c r="I82" i="34"/>
  <c r="K80" i="30"/>
  <c r="K80" i="34"/>
  <c r="L83" i="30"/>
  <c r="K83" i="30"/>
  <c r="K83" i="34"/>
  <c r="F84" i="30"/>
  <c r="E84" i="30"/>
  <c r="E81" i="30"/>
  <c r="G83" i="30"/>
  <c r="L81" i="30"/>
  <c r="L81" i="34"/>
  <c r="G82" i="30"/>
  <c r="G82" i="34"/>
  <c r="F81" i="30"/>
  <c r="F81" i="34"/>
  <c r="D84" i="30"/>
  <c r="D84" i="34"/>
  <c r="D81" i="30"/>
  <c r="I83" i="30"/>
  <c r="I83" i="34"/>
  <c r="G81" i="30"/>
  <c r="G85" i="30"/>
  <c r="J85" i="30"/>
  <c r="L86" i="30"/>
  <c r="L86" i="34"/>
  <c r="H82" i="30"/>
  <c r="G86" i="30"/>
  <c r="I80" i="30"/>
  <c r="J84" i="30"/>
  <c r="L79" i="30"/>
  <c r="I85" i="30"/>
  <c r="I85" i="34"/>
  <c r="K85" i="30"/>
  <c r="K85" i="34"/>
  <c r="C82" i="30"/>
  <c r="J80" i="30"/>
  <c r="D86" i="30"/>
  <c r="L85" i="30"/>
  <c r="H83" i="30"/>
  <c r="H85" i="30"/>
  <c r="F85" i="30"/>
  <c r="I38" i="30"/>
  <c r="F39" i="30"/>
  <c r="C35" i="30"/>
  <c r="F36" i="30"/>
  <c r="J40" i="30"/>
  <c r="D40" i="30"/>
  <c r="K39" i="30"/>
  <c r="K39" i="34"/>
  <c r="G35" i="30"/>
  <c r="C41" i="30"/>
  <c r="H40" i="30"/>
  <c r="H39" i="30"/>
  <c r="H39" i="34"/>
  <c r="F38" i="30"/>
  <c r="K37" i="30"/>
  <c r="D35" i="30"/>
  <c r="C37" i="30"/>
  <c r="E35" i="30"/>
  <c r="H38" i="30"/>
  <c r="L37" i="30"/>
  <c r="C39" i="30"/>
  <c r="G40" i="30"/>
  <c r="E34" i="30"/>
  <c r="I37" i="30"/>
  <c r="D36" i="30"/>
  <c r="E37" i="30"/>
  <c r="E40" i="30"/>
  <c r="L34" i="30"/>
  <c r="L40" i="30"/>
  <c r="C36" i="30"/>
  <c r="J36" i="30"/>
  <c r="G39" i="30"/>
  <c r="H37" i="30"/>
  <c r="I35" i="30"/>
  <c r="D38" i="30"/>
  <c r="D38" i="34"/>
  <c r="K35" i="30"/>
  <c r="F37" i="30"/>
  <c r="F37" i="34"/>
  <c r="G37" i="30"/>
  <c r="K38" i="30"/>
  <c r="L35" i="30"/>
  <c r="G41" i="30"/>
  <c r="C40" i="30"/>
  <c r="E41" i="30"/>
  <c r="J38" i="30"/>
  <c r="I36" i="30"/>
  <c r="K36" i="30"/>
  <c r="I34" i="6"/>
  <c r="K38" i="6"/>
  <c r="J38" i="6"/>
  <c r="K40" i="6"/>
  <c r="D40" i="6"/>
  <c r="C38" i="6"/>
  <c r="C36" i="6"/>
  <c r="G41" i="6"/>
  <c r="D36" i="6"/>
  <c r="D38" i="6"/>
  <c r="E34" i="6"/>
  <c r="C35" i="6"/>
  <c r="K35" i="6"/>
  <c r="K41" i="6"/>
  <c r="C41" i="6"/>
  <c r="C39" i="6"/>
  <c r="H40" i="6"/>
  <c r="I40" i="6"/>
  <c r="K34" i="6"/>
  <c r="G35" i="6"/>
  <c r="C40" i="6"/>
  <c r="L35" i="6"/>
  <c r="H38" i="6"/>
  <c r="I37" i="6"/>
  <c r="L34" i="6"/>
  <c r="G37" i="6"/>
  <c r="D37" i="6"/>
  <c r="J35" i="6"/>
  <c r="I38" i="6"/>
  <c r="K37" i="6"/>
  <c r="E37" i="6"/>
  <c r="H36" i="6"/>
  <c r="D34" i="6"/>
  <c r="G40" i="6"/>
  <c r="E35" i="6"/>
  <c r="L41" i="6"/>
  <c r="E39" i="6"/>
  <c r="E39" i="34"/>
  <c r="L37" i="6"/>
  <c r="F34" i="6"/>
  <c r="I41" i="6"/>
  <c r="H37" i="6"/>
  <c r="C37" i="6"/>
  <c r="G38" i="6"/>
  <c r="I39" i="6"/>
  <c r="J40" i="6"/>
  <c r="J37" i="6"/>
  <c r="F38" i="6"/>
  <c r="E36" i="6"/>
  <c r="E36" i="34"/>
  <c r="E40" i="6"/>
  <c r="L40" i="6"/>
  <c r="L36" i="6"/>
  <c r="D41" i="6"/>
  <c r="D41" i="34"/>
  <c r="G36" i="6"/>
  <c r="G36" i="34"/>
  <c r="F41" i="6"/>
  <c r="F41" i="34"/>
  <c r="H52" i="30"/>
  <c r="H52" i="34"/>
  <c r="L38" i="6"/>
  <c r="K16" i="35"/>
  <c r="L29" i="34"/>
  <c r="K18" i="7"/>
  <c r="K44" i="8"/>
  <c r="G52" i="30"/>
  <c r="G52" i="34"/>
  <c r="F39" i="6"/>
  <c r="L30" i="6"/>
  <c r="L27" i="6"/>
  <c r="J71" i="6"/>
  <c r="L55" i="34"/>
  <c r="I43" i="38"/>
  <c r="I43" i="8"/>
  <c r="I43" i="39"/>
  <c r="J30" i="6"/>
  <c r="J30" i="30"/>
  <c r="E53" i="30"/>
  <c r="E53" i="34"/>
  <c r="I67" i="6"/>
  <c r="I56" i="34"/>
  <c r="C76" i="6"/>
  <c r="C76" i="34"/>
  <c r="F40" i="6"/>
  <c r="K75" i="6"/>
  <c r="F55" i="30"/>
  <c r="F55" i="34"/>
  <c r="L54" i="30"/>
  <c r="L54" i="34"/>
  <c r="K53" i="30"/>
  <c r="K53" i="34"/>
  <c r="K56" i="30"/>
  <c r="L56" i="30"/>
  <c r="L56" i="34"/>
  <c r="E59" i="30"/>
  <c r="E59" i="34"/>
  <c r="I57" i="30"/>
  <c r="I57" i="34"/>
  <c r="F56" i="30"/>
  <c r="C59" i="30"/>
  <c r="J58" i="30"/>
  <c r="J58" i="34"/>
  <c r="J56" i="30"/>
  <c r="I55" i="30"/>
  <c r="I55" i="34"/>
  <c r="C58" i="30"/>
  <c r="C58" i="34"/>
  <c r="I59" i="30"/>
  <c r="I59" i="34"/>
  <c r="F58" i="30"/>
  <c r="F58" i="34"/>
  <c r="K55" i="30"/>
  <c r="K55" i="34"/>
  <c r="G59" i="30"/>
  <c r="G59" i="34"/>
  <c r="D55" i="30"/>
  <c r="D55" i="34"/>
  <c r="H55" i="30"/>
  <c r="H55" i="34"/>
  <c r="F59" i="30"/>
  <c r="F59" i="34"/>
  <c r="I53" i="30"/>
  <c r="I53" i="34"/>
  <c r="G58" i="30"/>
  <c r="G58" i="34"/>
  <c r="F57" i="30"/>
  <c r="F57" i="34"/>
  <c r="J53" i="30"/>
  <c r="J53" i="34"/>
  <c r="G53" i="30"/>
  <c r="G53" i="34"/>
  <c r="H57" i="30"/>
  <c r="D59" i="30"/>
  <c r="D59" i="34"/>
  <c r="C52" i="30"/>
  <c r="C52" i="34"/>
  <c r="D56" i="30"/>
  <c r="D56" i="34"/>
  <c r="L59" i="30"/>
  <c r="L59" i="34"/>
  <c r="E54" i="30"/>
  <c r="E54" i="34"/>
  <c r="E57" i="30"/>
  <c r="L58" i="30"/>
  <c r="L58" i="34"/>
  <c r="C53" i="30"/>
  <c r="I54" i="30"/>
  <c r="C57" i="30"/>
  <c r="C57" i="34"/>
  <c r="J57" i="30"/>
  <c r="J57" i="34"/>
  <c r="H54" i="30"/>
  <c r="H54" i="34"/>
  <c r="K54" i="30"/>
  <c r="K54" i="34"/>
  <c r="I52" i="30"/>
  <c r="I52" i="34"/>
  <c r="E58" i="30"/>
  <c r="E58" i="34"/>
  <c r="K52" i="30"/>
  <c r="K52" i="34"/>
  <c r="C55" i="30"/>
  <c r="C55" i="34"/>
  <c r="G56" i="30"/>
  <c r="G56" i="34"/>
  <c r="J52" i="30"/>
  <c r="J52" i="34"/>
  <c r="D52" i="30"/>
  <c r="D52" i="34"/>
  <c r="E55" i="30"/>
  <c r="E55" i="34"/>
  <c r="K57" i="30"/>
  <c r="K57" i="34"/>
  <c r="D58" i="30"/>
  <c r="D58" i="34"/>
  <c r="C54" i="30"/>
  <c r="C54" i="34"/>
  <c r="C56" i="30"/>
  <c r="C56" i="34"/>
  <c r="H53" i="30"/>
  <c r="J55" i="30"/>
  <c r="J55" i="34"/>
  <c r="J54" i="30"/>
  <c r="G57" i="30"/>
  <c r="G57" i="34"/>
  <c r="H58" i="30"/>
  <c r="H58" i="34"/>
  <c r="K324" i="1"/>
  <c r="K345" i="1"/>
  <c r="K347" i="1"/>
  <c r="K305" i="1"/>
  <c r="K344" i="1"/>
  <c r="K302" i="1"/>
  <c r="K322" i="1"/>
  <c r="K346" i="1"/>
  <c r="M110" i="29"/>
  <c r="G39" i="6"/>
  <c r="L53" i="30"/>
  <c r="L53" i="34"/>
  <c r="G55" i="30"/>
  <c r="G55" i="34"/>
  <c r="J39" i="6"/>
  <c r="J39" i="34"/>
  <c r="K327" i="1"/>
  <c r="I17" i="37"/>
  <c r="L72" i="6"/>
  <c r="D75" i="6"/>
  <c r="D75" i="34"/>
  <c r="I58" i="30"/>
  <c r="I58" i="34"/>
  <c r="K59" i="30"/>
  <c r="K59" i="34"/>
  <c r="L52" i="30"/>
  <c r="L52" i="34"/>
  <c r="D72" i="6"/>
  <c r="D72" i="34"/>
  <c r="G68" i="6"/>
  <c r="D57" i="30"/>
  <c r="F110" i="29"/>
  <c r="F110" i="40"/>
  <c r="D42" i="38"/>
  <c r="F124" i="29"/>
  <c r="F110" i="4"/>
  <c r="F100" i="4"/>
  <c r="J307" i="1"/>
  <c r="J344" i="1"/>
  <c r="J323" i="1"/>
  <c r="J350" i="1"/>
  <c r="G77" i="6"/>
  <c r="I35" i="6"/>
  <c r="K36" i="6"/>
  <c r="E84" i="34"/>
  <c r="M124" i="29"/>
  <c r="L589" i="1"/>
  <c r="K42" i="8"/>
  <c r="G34" i="6"/>
  <c r="D74" i="6"/>
  <c r="E70" i="6"/>
  <c r="D77" i="6"/>
  <c r="L73" i="6"/>
  <c r="E72" i="6"/>
  <c r="C70" i="6"/>
  <c r="D73" i="6"/>
  <c r="D73" i="34"/>
  <c r="I75" i="6"/>
  <c r="I76" i="6"/>
  <c r="J75" i="6"/>
  <c r="K73" i="6"/>
  <c r="L71" i="6"/>
  <c r="H75" i="6"/>
  <c r="F72" i="6"/>
  <c r="E73" i="6"/>
  <c r="L77" i="6"/>
  <c r="L77" i="34"/>
  <c r="H71" i="6"/>
  <c r="G74" i="6"/>
  <c r="G74" i="34"/>
  <c r="G71" i="6"/>
  <c r="I72" i="6"/>
  <c r="K71" i="6"/>
  <c r="F73" i="6"/>
  <c r="I70" i="6"/>
  <c r="G75" i="6"/>
  <c r="G72" i="6"/>
  <c r="G76" i="6"/>
  <c r="E75" i="6"/>
  <c r="H73" i="6"/>
  <c r="G73" i="6"/>
  <c r="K77" i="6"/>
  <c r="C74" i="6"/>
  <c r="C74" i="34"/>
  <c r="L75" i="6"/>
  <c r="K72" i="6"/>
  <c r="J72" i="6"/>
  <c r="J74" i="6"/>
  <c r="E76" i="6"/>
  <c r="E77" i="6"/>
  <c r="F74" i="6"/>
  <c r="D70" i="6"/>
  <c r="J77" i="6"/>
  <c r="K76" i="6"/>
  <c r="C77" i="6"/>
  <c r="F70" i="6"/>
  <c r="K16" i="7"/>
  <c r="K42" i="38"/>
  <c r="D35" i="6"/>
  <c r="E71" i="6"/>
  <c r="D53" i="30"/>
  <c r="D53" i="34"/>
  <c r="L57" i="30"/>
  <c r="L57" i="34"/>
  <c r="G38" i="34"/>
  <c r="C16" i="35"/>
  <c r="D27" i="6"/>
  <c r="C16" i="7"/>
  <c r="E100" i="4"/>
  <c r="E100" i="29"/>
  <c r="E110" i="29"/>
  <c r="E124" i="29"/>
  <c r="D645" i="1"/>
  <c r="H41" i="6"/>
  <c r="D54" i="30"/>
  <c r="D54" i="34"/>
  <c r="J100" i="29"/>
  <c r="J100" i="40"/>
  <c r="J110" i="29"/>
  <c r="H42" i="8"/>
  <c r="J110" i="4"/>
  <c r="J124" i="4"/>
  <c r="J124" i="29"/>
  <c r="H16" i="7"/>
  <c r="H16" i="37"/>
  <c r="I645" i="1"/>
  <c r="H42" i="38"/>
  <c r="H74" i="6"/>
  <c r="I71" i="6"/>
  <c r="J36" i="6"/>
  <c r="F36" i="6"/>
  <c r="L76" i="6"/>
  <c r="C34" i="6"/>
  <c r="K43" i="39"/>
  <c r="G42" i="8"/>
  <c r="G42" i="39"/>
  <c r="I110" i="29"/>
  <c r="E43" i="39"/>
  <c r="L347" i="1"/>
  <c r="B16" i="37"/>
  <c r="H29" i="34"/>
  <c r="G73" i="30"/>
  <c r="L70" i="30"/>
  <c r="I75" i="30"/>
  <c r="F71" i="30"/>
  <c r="K70" i="30"/>
  <c r="C70" i="30"/>
  <c r="C72" i="30"/>
  <c r="E77" i="30"/>
  <c r="D74" i="30"/>
  <c r="C77" i="30"/>
  <c r="J77" i="30"/>
  <c r="C75" i="30"/>
  <c r="J73" i="30"/>
  <c r="J73" i="34"/>
  <c r="D77" i="30"/>
  <c r="G76" i="30"/>
  <c r="I71" i="30"/>
  <c r="H76" i="30"/>
  <c r="J70" i="30"/>
  <c r="L72" i="30"/>
  <c r="I70" i="30"/>
  <c r="H75" i="30"/>
  <c r="H74" i="30"/>
  <c r="K72" i="30"/>
  <c r="H70" i="30"/>
  <c r="K71" i="30"/>
  <c r="G75" i="30"/>
  <c r="L76" i="30"/>
  <c r="F28" i="34"/>
  <c r="G85" i="34"/>
  <c r="E52" i="34"/>
  <c r="K29" i="34"/>
  <c r="C46" i="39"/>
  <c r="G100" i="29"/>
  <c r="F589" i="1"/>
  <c r="F27" i="6"/>
  <c r="G124" i="4"/>
  <c r="E42" i="38"/>
  <c r="G110" i="4"/>
  <c r="G110" i="29"/>
  <c r="G100" i="4"/>
  <c r="G100" i="40"/>
  <c r="F645" i="1"/>
  <c r="G124" i="29"/>
  <c r="E16" i="7"/>
  <c r="C590" i="1" a="1"/>
  <c r="E16" i="35"/>
  <c r="I322" i="1"/>
  <c r="I305" i="1"/>
  <c r="I304" i="1"/>
  <c r="I350" i="1"/>
  <c r="I349" i="1"/>
  <c r="I328" i="1"/>
  <c r="I302" i="1"/>
  <c r="I344" i="1"/>
  <c r="I323" i="1"/>
  <c r="I306" i="1"/>
  <c r="I348" i="1"/>
  <c r="I345" i="1"/>
  <c r="I303" i="1"/>
  <c r="I347" i="1"/>
  <c r="I324" i="1"/>
  <c r="I329" i="1"/>
  <c r="I307" i="1"/>
  <c r="I325" i="1"/>
  <c r="E67" i="6"/>
  <c r="I61" i="6"/>
  <c r="K67" i="6"/>
  <c r="C61" i="6"/>
  <c r="I65" i="6"/>
  <c r="I65" i="34"/>
  <c r="J61" i="6"/>
  <c r="F62" i="6"/>
  <c r="G62" i="6"/>
  <c r="D63" i="6"/>
  <c r="C63" i="6"/>
  <c r="K68" i="6"/>
  <c r="K68" i="34"/>
  <c r="I66" i="6"/>
  <c r="E66" i="6"/>
  <c r="H68" i="6"/>
  <c r="K65" i="6"/>
  <c r="K65" i="34"/>
  <c r="K63" i="6"/>
  <c r="K63" i="34"/>
  <c r="J64" i="6"/>
  <c r="J65" i="6"/>
  <c r="J65" i="34"/>
  <c r="C62" i="6"/>
  <c r="L66" i="6"/>
  <c r="L66" i="34"/>
  <c r="D68" i="6"/>
  <c r="D68" i="34"/>
  <c r="H64" i="6"/>
  <c r="D65" i="6"/>
  <c r="L65" i="6"/>
  <c r="G66" i="6"/>
  <c r="G66" i="34"/>
  <c r="H63" i="6"/>
  <c r="H63" i="34"/>
  <c r="E61" i="6"/>
  <c r="E61" i="34"/>
  <c r="D67" i="6"/>
  <c r="E63" i="6"/>
  <c r="E63" i="34"/>
  <c r="E68" i="6"/>
  <c r="C66" i="6"/>
  <c r="C66" i="34"/>
  <c r="F65" i="6"/>
  <c r="F65" i="34"/>
  <c r="D62" i="6"/>
  <c r="J67" i="6"/>
  <c r="J67" i="34"/>
  <c r="F63" i="6"/>
  <c r="F63" i="34"/>
  <c r="L64" i="6"/>
  <c r="L64" i="34"/>
  <c r="K61" i="6"/>
  <c r="K61" i="34"/>
  <c r="L61" i="6"/>
  <c r="L61" i="34"/>
  <c r="F61" i="6"/>
  <c r="F61" i="34"/>
  <c r="C67" i="6"/>
  <c r="G63" i="6"/>
  <c r="H65" i="6"/>
  <c r="H65" i="34"/>
  <c r="E64" i="6"/>
  <c r="F66" i="6"/>
  <c r="J66" i="6"/>
  <c r="J66" i="34"/>
  <c r="I62" i="6"/>
  <c r="C68" i="6"/>
  <c r="D64" i="6"/>
  <c r="K66" i="6"/>
  <c r="G64" i="6"/>
  <c r="G64" i="34"/>
  <c r="J68" i="6"/>
  <c r="L67" i="6"/>
  <c r="L67" i="34"/>
  <c r="J62" i="6"/>
  <c r="H66" i="6"/>
  <c r="C65" i="6"/>
  <c r="K64" i="6"/>
  <c r="K64" i="34"/>
  <c r="K62" i="6"/>
  <c r="D61" i="6"/>
  <c r="L63" i="6"/>
  <c r="C64" i="6"/>
  <c r="C64" i="34"/>
  <c r="G61" i="6"/>
  <c r="I68" i="6"/>
  <c r="J63" i="6"/>
  <c r="L62" i="6"/>
  <c r="E65" i="6"/>
  <c r="E65" i="34"/>
  <c r="H61" i="6"/>
  <c r="I63" i="6"/>
  <c r="G67" i="6"/>
  <c r="G67" i="34"/>
  <c r="F67" i="6"/>
  <c r="H67" i="6"/>
  <c r="F68" i="6"/>
  <c r="G65" i="6"/>
  <c r="G65" i="34"/>
  <c r="E62" i="6"/>
  <c r="H62" i="6"/>
  <c r="I64" i="6"/>
  <c r="I64" i="34"/>
  <c r="L68" i="6"/>
  <c r="L68" i="34"/>
  <c r="D66" i="6"/>
  <c r="C28" i="34"/>
  <c r="B43" i="8"/>
  <c r="B17" i="35"/>
  <c r="C30" i="6"/>
  <c r="C30" i="30"/>
  <c r="B43" i="38"/>
  <c r="B17" i="7"/>
  <c r="L325" i="1"/>
  <c r="L348" i="1"/>
  <c r="L327" i="1"/>
  <c r="L304" i="1"/>
  <c r="L323" i="1"/>
  <c r="L302" i="1"/>
  <c r="L346" i="1"/>
  <c r="L328" i="1"/>
  <c r="L349" i="1"/>
  <c r="L324" i="1"/>
  <c r="L344" i="1"/>
  <c r="L350" i="1"/>
  <c r="L329" i="1"/>
  <c r="L307" i="1"/>
  <c r="L306" i="1"/>
  <c r="L345" i="1"/>
  <c r="L322" i="1"/>
  <c r="L303" i="1"/>
  <c r="L305" i="1"/>
  <c r="L124" i="29"/>
  <c r="J16" i="35"/>
  <c r="J16" i="7"/>
  <c r="J42" i="38"/>
  <c r="L110" i="29"/>
  <c r="L100" i="29"/>
  <c r="L100" i="4"/>
  <c r="K645" i="1"/>
  <c r="E30" i="6"/>
  <c r="D17" i="7"/>
  <c r="D17" i="35"/>
  <c r="D43" i="38"/>
  <c r="E28" i="34"/>
  <c r="D43" i="8"/>
  <c r="E30" i="30"/>
  <c r="I16" i="37"/>
  <c r="F17" i="37"/>
  <c r="E50" i="34"/>
  <c r="L71" i="34"/>
  <c r="K44" i="30"/>
  <c r="D45" i="30"/>
  <c r="F49" i="30"/>
  <c r="L47" i="30"/>
  <c r="J44" i="30"/>
  <c r="K49" i="30"/>
  <c r="L48" i="30"/>
  <c r="L43" i="30"/>
  <c r="J50" i="30"/>
  <c r="J50" i="34"/>
  <c r="G50" i="30"/>
  <c r="J43" i="30"/>
  <c r="D50" i="30"/>
  <c r="D50" i="34"/>
  <c r="H45" i="30"/>
  <c r="H45" i="34"/>
  <c r="J46" i="30"/>
  <c r="H46" i="30"/>
  <c r="C49" i="30"/>
  <c r="E44" i="30"/>
  <c r="E44" i="34"/>
  <c r="E48" i="30"/>
  <c r="K46" i="30"/>
  <c r="K46" i="34"/>
  <c r="C45" i="30"/>
  <c r="I48" i="30"/>
  <c r="F44" i="30"/>
  <c r="F44" i="34"/>
  <c r="J48" i="30"/>
  <c r="F43" i="30"/>
  <c r="I50" i="30"/>
  <c r="F48" i="30"/>
  <c r="C44" i="30"/>
  <c r="C44" i="34"/>
  <c r="K43" i="30"/>
  <c r="K43" i="34"/>
  <c r="I43" i="30"/>
  <c r="L46" i="30"/>
  <c r="L44" i="30"/>
  <c r="D49" i="30"/>
  <c r="C50" i="30"/>
  <c r="F47" i="30"/>
  <c r="K48" i="30"/>
  <c r="K48" i="34"/>
  <c r="G45" i="30"/>
  <c r="I46" i="30"/>
  <c r="I46" i="34"/>
  <c r="J45" i="30"/>
  <c r="D46" i="30"/>
  <c r="H43" i="30"/>
  <c r="G46" i="30"/>
  <c r="E45" i="30"/>
  <c r="G43" i="30"/>
  <c r="E47" i="30"/>
  <c r="E47" i="34"/>
  <c r="I47" i="30"/>
  <c r="C48" i="30"/>
  <c r="C47" i="30"/>
  <c r="H49" i="30"/>
  <c r="J47" i="30"/>
  <c r="E49" i="30"/>
  <c r="L45" i="30"/>
  <c r="D43" i="30"/>
  <c r="K50" i="30"/>
  <c r="G47" i="30"/>
  <c r="F50" i="30"/>
  <c r="H44" i="30"/>
  <c r="H44" i="34"/>
  <c r="H47" i="30"/>
  <c r="D44" i="30"/>
  <c r="D44" i="34"/>
  <c r="I44" i="30"/>
  <c r="I44" i="34"/>
  <c r="C46" i="30"/>
  <c r="L49" i="30"/>
  <c r="E43" i="30"/>
  <c r="D48" i="30"/>
  <c r="E46" i="30"/>
  <c r="J327" i="1"/>
  <c r="J304" i="1"/>
  <c r="J305" i="1"/>
  <c r="J302" i="1"/>
  <c r="J349" i="1"/>
  <c r="J328" i="1"/>
  <c r="J348" i="1"/>
  <c r="J346" i="1"/>
  <c r="J351" i="1"/>
  <c r="J306" i="1"/>
  <c r="J303" i="1"/>
  <c r="J345" i="1"/>
  <c r="F43" i="6"/>
  <c r="F43" i="34"/>
  <c r="D48" i="6"/>
  <c r="F47" i="6"/>
  <c r="E48" i="6"/>
  <c r="H48" i="6"/>
  <c r="H48" i="34"/>
  <c r="G44" i="6"/>
  <c r="G44" i="34"/>
  <c r="K47" i="6"/>
  <c r="F45" i="6"/>
  <c r="F45" i="34"/>
  <c r="D46" i="6"/>
  <c r="I47" i="6"/>
  <c r="F48" i="6"/>
  <c r="D45" i="6"/>
  <c r="J45" i="6"/>
  <c r="F46" i="6"/>
  <c r="F46" i="34"/>
  <c r="J46" i="6"/>
  <c r="C50" i="6"/>
  <c r="I50" i="6"/>
  <c r="C48" i="6"/>
  <c r="I43" i="6"/>
  <c r="E49" i="6"/>
  <c r="L46" i="6"/>
  <c r="L46" i="34"/>
  <c r="F50" i="6"/>
  <c r="H50" i="6"/>
  <c r="H43" i="6"/>
  <c r="G47" i="6"/>
  <c r="G48" i="6"/>
  <c r="C47" i="6"/>
  <c r="J43" i="6"/>
  <c r="J48" i="6"/>
  <c r="D47" i="6"/>
  <c r="D47" i="34"/>
  <c r="K44" i="6"/>
  <c r="I45" i="6"/>
  <c r="I45" i="34"/>
  <c r="K49" i="6"/>
  <c r="I48" i="6"/>
  <c r="L47" i="6"/>
  <c r="D49" i="6"/>
  <c r="L48" i="6"/>
  <c r="J44" i="6"/>
  <c r="C45" i="6"/>
  <c r="K50" i="6"/>
  <c r="J47" i="6"/>
  <c r="F49" i="6"/>
  <c r="K45" i="6"/>
  <c r="E45" i="6"/>
  <c r="G49" i="6"/>
  <c r="E46" i="6"/>
  <c r="G46" i="6"/>
  <c r="L50" i="6"/>
  <c r="C43" i="6"/>
  <c r="G50" i="6"/>
  <c r="L45" i="6"/>
  <c r="C49" i="6"/>
  <c r="E43" i="6"/>
  <c r="E43" i="34"/>
  <c r="C46" i="6"/>
  <c r="I49" i="6"/>
  <c r="G43" i="6"/>
  <c r="D43" i="6"/>
  <c r="D46" i="39"/>
  <c r="L50" i="30"/>
  <c r="K47" i="30"/>
  <c r="L84" i="34"/>
  <c r="L49" i="6"/>
  <c r="I49" i="30"/>
  <c r="G49" i="30"/>
  <c r="G48" i="30"/>
  <c r="H47" i="6"/>
  <c r="C65" i="30"/>
  <c r="H61" i="30"/>
  <c r="I62" i="30"/>
  <c r="J62" i="30"/>
  <c r="G68" i="30"/>
  <c r="G68" i="34"/>
  <c r="I63" i="30"/>
  <c r="E62" i="30"/>
  <c r="F66" i="30"/>
  <c r="J68" i="30"/>
  <c r="L62" i="30"/>
  <c r="J63" i="30"/>
  <c r="D63" i="30"/>
  <c r="F64" i="30"/>
  <c r="F64" i="34"/>
  <c r="F67" i="30"/>
  <c r="I66" i="30"/>
  <c r="K66" i="30"/>
  <c r="C61" i="30"/>
  <c r="H62" i="30"/>
  <c r="D66" i="30"/>
  <c r="C62" i="30"/>
  <c r="H67" i="30"/>
  <c r="J84" i="34"/>
  <c r="H57" i="34"/>
  <c r="L40" i="34"/>
  <c r="L79" i="34"/>
  <c r="K349" i="1"/>
  <c r="K323" i="1"/>
  <c r="K351" i="1"/>
  <c r="K303" i="1"/>
  <c r="K329" i="1"/>
  <c r="K348" i="1"/>
  <c r="K350" i="1"/>
  <c r="C34" i="30"/>
  <c r="L39" i="30"/>
  <c r="D37" i="30"/>
  <c r="D37" i="34"/>
  <c r="C38" i="30"/>
  <c r="J34" i="30"/>
  <c r="J34" i="34"/>
  <c r="D39" i="30"/>
  <c r="C71" i="6"/>
  <c r="H76" i="6"/>
  <c r="D71" i="6"/>
  <c r="D71" i="34"/>
  <c r="J70" i="6"/>
  <c r="I74" i="6"/>
  <c r="I74" i="34"/>
  <c r="D76" i="6"/>
  <c r="F71" i="6"/>
  <c r="C73" i="6"/>
  <c r="I73" i="6"/>
  <c r="I73" i="34"/>
  <c r="C72" i="6"/>
  <c r="I77" i="6"/>
  <c r="L70" i="6"/>
  <c r="H77" i="6"/>
  <c r="F77" i="6"/>
  <c r="E74" i="6"/>
  <c r="C75" i="6"/>
  <c r="K306" i="1"/>
  <c r="I41" i="30"/>
  <c r="H36" i="30"/>
  <c r="D86" i="6"/>
  <c r="I80" i="6"/>
  <c r="D82" i="6"/>
  <c r="H82" i="6"/>
  <c r="G80" i="6"/>
  <c r="K79" i="6"/>
  <c r="D85" i="6"/>
  <c r="D85" i="34"/>
  <c r="J82" i="6"/>
  <c r="F85" i="6"/>
  <c r="D83" i="6"/>
  <c r="C81" i="6"/>
  <c r="C81" i="34"/>
  <c r="G86" i="6"/>
  <c r="K84" i="6"/>
  <c r="K84" i="34"/>
  <c r="F84" i="6"/>
  <c r="L83" i="6"/>
  <c r="G83" i="6"/>
  <c r="G81" i="6"/>
  <c r="G81" i="34"/>
  <c r="L85" i="6"/>
  <c r="H85" i="6"/>
  <c r="H85" i="34"/>
  <c r="G84" i="6"/>
  <c r="G84" i="34"/>
  <c r="E83" i="6"/>
  <c r="E83" i="34"/>
  <c r="J80" i="6"/>
  <c r="D81" i="6"/>
  <c r="G79" i="6"/>
  <c r="E85" i="6"/>
  <c r="J85" i="6"/>
  <c r="H83" i="6"/>
  <c r="D79" i="6"/>
  <c r="J86" i="6"/>
  <c r="J86" i="34"/>
  <c r="K328" i="1"/>
  <c r="K40" i="30"/>
  <c r="G28" i="34"/>
  <c r="H79" i="6"/>
  <c r="H79" i="34"/>
  <c r="C82" i="6"/>
  <c r="C79" i="6"/>
  <c r="E82" i="6"/>
  <c r="E82" i="34"/>
  <c r="D76" i="34"/>
  <c r="G63" i="34"/>
  <c r="E67" i="34"/>
  <c r="C70" i="34"/>
  <c r="I54" i="34"/>
  <c r="C15" i="58" a="1"/>
  <c r="L49" i="34"/>
  <c r="J44" i="34"/>
  <c r="D67" i="34"/>
  <c r="E76" i="34"/>
  <c r="L75" i="34"/>
  <c r="C85" i="34"/>
  <c r="J44" i="8"/>
  <c r="E40" i="34"/>
  <c r="J59" i="34"/>
  <c r="B195" i="38"/>
  <c r="K50" i="34"/>
  <c r="D61" i="34"/>
  <c r="E124" i="40"/>
  <c r="I39" i="34"/>
  <c r="L41" i="34"/>
  <c r="J35" i="34"/>
  <c r="H43" i="39"/>
  <c r="E18" i="35"/>
  <c r="H18" i="35"/>
  <c r="H18" i="37"/>
  <c r="D18" i="35"/>
  <c r="C18" i="35"/>
  <c r="F18" i="35"/>
  <c r="B18" i="35"/>
  <c r="K27" i="30"/>
  <c r="K27" i="34"/>
  <c r="D64" i="34"/>
  <c r="C67" i="34"/>
  <c r="L65" i="34"/>
  <c r="J75" i="34"/>
  <c r="F124" i="40"/>
  <c r="G18" i="35"/>
  <c r="G18" i="37"/>
  <c r="E79" i="34"/>
  <c r="I27" i="30"/>
  <c r="E44" i="8"/>
  <c r="J399" i="1"/>
  <c r="C767" i="1" a="1"/>
  <c r="C749" i="1" a="1"/>
  <c r="C776" i="1" a="1"/>
  <c r="C794" i="1" a="1"/>
  <c r="C758" i="1" a="1"/>
  <c r="C785" i="1" a="1"/>
  <c r="C420" i="1" a="1"/>
  <c r="H398" i="1"/>
  <c r="J589" i="1"/>
  <c r="C589" i="1"/>
  <c r="C44" i="38"/>
  <c r="B44" i="38"/>
  <c r="D44" i="38"/>
  <c r="F44" i="38"/>
  <c r="C72" i="34"/>
  <c r="J46" i="34"/>
  <c r="G45" i="34"/>
  <c r="F68" i="34"/>
  <c r="F62" i="34"/>
  <c r="I327" i="1"/>
  <c r="I351" i="1"/>
  <c r="I346" i="1"/>
  <c r="E77" i="34"/>
  <c r="I110" i="40"/>
  <c r="K16" i="37"/>
  <c r="K76" i="34"/>
  <c r="K72" i="34"/>
  <c r="G72" i="34"/>
  <c r="I76" i="34"/>
  <c r="J324" i="1"/>
  <c r="E589" i="1"/>
  <c r="K304" i="1"/>
  <c r="F40" i="34"/>
  <c r="K18" i="35"/>
  <c r="K18" i="37"/>
  <c r="F38" i="34"/>
  <c r="F34" i="34"/>
  <c r="C84" i="34"/>
  <c r="H44" i="38"/>
  <c r="J79" i="34"/>
  <c r="I589" i="1"/>
  <c r="D16" i="37"/>
  <c r="E399" i="1"/>
  <c r="L398" i="1"/>
  <c r="H399" i="1"/>
  <c r="D124" i="4"/>
  <c r="I124" i="4"/>
  <c r="I124" i="40"/>
  <c r="L400" i="1"/>
  <c r="B45" i="38" a="1"/>
  <c r="G45" i="38"/>
  <c r="B19" i="7" a="1"/>
  <c r="C19" i="7"/>
  <c r="B45" i="8" a="1"/>
  <c r="F45" i="8"/>
  <c r="B19" i="35" a="1"/>
  <c r="I19" i="35"/>
  <c r="F79" i="34"/>
  <c r="I18" i="35"/>
  <c r="I18" i="37"/>
  <c r="J43" i="34"/>
  <c r="L27" i="34"/>
  <c r="B165" i="8"/>
  <c r="B160" i="39"/>
  <c r="E27" i="30"/>
  <c r="E27" i="34"/>
  <c r="C127" i="4"/>
  <c r="C127" i="40"/>
  <c r="C127" i="29"/>
  <c r="C18" i="7"/>
  <c r="E18" i="7"/>
  <c r="D18" i="7"/>
  <c r="D18" i="37"/>
  <c r="B18" i="7"/>
  <c r="F18" i="7"/>
  <c r="F18" i="37"/>
  <c r="F77" i="34"/>
  <c r="K45" i="34"/>
  <c r="F48" i="34"/>
  <c r="F47" i="34"/>
  <c r="H49" i="34"/>
  <c r="L43" i="34"/>
  <c r="L63" i="34"/>
  <c r="E64" i="34"/>
  <c r="K67" i="34"/>
  <c r="J18" i="35"/>
  <c r="J18" i="37"/>
  <c r="E71" i="34"/>
  <c r="L27" i="30"/>
  <c r="L36" i="34"/>
  <c r="E35" i="34"/>
  <c r="K34" i="34"/>
  <c r="J41" i="34"/>
  <c r="E45" i="38"/>
  <c r="K44" i="38"/>
  <c r="K44" i="39"/>
  <c r="H124" i="40"/>
  <c r="E38" i="34"/>
  <c r="J325" i="1"/>
  <c r="F35" i="34"/>
  <c r="C404" i="1"/>
  <c r="E44" i="38"/>
  <c r="H44" i="8"/>
  <c r="B195" i="39"/>
  <c r="I42" i="8"/>
  <c r="I42" i="39"/>
  <c r="B42" i="8"/>
  <c r="B42" i="39"/>
  <c r="D42" i="8"/>
  <c r="D42" i="39"/>
  <c r="J42" i="8"/>
  <c r="J42" i="39"/>
  <c r="F66" i="34"/>
  <c r="I67" i="34"/>
  <c r="I404" i="1"/>
  <c r="D398" i="1"/>
  <c r="D402" i="1"/>
  <c r="H403" i="1"/>
  <c r="C398" i="1"/>
  <c r="E404" i="1"/>
  <c r="I400" i="1"/>
  <c r="H405" i="1"/>
  <c r="K401" i="1"/>
  <c r="E85" i="34"/>
  <c r="F85" i="34"/>
  <c r="H77" i="34"/>
  <c r="L44" i="34"/>
  <c r="H46" i="34"/>
  <c r="C63" i="34"/>
  <c r="E42" i="8"/>
  <c r="E42" i="39"/>
  <c r="J44" i="38"/>
  <c r="F100" i="40"/>
  <c r="E57" i="34"/>
  <c r="G44" i="8"/>
  <c r="G44" i="39"/>
  <c r="I40" i="34"/>
  <c r="H35" i="34"/>
  <c r="F42" i="8"/>
  <c r="F42" i="39"/>
  <c r="I27" i="34"/>
  <c r="D589" i="1"/>
  <c r="J27" i="30"/>
  <c r="J27" i="34"/>
  <c r="C402" i="1"/>
  <c r="F400" i="1"/>
  <c r="E398" i="1"/>
  <c r="N410" i="34"/>
  <c r="N415" i="34"/>
  <c r="N409" i="34"/>
  <c r="N412" i="34"/>
  <c r="N411" i="34"/>
  <c r="N413" i="34"/>
  <c r="N414" i="34"/>
  <c r="N417" i="34"/>
  <c r="N416" i="34"/>
  <c r="F403" i="1"/>
  <c r="K589" i="1"/>
  <c r="L403" i="1"/>
  <c r="C103" i="4"/>
  <c r="C103" i="29"/>
  <c r="B185" i="8"/>
  <c r="B177" i="39"/>
  <c r="D39" i="34"/>
  <c r="J71" i="34"/>
  <c r="G27" i="30"/>
  <c r="G27" i="34"/>
  <c r="D44" i="8"/>
  <c r="D44" i="39"/>
  <c r="C44" i="8"/>
  <c r="F44" i="8"/>
  <c r="B44" i="8"/>
  <c r="B188" i="39"/>
  <c r="F27" i="30"/>
  <c r="D57" i="34"/>
  <c r="G83" i="34"/>
  <c r="J82" i="34"/>
  <c r="L39" i="34"/>
  <c r="C43" i="34"/>
  <c r="K62" i="34"/>
  <c r="F70" i="34"/>
  <c r="K73" i="34"/>
  <c r="I45" i="38"/>
  <c r="D34" i="34"/>
  <c r="I34" i="34"/>
  <c r="G18" i="7"/>
  <c r="G16" i="37"/>
  <c r="I44" i="38"/>
  <c r="I44" i="39"/>
  <c r="I399" i="1"/>
  <c r="C401" i="1"/>
  <c r="G404" i="1"/>
  <c r="C42" i="8"/>
  <c r="C42" i="39"/>
  <c r="G405" i="1"/>
  <c r="D110" i="4"/>
  <c r="M110" i="4"/>
  <c r="M110" i="40"/>
  <c r="E110" i="4"/>
  <c r="E110" i="40"/>
  <c r="K110" i="4"/>
  <c r="K110" i="40"/>
  <c r="J398" i="1"/>
  <c r="C113" i="29"/>
  <c r="C113" i="4"/>
  <c r="G17" i="7"/>
  <c r="G17" i="37"/>
  <c r="H17" i="7"/>
  <c r="H17" i="37"/>
  <c r="K17" i="7"/>
  <c r="K17" i="37"/>
  <c r="B175" i="39"/>
  <c r="J789" i="1"/>
  <c r="C778" i="1"/>
  <c r="G783" i="1"/>
  <c r="L786" i="1"/>
  <c r="D783" i="1"/>
  <c r="C752" i="1"/>
  <c r="H771" i="1"/>
  <c r="E756" i="1"/>
  <c r="G791" i="1"/>
  <c r="H751" i="1"/>
  <c r="E792" i="1"/>
  <c r="D774" i="1"/>
  <c r="D772" i="1"/>
  <c r="F785" i="1"/>
  <c r="G770" i="1"/>
  <c r="H752" i="1"/>
  <c r="J787" i="1"/>
  <c r="G790" i="1"/>
  <c r="F750" i="1"/>
  <c r="C755" i="1"/>
  <c r="E785" i="1"/>
  <c r="D754" i="1"/>
  <c r="K783" i="1"/>
  <c r="F752" i="1"/>
  <c r="D778" i="1"/>
  <c r="J422" i="1"/>
  <c r="D755" i="1"/>
  <c r="H749" i="1"/>
  <c r="K771" i="1"/>
  <c r="C422" i="1"/>
  <c r="J70" i="34"/>
  <c r="I61" i="34"/>
  <c r="L76" i="34"/>
  <c r="H71" i="34"/>
  <c r="K79" i="34"/>
  <c r="C34" i="34"/>
  <c r="D62" i="34"/>
  <c r="J64" i="34"/>
  <c r="H70" i="34"/>
  <c r="H41" i="34"/>
  <c r="G75" i="34"/>
  <c r="H53" i="34"/>
  <c r="F39" i="34"/>
  <c r="D36" i="34"/>
  <c r="G34" i="34"/>
  <c r="C79" i="34"/>
  <c r="D79" i="34"/>
  <c r="I45" i="8"/>
  <c r="C68" i="34"/>
  <c r="D65" i="34"/>
  <c r="F74" i="34"/>
  <c r="L38" i="34"/>
  <c r="C39" i="34"/>
  <c r="G41" i="34"/>
  <c r="K38" i="34"/>
  <c r="J36" i="34"/>
  <c r="F80" i="34"/>
  <c r="C82" i="34"/>
  <c r="H83" i="34"/>
  <c r="L100" i="40"/>
  <c r="L124" i="40"/>
  <c r="I68" i="34"/>
  <c r="H66" i="34"/>
  <c r="E68" i="34"/>
  <c r="H64" i="34"/>
  <c r="H68" i="34"/>
  <c r="J61" i="34"/>
  <c r="H74" i="34"/>
  <c r="E72" i="34"/>
  <c r="C59" i="34"/>
  <c r="E37" i="34"/>
  <c r="C41" i="34"/>
  <c r="G37" i="34"/>
  <c r="J83" i="34"/>
  <c r="L70" i="34"/>
  <c r="G62" i="34"/>
  <c r="L34" i="34"/>
  <c r="H72" i="34"/>
  <c r="D83" i="34"/>
  <c r="D82" i="34"/>
  <c r="I43" i="34"/>
  <c r="G61" i="34"/>
  <c r="J62" i="34"/>
  <c r="E66" i="34"/>
  <c r="D27" i="34"/>
  <c r="H73" i="34"/>
  <c r="I72" i="34"/>
  <c r="L73" i="34"/>
  <c r="G39" i="34"/>
  <c r="F56" i="34"/>
  <c r="J37" i="34"/>
  <c r="L37" i="34"/>
  <c r="K41" i="34"/>
  <c r="I36" i="34"/>
  <c r="G70" i="34"/>
  <c r="I75" i="34"/>
  <c r="C61" i="34"/>
  <c r="D70" i="34"/>
  <c r="I70" i="34"/>
  <c r="E73" i="34"/>
  <c r="I86" i="34"/>
  <c r="F75" i="34"/>
  <c r="I77" i="34"/>
  <c r="K49" i="34"/>
  <c r="G47" i="34"/>
  <c r="D46" i="34"/>
  <c r="D17" i="37"/>
  <c r="L110" i="40"/>
  <c r="E19" i="35"/>
  <c r="K71" i="34"/>
  <c r="I71" i="34"/>
  <c r="D35" i="34"/>
  <c r="K77" i="34"/>
  <c r="F73" i="34"/>
  <c r="F72" i="34"/>
  <c r="G77" i="34"/>
  <c r="J54" i="34"/>
  <c r="K75" i="34"/>
  <c r="J76" i="34"/>
  <c r="J110" i="40"/>
  <c r="C71" i="34"/>
  <c r="H50" i="34"/>
  <c r="F30" i="34"/>
  <c r="K56" i="34"/>
  <c r="I35" i="34"/>
  <c r="K86" i="34"/>
  <c r="F43" i="39"/>
  <c r="H27" i="34"/>
  <c r="J77" i="34"/>
  <c r="K36" i="34"/>
  <c r="H82" i="34"/>
  <c r="C75" i="34"/>
  <c r="C73" i="34"/>
  <c r="J74" i="34"/>
  <c r="E75" i="34"/>
  <c r="G71" i="34"/>
  <c r="J56" i="34"/>
  <c r="H36" i="34"/>
  <c r="G86" i="34"/>
  <c r="E74" i="34"/>
  <c r="F71" i="34"/>
  <c r="J45" i="34"/>
  <c r="H19" i="35"/>
  <c r="J72" i="34"/>
  <c r="E70" i="34"/>
  <c r="C53" i="34"/>
  <c r="L82" i="34"/>
  <c r="D66" i="34"/>
  <c r="D74" i="34"/>
  <c r="J702" i="1"/>
  <c r="H45" i="38"/>
  <c r="H42" i="39"/>
  <c r="C16" i="37"/>
  <c r="K37" i="34"/>
  <c r="C35" i="34"/>
  <c r="J85" i="34"/>
  <c r="L85" i="34"/>
  <c r="G80" i="34"/>
  <c r="G50" i="34"/>
  <c r="F49" i="34"/>
  <c r="I48" i="34"/>
  <c r="G48" i="34"/>
  <c r="C48" i="34"/>
  <c r="I47" i="34"/>
  <c r="D48" i="34"/>
  <c r="D77" i="34"/>
  <c r="K42" i="39"/>
  <c r="J701" i="1"/>
  <c r="L30" i="34"/>
  <c r="K19" i="35"/>
  <c r="J40" i="34"/>
  <c r="I38" i="34"/>
  <c r="C40" i="34"/>
  <c r="D40" i="34"/>
  <c r="J38" i="34"/>
  <c r="K35" i="34"/>
  <c r="H40" i="34"/>
  <c r="L706" i="1"/>
  <c r="I41" i="34"/>
  <c r="C36" i="34"/>
  <c r="L45" i="34"/>
  <c r="G73" i="34"/>
  <c r="E41" i="34"/>
  <c r="H38" i="34"/>
  <c r="K40" i="34"/>
  <c r="G79" i="34"/>
  <c r="G43" i="34"/>
  <c r="J706" i="1"/>
  <c r="E34" i="34"/>
  <c r="G35" i="34"/>
  <c r="M124" i="40"/>
  <c r="I30" i="34"/>
  <c r="H30" i="34"/>
  <c r="H76" i="34"/>
  <c r="B43" i="39"/>
  <c r="D81" i="34"/>
  <c r="L83" i="34"/>
  <c r="I80" i="34"/>
  <c r="C38" i="34"/>
  <c r="J63" i="34"/>
  <c r="C65" i="34"/>
  <c r="F36" i="34"/>
  <c r="J124" i="40"/>
  <c r="E100" i="40"/>
  <c r="G40" i="34"/>
  <c r="C37" i="34"/>
  <c r="D43" i="34"/>
  <c r="K70" i="34"/>
  <c r="H75" i="34"/>
  <c r="J703" i="1"/>
  <c r="J80" i="34"/>
  <c r="F84" i="34"/>
  <c r="D86" i="34"/>
  <c r="H67" i="34"/>
  <c r="I62" i="34"/>
  <c r="C77" i="34"/>
  <c r="G76" i="34"/>
  <c r="L72" i="34"/>
  <c r="J30" i="34"/>
  <c r="H37" i="34"/>
  <c r="L35" i="34"/>
  <c r="I37" i="34"/>
  <c r="I50" i="34"/>
  <c r="K704" i="1"/>
  <c r="D590" i="1"/>
  <c r="G590" i="1"/>
  <c r="C590" i="1"/>
  <c r="C591" i="1"/>
  <c r="K590" i="1"/>
  <c r="I590" i="1"/>
  <c r="E590" i="1"/>
  <c r="F590" i="1"/>
  <c r="H590" i="1"/>
  <c r="L590" i="1"/>
  <c r="J590" i="1"/>
  <c r="C50" i="34"/>
  <c r="J705" i="1"/>
  <c r="H47" i="34"/>
  <c r="I49" i="34"/>
  <c r="G46" i="34"/>
  <c r="C45" i="34"/>
  <c r="K44" i="34"/>
  <c r="K47" i="34"/>
  <c r="I700" i="1"/>
  <c r="K702" i="1"/>
  <c r="I703" i="1"/>
  <c r="I66" i="34"/>
  <c r="G110" i="40"/>
  <c r="C46" i="34"/>
  <c r="E46" i="34"/>
  <c r="F50" i="34"/>
  <c r="I702" i="1"/>
  <c r="L703" i="1"/>
  <c r="I704" i="1"/>
  <c r="D43" i="39"/>
  <c r="B17" i="37"/>
  <c r="I63" i="34"/>
  <c r="J68" i="34"/>
  <c r="C62" i="34"/>
  <c r="C143" i="1" a="1"/>
  <c r="K144" i="1"/>
  <c r="E16" i="37"/>
  <c r="K756" i="1"/>
  <c r="K706" i="1"/>
  <c r="K703" i="1"/>
  <c r="J47" i="34"/>
  <c r="I705" i="1"/>
  <c r="D19" i="7"/>
  <c r="D19" i="35"/>
  <c r="E30" i="34"/>
  <c r="L705" i="1"/>
  <c r="L755" i="1"/>
  <c r="F67" i="34"/>
  <c r="L48" i="34"/>
  <c r="I706" i="1"/>
  <c r="I756" i="1"/>
  <c r="H62" i="34"/>
  <c r="C49" i="34"/>
  <c r="E45" i="34"/>
  <c r="D49" i="34"/>
  <c r="E49" i="34"/>
  <c r="D45" i="34"/>
  <c r="E48" i="34"/>
  <c r="L701" i="1"/>
  <c r="K700" i="1"/>
  <c r="J699" i="1"/>
  <c r="E62" i="34"/>
  <c r="K66" i="34"/>
  <c r="D63" i="34"/>
  <c r="F27" i="34"/>
  <c r="K701" i="1"/>
  <c r="K755" i="1"/>
  <c r="K705" i="1"/>
  <c r="L700" i="1"/>
  <c r="L704" i="1"/>
  <c r="L754" i="1"/>
  <c r="L50" i="34"/>
  <c r="H43" i="34"/>
  <c r="J700" i="1"/>
  <c r="G49" i="34"/>
  <c r="J48" i="34"/>
  <c r="L702" i="1"/>
  <c r="L752" i="1"/>
  <c r="K699" i="1"/>
  <c r="H61" i="34"/>
  <c r="G124" i="40"/>
  <c r="L47" i="34"/>
  <c r="C47" i="34"/>
  <c r="L699" i="1"/>
  <c r="I699" i="1"/>
  <c r="I701" i="1"/>
  <c r="J704" i="1"/>
  <c r="J16" i="37"/>
  <c r="C30" i="34"/>
  <c r="B45" i="38"/>
  <c r="B19" i="7"/>
  <c r="L62" i="34"/>
  <c r="B19" i="35"/>
  <c r="G19" i="35"/>
  <c r="I45" i="39"/>
  <c r="J424" i="1"/>
  <c r="J782" i="1"/>
  <c r="I771" i="1"/>
  <c r="E780" i="1"/>
  <c r="C772" i="1"/>
  <c r="C426" i="1"/>
  <c r="J44" i="39"/>
  <c r="C367" i="1" a="1"/>
  <c r="F373" i="1"/>
  <c r="F417" i="1"/>
  <c r="K19" i="7"/>
  <c r="E19" i="7"/>
  <c r="C777" i="1"/>
  <c r="F771" i="1"/>
  <c r="K779" i="1"/>
  <c r="L777" i="1"/>
  <c r="E768" i="1"/>
  <c r="C113" i="40"/>
  <c r="E18" i="37"/>
  <c r="H44" i="39"/>
  <c r="G373" i="1"/>
  <c r="G395" i="1"/>
  <c r="H374" i="1"/>
  <c r="F367" i="1"/>
  <c r="F389" i="1"/>
  <c r="F371" i="1"/>
  <c r="F393" i="1"/>
  <c r="C368" i="1"/>
  <c r="C412" i="1"/>
  <c r="E367" i="1"/>
  <c r="E389" i="1"/>
  <c r="E371" i="1"/>
  <c r="E370" i="1"/>
  <c r="H373" i="1"/>
  <c r="H369" i="1"/>
  <c r="H371" i="1"/>
  <c r="D371" i="1"/>
  <c r="D393" i="1"/>
  <c r="C367" i="1"/>
  <c r="C411" i="1"/>
  <c r="D368" i="1"/>
  <c r="D390" i="1"/>
  <c r="E369" i="1"/>
  <c r="J367" i="1"/>
  <c r="I370" i="1"/>
  <c r="I414" i="1"/>
  <c r="L369" i="1"/>
  <c r="L367" i="1"/>
  <c r="L411" i="1"/>
  <c r="L373" i="1"/>
  <c r="L395" i="1"/>
  <c r="K367" i="1"/>
  <c r="K389" i="1"/>
  <c r="L371" i="1"/>
  <c r="J372" i="1"/>
  <c r="J374" i="1"/>
  <c r="I19" i="7"/>
  <c r="I19" i="37"/>
  <c r="H761" i="1"/>
  <c r="G759" i="1"/>
  <c r="D45" i="38"/>
  <c r="G45" i="8"/>
  <c r="K45" i="8"/>
  <c r="J19" i="7"/>
  <c r="E760" i="1"/>
  <c r="G794" i="1"/>
  <c r="E794" i="1"/>
  <c r="C44" i="39"/>
  <c r="H420" i="1"/>
  <c r="D420" i="1"/>
  <c r="C18" i="37"/>
  <c r="H19" i="7"/>
  <c r="H19" i="37"/>
  <c r="K45" i="38"/>
  <c r="C45" i="38"/>
  <c r="C767" i="1"/>
  <c r="C424" i="1"/>
  <c r="C760" i="1"/>
  <c r="C749" i="1"/>
  <c r="H765" i="1"/>
  <c r="E758" i="1"/>
  <c r="G752" i="1"/>
  <c r="D110" i="40"/>
  <c r="D111" i="4"/>
  <c r="D111" i="29"/>
  <c r="J45" i="8"/>
  <c r="B18" i="37"/>
  <c r="C19" i="35"/>
  <c r="C19" i="37"/>
  <c r="J19" i="35"/>
  <c r="F19" i="35"/>
  <c r="K785" i="1"/>
  <c r="H789" i="1"/>
  <c r="B185" i="39"/>
  <c r="B165" i="39"/>
  <c r="C103" i="40"/>
  <c r="L764" i="1"/>
  <c r="E776" i="1"/>
  <c r="I778" i="1"/>
  <c r="D124" i="40"/>
  <c r="D125" i="4"/>
  <c r="B45" i="8"/>
  <c r="B45" i="39"/>
  <c r="L763" i="1"/>
  <c r="E762" i="1"/>
  <c r="G19" i="7"/>
  <c r="L765" i="1"/>
  <c r="D763" i="1"/>
  <c r="L758" i="1"/>
  <c r="B44" i="39"/>
  <c r="E755" i="1"/>
  <c r="H756" i="1"/>
  <c r="C45" i="8"/>
  <c r="J45" i="38"/>
  <c r="F45" i="38"/>
  <c r="F45" i="39"/>
  <c r="D45" i="8"/>
  <c r="D45" i="39"/>
  <c r="E45" i="8"/>
  <c r="E45" i="39"/>
  <c r="G764" i="1"/>
  <c r="K423" i="1"/>
  <c r="H45" i="8"/>
  <c r="H45" i="39"/>
  <c r="F44" i="39"/>
  <c r="D125" i="29"/>
  <c r="F19" i="7"/>
  <c r="G771" i="1"/>
  <c r="F772" i="1"/>
  <c r="E44" i="39"/>
  <c r="E19" i="37"/>
  <c r="B19" i="37"/>
  <c r="G45" i="39"/>
  <c r="K45" i="39"/>
  <c r="K19" i="37"/>
  <c r="G19" i="37"/>
  <c r="D19" i="37"/>
  <c r="I150" i="1"/>
  <c r="D150" i="1"/>
  <c r="E146" i="1"/>
  <c r="H145" i="1"/>
  <c r="H149" i="1"/>
  <c r="C145" i="1"/>
  <c r="C6" i="58"/>
  <c r="C150" i="1"/>
  <c r="C11" i="58"/>
  <c r="F144" i="1"/>
  <c r="G147" i="1"/>
  <c r="J150" i="1"/>
  <c r="J19" i="37"/>
  <c r="J368" i="1"/>
  <c r="J370" i="1"/>
  <c r="K373" i="1"/>
  <c r="K395" i="1"/>
  <c r="J371" i="1"/>
  <c r="J393" i="1"/>
  <c r="J369" i="1"/>
  <c r="J413" i="1"/>
  <c r="I374" i="1"/>
  <c r="I396" i="1"/>
  <c r="K370" i="1"/>
  <c r="I369" i="1"/>
  <c r="D373" i="1"/>
  <c r="D395" i="1"/>
  <c r="C372" i="1"/>
  <c r="G371" i="1"/>
  <c r="G393" i="1"/>
  <c r="G367" i="1"/>
  <c r="G389" i="1"/>
  <c r="C389" i="1" a="1"/>
  <c r="C373" i="1"/>
  <c r="C395" i="1"/>
  <c r="D367" i="1"/>
  <c r="F368" i="1"/>
  <c r="E368" i="1"/>
  <c r="E390" i="1"/>
  <c r="F370" i="1"/>
  <c r="H367" i="1"/>
  <c r="H389" i="1"/>
  <c r="H372" i="1"/>
  <c r="H394" i="1"/>
  <c r="H370" i="1"/>
  <c r="H392" i="1"/>
  <c r="L368" i="1"/>
  <c r="I371" i="1"/>
  <c r="I367" i="1"/>
  <c r="K368" i="1"/>
  <c r="I368" i="1"/>
  <c r="K369" i="1"/>
  <c r="K413" i="1"/>
  <c r="L374" i="1"/>
  <c r="L396" i="1"/>
  <c r="L370" i="1"/>
  <c r="L414" i="1"/>
  <c r="C370" i="1"/>
  <c r="C392" i="1"/>
  <c r="H368" i="1"/>
  <c r="G368" i="1"/>
  <c r="G370" i="1"/>
  <c r="G414" i="1"/>
  <c r="D372" i="1"/>
  <c r="F372" i="1"/>
  <c r="F416" i="1"/>
  <c r="D370" i="1"/>
  <c r="D414" i="1"/>
  <c r="G374" i="1"/>
  <c r="G418" i="1"/>
  <c r="C371" i="1"/>
  <c r="C374" i="1"/>
  <c r="F374" i="1"/>
  <c r="C369" i="1"/>
  <c r="C391" i="1"/>
  <c r="J45" i="39"/>
  <c r="K374" i="1"/>
  <c r="K418" i="1"/>
  <c r="I373" i="1"/>
  <c r="I395" i="1"/>
  <c r="J373" i="1"/>
  <c r="J395" i="1"/>
  <c r="L372" i="1"/>
  <c r="I372" i="1"/>
  <c r="K372" i="1"/>
  <c r="K371" i="1"/>
  <c r="K393" i="1"/>
  <c r="G372" i="1"/>
  <c r="E372" i="1"/>
  <c r="E416" i="1"/>
  <c r="G369" i="1"/>
  <c r="G413" i="1"/>
  <c r="D369" i="1"/>
  <c r="D413" i="1"/>
  <c r="E374" i="1"/>
  <c r="F369" i="1"/>
  <c r="E373" i="1"/>
  <c r="D374" i="1"/>
  <c r="D418" i="1"/>
  <c r="D125" i="40"/>
  <c r="C45" i="39"/>
  <c r="D111" i="40"/>
  <c r="C4" i="58" a="1"/>
  <c r="C15" i="59" a="1"/>
  <c r="F19" i="37"/>
  <c r="I391" i="1"/>
  <c r="H396" i="1"/>
  <c r="F395" i="1"/>
  <c r="F392" i="1"/>
  <c r="C396" i="1"/>
  <c r="C411" i="1" a="1"/>
  <c r="G392" i="1"/>
  <c r="L391" i="1"/>
  <c r="D392" i="1"/>
  <c r="L394" i="1"/>
  <c r="K415" i="1"/>
  <c r="H415" i="1"/>
  <c r="C416" i="1"/>
  <c r="E418" i="1"/>
  <c r="C394" i="1"/>
  <c r="G390" i="1"/>
  <c r="D394" i="1"/>
  <c r="E396" i="1"/>
  <c r="F391" i="1"/>
  <c r="E395" i="1"/>
  <c r="G391" i="1"/>
  <c r="G394" i="1"/>
  <c r="H391" i="1"/>
  <c r="C393" i="1"/>
  <c r="E391" i="1"/>
  <c r="H393" i="1"/>
  <c r="G396" i="1"/>
  <c r="F390" i="1"/>
  <c r="H395" i="1"/>
  <c r="F396" i="1"/>
  <c r="E393" i="1"/>
  <c r="H390" i="1"/>
  <c r="E392" i="1"/>
  <c r="F394" i="1"/>
  <c r="I394" i="1"/>
  <c r="L390" i="1"/>
  <c r="I390" i="1"/>
  <c r="J389" i="1"/>
  <c r="J396" i="1"/>
  <c r="K392" i="1"/>
  <c r="J392" i="1"/>
  <c r="L389" i="1"/>
  <c r="K390" i="1"/>
  <c r="K394" i="1"/>
  <c r="J390" i="1"/>
  <c r="L393" i="1"/>
  <c r="I389" i="1"/>
  <c r="I393" i="1"/>
  <c r="I392" i="1"/>
  <c r="J394" i="1"/>
  <c r="D389" i="1"/>
  <c r="D417" i="1"/>
  <c r="F412" i="1"/>
  <c r="C413" i="1"/>
  <c r="F414" i="1"/>
  <c r="F418" i="1"/>
  <c r="K412" i="1"/>
  <c r="J418" i="1"/>
  <c r="L415" i="1"/>
  <c r="C4" i="59" a="1"/>
  <c r="B32" i="3" a="1"/>
  <c r="H38" i="3"/>
  <c r="B5" i="3" a="1"/>
  <c r="H11" i="3"/>
  <c r="B23" i="3" a="1"/>
  <c r="B14" i="3" a="1"/>
  <c r="B41" i="3" a="1"/>
  <c r="G35" i="3"/>
  <c r="J36" i="3"/>
  <c r="C39" i="3"/>
  <c r="F38" i="3"/>
  <c r="J33" i="3"/>
  <c r="F34" i="3"/>
  <c r="F32" i="3"/>
  <c r="E35" i="3"/>
  <c r="C35" i="3"/>
  <c r="E37" i="3"/>
  <c r="H37" i="3"/>
  <c r="F39" i="3"/>
  <c r="K34" i="3"/>
  <c r="G33" i="3"/>
  <c r="E38" i="3"/>
  <c r="F35" i="3"/>
  <c r="I33" i="3"/>
  <c r="C34" i="3"/>
  <c r="I39" i="3"/>
  <c r="D39" i="3"/>
  <c r="E32" i="3"/>
  <c r="B39" i="3"/>
  <c r="I38" i="3"/>
  <c r="K36" i="3"/>
  <c r="B34" i="3"/>
  <c r="H39" i="3"/>
  <c r="C32" i="3"/>
  <c r="J34" i="3"/>
  <c r="J38" i="3"/>
  <c r="B32" i="3"/>
  <c r="G36" i="3"/>
  <c r="F37" i="3"/>
  <c r="I34" i="3"/>
  <c r="C38" i="3"/>
  <c r="H33" i="3"/>
  <c r="B33" i="3"/>
  <c r="E34" i="3"/>
  <c r="H35" i="3"/>
  <c r="C33" i="3"/>
  <c r="C36" i="3"/>
  <c r="D36" i="3"/>
  <c r="E33" i="3"/>
  <c r="E36" i="3"/>
  <c r="H32" i="3"/>
  <c r="D35" i="3"/>
  <c r="B37" i="3"/>
  <c r="G32" i="3"/>
  <c r="I36" i="3"/>
  <c r="E39" i="3"/>
  <c r="H36" i="3"/>
  <c r="J39" i="3"/>
  <c r="K33" i="3"/>
  <c r="K37" i="3"/>
  <c r="D32" i="3"/>
  <c r="D38" i="3"/>
  <c r="D37" i="3"/>
  <c r="I32" i="3"/>
  <c r="G39" i="3"/>
  <c r="K39" i="3"/>
  <c r="J32" i="3"/>
  <c r="I35" i="3"/>
  <c r="H34" i="3"/>
  <c r="K38" i="3"/>
  <c r="B36" i="3"/>
  <c r="B35" i="3"/>
  <c r="G34" i="3"/>
  <c r="I37" i="3"/>
  <c r="F33" i="3"/>
  <c r="D34" i="3"/>
  <c r="D33" i="3"/>
  <c r="G37" i="3"/>
  <c r="K35" i="3"/>
  <c r="G38" i="3"/>
  <c r="K32" i="3"/>
  <c r="J37" i="3"/>
  <c r="F36" i="3"/>
  <c r="J35" i="3"/>
  <c r="B38" i="3"/>
  <c r="C37" i="3"/>
  <c r="I23" i="3"/>
  <c r="I27" i="3"/>
  <c r="C24" i="3"/>
  <c r="C28" i="3"/>
  <c r="E26" i="3"/>
  <c r="E30" i="3"/>
  <c r="H24" i="3"/>
  <c r="H27" i="3"/>
  <c r="K26" i="3"/>
  <c r="D26" i="3"/>
  <c r="G23" i="3"/>
  <c r="G27" i="3"/>
  <c r="K27" i="3"/>
  <c r="I24" i="3"/>
  <c r="I28" i="3"/>
  <c r="C25" i="3"/>
  <c r="C29" i="3"/>
  <c r="E23" i="3"/>
  <c r="E27" i="3"/>
  <c r="G24" i="3"/>
  <c r="G28" i="3"/>
  <c r="F26" i="3"/>
  <c r="B28" i="3"/>
  <c r="D29" i="3"/>
  <c r="J23" i="3"/>
  <c r="J27" i="3"/>
  <c r="K30" i="3"/>
  <c r="I29" i="3"/>
  <c r="E24" i="3"/>
  <c r="B24" i="3"/>
  <c r="H25" i="3"/>
  <c r="H30" i="3"/>
  <c r="B23" i="3"/>
  <c r="C26" i="3"/>
  <c r="K24" i="3"/>
  <c r="F30" i="3"/>
  <c r="F27" i="3"/>
  <c r="B25" i="3"/>
  <c r="J24" i="3"/>
  <c r="J29" i="3"/>
  <c r="D30" i="3"/>
  <c r="I30" i="3"/>
  <c r="E25" i="3"/>
  <c r="G29" i="3"/>
  <c r="H26" i="3"/>
  <c r="B26" i="3"/>
  <c r="K25" i="3"/>
  <c r="J30" i="3"/>
  <c r="D23" i="3"/>
  <c r="C27" i="3"/>
  <c r="F23" i="3"/>
  <c r="F28" i="3"/>
  <c r="J25" i="3"/>
  <c r="K23" i="3"/>
  <c r="I25" i="3"/>
  <c r="K28" i="3"/>
  <c r="C30" i="3"/>
  <c r="I26" i="3"/>
  <c r="D24" i="3"/>
  <c r="H23" i="3"/>
  <c r="J28" i="3"/>
  <c r="G26" i="3"/>
  <c r="B30" i="3"/>
  <c r="K29" i="3"/>
  <c r="C23" i="3"/>
  <c r="D25" i="3"/>
  <c r="D27" i="3"/>
  <c r="B27" i="3"/>
  <c r="F24" i="3"/>
  <c r="F25" i="3"/>
  <c r="D28" i="3"/>
  <c r="E29" i="3"/>
  <c r="B29" i="3"/>
  <c r="G30" i="3"/>
  <c r="H29" i="3"/>
  <c r="E28" i="3"/>
  <c r="F29" i="3"/>
  <c r="J26" i="3"/>
  <c r="G25" i="3"/>
  <c r="H28" i="3"/>
  <c r="F11" i="3"/>
  <c r="G11" i="5"/>
  <c r="H7" i="3"/>
  <c r="I7" i="5"/>
  <c r="I10" i="3"/>
  <c r="J8" i="3"/>
  <c r="H6" i="3"/>
  <c r="I6" i="5"/>
  <c r="F6" i="3"/>
  <c r="B6" i="3"/>
  <c r="K5" i="3"/>
  <c r="K11" i="3"/>
  <c r="L11" i="5"/>
  <c r="K12" i="3"/>
  <c r="L12" i="5"/>
  <c r="D9" i="3"/>
  <c r="E9" i="5"/>
  <c r="K6" i="3"/>
  <c r="L6" i="5"/>
  <c r="J10" i="3"/>
  <c r="I7" i="3"/>
  <c r="H12" i="3"/>
  <c r="I12" i="5"/>
  <c r="B48" i="3"/>
  <c r="B41" i="3"/>
  <c r="C43" i="3"/>
  <c r="F47" i="3"/>
  <c r="B46" i="3"/>
  <c r="E47" i="3"/>
  <c r="H45" i="3"/>
  <c r="G42" i="3"/>
  <c r="D41" i="3"/>
  <c r="D45" i="3"/>
  <c r="E43" i="3"/>
  <c r="K41" i="3"/>
  <c r="G43" i="3"/>
  <c r="J42" i="3"/>
  <c r="D46" i="3"/>
  <c r="C44" i="3"/>
  <c r="K43" i="3"/>
  <c r="H48" i="3"/>
  <c r="C46" i="3"/>
  <c r="F46" i="3"/>
  <c r="J43" i="3"/>
  <c r="K42" i="3"/>
  <c r="K47" i="3"/>
  <c r="B42" i="3"/>
  <c r="G47" i="3"/>
  <c r="F45" i="3"/>
  <c r="J48" i="3"/>
  <c r="K46" i="3"/>
  <c r="K44" i="3"/>
  <c r="C47" i="3"/>
  <c r="F41" i="3"/>
  <c r="D43" i="3"/>
  <c r="F48" i="3"/>
  <c r="G41" i="3"/>
  <c r="E45" i="3"/>
  <c r="H44" i="3"/>
  <c r="H46" i="3"/>
  <c r="I41" i="3"/>
  <c r="I44" i="3"/>
  <c r="J41" i="3"/>
  <c r="D47" i="3"/>
  <c r="D44" i="3"/>
  <c r="E41" i="3"/>
  <c r="I43" i="3"/>
  <c r="H41" i="3"/>
  <c r="K45" i="3"/>
  <c r="C45" i="3"/>
  <c r="H47" i="3"/>
  <c r="J45" i="3"/>
  <c r="G48" i="3"/>
  <c r="I42" i="3"/>
  <c r="C42" i="3"/>
  <c r="J47" i="3"/>
  <c r="C48" i="3"/>
  <c r="F44" i="3"/>
  <c r="H43" i="3"/>
  <c r="G45" i="3"/>
  <c r="F43" i="3"/>
  <c r="B43" i="3"/>
  <c r="H42" i="3"/>
  <c r="D48" i="3"/>
  <c r="I48" i="3"/>
  <c r="E44" i="3"/>
  <c r="D42" i="3"/>
  <c r="G44" i="3"/>
  <c r="I46" i="3"/>
  <c r="I45" i="3"/>
  <c r="F42" i="3"/>
  <c r="C41" i="3"/>
  <c r="J46" i="3"/>
  <c r="E46" i="3"/>
  <c r="K48" i="3"/>
  <c r="E42" i="3"/>
  <c r="G46" i="3"/>
  <c r="J44" i="3"/>
  <c r="E48" i="3"/>
  <c r="B44" i="3"/>
  <c r="B45" i="3"/>
  <c r="I47" i="3"/>
  <c r="B47" i="3"/>
  <c r="D14" i="3"/>
  <c r="F14" i="3"/>
  <c r="H19" i="3"/>
  <c r="I18" i="3"/>
  <c r="F19" i="3"/>
  <c r="J20" i="3"/>
  <c r="K15" i="3"/>
  <c r="D21" i="3"/>
  <c r="B17" i="3"/>
  <c r="G18" i="3"/>
  <c r="I16" i="3"/>
  <c r="I19" i="3"/>
  <c r="J15" i="3"/>
  <c r="J14" i="3"/>
  <c r="E14" i="3"/>
  <c r="K14" i="3"/>
  <c r="D19" i="3"/>
  <c r="F15" i="3"/>
  <c r="J19" i="3"/>
  <c r="G19" i="3"/>
  <c r="K20" i="3"/>
  <c r="C17" i="3"/>
  <c r="F17" i="3"/>
  <c r="G21" i="3"/>
  <c r="E17" i="3"/>
  <c r="H16" i="3"/>
  <c r="F21" i="3"/>
  <c r="F16" i="3"/>
  <c r="H15" i="3"/>
  <c r="G15" i="3"/>
  <c r="E19" i="3"/>
  <c r="B18" i="3"/>
  <c r="E18" i="3"/>
  <c r="K17" i="3"/>
  <c r="D16" i="3"/>
  <c r="G16" i="3"/>
  <c r="C19" i="3"/>
  <c r="D17" i="3"/>
  <c r="I14" i="3"/>
  <c r="I21" i="3"/>
  <c r="H18" i="3"/>
  <c r="E15" i="3"/>
  <c r="B19" i="3"/>
  <c r="G17" i="3"/>
  <c r="J16" i="3"/>
  <c r="K19" i="3"/>
  <c r="H17" i="3"/>
  <c r="K16" i="3"/>
  <c r="E20" i="3"/>
  <c r="B21" i="3"/>
  <c r="I15" i="3"/>
  <c r="G14" i="3"/>
  <c r="J21" i="3"/>
  <c r="G20" i="3"/>
  <c r="B16" i="3"/>
  <c r="J18" i="3"/>
  <c r="C21" i="3"/>
  <c r="B20" i="3"/>
  <c r="H21" i="3"/>
  <c r="J17" i="3"/>
  <c r="D18" i="3"/>
  <c r="C14" i="3"/>
  <c r="F18" i="3"/>
  <c r="C20" i="3"/>
  <c r="C18" i="3"/>
  <c r="D15" i="3"/>
  <c r="B15" i="3"/>
  <c r="K21" i="3"/>
  <c r="I17" i="3"/>
  <c r="H20" i="3"/>
  <c r="F20" i="3"/>
  <c r="E21" i="3"/>
  <c r="D20" i="3"/>
  <c r="B14" i="3"/>
  <c r="K18" i="3"/>
  <c r="I20" i="3"/>
  <c r="E16" i="3"/>
  <c r="C16" i="3"/>
  <c r="C15" i="3"/>
  <c r="H14" i="3"/>
  <c r="C98" i="28" a="1"/>
  <c r="C5" i="28" a="1"/>
  <c r="C129" i="28" a="1"/>
  <c r="C36" i="5" a="1"/>
  <c r="C36" i="28" a="1"/>
  <c r="C129" i="5" a="1"/>
  <c r="C67" i="5" a="1"/>
  <c r="K69" i="5"/>
  <c r="C98" i="5" a="1"/>
  <c r="H101" i="5"/>
  <c r="D99" i="5"/>
  <c r="J102" i="5"/>
  <c r="D105" i="5"/>
  <c r="E102" i="5"/>
  <c r="E106" i="5"/>
  <c r="C67" i="28" a="1"/>
  <c r="D103" i="5"/>
  <c r="F100" i="5"/>
  <c r="C5" i="5" a="1"/>
  <c r="E98" i="5"/>
  <c r="C103" i="5"/>
  <c r="J104" i="5"/>
  <c r="I36" i="5"/>
  <c r="L38" i="5"/>
  <c r="C40" i="5"/>
  <c r="L36" i="5"/>
  <c r="F136" i="5"/>
  <c r="D130" i="5"/>
  <c r="I132" i="5"/>
  <c r="G134" i="5"/>
  <c r="D67" i="5"/>
  <c r="D74" i="5"/>
  <c r="D73" i="5"/>
  <c r="D37" i="5"/>
  <c r="F129" i="5"/>
  <c r="F73" i="5"/>
  <c r="D69" i="5"/>
  <c r="D38" i="5"/>
  <c r="I42" i="5"/>
  <c r="D36" i="5"/>
  <c r="H42" i="5"/>
  <c r="L41" i="5"/>
  <c r="E39" i="5"/>
  <c r="H37" i="5"/>
  <c r="D39" i="5"/>
  <c r="K36" i="5"/>
  <c r="K42" i="5"/>
  <c r="H134" i="5"/>
  <c r="H136" i="5"/>
  <c r="G133" i="5"/>
  <c r="E133" i="5"/>
  <c r="L69" i="5"/>
  <c r="K68" i="5"/>
  <c r="D41" i="5"/>
  <c r="H133" i="5"/>
  <c r="H70" i="5"/>
  <c r="L67" i="5"/>
  <c r="G70" i="5"/>
  <c r="J42" i="5"/>
  <c r="L43" i="5"/>
  <c r="K39" i="5"/>
  <c r="H36" i="5"/>
  <c r="H39" i="5"/>
  <c r="H38" i="5"/>
  <c r="G38" i="5"/>
  <c r="H41" i="5"/>
  <c r="J41" i="5"/>
  <c r="J40" i="5"/>
  <c r="C135" i="5"/>
  <c r="L136" i="5"/>
  <c r="E130" i="5"/>
  <c r="I131" i="5"/>
  <c r="I135" i="5"/>
  <c r="K129" i="5"/>
  <c r="E131" i="5"/>
  <c r="C130" i="5"/>
  <c r="D132" i="5"/>
  <c r="H130" i="5"/>
  <c r="K72" i="5"/>
  <c r="F68" i="5"/>
  <c r="H72" i="5"/>
  <c r="D42" i="5"/>
  <c r="J43" i="5"/>
  <c r="H43" i="5"/>
  <c r="E43" i="5"/>
  <c r="G135" i="5"/>
  <c r="C38" i="5"/>
  <c r="F36" i="5"/>
  <c r="K136" i="5"/>
  <c r="F38" i="5"/>
  <c r="K43" i="5"/>
  <c r="I37" i="5"/>
  <c r="K37" i="5"/>
  <c r="K44" i="5"/>
  <c r="L95" i="4"/>
  <c r="G136" i="5"/>
  <c r="L40" i="5"/>
  <c r="C37" i="5"/>
  <c r="I43" i="5"/>
  <c r="J37" i="5"/>
  <c r="C41" i="5"/>
  <c r="E38" i="5"/>
  <c r="G43" i="5"/>
  <c r="K41" i="5"/>
  <c r="J38" i="5"/>
  <c r="I41" i="5"/>
  <c r="J135" i="5"/>
  <c r="F134" i="5"/>
  <c r="F132" i="5"/>
  <c r="G132" i="5"/>
  <c r="D133" i="5"/>
  <c r="J132" i="5"/>
  <c r="G129" i="5"/>
  <c r="L135" i="5"/>
  <c r="E134" i="5"/>
  <c r="I133" i="5"/>
  <c r="F72" i="5"/>
  <c r="C71" i="5"/>
  <c r="H73" i="5"/>
  <c r="G74" i="5"/>
  <c r="D72" i="5"/>
  <c r="K40" i="5"/>
  <c r="G130" i="5"/>
  <c r="I130" i="5"/>
  <c r="J131" i="5"/>
  <c r="L134" i="5"/>
  <c r="L129" i="5"/>
  <c r="K67" i="5"/>
  <c r="K75" i="5"/>
  <c r="J67" i="5"/>
  <c r="K132" i="5"/>
  <c r="J133" i="5"/>
  <c r="C131" i="5"/>
  <c r="J130" i="5"/>
  <c r="F133" i="5"/>
  <c r="D134" i="5"/>
  <c r="F131" i="5"/>
  <c r="F137" i="5"/>
  <c r="D131" i="5"/>
  <c r="L73" i="5"/>
  <c r="J39" i="5"/>
  <c r="K38" i="5"/>
  <c r="L42" i="5"/>
  <c r="G41" i="5"/>
  <c r="C36" i="5"/>
  <c r="C44" i="5"/>
  <c r="D95" i="4"/>
  <c r="E37" i="5"/>
  <c r="C42" i="5"/>
  <c r="C43" i="5"/>
  <c r="F37" i="5"/>
  <c r="L39" i="5"/>
  <c r="I38" i="5"/>
  <c r="G37" i="5"/>
  <c r="G44" i="5"/>
  <c r="H95" i="4"/>
  <c r="H40" i="5"/>
  <c r="G36" i="5"/>
  <c r="C133" i="5"/>
  <c r="K134" i="5"/>
  <c r="J136" i="5"/>
  <c r="D136" i="5"/>
  <c r="L133" i="5"/>
  <c r="J129" i="5"/>
  <c r="D135" i="5"/>
  <c r="L130" i="5"/>
  <c r="K130" i="5"/>
  <c r="F135" i="5"/>
  <c r="I73" i="5"/>
  <c r="G67" i="5"/>
  <c r="F69" i="5"/>
  <c r="L68" i="5"/>
  <c r="H67" i="5"/>
  <c r="D68" i="5"/>
  <c r="F43" i="5"/>
  <c r="G42" i="5"/>
  <c r="G40" i="5"/>
  <c r="I39" i="5"/>
  <c r="J36" i="5"/>
  <c r="J44" i="5"/>
  <c r="K95" i="4"/>
  <c r="L97" i="4"/>
  <c r="F41" i="5"/>
  <c r="G39" i="5"/>
  <c r="L37" i="5"/>
  <c r="J134" i="5"/>
  <c r="G131" i="5"/>
  <c r="E132" i="5"/>
  <c r="H129" i="5"/>
  <c r="I136" i="5"/>
  <c r="C129" i="5"/>
  <c r="C74" i="5"/>
  <c r="I68" i="5"/>
  <c r="I75" i="5"/>
  <c r="E40" i="5"/>
  <c r="F130" i="5"/>
  <c r="H132" i="5"/>
  <c r="K133" i="5"/>
  <c r="E135" i="5"/>
  <c r="H135" i="5"/>
  <c r="L131" i="5"/>
  <c r="E129" i="5"/>
  <c r="E137" i="5"/>
  <c r="C136" i="5"/>
  <c r="E42" i="5"/>
  <c r="D40" i="5"/>
  <c r="D43" i="5"/>
  <c r="F42" i="5"/>
  <c r="I40" i="5"/>
  <c r="F40" i="5"/>
  <c r="F39" i="5"/>
  <c r="E41" i="5"/>
  <c r="C39" i="5"/>
  <c r="E36" i="5"/>
  <c r="E44" i="5"/>
  <c r="F95" i="4"/>
  <c r="G97" i="4"/>
  <c r="C132" i="5"/>
  <c r="D129" i="5"/>
  <c r="E136" i="5"/>
  <c r="K135" i="5"/>
  <c r="I129" i="5"/>
  <c r="I134" i="5"/>
  <c r="L132" i="5"/>
  <c r="K131" i="5"/>
  <c r="H131" i="5"/>
  <c r="C134" i="5"/>
  <c r="H74" i="5"/>
  <c r="E69" i="5"/>
  <c r="J70" i="5"/>
  <c r="D71" i="5"/>
  <c r="D75" i="5"/>
  <c r="J74" i="5"/>
  <c r="D70" i="5"/>
  <c r="K71" i="5"/>
  <c r="F67" i="5"/>
  <c r="F75" i="5"/>
  <c r="E70" i="5"/>
  <c r="C137" i="5" a="1"/>
  <c r="L98" i="5"/>
  <c r="G99" i="5"/>
  <c r="J105" i="5"/>
  <c r="L104" i="5"/>
  <c r="I101" i="5"/>
  <c r="L101" i="5"/>
  <c r="I100" i="5"/>
  <c r="H105" i="5"/>
  <c r="I103" i="5"/>
  <c r="H103" i="5"/>
  <c r="I102" i="5"/>
  <c r="C101" i="5"/>
  <c r="H102" i="5"/>
  <c r="H100" i="5"/>
  <c r="I99" i="5"/>
  <c r="K104" i="5"/>
  <c r="C102" i="5"/>
  <c r="F105" i="5"/>
  <c r="K99" i="5"/>
  <c r="E103" i="5"/>
  <c r="G101" i="5"/>
  <c r="C98" i="5"/>
  <c r="C106" i="5"/>
  <c r="I137" i="28" a="1"/>
  <c r="I137" i="5" a="1"/>
  <c r="H137" i="5" a="1"/>
  <c r="H69" i="5"/>
  <c r="C72" i="5"/>
  <c r="E71" i="5"/>
  <c r="E67" i="5"/>
  <c r="I72" i="5"/>
  <c r="K101" i="5"/>
  <c r="D100" i="5"/>
  <c r="C104" i="5"/>
  <c r="K98" i="5"/>
  <c r="J98" i="5"/>
  <c r="J99" i="5"/>
  <c r="F104" i="5"/>
  <c r="G100" i="5"/>
  <c r="I104" i="5"/>
  <c r="F101" i="5"/>
  <c r="F102" i="5"/>
  <c r="C105" i="5"/>
  <c r="I98" i="5"/>
  <c r="L100" i="5"/>
  <c r="J101" i="5"/>
  <c r="F103" i="5"/>
  <c r="G103" i="5"/>
  <c r="E99" i="5"/>
  <c r="L102" i="5"/>
  <c r="G98" i="5"/>
  <c r="J103" i="5"/>
  <c r="K103" i="5"/>
  <c r="L103" i="5"/>
  <c r="G102" i="5"/>
  <c r="K100" i="5"/>
  <c r="E104" i="5"/>
  <c r="L105" i="5"/>
  <c r="J100" i="5"/>
  <c r="J106" i="5"/>
  <c r="E101" i="5"/>
  <c r="D104" i="5"/>
  <c r="K102" i="5"/>
  <c r="H99" i="5"/>
  <c r="C100" i="5"/>
  <c r="D98" i="5"/>
  <c r="H98" i="5"/>
  <c r="K105" i="5"/>
  <c r="E105" i="5"/>
  <c r="L99" i="5"/>
  <c r="F98" i="5"/>
  <c r="F106" i="5"/>
  <c r="F99" i="5"/>
  <c r="E100" i="5"/>
  <c r="G105" i="5"/>
  <c r="D102" i="5"/>
  <c r="D101" i="5"/>
  <c r="H104" i="5"/>
  <c r="I105" i="5"/>
  <c r="G104" i="5"/>
  <c r="C99" i="5"/>
  <c r="G137" i="5" a="1"/>
  <c r="F137" i="5" a="1"/>
  <c r="E74" i="5"/>
  <c r="L70" i="5"/>
  <c r="K73" i="5"/>
  <c r="G73" i="5"/>
  <c r="I70" i="5"/>
  <c r="L71" i="5"/>
  <c r="K74" i="5"/>
  <c r="E68" i="5"/>
  <c r="J71" i="5"/>
  <c r="G72" i="5"/>
  <c r="H68" i="5"/>
  <c r="C73" i="5"/>
  <c r="F71" i="5"/>
  <c r="E72" i="5"/>
  <c r="I69" i="5"/>
  <c r="C69" i="5"/>
  <c r="F74" i="5"/>
  <c r="G68" i="5"/>
  <c r="F70" i="5"/>
  <c r="C67" i="5"/>
  <c r="I74" i="5"/>
  <c r="G69" i="5"/>
  <c r="G71" i="5"/>
  <c r="E73" i="5"/>
  <c r="L72" i="5"/>
  <c r="L75" i="5"/>
  <c r="I71" i="5"/>
  <c r="K70" i="5"/>
  <c r="C70" i="5"/>
  <c r="J68" i="5"/>
  <c r="I67" i="5"/>
  <c r="J73" i="5"/>
  <c r="L74" i="5"/>
  <c r="D137" i="5" a="1"/>
  <c r="L137" i="5" a="1"/>
  <c r="H71" i="5"/>
  <c r="J72" i="5"/>
  <c r="C68" i="5"/>
  <c r="J69" i="5"/>
  <c r="H137" i="28" a="1"/>
  <c r="D137" i="28" a="1"/>
  <c r="K137" i="28" a="1"/>
  <c r="K137" i="5" a="1"/>
  <c r="J137" i="5" a="1"/>
  <c r="E137" i="5" a="1"/>
  <c r="F44" i="5"/>
  <c r="I137" i="5"/>
  <c r="E137" i="28" a="1"/>
  <c r="L137" i="28" a="1"/>
  <c r="F137" i="28" a="1"/>
  <c r="C137" i="28" a="1"/>
  <c r="J137" i="28" a="1"/>
  <c r="J75" i="5"/>
  <c r="D95" i="4" a="1"/>
  <c r="D106" i="5"/>
  <c r="G137" i="28" a="1"/>
  <c r="G95" i="4"/>
  <c r="H97" i="4"/>
  <c r="C14" i="28" a="1"/>
  <c r="D95" i="29" a="1"/>
  <c r="E97" i="4" a="1"/>
  <c r="E97" i="29" a="1"/>
  <c r="B50" i="3" a="1"/>
  <c r="C50" i="3"/>
  <c r="I50" i="3"/>
  <c r="E50" i="3"/>
  <c r="K50" i="3"/>
  <c r="H50" i="3"/>
  <c r="J50" i="3"/>
  <c r="G50" i="3"/>
  <c r="B50" i="3"/>
  <c r="F50" i="3"/>
  <c r="D50" i="3"/>
  <c r="C141" i="28" a="1"/>
  <c r="J141" i="5"/>
  <c r="C141" i="5" a="1"/>
  <c r="D141" i="5"/>
  <c r="F141" i="5"/>
  <c r="I141" i="5"/>
  <c r="C141" i="5"/>
  <c r="G141" i="5"/>
  <c r="K141" i="5"/>
  <c r="H141" i="5"/>
  <c r="E141" i="5"/>
  <c r="L141" i="5"/>
  <c r="D201" i="4" a="1"/>
  <c r="D38" i="4" a="1"/>
  <c r="D175" i="4" a="1"/>
  <c r="D167" i="4" a="1"/>
  <c r="D189" i="4" a="1"/>
  <c r="D89" i="4" a="1"/>
  <c r="D174" i="4" a="1"/>
  <c r="C124" i="6" a="1"/>
  <c r="D94" i="4" a="1"/>
  <c r="D107" i="4" a="1"/>
  <c r="D55" i="4" a="1"/>
  <c r="D121" i="4" a="1"/>
  <c r="D94" i="29" a="1"/>
  <c r="B52" i="7" a="1"/>
  <c r="B52" i="35" a="1"/>
  <c r="B32" i="7" a="1"/>
  <c r="B32" i="35" a="1"/>
  <c r="B82" i="7" a="1"/>
  <c r="B82" i="35" a="1"/>
  <c r="D4" i="58" a="1"/>
  <c r="D4" i="59" a="1"/>
  <c r="B92" i="7" a="1"/>
  <c r="B92" i="35" a="1"/>
  <c r="C34" i="58" a="1"/>
  <c r="D15" i="58" a="1"/>
  <c r="C34" i="59" a="1"/>
  <c r="D15" i="59" a="1"/>
  <c r="B224" i="8" a="1"/>
  <c r="C187" i="8" a="1"/>
  <c r="B224" i="38" a="1"/>
  <c r="C187" i="38" a="1"/>
  <c r="B197" i="8" a="1"/>
  <c r="C157" i="8" a="1"/>
  <c r="B197" i="38" a="1"/>
  <c r="C157" i="38" a="1"/>
  <c r="D13" i="58" a="1"/>
  <c r="D13" i="59" a="1"/>
  <c r="C26" i="58" a="1"/>
  <c r="C26" i="59" a="1"/>
  <c r="B206" i="8" a="1"/>
  <c r="C167" i="8" a="1"/>
  <c r="B206" i="38" a="1"/>
  <c r="C167" i="38" a="1"/>
  <c r="C37" i="59" a="1"/>
  <c r="B215" i="8" a="1"/>
  <c r="C177" i="8" a="1"/>
  <c r="B215" i="38" a="1"/>
  <c r="C177" i="38" a="1"/>
  <c r="C35" i="58" a="1"/>
  <c r="D24" i="58" a="1"/>
  <c r="C35" i="59" a="1"/>
  <c r="D24" i="59" a="1"/>
  <c r="E73" i="4" a="1"/>
  <c r="E73" i="29" a="1"/>
  <c r="D58" i="58" a="1"/>
  <c r="D58" i="59" a="1"/>
  <c r="D175" i="29" a="1"/>
  <c r="D189" i="29" a="1"/>
  <c r="D89" i="29" a="1"/>
  <c r="C45" i="59" a="1"/>
  <c r="C124" i="30" a="1"/>
  <c r="D38" i="29" a="1"/>
  <c r="D167" i="29" a="1"/>
  <c r="B380" i="38" a="1"/>
  <c r="D121" i="29" a="1"/>
  <c r="D55" i="29" a="1"/>
  <c r="D107" i="29" a="1"/>
  <c r="D40" i="29" a="1"/>
  <c r="D48" i="29" a="1"/>
  <c r="D39" i="29" a="1"/>
  <c r="D41" i="29" a="1"/>
  <c r="D47" i="29" a="1"/>
  <c r="D49" i="29" a="1"/>
  <c r="D56" i="29" a="1"/>
  <c r="D57" i="29" a="1"/>
  <c r="D58" i="29" a="1"/>
  <c r="C88" i="30" a="1"/>
  <c r="C106" i="30" a="1"/>
  <c r="C97" i="30" a="1"/>
  <c r="C115" i="30" a="1"/>
  <c r="D174" i="29" a="1"/>
  <c r="B371" i="38" a="1"/>
  <c r="D169" i="29" a="1"/>
  <c r="D170" i="29" a="1"/>
  <c r="C638" i="1" a="1"/>
  <c r="D591" i="1" a="1"/>
  <c r="D591" i="1"/>
  <c r="D638" i="1"/>
  <c r="E591" i="1"/>
  <c r="F591" i="1"/>
  <c r="G591" i="1"/>
  <c r="H591" i="1"/>
  <c r="H638" i="1"/>
  <c r="E638" i="1"/>
  <c r="I591" i="1"/>
  <c r="I638" i="1"/>
  <c r="C638" i="1"/>
  <c r="G638" i="1"/>
  <c r="F638" i="1"/>
  <c r="J591" i="1"/>
  <c r="J638" i="1"/>
  <c r="K591" i="1"/>
  <c r="K638" i="1"/>
  <c r="L591" i="1"/>
  <c r="L638" i="1"/>
  <c r="C593" i="1" a="1"/>
  <c r="C611" i="1" a="1"/>
  <c r="C616" i="1"/>
  <c r="C612" i="1"/>
  <c r="D616" i="1"/>
  <c r="D613" i="1"/>
  <c r="E615" i="1"/>
  <c r="E612" i="1"/>
  <c r="C618" i="1"/>
  <c r="C617" i="1"/>
  <c r="D614" i="1"/>
  <c r="D618" i="1"/>
  <c r="E613" i="1"/>
  <c r="E616" i="1"/>
  <c r="F618" i="1"/>
  <c r="F615" i="1"/>
  <c r="G617" i="1"/>
  <c r="G613" i="1"/>
  <c r="H614" i="1"/>
  <c r="H611" i="1"/>
  <c r="I614" i="1"/>
  <c r="I612" i="1"/>
  <c r="C614" i="1"/>
  <c r="C613" i="1"/>
  <c r="D615" i="1"/>
  <c r="D612" i="1"/>
  <c r="E618" i="1"/>
  <c r="E611" i="1"/>
  <c r="F616" i="1"/>
  <c r="F611" i="1"/>
  <c r="G616" i="1"/>
  <c r="G618" i="1"/>
  <c r="H616" i="1"/>
  <c r="H615" i="1"/>
  <c r="I611" i="1"/>
  <c r="I617" i="1"/>
  <c r="D617" i="1"/>
  <c r="F612" i="1"/>
  <c r="G612" i="1"/>
  <c r="H613" i="1"/>
  <c r="I615" i="1"/>
  <c r="D611" i="1"/>
  <c r="F614" i="1"/>
  <c r="G611" i="1"/>
  <c r="H612" i="1"/>
  <c r="I618" i="1"/>
  <c r="C615" i="1"/>
  <c r="E614" i="1"/>
  <c r="F617" i="1"/>
  <c r="G615" i="1"/>
  <c r="H618" i="1"/>
  <c r="I616" i="1"/>
  <c r="C611" i="1"/>
  <c r="E617" i="1"/>
  <c r="F613" i="1"/>
  <c r="G614" i="1"/>
  <c r="H617" i="1"/>
  <c r="I613" i="1"/>
  <c r="J613" i="1"/>
  <c r="J614" i="1"/>
  <c r="J616" i="1"/>
  <c r="J617" i="1"/>
  <c r="J618" i="1"/>
  <c r="J612" i="1"/>
  <c r="J611" i="1"/>
  <c r="J615" i="1"/>
  <c r="K617" i="1"/>
  <c r="K616" i="1"/>
  <c r="K611" i="1"/>
  <c r="K615" i="1"/>
  <c r="K618" i="1"/>
  <c r="K614" i="1"/>
  <c r="K613" i="1"/>
  <c r="K612" i="1"/>
  <c r="L612" i="1"/>
  <c r="L618" i="1"/>
  <c r="L611" i="1"/>
  <c r="L616" i="1"/>
  <c r="L614" i="1"/>
  <c r="L615" i="1"/>
  <c r="L613" i="1"/>
  <c r="L617" i="1"/>
  <c r="C620" i="1" a="1"/>
  <c r="C625" i="1"/>
  <c r="C627" i="1"/>
  <c r="D624" i="1"/>
  <c r="D626" i="1"/>
  <c r="E622" i="1"/>
  <c r="E625" i="1"/>
  <c r="F624" i="1"/>
  <c r="F625" i="1"/>
  <c r="G624" i="1"/>
  <c r="G622" i="1"/>
  <c r="H627" i="1"/>
  <c r="H626" i="1"/>
  <c r="I624" i="1"/>
  <c r="I626" i="1"/>
  <c r="C621" i="1"/>
  <c r="C626" i="1"/>
  <c r="D623" i="1"/>
  <c r="D627" i="1"/>
  <c r="E627" i="1"/>
  <c r="E626" i="1"/>
  <c r="F620" i="1"/>
  <c r="F623" i="1"/>
  <c r="G621" i="1"/>
  <c r="G625" i="1"/>
  <c r="H621" i="1"/>
  <c r="H625" i="1"/>
  <c r="I627" i="1"/>
  <c r="I622" i="1"/>
  <c r="C624" i="1"/>
  <c r="D621" i="1"/>
  <c r="E624" i="1"/>
  <c r="F622" i="1"/>
  <c r="G626" i="1"/>
  <c r="H620" i="1"/>
  <c r="I623" i="1"/>
  <c r="C623" i="1"/>
  <c r="D625" i="1"/>
  <c r="E623" i="1"/>
  <c r="F621" i="1"/>
  <c r="G627" i="1"/>
  <c r="H624" i="1"/>
  <c r="I620" i="1"/>
  <c r="C622" i="1"/>
  <c r="D622" i="1"/>
  <c r="E620" i="1"/>
  <c r="F627" i="1"/>
  <c r="G620" i="1"/>
  <c r="H623" i="1"/>
  <c r="I625" i="1"/>
  <c r="C620" i="1"/>
  <c r="D620" i="1"/>
  <c r="E621" i="1"/>
  <c r="F626" i="1"/>
  <c r="G623" i="1"/>
  <c r="H622" i="1"/>
  <c r="I621" i="1"/>
  <c r="J622" i="1"/>
  <c r="J623" i="1"/>
  <c r="J627" i="1"/>
  <c r="J626" i="1"/>
  <c r="J624" i="1"/>
  <c r="J620" i="1"/>
  <c r="J625" i="1"/>
  <c r="J621" i="1"/>
  <c r="K624" i="1"/>
  <c r="K622" i="1"/>
  <c r="K625" i="1"/>
  <c r="K623" i="1"/>
  <c r="K620" i="1"/>
  <c r="K627" i="1"/>
  <c r="K626" i="1"/>
  <c r="K621" i="1"/>
  <c r="L624" i="1"/>
  <c r="L627" i="1"/>
  <c r="L622" i="1"/>
  <c r="L625" i="1"/>
  <c r="L620" i="1"/>
  <c r="L626" i="1"/>
  <c r="L621" i="1"/>
  <c r="L623" i="1"/>
  <c r="C629" i="1" a="1"/>
  <c r="C631" i="1"/>
  <c r="C635" i="1"/>
  <c r="D635" i="1"/>
  <c r="D631" i="1"/>
  <c r="E631" i="1"/>
  <c r="E632" i="1"/>
  <c r="F636" i="1"/>
  <c r="F632" i="1"/>
  <c r="G630" i="1"/>
  <c r="H634" i="1"/>
  <c r="H636" i="1"/>
  <c r="I631" i="1"/>
  <c r="I630" i="1"/>
  <c r="C630" i="1"/>
  <c r="C636" i="1"/>
  <c r="D630" i="1"/>
  <c r="D629" i="1"/>
  <c r="E636" i="1"/>
  <c r="E635" i="1"/>
  <c r="F630" i="1"/>
  <c r="G632" i="1"/>
  <c r="G634" i="1"/>
  <c r="H635" i="1"/>
  <c r="H629" i="1"/>
  <c r="I635" i="1"/>
  <c r="I632" i="1"/>
  <c r="C632" i="1"/>
  <c r="C634" i="1"/>
  <c r="D636" i="1"/>
  <c r="E630" i="1"/>
  <c r="E629" i="1"/>
  <c r="F634" i="1"/>
  <c r="F633" i="1"/>
  <c r="G629" i="1"/>
  <c r="G631" i="1"/>
  <c r="H631" i="1"/>
  <c r="I636" i="1"/>
  <c r="I629" i="1"/>
  <c r="C629" i="1"/>
  <c r="F631" i="1"/>
  <c r="H633" i="1"/>
  <c r="D632" i="1"/>
  <c r="F635" i="1"/>
  <c r="H632" i="1"/>
  <c r="D633" i="1"/>
  <c r="G633" i="1"/>
  <c r="I634" i="1"/>
  <c r="C633" i="1"/>
  <c r="E633" i="1"/>
  <c r="G635" i="1"/>
  <c r="I633" i="1"/>
  <c r="E634" i="1"/>
  <c r="F629" i="1"/>
  <c r="G636" i="1"/>
  <c r="H630" i="1"/>
  <c r="D634" i="1"/>
  <c r="J631" i="1"/>
  <c r="J635" i="1"/>
  <c r="J636" i="1"/>
  <c r="J634" i="1"/>
  <c r="J632" i="1"/>
  <c r="J629" i="1"/>
  <c r="J630" i="1"/>
  <c r="J633" i="1"/>
  <c r="K629" i="1"/>
  <c r="K631" i="1"/>
  <c r="K630" i="1"/>
  <c r="K632" i="1"/>
  <c r="K636" i="1"/>
  <c r="K635" i="1"/>
  <c r="K633" i="1"/>
  <c r="K634" i="1"/>
  <c r="L631" i="1"/>
  <c r="L634" i="1"/>
  <c r="L629" i="1"/>
  <c r="L633" i="1"/>
  <c r="L632" i="1"/>
  <c r="L636" i="1"/>
  <c r="L630" i="1"/>
  <c r="L635" i="1"/>
  <c r="C602" i="1" a="1"/>
  <c r="C603" i="1"/>
  <c r="C604" i="1"/>
  <c r="D602" i="1"/>
  <c r="E604" i="1"/>
  <c r="E607" i="1"/>
  <c r="F603" i="1"/>
  <c r="F608" i="1"/>
  <c r="G602" i="1"/>
  <c r="G604" i="1"/>
  <c r="H609" i="1"/>
  <c r="I609" i="1"/>
  <c r="I602" i="1"/>
  <c r="C608" i="1"/>
  <c r="C602" i="1"/>
  <c r="D604" i="1"/>
  <c r="D607" i="1"/>
  <c r="E608" i="1"/>
  <c r="E605" i="1"/>
  <c r="F606" i="1"/>
  <c r="F604" i="1"/>
  <c r="G606" i="1"/>
  <c r="H606" i="1"/>
  <c r="H608" i="1"/>
  <c r="I607" i="1"/>
  <c r="I604" i="1"/>
  <c r="C605" i="1"/>
  <c r="C609" i="1"/>
  <c r="D603" i="1"/>
  <c r="D606" i="1"/>
  <c r="E603" i="1"/>
  <c r="F607" i="1"/>
  <c r="F605" i="1"/>
  <c r="G603" i="1"/>
  <c r="G605" i="1"/>
  <c r="H605" i="1"/>
  <c r="H607" i="1"/>
  <c r="I605" i="1"/>
  <c r="D608" i="1"/>
  <c r="F609" i="1"/>
  <c r="H603" i="1"/>
  <c r="D605" i="1"/>
  <c r="G608" i="1"/>
  <c r="I606" i="1"/>
  <c r="C606" i="1"/>
  <c r="E602" i="1"/>
  <c r="G607" i="1"/>
  <c r="I608" i="1"/>
  <c r="C607" i="1"/>
  <c r="E606" i="1"/>
  <c r="H602" i="1"/>
  <c r="F602" i="1"/>
  <c r="G609" i="1"/>
  <c r="H604" i="1"/>
  <c r="D609" i="1"/>
  <c r="I603" i="1"/>
  <c r="E609" i="1"/>
  <c r="J603" i="1"/>
  <c r="J606" i="1"/>
  <c r="J608" i="1"/>
  <c r="J609" i="1"/>
  <c r="J602" i="1"/>
  <c r="J604" i="1"/>
  <c r="J607" i="1"/>
  <c r="J605" i="1"/>
  <c r="K604" i="1"/>
  <c r="K609" i="1"/>
  <c r="K608" i="1"/>
  <c r="K606" i="1"/>
  <c r="K605" i="1"/>
  <c r="K603" i="1"/>
  <c r="K602" i="1"/>
  <c r="K607" i="1"/>
  <c r="L603" i="1"/>
  <c r="L607" i="1"/>
  <c r="L609" i="1"/>
  <c r="L605" i="1"/>
  <c r="L602" i="1"/>
  <c r="L606" i="1"/>
  <c r="L608" i="1"/>
  <c r="L604" i="1"/>
  <c r="L595" i="1"/>
  <c r="L599" i="1"/>
  <c r="L596" i="1"/>
  <c r="L600" i="1"/>
  <c r="L598" i="1"/>
  <c r="L597" i="1"/>
  <c r="L593" i="1"/>
  <c r="L594" i="1"/>
  <c r="K597" i="1"/>
  <c r="K599" i="1"/>
  <c r="K594" i="1"/>
  <c r="K595" i="1"/>
  <c r="K600" i="1"/>
  <c r="K596" i="1"/>
  <c r="K598" i="1"/>
  <c r="K593" i="1"/>
  <c r="J594" i="1"/>
  <c r="J598" i="1"/>
  <c r="J597" i="1"/>
  <c r="J595" i="1"/>
  <c r="J599" i="1"/>
  <c r="J596" i="1"/>
  <c r="J600" i="1"/>
  <c r="J593" i="1"/>
  <c r="F600" i="1"/>
  <c r="E597" i="1"/>
  <c r="D598" i="1"/>
  <c r="H594" i="1"/>
  <c r="I596" i="1"/>
  <c r="G593" i="1"/>
  <c r="H600" i="1"/>
  <c r="F595" i="1"/>
  <c r="D594" i="1"/>
  <c r="H598" i="1"/>
  <c r="F593" i="1"/>
  <c r="D596" i="1"/>
  <c r="I598" i="1"/>
  <c r="G595" i="1"/>
  <c r="E595" i="1"/>
  <c r="C600" i="1"/>
  <c r="I594" i="1"/>
  <c r="G599" i="1"/>
  <c r="E600" i="1"/>
  <c r="C593" i="1"/>
  <c r="I597" i="1"/>
  <c r="I593" i="1"/>
  <c r="H593" i="1"/>
  <c r="H599" i="1"/>
  <c r="G596" i="1"/>
  <c r="G598" i="1"/>
  <c r="F598" i="1"/>
  <c r="F599" i="1"/>
  <c r="E599" i="1"/>
  <c r="E598" i="1"/>
  <c r="D593" i="1"/>
  <c r="D600" i="1"/>
  <c r="C597" i="1"/>
  <c r="C595" i="1"/>
  <c r="I595" i="1"/>
  <c r="I599" i="1"/>
  <c r="H595" i="1"/>
  <c r="H596" i="1"/>
  <c r="G600" i="1"/>
  <c r="G597" i="1"/>
  <c r="F594" i="1"/>
  <c r="F596" i="1"/>
  <c r="E596" i="1"/>
  <c r="E594" i="1"/>
  <c r="D595" i="1"/>
  <c r="D599" i="1"/>
  <c r="C596" i="1"/>
  <c r="C599" i="1"/>
  <c r="I600" i="1"/>
  <c r="H597" i="1"/>
  <c r="G594" i="1"/>
  <c r="F597" i="1"/>
  <c r="E593" i="1"/>
  <c r="D597" i="1"/>
  <c r="C594" i="1"/>
  <c r="C598" i="1"/>
  <c r="D187" i="29" a="1"/>
  <c r="C694" i="1" a="1"/>
  <c r="D647" i="1" a="1"/>
  <c r="C676" i="1" a="1"/>
  <c r="C667" i="1" a="1"/>
  <c r="C658" i="1" a="1"/>
  <c r="C649" i="1" a="1"/>
  <c r="C685" i="1" a="1"/>
  <c r="D199" i="29" a="1"/>
  <c r="D199" i="4" a="1"/>
  <c r="C292" i="30" a="1"/>
  <c r="D108" i="4" a="1"/>
  <c r="D108" i="29" a="1"/>
  <c r="D39" i="4" a="1"/>
  <c r="D169" i="4" a="1"/>
  <c r="D202" i="4" a="1"/>
  <c r="D40" i="4" a="1"/>
  <c r="C202" i="30" a="1"/>
  <c r="C88" i="6" a="1"/>
  <c r="C97" i="6" a="1"/>
  <c r="D57" i="4" a="1"/>
  <c r="C106" i="6" a="1"/>
  <c r="D47" i="4" a="1"/>
  <c r="D112" i="29" a="1"/>
  <c r="D112" i="4" a="1"/>
  <c r="D200" i="29" a="1"/>
  <c r="C148" i="30" a="1"/>
  <c r="D59" i="29" a="1"/>
  <c r="D122" i="4" a="1"/>
  <c r="D122" i="29" a="1"/>
  <c r="D56" i="4" a="1"/>
  <c r="C115" i="6" a="1"/>
  <c r="C229" i="30" a="1"/>
  <c r="D42" i="4" a="1"/>
  <c r="D41" i="4" a="1"/>
  <c r="D42" i="29" a="1"/>
  <c r="D50" i="4" a="1"/>
  <c r="D49" i="4" a="1"/>
  <c r="D48" i="4" a="1"/>
  <c r="D50" i="29" a="1"/>
  <c r="D44" i="4" a="1"/>
  <c r="D200" i="4" a="1"/>
  <c r="D58" i="4" a="1"/>
  <c r="C292" i="6" a="1"/>
  <c r="D187" i="4" a="1"/>
  <c r="D170" i="4" a="1"/>
  <c r="C125" i="6" a="1"/>
  <c r="C125" i="30" a="1"/>
  <c r="C229" i="6" a="1"/>
  <c r="D45" i="4" a="1"/>
  <c r="C148" i="6" a="1"/>
  <c r="B130" i="35" a="1"/>
  <c r="E111" i="4" a="1"/>
  <c r="E111" i="29" a="1"/>
  <c r="D52" i="4" a="1"/>
  <c r="D114" i="4" a="1"/>
  <c r="C202" i="6" a="1"/>
  <c r="D59" i="4" a="1"/>
  <c r="D126" i="4" a="1"/>
  <c r="D52" i="29" a="1"/>
  <c r="B721" i="8" a="1"/>
  <c r="D126" i="29" a="1"/>
  <c r="D45" i="29" a="1"/>
  <c r="D44" i="29" a="1"/>
  <c r="D64" i="29" a="1"/>
  <c r="D61" i="29" a="1"/>
  <c r="D114" i="29" a="1"/>
  <c r="D62" i="29" a="1"/>
  <c r="D128" i="29" a="1"/>
  <c r="C211" i="30" a="1"/>
  <c r="E125" i="29" a="1"/>
  <c r="D67" i="29" a="1"/>
  <c r="D68" i="29" a="1"/>
  <c r="C211" i="6" a="1"/>
  <c r="D70" i="29" a="1"/>
  <c r="D64" i="4" a="1"/>
  <c r="D62" i="4" a="1"/>
  <c r="D61" i="4" a="1"/>
  <c r="E125" i="4" a="1"/>
  <c r="D99" i="29" a="1"/>
  <c r="D70" i="4" a="1"/>
  <c r="D99" i="4" a="1"/>
  <c r="C157" i="6" a="1"/>
  <c r="D102" i="4" a="1"/>
  <c r="D104" i="4" a="1"/>
  <c r="C166" i="6" a="1"/>
  <c r="C175" i="6" a="1"/>
  <c r="E101" i="4" a="1"/>
  <c r="C184" i="6" a="1"/>
  <c r="C193" i="6" a="1"/>
  <c r="D115" i="29" a="1"/>
  <c r="D117" i="29" a="1"/>
  <c r="D117" i="4" a="1"/>
  <c r="D115" i="4" a="1"/>
  <c r="D129" i="29" a="1"/>
  <c r="D119" i="4" a="1"/>
  <c r="D119" i="29" a="1"/>
  <c r="D116" i="4" a="1"/>
  <c r="D128" i="4" a="1"/>
  <c r="D105" i="4" a="1"/>
  <c r="D118" i="4" a="1"/>
  <c r="D129" i="4" a="1"/>
  <c r="D68" i="4" a="1"/>
  <c r="D75" i="29" a="1"/>
  <c r="C238" i="6" a="1"/>
  <c r="D67" i="4" a="1"/>
  <c r="D76" i="4" a="1"/>
  <c r="D76" i="29" a="1"/>
  <c r="C157" i="30" a="1"/>
  <c r="D102" i="29" a="1"/>
  <c r="D88" i="29" a="1"/>
  <c r="D90" i="29" a="1"/>
  <c r="D91" i="29" a="1"/>
  <c r="D88" i="4" a="1"/>
  <c r="D92" i="29" a="1"/>
  <c r="D75" i="4" a="1"/>
  <c r="D104" i="29" a="1"/>
  <c r="E101" i="29" a="1"/>
  <c r="C166" i="30" a="1"/>
  <c r="C175" i="30" a="1"/>
  <c r="C184" i="30" a="1"/>
  <c r="C247" i="6" a="1"/>
  <c r="C193" i="30" a="1"/>
  <c r="D90" i="4" a="1"/>
  <c r="C256" i="6" a="1"/>
  <c r="C265" i="6" a="1"/>
  <c r="C274" i="6" a="1"/>
  <c r="C283" i="6" a="1"/>
  <c r="C301" i="6" a="1"/>
  <c r="C310" i="6" a="1"/>
  <c r="C319" i="6" a="1"/>
  <c r="D116" i="29" a="1"/>
  <c r="D105" i="29" a="1"/>
  <c r="D118" i="29" a="1"/>
  <c r="D91" i="4" a="1"/>
  <c r="C328" i="6" a="1"/>
  <c r="C238" i="30" a="1"/>
  <c r="D131" i="29" a="1"/>
  <c r="C247" i="30" a="1"/>
  <c r="D92" i="4" a="1"/>
  <c r="D161" i="29" a="1"/>
  <c r="D131" i="4" a="1"/>
  <c r="C256" i="30" a="1"/>
  <c r="C265" i="30" a="1"/>
  <c r="C274" i="30" a="1"/>
  <c r="C283" i="30" a="1"/>
  <c r="C301" i="30" a="1"/>
  <c r="C310" i="30" a="1"/>
  <c r="C337" i="6" a="1"/>
  <c r="C355" i="6" a="1"/>
  <c r="C319" i="30" a="1"/>
  <c r="D221" i="29" a="1"/>
  <c r="D161" i="4" a="1"/>
  <c r="C328" i="30" a="1"/>
  <c r="E164" i="29" a="1"/>
  <c r="E166" i="29" a="1"/>
  <c r="E168" i="29" a="1"/>
  <c r="E60" i="29" a="1"/>
  <c r="E43" i="29" a="1"/>
  <c r="E51" i="29" a="1"/>
  <c r="E96" i="29" a="1"/>
  <c r="E85" i="29" a="1"/>
  <c r="E164" i="4" a="1"/>
  <c r="E83" i="29" a="1"/>
  <c r="E84" i="29" a="1"/>
  <c r="E191" i="29" a="1"/>
  <c r="C337" i="30" a="1"/>
  <c r="C355" i="30" a="1"/>
  <c r="C373" i="6" a="1"/>
  <c r="E98" i="29" a="1"/>
  <c r="C382" i="6" a="1"/>
  <c r="D221" i="4" a="1"/>
  <c r="E82" i="29" a="1"/>
  <c r="E109" i="29" a="1"/>
  <c r="E123" i="29" a="1"/>
  <c r="E162" i="29" a="1"/>
  <c r="E166" i="4" a="1"/>
  <c r="C391" i="6" a="1"/>
  <c r="E213" i="29" a="1"/>
  <c r="D364" i="30" a="1"/>
  <c r="E191" i="4" a="1"/>
  <c r="E43" i="4" a="1"/>
  <c r="E60" i="4" a="1"/>
  <c r="C382" i="30" a="1"/>
  <c r="E168" i="4" a="1"/>
  <c r="E109" i="4" a="1"/>
  <c r="E96" i="4" a="1"/>
  <c r="E51" i="4" a="1"/>
  <c r="E123" i="4" a="1"/>
  <c r="E84" i="4" a="1"/>
  <c r="E83" i="4" a="1"/>
  <c r="C409" i="6" a="1"/>
  <c r="C400" i="6" a="1"/>
  <c r="C419" i="6" a="1"/>
  <c r="B6" i="9" a="1"/>
  <c r="C429" i="6" a="1"/>
  <c r="B8" i="9" a="1"/>
  <c r="E82" i="4" a="1"/>
  <c r="E85" i="4" a="1"/>
  <c r="E98" i="4" a="1"/>
  <c r="E162" i="4" a="1"/>
  <c r="D364" i="6" a="1"/>
  <c r="C419" i="30" a="1"/>
  <c r="C429" i="30" a="1"/>
  <c r="B28" i="9" a="1"/>
  <c r="B19" i="9" a="1"/>
  <c r="C373" i="30" a="1"/>
  <c r="B15" i="9" a="1"/>
  <c r="G106" i="5"/>
  <c r="D44" i="5"/>
  <c r="E95" i="4"/>
  <c r="F97" i="4"/>
  <c r="I44" i="5"/>
  <c r="J95" i="4"/>
  <c r="K97" i="4"/>
  <c r="B67" i="32"/>
  <c r="B75" i="32"/>
  <c r="B75" i="28"/>
  <c r="B43" i="32"/>
  <c r="B44" i="5"/>
  <c r="L106" i="5"/>
  <c r="H137" i="5"/>
  <c r="G75" i="5"/>
  <c r="K106" i="5"/>
  <c r="C75" i="5"/>
  <c r="H106" i="5"/>
  <c r="E75" i="5"/>
  <c r="J137" i="5"/>
  <c r="L137" i="5"/>
  <c r="G137" i="5"/>
  <c r="K137" i="5"/>
  <c r="H44" i="5"/>
  <c r="I95" i="4"/>
  <c r="J97" i="4"/>
  <c r="L44" i="5"/>
  <c r="M95" i="4"/>
  <c r="M97" i="4"/>
  <c r="B106" i="28"/>
  <c r="B103" i="32"/>
  <c r="B106" i="32"/>
  <c r="B39" i="32"/>
  <c r="B44" i="32"/>
  <c r="H75" i="5"/>
  <c r="B23" i="58"/>
  <c r="I106" i="5"/>
  <c r="C137" i="5"/>
  <c r="D137" i="5"/>
  <c r="L767" i="1"/>
  <c r="D776" i="1"/>
  <c r="I765" i="1"/>
  <c r="H792" i="1"/>
  <c r="J791" i="1"/>
  <c r="L787" i="1"/>
  <c r="C786" i="1"/>
  <c r="G756" i="1"/>
  <c r="C780" i="1"/>
  <c r="F789" i="1"/>
  <c r="L794" i="1"/>
  <c r="G786" i="1"/>
  <c r="I789" i="1"/>
  <c r="K794" i="1"/>
  <c r="H785" i="1"/>
  <c r="J421" i="1"/>
  <c r="D782" i="1"/>
  <c r="H772" i="1"/>
  <c r="H753" i="1"/>
  <c r="H783" i="1"/>
  <c r="E790" i="1"/>
  <c r="D760" i="1"/>
  <c r="C768" i="1"/>
  <c r="D753" i="1"/>
  <c r="J772" i="1"/>
  <c r="F788" i="1"/>
  <c r="G789" i="1"/>
  <c r="C789" i="1"/>
  <c r="D771" i="1"/>
  <c r="L792" i="1"/>
  <c r="L791" i="1"/>
  <c r="H773" i="1"/>
  <c r="I788" i="1"/>
  <c r="E787" i="1"/>
  <c r="C782" i="1"/>
  <c r="I773" i="1"/>
  <c r="F753" i="1"/>
  <c r="G792" i="1"/>
  <c r="G773" i="1"/>
  <c r="E749" i="1"/>
  <c r="H786" i="1"/>
  <c r="E751" i="1"/>
  <c r="C750" i="1"/>
  <c r="J790" i="1"/>
  <c r="D750" i="1"/>
  <c r="I774" i="1"/>
  <c r="G788" i="1"/>
  <c r="H750" i="1"/>
  <c r="K792" i="1"/>
  <c r="L790" i="1"/>
  <c r="L756" i="1"/>
  <c r="I750" i="1"/>
  <c r="I753" i="1"/>
  <c r="L750" i="1"/>
  <c r="K749" i="1"/>
  <c r="J754" i="1"/>
  <c r="L770" i="1"/>
  <c r="H794" i="1"/>
  <c r="J774" i="1"/>
  <c r="H782" i="1"/>
  <c r="D769" i="1"/>
  <c r="I768" i="1"/>
  <c r="D781" i="1"/>
  <c r="G762" i="1"/>
  <c r="E783" i="1"/>
  <c r="J771" i="1"/>
  <c r="I424" i="1"/>
  <c r="L783" i="1"/>
  <c r="K768" i="1"/>
  <c r="J778" i="1"/>
  <c r="I782" i="1"/>
  <c r="F422" i="1"/>
  <c r="I776" i="1"/>
  <c r="C763" i="1"/>
  <c r="J780" i="1"/>
  <c r="E426" i="1"/>
  <c r="E786" i="1"/>
  <c r="E791" i="1"/>
  <c r="C420" i="1"/>
  <c r="E788" i="1"/>
  <c r="L773" i="1"/>
  <c r="L778" i="1"/>
  <c r="H791" i="1"/>
  <c r="E427" i="1"/>
  <c r="C756" i="1"/>
  <c r="K787" i="1"/>
  <c r="E789" i="1"/>
  <c r="C769" i="1"/>
  <c r="H788" i="1"/>
  <c r="F754" i="1"/>
  <c r="G776" i="1"/>
  <c r="C781" i="1"/>
  <c r="H780" i="1"/>
  <c r="H767" i="1"/>
  <c r="G785" i="1"/>
  <c r="C771" i="1"/>
  <c r="C751" i="1"/>
  <c r="K776" i="1"/>
  <c r="G754" i="1"/>
  <c r="G772" i="1"/>
  <c r="J767" i="1"/>
  <c r="D785" i="1"/>
  <c r="E769" i="1"/>
  <c r="I792" i="1"/>
  <c r="K786" i="1"/>
  <c r="D788" i="1"/>
  <c r="K781" i="1"/>
  <c r="J751" i="1"/>
  <c r="J756" i="1"/>
  <c r="J755" i="1"/>
  <c r="L753" i="1"/>
  <c r="I755" i="1"/>
  <c r="K750" i="1"/>
  <c r="K751" i="1"/>
  <c r="I751" i="1"/>
  <c r="I783" i="1"/>
  <c r="K772" i="1"/>
  <c r="F768" i="1"/>
  <c r="F769" i="1"/>
  <c r="E782" i="1"/>
  <c r="H770" i="1"/>
  <c r="F773" i="1"/>
  <c r="J762" i="1"/>
  <c r="C773" i="1"/>
  <c r="H423" i="1"/>
  <c r="J763" i="1"/>
  <c r="J765" i="1"/>
  <c r="D423" i="1"/>
  <c r="K774" i="1"/>
  <c r="E771" i="1"/>
  <c r="C776" i="1"/>
  <c r="J779" i="1"/>
  <c r="E777" i="1"/>
  <c r="E763" i="1"/>
  <c r="C762" i="1"/>
  <c r="K765" i="1"/>
  <c r="I763" i="1"/>
  <c r="E765" i="1"/>
  <c r="K762" i="1"/>
  <c r="I759" i="1"/>
  <c r="H421" i="1"/>
  <c r="G427" i="1"/>
  <c r="H754" i="1"/>
  <c r="L772" i="1"/>
  <c r="J794" i="1"/>
  <c r="E754" i="1"/>
  <c r="G760" i="1"/>
  <c r="C788" i="1"/>
  <c r="D790" i="1"/>
  <c r="D789" i="1"/>
  <c r="J759" i="1"/>
  <c r="I422" i="1"/>
  <c r="L762" i="1"/>
  <c r="F777" i="1"/>
  <c r="K782" i="1"/>
  <c r="L779" i="1"/>
  <c r="C761" i="1"/>
  <c r="G761" i="1"/>
  <c r="H763" i="1"/>
  <c r="H759" i="1"/>
  <c r="D425" i="1"/>
  <c r="E759" i="1"/>
  <c r="D749" i="1"/>
  <c r="G751" i="1"/>
  <c r="D794" i="1"/>
  <c r="J760" i="1"/>
  <c r="K760" i="1"/>
  <c r="J764" i="1"/>
  <c r="K769" i="1"/>
  <c r="L768" i="1"/>
  <c r="C770" i="1"/>
  <c r="J414" i="1"/>
  <c r="H418" i="1"/>
  <c r="L416" i="1"/>
  <c r="E414" i="1"/>
  <c r="D411" i="1"/>
  <c r="H413" i="1"/>
  <c r="J415" i="1"/>
  <c r="F794" i="1"/>
  <c r="F781" i="1"/>
  <c r="F779" i="1"/>
  <c r="G749" i="1"/>
  <c r="C783" i="1"/>
  <c r="G782" i="1"/>
  <c r="I786" i="1"/>
  <c r="H787" i="1"/>
  <c r="I767" i="1"/>
  <c r="D758" i="1"/>
  <c r="C790" i="1"/>
  <c r="I791" i="1"/>
  <c r="I785" i="1"/>
  <c r="H781" i="1"/>
  <c r="H790" i="1"/>
  <c r="D792" i="1"/>
  <c r="L785" i="1"/>
  <c r="E753" i="1"/>
  <c r="F759" i="1"/>
  <c r="F791" i="1"/>
  <c r="L781" i="1"/>
  <c r="I790" i="1"/>
  <c r="D756" i="1"/>
  <c r="D770" i="1"/>
  <c r="C774" i="1"/>
  <c r="D767" i="1"/>
  <c r="D780" i="1"/>
  <c r="F786" i="1"/>
  <c r="K752" i="1"/>
  <c r="I752" i="1"/>
  <c r="L751" i="1"/>
  <c r="J750" i="1"/>
  <c r="L749" i="1"/>
  <c r="L782" i="1"/>
  <c r="F776" i="1"/>
  <c r="F778" i="1"/>
  <c r="L769" i="1"/>
  <c r="F783" i="1"/>
  <c r="J776" i="1"/>
  <c r="K780" i="1"/>
  <c r="G780" i="1"/>
  <c r="J777" i="1"/>
  <c r="F782" i="1"/>
  <c r="H769" i="1"/>
  <c r="E767" i="1"/>
  <c r="D765" i="1"/>
  <c r="D759" i="1"/>
  <c r="H762" i="1"/>
  <c r="C759" i="1"/>
  <c r="G753" i="1"/>
  <c r="F424" i="1"/>
  <c r="F425" i="1"/>
  <c r="H425" i="1"/>
  <c r="L771" i="1"/>
  <c r="D786" i="1"/>
  <c r="K788" i="1"/>
  <c r="C758" i="1"/>
  <c r="K777" i="1"/>
  <c r="G778" i="1"/>
  <c r="L759" i="1"/>
  <c r="J761" i="1"/>
  <c r="E421" i="1"/>
  <c r="D752" i="1"/>
  <c r="D762" i="1"/>
  <c r="K759" i="1"/>
  <c r="I426" i="1"/>
  <c r="J768" i="1"/>
  <c r="G769" i="1"/>
  <c r="I418" i="1"/>
  <c r="E413" i="1"/>
  <c r="C418" i="1"/>
  <c r="E417" i="1"/>
  <c r="J411" i="1"/>
  <c r="L413" i="1"/>
  <c r="C415" i="1"/>
  <c r="I416" i="1"/>
  <c r="I412" i="1"/>
  <c r="F749" i="1"/>
  <c r="F780" i="1"/>
  <c r="C753" i="1"/>
  <c r="K778" i="1"/>
  <c r="H768" i="1"/>
  <c r="I779" i="1"/>
  <c r="J792" i="1"/>
  <c r="D779" i="1"/>
  <c r="C779" i="1"/>
  <c r="G777" i="1"/>
  <c r="D791" i="1"/>
  <c r="I794" i="1"/>
  <c r="J770" i="1"/>
  <c r="G779" i="1"/>
  <c r="D787" i="1"/>
  <c r="E781" i="1"/>
  <c r="L789" i="1"/>
  <c r="K789" i="1"/>
  <c r="L788" i="1"/>
  <c r="K767" i="1"/>
  <c r="J752" i="1"/>
  <c r="J753" i="1"/>
  <c r="K754" i="1"/>
  <c r="J749" i="1"/>
  <c r="I749" i="1"/>
  <c r="L774" i="1"/>
  <c r="G768" i="1"/>
  <c r="E773" i="1"/>
  <c r="J769" i="1"/>
  <c r="L776" i="1"/>
  <c r="L425" i="1"/>
  <c r="D424" i="1"/>
  <c r="E779" i="1"/>
  <c r="E761" i="1"/>
  <c r="I770" i="1"/>
  <c r="I760" i="1"/>
  <c r="D761" i="1"/>
  <c r="K758" i="1"/>
  <c r="L761" i="1"/>
  <c r="H758" i="1"/>
  <c r="K770" i="1"/>
  <c r="I762" i="1"/>
  <c r="D768" i="1"/>
  <c r="I787" i="1"/>
  <c r="F790" i="1"/>
  <c r="L420" i="1"/>
  <c r="J781" i="1"/>
  <c r="F764" i="1"/>
  <c r="F762" i="1"/>
  <c r="G755" i="1"/>
  <c r="I758" i="1"/>
  <c r="F420" i="1"/>
  <c r="F763" i="1"/>
  <c r="F774" i="1"/>
  <c r="K416" i="1"/>
  <c r="E411" i="1"/>
  <c r="G412" i="1"/>
  <c r="J416" i="1"/>
  <c r="C417" i="1"/>
  <c r="H412" i="1"/>
  <c r="H417" i="1"/>
  <c r="L417" i="1"/>
  <c r="M443" i="6"/>
  <c r="J2" i="28"/>
  <c r="G2" i="28"/>
  <c r="C2" i="28"/>
  <c r="H2" i="28"/>
  <c r="K2" i="28"/>
  <c r="M443" i="30"/>
  <c r="A38" i="57"/>
  <c r="A31" i="57"/>
  <c r="C185" i="1" a="1"/>
  <c r="E192" i="1"/>
  <c r="F413" i="1"/>
  <c r="G417" i="1"/>
  <c r="I415" i="1"/>
  <c r="C414" i="1"/>
  <c r="F415" i="1"/>
  <c r="L412" i="1"/>
  <c r="D416" i="1"/>
  <c r="H774" i="1"/>
  <c r="F761" i="1"/>
  <c r="E764" i="1"/>
  <c r="H755" i="1"/>
  <c r="G758" i="1"/>
  <c r="F758" i="1"/>
  <c r="K763" i="1"/>
  <c r="J786" i="1"/>
  <c r="C754" i="1"/>
  <c r="C423" i="1"/>
  <c r="J758" i="1"/>
  <c r="I769" i="1"/>
  <c r="C764" i="1"/>
  <c r="H764" i="1"/>
  <c r="K761" i="1"/>
  <c r="D773" i="1"/>
  <c r="H779" i="1"/>
  <c r="G426" i="1"/>
  <c r="L780" i="1"/>
  <c r="I780" i="1"/>
  <c r="E770" i="1"/>
  <c r="K753" i="1"/>
  <c r="I754" i="1"/>
  <c r="H778" i="1"/>
  <c r="G787" i="1"/>
  <c r="C792" i="1"/>
  <c r="F792" i="1"/>
  <c r="K773" i="1"/>
  <c r="G767" i="1"/>
  <c r="D422" i="1"/>
  <c r="E750" i="1"/>
  <c r="E774" i="1"/>
  <c r="F751" i="1"/>
  <c r="F756" i="1"/>
  <c r="F770" i="1"/>
  <c r="D751" i="1"/>
  <c r="E752" i="1"/>
  <c r="D777" i="1"/>
  <c r="C791" i="1"/>
  <c r="F2" i="28"/>
  <c r="E2" i="28"/>
  <c r="I2" i="28"/>
  <c r="D173" i="1"/>
  <c r="B57" i="41"/>
  <c r="B70" i="41"/>
  <c r="C646" i="1" a="1"/>
  <c r="A2" i="57"/>
  <c r="J412" i="1"/>
  <c r="G416" i="1"/>
  <c r="I413" i="1"/>
  <c r="E415" i="1"/>
  <c r="I411" i="1"/>
  <c r="K414" i="1"/>
  <c r="E772" i="1"/>
  <c r="C794" i="1"/>
  <c r="F765" i="1"/>
  <c r="E420" i="1"/>
  <c r="K764" i="1"/>
  <c r="I781" i="1"/>
  <c r="I764" i="1"/>
  <c r="G765" i="1"/>
  <c r="C787" i="1"/>
  <c r="K790" i="1"/>
  <c r="L760" i="1"/>
  <c r="F755" i="1"/>
  <c r="H760" i="1"/>
  <c r="I761" i="1"/>
  <c r="D764" i="1"/>
  <c r="J420" i="1"/>
  <c r="G763" i="1"/>
  <c r="H776" i="1"/>
  <c r="E778" i="1"/>
  <c r="F767" i="1"/>
  <c r="J783" i="1"/>
  <c r="I772" i="1"/>
  <c r="G781" i="1"/>
  <c r="H777" i="1"/>
  <c r="G774" i="1"/>
  <c r="G750" i="1"/>
  <c r="F787" i="1"/>
  <c r="C785" i="1"/>
  <c r="I777" i="1"/>
  <c r="F760" i="1"/>
  <c r="C765" i="1"/>
  <c r="J773" i="1"/>
  <c r="J788" i="1"/>
  <c r="K791" i="1"/>
  <c r="J785" i="1"/>
  <c r="C121" i="4"/>
  <c r="C172" i="29"/>
  <c r="B70" i="57"/>
  <c r="B71" i="57"/>
  <c r="C94" i="29"/>
  <c r="C107" i="4"/>
  <c r="C108" i="29"/>
  <c r="C172" i="4"/>
  <c r="C164" i="29"/>
  <c r="C94" i="4"/>
  <c r="C107" i="29"/>
  <c r="C164" i="4"/>
  <c r="C121" i="29"/>
  <c r="C95" i="4"/>
  <c r="C95" i="29"/>
  <c r="E97" i="4"/>
  <c r="I97" i="4"/>
  <c r="C122" i="4"/>
  <c r="C122" i="29"/>
  <c r="C646" i="1"/>
  <c r="C647" i="1"/>
  <c r="L646" i="1"/>
  <c r="K646" i="1"/>
  <c r="H646" i="1"/>
  <c r="D646" i="1"/>
  <c r="E646" i="1"/>
  <c r="F646" i="1"/>
  <c r="G646" i="1"/>
  <c r="J646" i="1"/>
  <c r="I646" i="1"/>
  <c r="C121" i="40"/>
  <c r="B5" i="27" a="1"/>
  <c r="J11" i="27"/>
  <c r="K11" i="28"/>
  <c r="B23" i="27" a="1"/>
  <c r="B32" i="27" a="1"/>
  <c r="B41" i="27" a="1"/>
  <c r="B14" i="27" a="1"/>
  <c r="B50" i="27" a="1"/>
  <c r="C176" i="1" a="1"/>
  <c r="I181" i="1"/>
  <c r="C172" i="40"/>
  <c r="C108" i="4"/>
  <c r="C94" i="40"/>
  <c r="C107" i="40"/>
  <c r="C164" i="40"/>
  <c r="C95" i="40"/>
  <c r="D97" i="4"/>
  <c r="F45" i="27"/>
  <c r="B43" i="27"/>
  <c r="I46" i="27"/>
  <c r="B48" i="27"/>
  <c r="C46" i="27"/>
  <c r="J47" i="27"/>
  <c r="I45" i="27"/>
  <c r="C48" i="27"/>
  <c r="J42" i="27"/>
  <c r="K48" i="27"/>
  <c r="K47" i="27"/>
  <c r="C47" i="27"/>
  <c r="J46" i="27"/>
  <c r="H43" i="27"/>
  <c r="D48" i="27"/>
  <c r="I44" i="27"/>
  <c r="B41" i="27"/>
  <c r="D43" i="27"/>
  <c r="F44" i="27"/>
  <c r="G41" i="27"/>
  <c r="F42" i="27"/>
  <c r="D44" i="27"/>
  <c r="G42" i="27"/>
  <c r="G48" i="27"/>
  <c r="J43" i="27"/>
  <c r="I42" i="27"/>
  <c r="F46" i="27"/>
  <c r="F48" i="27"/>
  <c r="F43" i="27"/>
  <c r="H41" i="27"/>
  <c r="E43" i="27"/>
  <c r="E41" i="27"/>
  <c r="F41" i="27"/>
  <c r="E47" i="27"/>
  <c r="D41" i="27"/>
  <c r="B44" i="27"/>
  <c r="K43" i="27"/>
  <c r="J45" i="27"/>
  <c r="K46" i="27"/>
  <c r="C43" i="27"/>
  <c r="E44" i="27"/>
  <c r="E48" i="27"/>
  <c r="G46" i="27"/>
  <c r="K41" i="27"/>
  <c r="C44" i="27"/>
  <c r="B42" i="27"/>
  <c r="I43" i="27"/>
  <c r="J41" i="27"/>
  <c r="J48" i="27"/>
  <c r="I47" i="27"/>
  <c r="D42" i="27"/>
  <c r="H46" i="27"/>
  <c r="E42" i="27"/>
  <c r="I48" i="27"/>
  <c r="H44" i="27"/>
  <c r="C42" i="27"/>
  <c r="G44" i="27"/>
  <c r="D46" i="27"/>
  <c r="D47" i="27"/>
  <c r="K45" i="27"/>
  <c r="E46" i="27"/>
  <c r="F47" i="27"/>
  <c r="B45" i="27"/>
  <c r="D45" i="27"/>
  <c r="I41" i="27"/>
  <c r="C41" i="27"/>
  <c r="C45" i="27"/>
  <c r="H47" i="27"/>
  <c r="B47" i="27"/>
  <c r="K44" i="27"/>
  <c r="G47" i="27"/>
  <c r="H45" i="27"/>
  <c r="E45" i="27"/>
  <c r="H48" i="27"/>
  <c r="H42" i="27"/>
  <c r="K42" i="27"/>
  <c r="B46" i="27"/>
  <c r="J44" i="27"/>
  <c r="G45" i="27"/>
  <c r="G43" i="27"/>
  <c r="D176" i="1"/>
  <c r="C181" i="1"/>
  <c r="C9" i="59"/>
  <c r="D181" i="1"/>
  <c r="D9" i="59"/>
  <c r="F39" i="27"/>
  <c r="F36" i="27"/>
  <c r="B33" i="27"/>
  <c r="C36" i="27"/>
  <c r="B38" i="27"/>
  <c r="G34" i="27"/>
  <c r="B35" i="27"/>
  <c r="F35" i="27"/>
  <c r="J36" i="27"/>
  <c r="G39" i="27"/>
  <c r="K32" i="27"/>
  <c r="E35" i="27"/>
  <c r="B34" i="27"/>
  <c r="I32" i="27"/>
  <c r="H39" i="27"/>
  <c r="E37" i="27"/>
  <c r="G33" i="27"/>
  <c r="D38" i="27"/>
  <c r="D35" i="27"/>
  <c r="H37" i="27"/>
  <c r="E33" i="27"/>
  <c r="B37" i="27"/>
  <c r="J38" i="27"/>
  <c r="I37" i="27"/>
  <c r="K36" i="27"/>
  <c r="C34" i="27"/>
  <c r="G32" i="27"/>
  <c r="K33" i="27"/>
  <c r="I36" i="27"/>
  <c r="D36" i="27"/>
  <c r="E32" i="27"/>
  <c r="C35" i="27"/>
  <c r="J35" i="27"/>
  <c r="B36" i="27"/>
  <c r="C39" i="27"/>
  <c r="I34" i="27"/>
  <c r="C37" i="27"/>
  <c r="E38" i="27"/>
  <c r="E36" i="27"/>
  <c r="G35" i="27"/>
  <c r="K35" i="27"/>
  <c r="H34" i="27"/>
  <c r="B39" i="27"/>
  <c r="C33" i="27"/>
  <c r="G38" i="27"/>
  <c r="D39" i="27"/>
  <c r="B32" i="27"/>
  <c r="D34" i="27"/>
  <c r="J34" i="27"/>
  <c r="K38" i="27"/>
  <c r="H33" i="27"/>
  <c r="J32" i="27"/>
  <c r="D37" i="27"/>
  <c r="F38" i="27"/>
  <c r="H36" i="27"/>
  <c r="D32" i="27"/>
  <c r="E34" i="27"/>
  <c r="D33" i="27"/>
  <c r="H38" i="27"/>
  <c r="I38" i="27"/>
  <c r="F34" i="27"/>
  <c r="K37" i="27"/>
  <c r="F33" i="27"/>
  <c r="F32" i="27"/>
  <c r="K34" i="27"/>
  <c r="J37" i="27"/>
  <c r="I35" i="27"/>
  <c r="I39" i="27"/>
  <c r="F37" i="27"/>
  <c r="J39" i="27"/>
  <c r="C38" i="27"/>
  <c r="K39" i="27"/>
  <c r="G37" i="27"/>
  <c r="G36" i="27"/>
  <c r="H35" i="27"/>
  <c r="I33" i="27"/>
  <c r="E39" i="27"/>
  <c r="H32" i="27"/>
  <c r="C32" i="27"/>
  <c r="J33" i="27"/>
  <c r="C122" i="40"/>
  <c r="J19" i="27"/>
  <c r="B18" i="27"/>
  <c r="I14" i="27"/>
  <c r="J20" i="27"/>
  <c r="G18" i="27"/>
  <c r="F19" i="27"/>
  <c r="E20" i="27"/>
  <c r="H18" i="27"/>
  <c r="D21" i="27"/>
  <c r="B19" i="27"/>
  <c r="G15" i="27"/>
  <c r="G20" i="27"/>
  <c r="F15" i="27"/>
  <c r="J15" i="27"/>
  <c r="B15" i="27"/>
  <c r="I16" i="27"/>
  <c r="I18" i="27"/>
  <c r="E18" i="27"/>
  <c r="K20" i="27"/>
  <c r="C18" i="27"/>
  <c r="D16" i="27"/>
  <c r="H15" i="27"/>
  <c r="D20" i="27"/>
  <c r="D18" i="27"/>
  <c r="H19" i="27"/>
  <c r="I21" i="27"/>
  <c r="H21" i="27"/>
  <c r="F18" i="27"/>
  <c r="C16" i="27"/>
  <c r="K16" i="27"/>
  <c r="C20" i="27"/>
  <c r="B21" i="27"/>
  <c r="F14" i="27"/>
  <c r="G16" i="27"/>
  <c r="I20" i="27"/>
  <c r="H16" i="27"/>
  <c r="K21" i="27"/>
  <c r="J18" i="27"/>
  <c r="C14" i="27"/>
  <c r="J17" i="27"/>
  <c r="K19" i="27"/>
  <c r="H17" i="27"/>
  <c r="B16" i="27"/>
  <c r="C17" i="27"/>
  <c r="C15" i="27"/>
  <c r="D15" i="27"/>
  <c r="E15" i="27"/>
  <c r="K14" i="27"/>
  <c r="K17" i="27"/>
  <c r="I15" i="27"/>
  <c r="E21" i="27"/>
  <c r="D19" i="27"/>
  <c r="B17" i="27"/>
  <c r="J14" i="27"/>
  <c r="I17" i="27"/>
  <c r="G21" i="27"/>
  <c r="D14" i="27"/>
  <c r="J21" i="27"/>
  <c r="I19" i="27"/>
  <c r="K18" i="27"/>
  <c r="F16" i="27"/>
  <c r="C19" i="27"/>
  <c r="G19" i="27"/>
  <c r="B20" i="27"/>
  <c r="E17" i="27"/>
  <c r="E19" i="27"/>
  <c r="F17" i="27"/>
  <c r="J16" i="27"/>
  <c r="E16" i="27"/>
  <c r="E14" i="27"/>
  <c r="G17" i="27"/>
  <c r="H14" i="27"/>
  <c r="D17" i="27"/>
  <c r="C21" i="27"/>
  <c r="G14" i="27"/>
  <c r="F20" i="27"/>
  <c r="B14" i="27"/>
  <c r="H20" i="27"/>
  <c r="F21" i="27"/>
  <c r="K15" i="27"/>
  <c r="F50" i="27"/>
  <c r="E50" i="27"/>
  <c r="B50" i="27"/>
  <c r="C50" i="27"/>
  <c r="I50" i="27"/>
  <c r="K50" i="27"/>
  <c r="H50" i="27"/>
  <c r="J50" i="27"/>
  <c r="D50" i="27"/>
  <c r="G50" i="27"/>
  <c r="K24" i="27"/>
  <c r="G29" i="27"/>
  <c r="B23" i="27"/>
  <c r="K27" i="27"/>
  <c r="K26" i="27"/>
  <c r="F26" i="27"/>
  <c r="F29" i="27"/>
  <c r="K28" i="27"/>
  <c r="H28" i="27"/>
  <c r="H26" i="27"/>
  <c r="D23" i="27"/>
  <c r="D25" i="27"/>
  <c r="J24" i="27"/>
  <c r="G25" i="27"/>
  <c r="I27" i="27"/>
  <c r="B25" i="27"/>
  <c r="F28" i="27"/>
  <c r="E25" i="27"/>
  <c r="K30" i="27"/>
  <c r="I26" i="27"/>
  <c r="G23" i="27"/>
  <c r="J27" i="27"/>
  <c r="C23" i="27"/>
  <c r="E23" i="27"/>
  <c r="J23" i="27"/>
  <c r="B26" i="27"/>
  <c r="C27" i="27"/>
  <c r="I30" i="27"/>
  <c r="D29" i="27"/>
  <c r="I29" i="27"/>
  <c r="C24" i="27"/>
  <c r="E30" i="27"/>
  <c r="B29" i="27"/>
  <c r="C30" i="27"/>
  <c r="D26" i="27"/>
  <c r="J30" i="27"/>
  <c r="D27" i="27"/>
  <c r="K29" i="27"/>
  <c r="D24" i="27"/>
  <c r="J25" i="27"/>
  <c r="G24" i="27"/>
  <c r="G28" i="27"/>
  <c r="E28" i="27"/>
  <c r="E29" i="27"/>
  <c r="H24" i="27"/>
  <c r="E26" i="27"/>
  <c r="C28" i="27"/>
  <c r="D30" i="27"/>
  <c r="B24" i="27"/>
  <c r="E24" i="27"/>
  <c r="E27" i="27"/>
  <c r="C29" i="27"/>
  <c r="F23" i="27"/>
  <c r="D28" i="27"/>
  <c r="B28" i="27"/>
  <c r="J28" i="27"/>
  <c r="I28" i="27"/>
  <c r="C25" i="27"/>
  <c r="H23" i="27"/>
  <c r="H27" i="27"/>
  <c r="K23" i="27"/>
  <c r="F27" i="27"/>
  <c r="I23" i="27"/>
  <c r="B27" i="27"/>
  <c r="B30" i="27"/>
  <c r="F30" i="27"/>
  <c r="H29" i="27"/>
  <c r="J26" i="27"/>
  <c r="F24" i="27"/>
  <c r="H25" i="27"/>
  <c r="G30" i="27"/>
  <c r="I25" i="27"/>
  <c r="F25" i="27"/>
  <c r="J29" i="27"/>
  <c r="G27" i="27"/>
  <c r="H30" i="27"/>
  <c r="I24" i="27"/>
  <c r="C26" i="27"/>
  <c r="K25" i="27"/>
  <c r="G26" i="27"/>
  <c r="C681" i="1"/>
  <c r="C694" i="1"/>
  <c r="C679" i="1"/>
  <c r="C678" i="1"/>
  <c r="C672" i="1"/>
  <c r="C670" i="1"/>
  <c r="C658" i="1"/>
  <c r="C659" i="1"/>
  <c r="C656" i="1"/>
  <c r="C685" i="1"/>
  <c r="D647" i="1"/>
  <c r="C680" i="1"/>
  <c r="C682" i="1"/>
  <c r="C677" i="1"/>
  <c r="C667" i="1"/>
  <c r="C673" i="1"/>
  <c r="C674" i="1"/>
  <c r="C665" i="1"/>
  <c r="C650" i="1"/>
  <c r="C692" i="1"/>
  <c r="C676" i="1"/>
  <c r="C663" i="1"/>
  <c r="C664" i="1"/>
  <c r="C649" i="1"/>
  <c r="C651" i="1"/>
  <c r="C686" i="1"/>
  <c r="C688" i="1"/>
  <c r="C669" i="1"/>
  <c r="C660" i="1"/>
  <c r="C655" i="1"/>
  <c r="C654" i="1"/>
  <c r="C687" i="1"/>
  <c r="C683" i="1"/>
  <c r="C668" i="1"/>
  <c r="C671" i="1"/>
  <c r="C662" i="1"/>
  <c r="C652" i="1"/>
  <c r="C689" i="1"/>
  <c r="C661" i="1"/>
  <c r="C653" i="1"/>
  <c r="C691" i="1"/>
  <c r="C690" i="1"/>
  <c r="C108" i="40"/>
  <c r="I24" i="31"/>
  <c r="J68" i="28"/>
  <c r="J68" i="32"/>
  <c r="F25" i="31"/>
  <c r="G69" i="28"/>
  <c r="G69" i="32"/>
  <c r="F24" i="31"/>
  <c r="G68" i="28"/>
  <c r="G68" i="32"/>
  <c r="B30" i="31"/>
  <c r="C74" i="28"/>
  <c r="C74" i="32"/>
  <c r="K23" i="31"/>
  <c r="L67" i="28"/>
  <c r="I28" i="31"/>
  <c r="J72" i="28"/>
  <c r="J72" i="32"/>
  <c r="F23" i="31"/>
  <c r="G67" i="28"/>
  <c r="C68" i="28"/>
  <c r="C68" i="32"/>
  <c r="B24" i="31"/>
  <c r="H24" i="31"/>
  <c r="I68" i="28"/>
  <c r="I68" i="32"/>
  <c r="H68" i="28"/>
  <c r="H68" i="32"/>
  <c r="G24" i="31"/>
  <c r="D27" i="31"/>
  <c r="E71" i="28"/>
  <c r="E71" i="32"/>
  <c r="B29" i="31"/>
  <c r="C73" i="28"/>
  <c r="C73" i="32"/>
  <c r="D29" i="31"/>
  <c r="E73" i="28"/>
  <c r="E73" i="32"/>
  <c r="J23" i="31"/>
  <c r="K67" i="28"/>
  <c r="H67" i="28"/>
  <c r="G23" i="31"/>
  <c r="G72" i="28"/>
  <c r="G72" i="32"/>
  <c r="F28" i="31"/>
  <c r="J24" i="31"/>
  <c r="K68" i="28"/>
  <c r="K68" i="32"/>
  <c r="H28" i="31"/>
  <c r="I72" i="28"/>
  <c r="I72" i="32"/>
  <c r="K26" i="31"/>
  <c r="L70" i="28"/>
  <c r="L70" i="32"/>
  <c r="K24" i="31"/>
  <c r="L68" i="28"/>
  <c r="L68" i="32"/>
  <c r="H50" i="31"/>
  <c r="I141" i="28"/>
  <c r="I141" i="32"/>
  <c r="C141" i="28"/>
  <c r="C141" i="32"/>
  <c r="B50" i="31"/>
  <c r="H20" i="31"/>
  <c r="I42" i="28"/>
  <c r="I42" i="32"/>
  <c r="C21" i="31"/>
  <c r="D43" i="28"/>
  <c r="D43" i="32"/>
  <c r="F36" i="28"/>
  <c r="E14" i="31"/>
  <c r="F41" i="28"/>
  <c r="F41" i="32"/>
  <c r="E19" i="31"/>
  <c r="D41" i="28"/>
  <c r="D41" i="32"/>
  <c r="C19" i="31"/>
  <c r="J21" i="31"/>
  <c r="K43" i="28"/>
  <c r="K43" i="32"/>
  <c r="J14" i="31"/>
  <c r="K36" i="28"/>
  <c r="I15" i="31"/>
  <c r="J37" i="28"/>
  <c r="J37" i="32"/>
  <c r="D15" i="31"/>
  <c r="E37" i="28"/>
  <c r="E37" i="32"/>
  <c r="I39" i="28"/>
  <c r="I39" i="32"/>
  <c r="H17" i="31"/>
  <c r="J18" i="31"/>
  <c r="K40" i="28"/>
  <c r="K40" i="32"/>
  <c r="G16" i="31"/>
  <c r="H38" i="28"/>
  <c r="H38" i="32"/>
  <c r="L38" i="28"/>
  <c r="L38" i="32"/>
  <c r="K16" i="31"/>
  <c r="I21" i="31"/>
  <c r="J43" i="28"/>
  <c r="J43" i="32"/>
  <c r="H15" i="31"/>
  <c r="I37" i="28"/>
  <c r="I37" i="32"/>
  <c r="E18" i="31"/>
  <c r="F40" i="28"/>
  <c r="F40" i="32"/>
  <c r="J15" i="31"/>
  <c r="K37" i="28"/>
  <c r="K37" i="32"/>
  <c r="C41" i="28"/>
  <c r="C41" i="32"/>
  <c r="B19" i="31"/>
  <c r="F19" i="31"/>
  <c r="G41" i="28"/>
  <c r="G41" i="32"/>
  <c r="B18" i="31"/>
  <c r="C40" i="28"/>
  <c r="C40" i="32"/>
  <c r="H32" i="31"/>
  <c r="I98" i="28"/>
  <c r="H102" i="28"/>
  <c r="H102" i="32"/>
  <c r="G36" i="31"/>
  <c r="J39" i="31"/>
  <c r="K105" i="28"/>
  <c r="K105" i="32"/>
  <c r="K103" i="28"/>
  <c r="K103" i="32"/>
  <c r="J37" i="31"/>
  <c r="K37" i="31"/>
  <c r="L103" i="28"/>
  <c r="L103" i="32"/>
  <c r="D33" i="31"/>
  <c r="E99" i="28"/>
  <c r="E99" i="32"/>
  <c r="G104" i="28"/>
  <c r="G104" i="32"/>
  <c r="F38" i="31"/>
  <c r="L104" i="28"/>
  <c r="L104" i="32"/>
  <c r="K38" i="31"/>
  <c r="D39" i="31"/>
  <c r="E105" i="28"/>
  <c r="E105" i="32"/>
  <c r="I100" i="28"/>
  <c r="I100" i="32"/>
  <c r="H34" i="31"/>
  <c r="E38" i="31"/>
  <c r="F104" i="28"/>
  <c r="F104" i="32"/>
  <c r="C102" i="28"/>
  <c r="C102" i="32"/>
  <c r="B36" i="31"/>
  <c r="D36" i="31"/>
  <c r="E102" i="28"/>
  <c r="E102" i="32"/>
  <c r="C34" i="31"/>
  <c r="D100" i="28"/>
  <c r="D100" i="32"/>
  <c r="B37" i="31"/>
  <c r="C103" i="28"/>
  <c r="C103" i="32"/>
  <c r="E104" i="28"/>
  <c r="E104" i="32"/>
  <c r="D38" i="31"/>
  <c r="I32" i="31"/>
  <c r="J98" i="28"/>
  <c r="H105" i="28"/>
  <c r="H105" i="32"/>
  <c r="G39" i="31"/>
  <c r="H100" i="28"/>
  <c r="H100" i="32"/>
  <c r="G34" i="31"/>
  <c r="G102" i="28"/>
  <c r="G102" i="32"/>
  <c r="F36" i="31"/>
  <c r="D98" i="28"/>
  <c r="C32" i="31"/>
  <c r="H35" i="31"/>
  <c r="I101" i="28"/>
  <c r="I101" i="32"/>
  <c r="C38" i="31"/>
  <c r="D104" i="28"/>
  <c r="D104" i="32"/>
  <c r="J101" i="28"/>
  <c r="J101" i="32"/>
  <c r="I35" i="31"/>
  <c r="F33" i="31"/>
  <c r="G99" i="28"/>
  <c r="G99" i="32"/>
  <c r="I104" i="28"/>
  <c r="I104" i="32"/>
  <c r="H38" i="31"/>
  <c r="H36" i="31"/>
  <c r="I102" i="28"/>
  <c r="I102" i="32"/>
  <c r="I99" i="28"/>
  <c r="I99" i="32"/>
  <c r="H33" i="31"/>
  <c r="C98" i="28"/>
  <c r="B32" i="31"/>
  <c r="C105" i="28"/>
  <c r="C105" i="32"/>
  <c r="B39" i="31"/>
  <c r="F102" i="28"/>
  <c r="F102" i="32"/>
  <c r="E36" i="31"/>
  <c r="D105" i="28"/>
  <c r="D105" i="32"/>
  <c r="C39" i="31"/>
  <c r="F98" i="28"/>
  <c r="E32" i="31"/>
  <c r="H98" i="28"/>
  <c r="G32" i="31"/>
  <c r="J38" i="31"/>
  <c r="K104" i="28"/>
  <c r="K104" i="32"/>
  <c r="D35" i="31"/>
  <c r="E101" i="28"/>
  <c r="E101" i="32"/>
  <c r="H39" i="31"/>
  <c r="I105" i="28"/>
  <c r="I105" i="32"/>
  <c r="L98" i="28"/>
  <c r="K32" i="31"/>
  <c r="B35" i="31"/>
  <c r="C101" i="28"/>
  <c r="C101" i="32"/>
  <c r="C99" i="28"/>
  <c r="C99" i="32"/>
  <c r="B33" i="31"/>
  <c r="H131" i="28"/>
  <c r="H131" i="32"/>
  <c r="G43" i="31"/>
  <c r="K42" i="31"/>
  <c r="L130" i="28"/>
  <c r="L130" i="32"/>
  <c r="I133" i="28"/>
  <c r="I133" i="32"/>
  <c r="H45" i="31"/>
  <c r="H47" i="31"/>
  <c r="I135" i="28"/>
  <c r="I135" i="32"/>
  <c r="E133" i="28"/>
  <c r="E133" i="32"/>
  <c r="D45" i="31"/>
  <c r="L133" i="28"/>
  <c r="L133" i="32"/>
  <c r="K45" i="31"/>
  <c r="C42" i="31"/>
  <c r="D130" i="28"/>
  <c r="D130" i="32"/>
  <c r="I134" i="28"/>
  <c r="I134" i="32"/>
  <c r="H46" i="31"/>
  <c r="J41" i="31"/>
  <c r="K129" i="28"/>
  <c r="K41" i="31"/>
  <c r="L129" i="28"/>
  <c r="C43" i="31"/>
  <c r="D131" i="28"/>
  <c r="D131" i="32"/>
  <c r="B44" i="31"/>
  <c r="C132" i="28"/>
  <c r="C132" i="32"/>
  <c r="F129" i="28"/>
  <c r="E41" i="31"/>
  <c r="G136" i="28"/>
  <c r="G136" i="32"/>
  <c r="F48" i="31"/>
  <c r="H136" i="28"/>
  <c r="H136" i="32"/>
  <c r="G48" i="31"/>
  <c r="H129" i="28"/>
  <c r="G41" i="31"/>
  <c r="J132" i="28"/>
  <c r="J132" i="32"/>
  <c r="I44" i="31"/>
  <c r="C47" i="31"/>
  <c r="D135" i="28"/>
  <c r="D135" i="32"/>
  <c r="D136" i="28"/>
  <c r="D136" i="32"/>
  <c r="C48" i="31"/>
  <c r="C136" i="28"/>
  <c r="C136" i="32"/>
  <c r="B48" i="31"/>
  <c r="H70" i="28"/>
  <c r="H70" i="32"/>
  <c r="G26" i="31"/>
  <c r="I74" i="28"/>
  <c r="I74" i="32"/>
  <c r="H30" i="31"/>
  <c r="J69" i="28"/>
  <c r="J69" i="32"/>
  <c r="I25" i="31"/>
  <c r="K70" i="28"/>
  <c r="K70" i="32"/>
  <c r="J26" i="31"/>
  <c r="B27" i="31"/>
  <c r="C71" i="28"/>
  <c r="C71" i="32"/>
  <c r="H27" i="31"/>
  <c r="I71" i="28"/>
  <c r="I71" i="32"/>
  <c r="J28" i="31"/>
  <c r="K72" i="28"/>
  <c r="K72" i="32"/>
  <c r="D73" i="28"/>
  <c r="D73" i="32"/>
  <c r="C29" i="31"/>
  <c r="D30" i="31"/>
  <c r="E74" i="28"/>
  <c r="E74" i="32"/>
  <c r="E29" i="31"/>
  <c r="F73" i="28"/>
  <c r="F73" i="32"/>
  <c r="J25" i="31"/>
  <c r="K69" i="28"/>
  <c r="K69" i="32"/>
  <c r="K74" i="28"/>
  <c r="K74" i="32"/>
  <c r="J30" i="31"/>
  <c r="E30" i="31"/>
  <c r="F74" i="28"/>
  <c r="F74" i="32"/>
  <c r="I30" i="31"/>
  <c r="J74" i="28"/>
  <c r="J74" i="32"/>
  <c r="F67" i="28"/>
  <c r="E23" i="31"/>
  <c r="I26" i="31"/>
  <c r="J70" i="28"/>
  <c r="J70" i="32"/>
  <c r="C69" i="28"/>
  <c r="C69" i="32"/>
  <c r="B25" i="31"/>
  <c r="D25" i="31"/>
  <c r="E69" i="28"/>
  <c r="E69" i="32"/>
  <c r="L72" i="28"/>
  <c r="L72" i="32"/>
  <c r="K28" i="31"/>
  <c r="L71" i="28"/>
  <c r="L71" i="32"/>
  <c r="K27" i="31"/>
  <c r="G50" i="31"/>
  <c r="H141" i="28"/>
  <c r="H141" i="32"/>
  <c r="L141" i="28"/>
  <c r="L141" i="32"/>
  <c r="K50" i="31"/>
  <c r="F141" i="28"/>
  <c r="F141" i="32"/>
  <c r="E50" i="31"/>
  <c r="B14" i="31"/>
  <c r="C36" i="28"/>
  <c r="E39" i="28"/>
  <c r="E39" i="32"/>
  <c r="D17" i="31"/>
  <c r="F38" i="28"/>
  <c r="F38" i="32"/>
  <c r="E16" i="31"/>
  <c r="F39" i="28"/>
  <c r="F39" i="32"/>
  <c r="E17" i="31"/>
  <c r="F16" i="31"/>
  <c r="G38" i="28"/>
  <c r="G38" i="32"/>
  <c r="D14" i="31"/>
  <c r="E36" i="28"/>
  <c r="C39" i="28"/>
  <c r="C39" i="32"/>
  <c r="B17" i="31"/>
  <c r="L39" i="28"/>
  <c r="L39" i="32"/>
  <c r="K17" i="31"/>
  <c r="C15" i="31"/>
  <c r="D37" i="28"/>
  <c r="D37" i="32"/>
  <c r="L41" i="28"/>
  <c r="L41" i="32"/>
  <c r="K19" i="31"/>
  <c r="L43" i="28"/>
  <c r="L43" i="32"/>
  <c r="K21" i="31"/>
  <c r="F14" i="31"/>
  <c r="G36" i="28"/>
  <c r="D38" i="28"/>
  <c r="D38" i="32"/>
  <c r="C16" i="31"/>
  <c r="H19" i="31"/>
  <c r="I41" i="28"/>
  <c r="I41" i="32"/>
  <c r="E38" i="28"/>
  <c r="E38" i="32"/>
  <c r="D16" i="31"/>
  <c r="I18" i="31"/>
  <c r="J40" i="28"/>
  <c r="J40" i="32"/>
  <c r="G37" i="28"/>
  <c r="G37" i="32"/>
  <c r="F15" i="31"/>
  <c r="D21" i="31"/>
  <c r="E43" i="28"/>
  <c r="E43" i="32"/>
  <c r="H40" i="28"/>
  <c r="H40" i="32"/>
  <c r="G18" i="31"/>
  <c r="J19" i="31"/>
  <c r="K41" i="28"/>
  <c r="K41" i="32"/>
  <c r="B46" i="31"/>
  <c r="C134" i="28"/>
  <c r="C134" i="32"/>
  <c r="E45" i="31"/>
  <c r="F133" i="28"/>
  <c r="F133" i="32"/>
  <c r="B47" i="31"/>
  <c r="C135" i="28"/>
  <c r="C135" i="32"/>
  <c r="I41" i="31"/>
  <c r="J129" i="28"/>
  <c r="E46" i="31"/>
  <c r="F134" i="28"/>
  <c r="F134" i="32"/>
  <c r="H132" i="28"/>
  <c r="H132" i="32"/>
  <c r="G44" i="31"/>
  <c r="F130" i="28"/>
  <c r="F130" i="32"/>
  <c r="E42" i="31"/>
  <c r="J48" i="31"/>
  <c r="K136" i="28"/>
  <c r="K136" i="32"/>
  <c r="C44" i="31"/>
  <c r="D132" i="28"/>
  <c r="D132" i="32"/>
  <c r="E44" i="31"/>
  <c r="F132" i="28"/>
  <c r="F132" i="32"/>
  <c r="K43" i="31"/>
  <c r="L131" i="28"/>
  <c r="L131" i="32"/>
  <c r="F41" i="31"/>
  <c r="G129" i="28"/>
  <c r="F43" i="31"/>
  <c r="G131" i="28"/>
  <c r="G131" i="32"/>
  <c r="K131" i="28"/>
  <c r="K131" i="32"/>
  <c r="J43" i="31"/>
  <c r="F42" i="31"/>
  <c r="G130" i="28"/>
  <c r="G130" i="32"/>
  <c r="C129" i="28"/>
  <c r="B41" i="31"/>
  <c r="J46" i="31"/>
  <c r="K134" i="28"/>
  <c r="K134" i="32"/>
  <c r="J42" i="31"/>
  <c r="K130" i="28"/>
  <c r="K130" i="32"/>
  <c r="D134" i="28"/>
  <c r="D134" i="32"/>
  <c r="C46" i="31"/>
  <c r="F45" i="31"/>
  <c r="G133" i="28"/>
  <c r="G133" i="32"/>
  <c r="C26" i="31"/>
  <c r="D70" i="28"/>
  <c r="D70" i="32"/>
  <c r="J29" i="31"/>
  <c r="K73" i="28"/>
  <c r="K73" i="32"/>
  <c r="H25" i="31"/>
  <c r="I69" i="28"/>
  <c r="I69" i="32"/>
  <c r="G74" i="28"/>
  <c r="G74" i="32"/>
  <c r="F30" i="31"/>
  <c r="G71" i="28"/>
  <c r="G71" i="32"/>
  <c r="F27" i="31"/>
  <c r="C25" i="31"/>
  <c r="D69" i="28"/>
  <c r="D69" i="32"/>
  <c r="E72" i="28"/>
  <c r="E72" i="32"/>
  <c r="D28" i="31"/>
  <c r="E24" i="31"/>
  <c r="F68" i="28"/>
  <c r="F68" i="32"/>
  <c r="E26" i="31"/>
  <c r="F70" i="28"/>
  <c r="F70" i="32"/>
  <c r="G28" i="31"/>
  <c r="H72" i="28"/>
  <c r="H72" i="32"/>
  <c r="K29" i="31"/>
  <c r="L73" i="28"/>
  <c r="L73" i="32"/>
  <c r="C30" i="31"/>
  <c r="D74" i="28"/>
  <c r="D74" i="32"/>
  <c r="I29" i="31"/>
  <c r="J73" i="28"/>
  <c r="J73" i="32"/>
  <c r="B26" i="31"/>
  <c r="C70" i="28"/>
  <c r="C70" i="32"/>
  <c r="K71" i="28"/>
  <c r="K71" i="32"/>
  <c r="J27" i="31"/>
  <c r="E25" i="31"/>
  <c r="F69" i="28"/>
  <c r="F69" i="32"/>
  <c r="H69" i="28"/>
  <c r="H69" i="32"/>
  <c r="G25" i="31"/>
  <c r="H26" i="31"/>
  <c r="I70" i="28"/>
  <c r="I70" i="32"/>
  <c r="F26" i="31"/>
  <c r="G70" i="28"/>
  <c r="G70" i="32"/>
  <c r="G29" i="31"/>
  <c r="H73" i="28"/>
  <c r="H73" i="32"/>
  <c r="K141" i="28"/>
  <c r="K141" i="32"/>
  <c r="J50" i="31"/>
  <c r="C50" i="31"/>
  <c r="D141" i="28"/>
  <c r="D141" i="32"/>
  <c r="F21" i="31"/>
  <c r="G43" i="28"/>
  <c r="G43" i="32"/>
  <c r="H36" i="28"/>
  <c r="G14" i="31"/>
  <c r="G17" i="31"/>
  <c r="H39" i="28"/>
  <c r="H39" i="32"/>
  <c r="F17" i="31"/>
  <c r="G39" i="28"/>
  <c r="G39" i="32"/>
  <c r="H41" i="28"/>
  <c r="H41" i="32"/>
  <c r="G19" i="31"/>
  <c r="I19" i="31"/>
  <c r="J41" i="28"/>
  <c r="J41" i="32"/>
  <c r="J39" i="28"/>
  <c r="J39" i="32"/>
  <c r="I17" i="31"/>
  <c r="E21" i="31"/>
  <c r="F43" i="28"/>
  <c r="F43" i="32"/>
  <c r="E15" i="31"/>
  <c r="F37" i="28"/>
  <c r="F37" i="32"/>
  <c r="B16" i="31"/>
  <c r="C38" i="28"/>
  <c r="C38" i="32"/>
  <c r="C14" i="31"/>
  <c r="D36" i="28"/>
  <c r="I20" i="31"/>
  <c r="J42" i="28"/>
  <c r="J42" i="32"/>
  <c r="C20" i="31"/>
  <c r="D42" i="28"/>
  <c r="D42" i="32"/>
  <c r="H21" i="31"/>
  <c r="I43" i="28"/>
  <c r="I43" i="32"/>
  <c r="D20" i="31"/>
  <c r="E42" i="28"/>
  <c r="E42" i="32"/>
  <c r="K20" i="31"/>
  <c r="L42" i="28"/>
  <c r="L42" i="32"/>
  <c r="C37" i="28"/>
  <c r="C37" i="32"/>
  <c r="B15" i="31"/>
  <c r="H37" i="28"/>
  <c r="H37" i="32"/>
  <c r="G15" i="31"/>
  <c r="F42" i="28"/>
  <c r="F42" i="32"/>
  <c r="E20" i="31"/>
  <c r="I14" i="31"/>
  <c r="J36" i="28"/>
  <c r="K99" i="28"/>
  <c r="K99" i="32"/>
  <c r="J33" i="31"/>
  <c r="I33" i="31"/>
  <c r="J99" i="28"/>
  <c r="J99" i="32"/>
  <c r="L105" i="28"/>
  <c r="L105" i="32"/>
  <c r="K39" i="31"/>
  <c r="I39" i="31"/>
  <c r="J105" i="28"/>
  <c r="J105" i="32"/>
  <c r="F32" i="31"/>
  <c r="G98" i="28"/>
  <c r="I38" i="31"/>
  <c r="J104" i="28"/>
  <c r="J104" i="32"/>
  <c r="E98" i="28"/>
  <c r="D32" i="31"/>
  <c r="J32" i="31"/>
  <c r="K98" i="28"/>
  <c r="D34" i="31"/>
  <c r="E100" i="28"/>
  <c r="E100" i="32"/>
  <c r="C33" i="31"/>
  <c r="D99" i="28"/>
  <c r="D99" i="32"/>
  <c r="H101" i="28"/>
  <c r="H101" i="32"/>
  <c r="G35" i="31"/>
  <c r="I34" i="31"/>
  <c r="J100" i="28"/>
  <c r="J100" i="32"/>
  <c r="D101" i="28"/>
  <c r="D101" i="32"/>
  <c r="C35" i="31"/>
  <c r="K33" i="31"/>
  <c r="L99" i="28"/>
  <c r="L99" i="32"/>
  <c r="J103" i="28"/>
  <c r="J103" i="32"/>
  <c r="I37" i="31"/>
  <c r="I103" i="28"/>
  <c r="I103" i="32"/>
  <c r="H37" i="31"/>
  <c r="F103" i="28"/>
  <c r="F103" i="32"/>
  <c r="E37" i="31"/>
  <c r="E35" i="31"/>
  <c r="F101" i="28"/>
  <c r="F101" i="32"/>
  <c r="G101" i="28"/>
  <c r="G101" i="32"/>
  <c r="F35" i="31"/>
  <c r="D102" i="28"/>
  <c r="D102" i="32"/>
  <c r="C36" i="31"/>
  <c r="J44" i="31"/>
  <c r="K132" i="28"/>
  <c r="K132" i="32"/>
  <c r="I136" i="28"/>
  <c r="I136" i="32"/>
  <c r="H48" i="31"/>
  <c r="K44" i="31"/>
  <c r="L132" i="28"/>
  <c r="L132" i="32"/>
  <c r="D129" i="28"/>
  <c r="C41" i="31"/>
  <c r="F47" i="31"/>
  <c r="G135" i="28"/>
  <c r="G135" i="32"/>
  <c r="D46" i="31"/>
  <c r="E134" i="28"/>
  <c r="E134" i="32"/>
  <c r="J136" i="28"/>
  <c r="J136" i="32"/>
  <c r="I48" i="31"/>
  <c r="J135" i="28"/>
  <c r="J135" i="32"/>
  <c r="I47" i="31"/>
  <c r="B42" i="31"/>
  <c r="C130" i="28"/>
  <c r="C130" i="32"/>
  <c r="E48" i="31"/>
  <c r="F136" i="28"/>
  <c r="F136" i="32"/>
  <c r="J45" i="31"/>
  <c r="K133" i="28"/>
  <c r="K133" i="32"/>
  <c r="E47" i="31"/>
  <c r="F135" i="28"/>
  <c r="F135" i="32"/>
  <c r="H41" i="31"/>
  <c r="I129" i="28"/>
  <c r="I42" i="31"/>
  <c r="J130" i="28"/>
  <c r="J130" i="32"/>
  <c r="D44" i="31"/>
  <c r="E132" i="28"/>
  <c r="E132" i="32"/>
  <c r="E131" i="28"/>
  <c r="E131" i="32"/>
  <c r="D43" i="31"/>
  <c r="H43" i="31"/>
  <c r="I131" i="28"/>
  <c r="I131" i="32"/>
  <c r="L136" i="28"/>
  <c r="L136" i="32"/>
  <c r="K48" i="31"/>
  <c r="K135" i="28"/>
  <c r="K135" i="32"/>
  <c r="J47" i="31"/>
  <c r="B43" i="31"/>
  <c r="C131" i="28"/>
  <c r="C131" i="32"/>
  <c r="D694" i="1"/>
  <c r="D683" i="1"/>
  <c r="D681" i="1"/>
  <c r="D679" i="1"/>
  <c r="D670" i="1"/>
  <c r="D665" i="1"/>
  <c r="D660" i="1"/>
  <c r="D663" i="1"/>
  <c r="D653" i="1"/>
  <c r="D651" i="1"/>
  <c r="D656" i="1"/>
  <c r="D692" i="1"/>
  <c r="D676" i="1"/>
  <c r="D680" i="1"/>
  <c r="D673" i="1"/>
  <c r="D674" i="1"/>
  <c r="D662" i="1"/>
  <c r="D664" i="1"/>
  <c r="D659" i="1"/>
  <c r="D652" i="1"/>
  <c r="D654" i="1"/>
  <c r="D688" i="1"/>
  <c r="D685" i="1"/>
  <c r="D689" i="1"/>
  <c r="D691" i="1"/>
  <c r="D672" i="1"/>
  <c r="D668" i="1"/>
  <c r="D661" i="1"/>
  <c r="D682" i="1"/>
  <c r="D658" i="1"/>
  <c r="D649" i="1"/>
  <c r="D687" i="1"/>
  <c r="D671" i="1"/>
  <c r="D655" i="1"/>
  <c r="D690" i="1"/>
  <c r="E647" i="1"/>
  <c r="D678" i="1"/>
  <c r="D677" i="1"/>
  <c r="D667" i="1"/>
  <c r="D669" i="1"/>
  <c r="D650" i="1"/>
  <c r="D686" i="1"/>
  <c r="K25" i="31"/>
  <c r="L69" i="28"/>
  <c r="L69" i="32"/>
  <c r="G27" i="31"/>
  <c r="H71" i="28"/>
  <c r="H71" i="32"/>
  <c r="G30" i="31"/>
  <c r="H74" i="28"/>
  <c r="H74" i="32"/>
  <c r="I73" i="28"/>
  <c r="I73" i="32"/>
  <c r="H29" i="31"/>
  <c r="J67" i="28"/>
  <c r="I23" i="31"/>
  <c r="H23" i="31"/>
  <c r="I67" i="28"/>
  <c r="B28" i="31"/>
  <c r="C72" i="28"/>
  <c r="C72" i="32"/>
  <c r="E27" i="31"/>
  <c r="F71" i="28"/>
  <c r="F71" i="32"/>
  <c r="C28" i="31"/>
  <c r="D72" i="28"/>
  <c r="D72" i="32"/>
  <c r="F72" i="28"/>
  <c r="F72" i="32"/>
  <c r="E28" i="31"/>
  <c r="D24" i="31"/>
  <c r="E68" i="28"/>
  <c r="E68" i="32"/>
  <c r="D26" i="31"/>
  <c r="E70" i="28"/>
  <c r="E70" i="32"/>
  <c r="C24" i="31"/>
  <c r="D68" i="28"/>
  <c r="D68" i="32"/>
  <c r="D71" i="28"/>
  <c r="D71" i="32"/>
  <c r="C27" i="31"/>
  <c r="D67" i="28"/>
  <c r="C23" i="31"/>
  <c r="K30" i="31"/>
  <c r="L74" i="28"/>
  <c r="L74" i="32"/>
  <c r="I27" i="31"/>
  <c r="J71" i="28"/>
  <c r="J71" i="32"/>
  <c r="E67" i="28"/>
  <c r="D23" i="31"/>
  <c r="F29" i="31"/>
  <c r="G73" i="28"/>
  <c r="G73" i="32"/>
  <c r="C67" i="28"/>
  <c r="B23" i="31"/>
  <c r="D50" i="31"/>
  <c r="E141" i="28"/>
  <c r="E141" i="32"/>
  <c r="J141" i="28"/>
  <c r="J141" i="32"/>
  <c r="I50" i="31"/>
  <c r="G141" i="28"/>
  <c r="G141" i="32"/>
  <c r="F50" i="31"/>
  <c r="K15" i="31"/>
  <c r="L37" i="28"/>
  <c r="L37" i="32"/>
  <c r="G42" i="28"/>
  <c r="G42" i="32"/>
  <c r="F20" i="31"/>
  <c r="H14" i="31"/>
  <c r="I36" i="28"/>
  <c r="J16" i="31"/>
  <c r="K38" i="28"/>
  <c r="K38" i="32"/>
  <c r="B20" i="31"/>
  <c r="C42" i="28"/>
  <c r="C42" i="32"/>
  <c r="K18" i="31"/>
  <c r="L40" i="28"/>
  <c r="L40" i="32"/>
  <c r="G21" i="31"/>
  <c r="H43" i="28"/>
  <c r="H43" i="32"/>
  <c r="E41" i="28"/>
  <c r="E41" i="32"/>
  <c r="D19" i="31"/>
  <c r="L36" i="28"/>
  <c r="K14" i="31"/>
  <c r="D39" i="28"/>
  <c r="D39" i="32"/>
  <c r="C17" i="31"/>
  <c r="J17" i="31"/>
  <c r="K39" i="28"/>
  <c r="K39" i="32"/>
  <c r="H16" i="31"/>
  <c r="I38" i="28"/>
  <c r="I38" i="32"/>
  <c r="B21" i="31"/>
  <c r="C43" i="28"/>
  <c r="C43" i="32"/>
  <c r="G40" i="28"/>
  <c r="G40" i="32"/>
  <c r="F18" i="31"/>
  <c r="D18" i="31"/>
  <c r="E40" i="28"/>
  <c r="E40" i="32"/>
  <c r="C18" i="31"/>
  <c r="D40" i="28"/>
  <c r="D40" i="32"/>
  <c r="I16" i="31"/>
  <c r="J38" i="28"/>
  <c r="J38" i="32"/>
  <c r="H42" i="28"/>
  <c r="H42" i="32"/>
  <c r="G20" i="31"/>
  <c r="I40" i="28"/>
  <c r="I40" i="32"/>
  <c r="H18" i="31"/>
  <c r="K42" i="28"/>
  <c r="K42" i="32"/>
  <c r="J20" i="31"/>
  <c r="E39" i="31"/>
  <c r="F105" i="28"/>
  <c r="F105" i="32"/>
  <c r="G37" i="31"/>
  <c r="H103" i="28"/>
  <c r="H103" i="32"/>
  <c r="G103" i="28"/>
  <c r="G103" i="32"/>
  <c r="F37" i="31"/>
  <c r="K34" i="31"/>
  <c r="L100" i="28"/>
  <c r="L100" i="32"/>
  <c r="F34" i="31"/>
  <c r="G100" i="28"/>
  <c r="G100" i="32"/>
  <c r="F100" i="28"/>
  <c r="F100" i="32"/>
  <c r="E34" i="31"/>
  <c r="E103" i="28"/>
  <c r="E103" i="32"/>
  <c r="D37" i="31"/>
  <c r="K100" i="28"/>
  <c r="K100" i="32"/>
  <c r="J34" i="31"/>
  <c r="G38" i="31"/>
  <c r="H104" i="28"/>
  <c r="H104" i="32"/>
  <c r="L101" i="28"/>
  <c r="L101" i="32"/>
  <c r="K35" i="31"/>
  <c r="D103" i="28"/>
  <c r="D103" i="32"/>
  <c r="C37" i="31"/>
  <c r="K101" i="28"/>
  <c r="K101" i="32"/>
  <c r="J35" i="31"/>
  <c r="J102" i="28"/>
  <c r="J102" i="32"/>
  <c r="I36" i="31"/>
  <c r="L102" i="28"/>
  <c r="L102" i="32"/>
  <c r="K36" i="31"/>
  <c r="E33" i="31"/>
  <c r="F99" i="28"/>
  <c r="F99" i="32"/>
  <c r="H99" i="28"/>
  <c r="H99" i="32"/>
  <c r="G33" i="31"/>
  <c r="B34" i="31"/>
  <c r="C100" i="28"/>
  <c r="C100" i="32"/>
  <c r="J36" i="31"/>
  <c r="K102" i="28"/>
  <c r="K102" i="32"/>
  <c r="B38" i="31"/>
  <c r="C104" i="28"/>
  <c r="C104" i="32"/>
  <c r="F39" i="31"/>
  <c r="G105" i="28"/>
  <c r="G105" i="32"/>
  <c r="G45" i="31"/>
  <c r="H133" i="28"/>
  <c r="H133" i="32"/>
  <c r="I130" i="28"/>
  <c r="I130" i="32"/>
  <c r="H42" i="31"/>
  <c r="H135" i="28"/>
  <c r="H135" i="32"/>
  <c r="G47" i="31"/>
  <c r="C45" i="31"/>
  <c r="D133" i="28"/>
  <c r="D133" i="32"/>
  <c r="C133" i="28"/>
  <c r="C133" i="32"/>
  <c r="B45" i="31"/>
  <c r="E135" i="28"/>
  <c r="E135" i="32"/>
  <c r="D47" i="31"/>
  <c r="H44" i="31"/>
  <c r="I132" i="28"/>
  <c r="I132" i="32"/>
  <c r="E130" i="28"/>
  <c r="E130" i="32"/>
  <c r="D42" i="31"/>
  <c r="J131" i="28"/>
  <c r="J131" i="32"/>
  <c r="I43" i="31"/>
  <c r="G46" i="31"/>
  <c r="H134" i="28"/>
  <c r="H134" i="32"/>
  <c r="K46" i="31"/>
  <c r="L134" i="28"/>
  <c r="L134" i="32"/>
  <c r="D41" i="31"/>
  <c r="E129" i="28"/>
  <c r="E43" i="31"/>
  <c r="F131" i="28"/>
  <c r="F131" i="32"/>
  <c r="F46" i="31"/>
  <c r="G134" i="28"/>
  <c r="G134" i="32"/>
  <c r="H130" i="28"/>
  <c r="H130" i="32"/>
  <c r="G42" i="31"/>
  <c r="F44" i="31"/>
  <c r="G132" i="28"/>
  <c r="G132" i="32"/>
  <c r="E136" i="28"/>
  <c r="E136" i="32"/>
  <c r="D48" i="31"/>
  <c r="L135" i="28"/>
  <c r="L135" i="32"/>
  <c r="K47" i="31"/>
  <c r="I45" i="31"/>
  <c r="J133" i="28"/>
  <c r="J133" i="32"/>
  <c r="I46" i="31"/>
  <c r="J134" i="28"/>
  <c r="J134" i="32"/>
  <c r="I44" i="28"/>
  <c r="J95" i="29"/>
  <c r="I36" i="32"/>
  <c r="I44" i="32"/>
  <c r="D137" i="28"/>
  <c r="D137" i="32"/>
  <c r="D129" i="32"/>
  <c r="D75" i="28"/>
  <c r="D67" i="32"/>
  <c r="D75" i="32"/>
  <c r="J75" i="28"/>
  <c r="J67" i="32"/>
  <c r="J75" i="32"/>
  <c r="K98" i="32"/>
  <c r="K106" i="32"/>
  <c r="K106" i="28"/>
  <c r="J36" i="32"/>
  <c r="J44" i="32"/>
  <c r="J44" i="28"/>
  <c r="K95" i="29"/>
  <c r="C129" i="32"/>
  <c r="C137" i="28"/>
  <c r="C137" i="32"/>
  <c r="L137" i="28"/>
  <c r="L137" i="32"/>
  <c r="L129" i="32"/>
  <c r="L106" i="28"/>
  <c r="L98" i="32"/>
  <c r="L106" i="32"/>
  <c r="H106" i="28"/>
  <c r="H98" i="32"/>
  <c r="H106" i="32"/>
  <c r="K44" i="28"/>
  <c r="L95" i="29"/>
  <c r="K36" i="32"/>
  <c r="K44" i="32"/>
  <c r="G75" i="28"/>
  <c r="G67" i="32"/>
  <c r="G75" i="32"/>
  <c r="L75" i="28"/>
  <c r="L67" i="32"/>
  <c r="L75" i="32"/>
  <c r="C44" i="28"/>
  <c r="D95" i="29"/>
  <c r="C36" i="32"/>
  <c r="C44" i="32"/>
  <c r="H137" i="28"/>
  <c r="H137" i="32"/>
  <c r="H129" i="32"/>
  <c r="F44" i="28"/>
  <c r="G95" i="29"/>
  <c r="F36" i="32"/>
  <c r="F44" i="32"/>
  <c r="H67" i="32"/>
  <c r="H75" i="32"/>
  <c r="H75" i="28"/>
  <c r="L44" i="28"/>
  <c r="M95" i="29"/>
  <c r="M95" i="40"/>
  <c r="L36" i="32"/>
  <c r="L44" i="32"/>
  <c r="C67" i="32"/>
  <c r="C75" i="32"/>
  <c r="C75" i="28"/>
  <c r="E67" i="32"/>
  <c r="E75" i="32"/>
  <c r="E75" i="28"/>
  <c r="I137" i="28"/>
  <c r="I137" i="32"/>
  <c r="I129" i="32"/>
  <c r="G98" i="32"/>
  <c r="G106" i="32"/>
  <c r="G106" i="28"/>
  <c r="D36" i="32"/>
  <c r="D44" i="32"/>
  <c r="D44" i="28"/>
  <c r="E95" i="29"/>
  <c r="F67" i="32"/>
  <c r="F75" i="32"/>
  <c r="F75" i="28"/>
  <c r="K137" i="28"/>
  <c r="K137" i="32"/>
  <c r="K129" i="32"/>
  <c r="F98" i="32"/>
  <c r="F106" i="32"/>
  <c r="F106" i="28"/>
  <c r="C106" i="28"/>
  <c r="C98" i="32"/>
  <c r="C106" i="32"/>
  <c r="D106" i="28"/>
  <c r="D98" i="32"/>
  <c r="D106" i="32"/>
  <c r="K75" i="28"/>
  <c r="K67" i="32"/>
  <c r="K75" i="32"/>
  <c r="I67" i="32"/>
  <c r="I75" i="32"/>
  <c r="I75" i="28"/>
  <c r="H36" i="32"/>
  <c r="H44" i="32"/>
  <c r="H44" i="28"/>
  <c r="I95" i="29"/>
  <c r="E129" i="32"/>
  <c r="E137" i="28"/>
  <c r="E137" i="32"/>
  <c r="F647" i="1"/>
  <c r="E677" i="1"/>
  <c r="E682" i="1"/>
  <c r="E676" i="1"/>
  <c r="E679" i="1"/>
  <c r="E680" i="1"/>
  <c r="E674" i="1"/>
  <c r="E668" i="1"/>
  <c r="E671" i="1"/>
  <c r="E664" i="1"/>
  <c r="E649" i="1"/>
  <c r="E690" i="1"/>
  <c r="E691" i="1"/>
  <c r="E688" i="1"/>
  <c r="E687" i="1"/>
  <c r="E694" i="1"/>
  <c r="E669" i="1"/>
  <c r="E658" i="1"/>
  <c r="E662" i="1"/>
  <c r="E656" i="1"/>
  <c r="E651" i="1"/>
  <c r="E655" i="1"/>
  <c r="E692" i="1"/>
  <c r="E667" i="1"/>
  <c r="E654" i="1"/>
  <c r="E652" i="1"/>
  <c r="E689" i="1"/>
  <c r="E683" i="1"/>
  <c r="E672" i="1"/>
  <c r="E670" i="1"/>
  <c r="E685" i="1"/>
  <c r="E678" i="1"/>
  <c r="E660" i="1"/>
  <c r="E659" i="1"/>
  <c r="E653" i="1"/>
  <c r="E686" i="1"/>
  <c r="E681" i="1"/>
  <c r="E673" i="1"/>
  <c r="E665" i="1"/>
  <c r="E661" i="1"/>
  <c r="E663" i="1"/>
  <c r="E650" i="1"/>
  <c r="E98" i="32"/>
  <c r="E106" i="32"/>
  <c r="E106" i="28"/>
  <c r="G137" i="28"/>
  <c r="G137" i="32"/>
  <c r="G129" i="32"/>
  <c r="J129" i="32"/>
  <c r="J137" i="28"/>
  <c r="J137" i="32"/>
  <c r="G44" i="28"/>
  <c r="H95" i="29"/>
  <c r="G36" i="32"/>
  <c r="G44" i="32"/>
  <c r="E36" i="32"/>
  <c r="E44" i="32"/>
  <c r="E44" i="28"/>
  <c r="F95" i="29"/>
  <c r="F137" i="28"/>
  <c r="F137" i="32"/>
  <c r="F129" i="32"/>
  <c r="J98" i="32"/>
  <c r="J106" i="32"/>
  <c r="J106" i="28"/>
  <c r="I98" i="32"/>
  <c r="I106" i="32"/>
  <c r="I106" i="28"/>
  <c r="G97" i="29"/>
  <c r="G97" i="40"/>
  <c r="F95" i="40"/>
  <c r="I95" i="40"/>
  <c r="J97" i="29"/>
  <c r="J97" i="40"/>
  <c r="G95" i="40"/>
  <c r="H97" i="29"/>
  <c r="H97" i="40"/>
  <c r="J95" i="40"/>
  <c r="K97" i="29"/>
  <c r="K97" i="40"/>
  <c r="I97" i="29"/>
  <c r="I97" i="40"/>
  <c r="H95" i="40"/>
  <c r="F677" i="1"/>
  <c r="F678" i="1"/>
  <c r="F680" i="1"/>
  <c r="F667" i="1"/>
  <c r="F673" i="1"/>
  <c r="F658" i="1"/>
  <c r="F665" i="1"/>
  <c r="F651" i="1"/>
  <c r="F656" i="1"/>
  <c r="F655" i="1"/>
  <c r="F691" i="1"/>
  <c r="F686" i="1"/>
  <c r="F679" i="1"/>
  <c r="F668" i="1"/>
  <c r="F674" i="1"/>
  <c r="F664" i="1"/>
  <c r="F663" i="1"/>
  <c r="F650" i="1"/>
  <c r="F649" i="1"/>
  <c r="F690" i="1"/>
  <c r="F688" i="1"/>
  <c r="F694" i="1"/>
  <c r="F683" i="1"/>
  <c r="F676" i="1"/>
  <c r="F669" i="1"/>
  <c r="F660" i="1"/>
  <c r="F687" i="1"/>
  <c r="G647" i="1"/>
  <c r="F681" i="1"/>
  <c r="F671" i="1"/>
  <c r="F662" i="1"/>
  <c r="F659" i="1"/>
  <c r="F654" i="1"/>
  <c r="F685" i="1"/>
  <c r="F682" i="1"/>
  <c r="F672" i="1"/>
  <c r="F661" i="1"/>
  <c r="F652" i="1"/>
  <c r="F689" i="1"/>
  <c r="F670" i="1"/>
  <c r="F653" i="1"/>
  <c r="F692" i="1"/>
  <c r="D95" i="40"/>
  <c r="D97" i="29"/>
  <c r="D97" i="40"/>
  <c r="E97" i="29"/>
  <c r="E97" i="40"/>
  <c r="L95" i="40"/>
  <c r="M97" i="29"/>
  <c r="M97" i="40"/>
  <c r="E95" i="40"/>
  <c r="F97" i="29"/>
  <c r="F97" i="40"/>
  <c r="K95" i="40"/>
  <c r="L97" i="29"/>
  <c r="L97" i="40"/>
  <c r="G682" i="1"/>
  <c r="G681" i="1"/>
  <c r="H647" i="1"/>
  <c r="G676" i="1"/>
  <c r="G678" i="1"/>
  <c r="G670" i="1"/>
  <c r="G671" i="1"/>
  <c r="G663" i="1"/>
  <c r="G658" i="1"/>
  <c r="G655" i="1"/>
  <c r="G649" i="1"/>
  <c r="G691" i="1"/>
  <c r="G686" i="1"/>
  <c r="G677" i="1"/>
  <c r="G680" i="1"/>
  <c r="G667" i="1"/>
  <c r="G674" i="1"/>
  <c r="G664" i="1"/>
  <c r="G659" i="1"/>
  <c r="G656" i="1"/>
  <c r="G650" i="1"/>
  <c r="G688" i="1"/>
  <c r="G689" i="1"/>
  <c r="G683" i="1"/>
  <c r="G673" i="1"/>
  <c r="G661" i="1"/>
  <c r="G653" i="1"/>
  <c r="G690" i="1"/>
  <c r="G669" i="1"/>
  <c r="G660" i="1"/>
  <c r="G654" i="1"/>
  <c r="G685" i="1"/>
  <c r="G694" i="1"/>
  <c r="G668" i="1"/>
  <c r="G662" i="1"/>
  <c r="G652" i="1"/>
  <c r="G692" i="1"/>
  <c r="G679" i="1"/>
  <c r="G672" i="1"/>
  <c r="G665" i="1"/>
  <c r="G651" i="1"/>
  <c r="G687" i="1"/>
  <c r="H694" i="1"/>
  <c r="H677" i="1"/>
  <c r="H683" i="1"/>
  <c r="H676" i="1"/>
  <c r="H673" i="1"/>
  <c r="H672" i="1"/>
  <c r="H660" i="1"/>
  <c r="H664" i="1"/>
  <c r="H654" i="1"/>
  <c r="H655" i="1"/>
  <c r="H686" i="1"/>
  <c r="H688" i="1"/>
  <c r="I647" i="1"/>
  <c r="H682" i="1"/>
  <c r="H669" i="1"/>
  <c r="H667" i="1"/>
  <c r="H662" i="1"/>
  <c r="H665" i="1"/>
  <c r="H650" i="1"/>
  <c r="H653" i="1"/>
  <c r="H690" i="1"/>
  <c r="H685" i="1"/>
  <c r="H680" i="1"/>
  <c r="H671" i="1"/>
  <c r="H659" i="1"/>
  <c r="H652" i="1"/>
  <c r="H692" i="1"/>
  <c r="H678" i="1"/>
  <c r="H668" i="1"/>
  <c r="H663" i="1"/>
  <c r="H656" i="1"/>
  <c r="H689" i="1"/>
  <c r="H681" i="1"/>
  <c r="H674" i="1"/>
  <c r="H658" i="1"/>
  <c r="H649" i="1"/>
  <c r="H687" i="1"/>
  <c r="H679" i="1"/>
  <c r="H670" i="1"/>
  <c r="H661" i="1"/>
  <c r="H651" i="1"/>
  <c r="H691" i="1"/>
  <c r="I681" i="1"/>
  <c r="I678" i="1"/>
  <c r="I676" i="1"/>
  <c r="I682" i="1"/>
  <c r="I673" i="1"/>
  <c r="I670" i="1"/>
  <c r="I661" i="1"/>
  <c r="I658" i="1"/>
  <c r="I650" i="1"/>
  <c r="I654" i="1"/>
  <c r="I686" i="1"/>
  <c r="I691" i="1"/>
  <c r="I679" i="1"/>
  <c r="I680" i="1"/>
  <c r="I668" i="1"/>
  <c r="I671" i="1"/>
  <c r="I662" i="1"/>
  <c r="I664" i="1"/>
  <c r="I651" i="1"/>
  <c r="I649" i="1"/>
  <c r="I687" i="1"/>
  <c r="I692" i="1"/>
  <c r="J647" i="1"/>
  <c r="I667" i="1"/>
  <c r="I663" i="1"/>
  <c r="I653" i="1"/>
  <c r="I689" i="1"/>
  <c r="I677" i="1"/>
  <c r="I672" i="1"/>
  <c r="I659" i="1"/>
  <c r="I652" i="1"/>
  <c r="I690" i="1"/>
  <c r="I683" i="1"/>
  <c r="I674" i="1"/>
  <c r="I660" i="1"/>
  <c r="I656" i="1"/>
  <c r="I685" i="1"/>
  <c r="I694" i="1"/>
  <c r="I669" i="1"/>
  <c r="I665" i="1"/>
  <c r="I655" i="1"/>
  <c r="I688" i="1"/>
  <c r="J694" i="1"/>
  <c r="J677" i="1"/>
  <c r="J676" i="1"/>
  <c r="K647" i="1"/>
  <c r="J680" i="1"/>
  <c r="J667" i="1"/>
  <c r="J674" i="1"/>
  <c r="J664" i="1"/>
  <c r="J663" i="1"/>
  <c r="J655" i="1"/>
  <c r="J650" i="1"/>
  <c r="J687" i="1"/>
  <c r="J685" i="1"/>
  <c r="J679" i="1"/>
  <c r="J671" i="1"/>
  <c r="J673" i="1"/>
  <c r="J665" i="1"/>
  <c r="J659" i="1"/>
  <c r="J653" i="1"/>
  <c r="J654" i="1"/>
  <c r="J686" i="1"/>
  <c r="J692" i="1"/>
  <c r="J682" i="1"/>
  <c r="J668" i="1"/>
  <c r="J660" i="1"/>
  <c r="J656" i="1"/>
  <c r="J691" i="1"/>
  <c r="J681" i="1"/>
  <c r="J672" i="1"/>
  <c r="J658" i="1"/>
  <c r="J649" i="1"/>
  <c r="J690" i="1"/>
  <c r="J683" i="1"/>
  <c r="J669" i="1"/>
  <c r="J662" i="1"/>
  <c r="J652" i="1"/>
  <c r="J688" i="1"/>
  <c r="J678" i="1"/>
  <c r="J670" i="1"/>
  <c r="J661" i="1"/>
  <c r="J651" i="1"/>
  <c r="J689" i="1"/>
  <c r="K677" i="1"/>
  <c r="K683" i="1"/>
  <c r="K680" i="1"/>
  <c r="K679" i="1"/>
  <c r="K668" i="1"/>
  <c r="K673" i="1"/>
  <c r="K660" i="1"/>
  <c r="K658" i="1"/>
  <c r="K654" i="1"/>
  <c r="K656" i="1"/>
  <c r="K689" i="1"/>
  <c r="K692" i="1"/>
  <c r="K694" i="1"/>
  <c r="K682" i="1"/>
  <c r="K678" i="1"/>
  <c r="K667" i="1"/>
  <c r="K672" i="1"/>
  <c r="K665" i="1"/>
  <c r="K664" i="1"/>
  <c r="K653" i="1"/>
  <c r="K650" i="1"/>
  <c r="K691" i="1"/>
  <c r="K686" i="1"/>
  <c r="K676" i="1"/>
  <c r="K670" i="1"/>
  <c r="K661" i="1"/>
  <c r="K655" i="1"/>
  <c r="K685" i="1"/>
  <c r="L647" i="1"/>
  <c r="K674" i="1"/>
  <c r="K663" i="1"/>
  <c r="K649" i="1"/>
  <c r="K690" i="1"/>
  <c r="K671" i="1"/>
  <c r="K662" i="1"/>
  <c r="K651" i="1"/>
  <c r="K687" i="1"/>
  <c r="K681" i="1"/>
  <c r="K669" i="1"/>
  <c r="K659" i="1"/>
  <c r="K652" i="1"/>
  <c r="K688" i="1"/>
  <c r="L694" i="1"/>
  <c r="L683" i="1"/>
  <c r="L676" i="1"/>
  <c r="L681" i="1"/>
  <c r="L673" i="1"/>
  <c r="L668" i="1"/>
  <c r="L664" i="1"/>
  <c r="L660" i="1"/>
  <c r="L653" i="1"/>
  <c r="L652" i="1"/>
  <c r="L692" i="1"/>
  <c r="L690" i="1"/>
  <c r="L680" i="1"/>
  <c r="L670" i="1"/>
  <c r="L669" i="1"/>
  <c r="L659" i="1"/>
  <c r="L661" i="1"/>
  <c r="L650" i="1"/>
  <c r="L651" i="1"/>
  <c r="L688" i="1"/>
  <c r="L689" i="1"/>
  <c r="L682" i="1"/>
  <c r="L674" i="1"/>
  <c r="L663" i="1"/>
  <c r="L649" i="1"/>
  <c r="L687" i="1"/>
  <c r="L678" i="1"/>
  <c r="L672" i="1"/>
  <c r="L662" i="1"/>
  <c r="L655" i="1"/>
  <c r="L691" i="1"/>
  <c r="L679" i="1"/>
  <c r="L671" i="1"/>
  <c r="L665" i="1"/>
  <c r="L654" i="1"/>
  <c r="L685" i="1"/>
  <c r="L677" i="1"/>
  <c r="L667" i="1"/>
  <c r="L658" i="1"/>
  <c r="L656" i="1"/>
  <c r="L686" i="1"/>
  <c r="K221" i="6"/>
  <c r="K221" i="34"/>
  <c r="I225" i="6"/>
  <c r="J220" i="6"/>
  <c r="B8" i="60"/>
  <c r="B28" i="60"/>
  <c r="B33" i="60"/>
  <c r="B32" i="60"/>
  <c r="B4" i="60"/>
  <c r="B11" i="60"/>
  <c r="G5" i="27"/>
  <c r="H5" i="28"/>
  <c r="J12" i="27"/>
  <c r="K12" i="28"/>
  <c r="C8" i="27"/>
  <c r="D8" i="28"/>
  <c r="D11" i="27"/>
  <c r="E11" i="28"/>
  <c r="H7" i="27"/>
  <c r="I7" i="28"/>
  <c r="I7" i="32"/>
  <c r="G7" i="27"/>
  <c r="H7" i="28"/>
  <c r="D12" i="27"/>
  <c r="E12" i="28"/>
  <c r="E11" i="27"/>
  <c r="F11" i="28"/>
  <c r="D9" i="27"/>
  <c r="E9" i="28"/>
  <c r="G11" i="27"/>
  <c r="H11" i="28"/>
  <c r="G6" i="27"/>
  <c r="H6" i="28"/>
  <c r="C9" i="27"/>
  <c r="D9" i="28"/>
  <c r="F7" i="27"/>
  <c r="G7" i="28"/>
  <c r="C8" i="3"/>
  <c r="D8" i="5"/>
  <c r="D8" i="32"/>
  <c r="H5" i="3"/>
  <c r="D8" i="27"/>
  <c r="E8" i="28"/>
  <c r="C12" i="27"/>
  <c r="D12" i="28"/>
  <c r="E6" i="27"/>
  <c r="F6" i="28"/>
  <c r="I6" i="27"/>
  <c r="J6" i="28"/>
  <c r="C11" i="27"/>
  <c r="D11" i="28"/>
  <c r="D7" i="27"/>
  <c r="E7" i="28"/>
  <c r="E8" i="27"/>
  <c r="F8" i="28"/>
  <c r="C10" i="27"/>
  <c r="D10" i="28"/>
  <c r="F12" i="27"/>
  <c r="G12" i="28"/>
  <c r="G12" i="27"/>
  <c r="H12" i="28"/>
  <c r="J5" i="27"/>
  <c r="K5" i="28"/>
  <c r="H6" i="27"/>
  <c r="D10" i="27"/>
  <c r="E10" i="28"/>
  <c r="B9" i="27"/>
  <c r="C9" i="28"/>
  <c r="E10" i="27"/>
  <c r="F10" i="28"/>
  <c r="J8" i="27"/>
  <c r="K8" i="28"/>
  <c r="B12" i="27"/>
  <c r="C12" i="28"/>
  <c r="B11" i="27"/>
  <c r="C11" i="28"/>
  <c r="C5" i="27"/>
  <c r="D5" i="28"/>
  <c r="E12" i="27"/>
  <c r="F12" i="28"/>
  <c r="D6" i="27"/>
  <c r="E6" i="28"/>
  <c r="B5" i="27"/>
  <c r="C5" i="28"/>
  <c r="I11" i="27"/>
  <c r="J11" i="28"/>
  <c r="C6" i="27"/>
  <c r="D6" i="28"/>
  <c r="I12" i="3"/>
  <c r="J12" i="5"/>
  <c r="G10" i="3"/>
  <c r="H10" i="5"/>
  <c r="G8" i="27"/>
  <c r="H8" i="28"/>
  <c r="H9" i="27"/>
  <c r="I9" i="28"/>
  <c r="I9" i="27"/>
  <c r="J9" i="28"/>
  <c r="K8" i="27"/>
  <c r="L8" i="28"/>
  <c r="J9" i="27"/>
  <c r="K9" i="28"/>
  <c r="K7" i="27"/>
  <c r="L7" i="28"/>
  <c r="G10" i="27"/>
  <c r="G10" i="31"/>
  <c r="D5" i="3"/>
  <c r="E5" i="5"/>
  <c r="E7" i="3"/>
  <c r="F7" i="5"/>
  <c r="F7" i="32"/>
  <c r="F12" i="3"/>
  <c r="F5" i="27"/>
  <c r="G5" i="28"/>
  <c r="F9" i="27"/>
  <c r="G9" i="28"/>
  <c r="B7" i="27"/>
  <c r="C7" i="28"/>
  <c r="B8" i="27"/>
  <c r="C8" i="28"/>
  <c r="E7" i="27"/>
  <c r="F7" i="28"/>
  <c r="E9" i="27"/>
  <c r="F9" i="28"/>
  <c r="C7" i="3"/>
  <c r="D7" i="5"/>
  <c r="E8" i="3"/>
  <c r="D12" i="3"/>
  <c r="B5" i="3"/>
  <c r="B5" i="31"/>
  <c r="E9" i="32"/>
  <c r="D6" i="3"/>
  <c r="C10" i="3"/>
  <c r="F8" i="3"/>
  <c r="G8" i="5"/>
  <c r="G11" i="3"/>
  <c r="H11" i="5"/>
  <c r="C6" i="5"/>
  <c r="I11" i="5"/>
  <c r="H11" i="32"/>
  <c r="I5" i="5"/>
  <c r="H7" i="31"/>
  <c r="K10" i="5"/>
  <c r="K8" i="5"/>
  <c r="K8" i="32"/>
  <c r="G6" i="5"/>
  <c r="C9" i="3"/>
  <c r="B8" i="3"/>
  <c r="C5" i="3"/>
  <c r="E12" i="3"/>
  <c r="H9" i="3"/>
  <c r="B9" i="3"/>
  <c r="F7" i="3"/>
  <c r="I6" i="3"/>
  <c r="J7" i="3"/>
  <c r="J6" i="3"/>
  <c r="J7" i="5"/>
  <c r="G5" i="3"/>
  <c r="E11" i="3"/>
  <c r="D7" i="3"/>
  <c r="H10" i="3"/>
  <c r="E9" i="3"/>
  <c r="B10" i="3"/>
  <c r="J5" i="3"/>
  <c r="C6" i="3"/>
  <c r="B12" i="3"/>
  <c r="G6" i="3"/>
  <c r="H5" i="27"/>
  <c r="I5" i="28"/>
  <c r="G9" i="27"/>
  <c r="H9" i="28"/>
  <c r="F8" i="27"/>
  <c r="I8" i="27"/>
  <c r="J8" i="28"/>
  <c r="H11" i="27"/>
  <c r="I11" i="28"/>
  <c r="E5" i="27"/>
  <c r="F5" i="28"/>
  <c r="J7" i="27"/>
  <c r="K7" i="28"/>
  <c r="B6" i="27"/>
  <c r="C6" i="28"/>
  <c r="C7" i="27"/>
  <c r="I10" i="27"/>
  <c r="J10" i="28"/>
  <c r="L5" i="5"/>
  <c r="J10" i="5"/>
  <c r="F9" i="3"/>
  <c r="I5" i="3"/>
  <c r="G12" i="3"/>
  <c r="B11" i="3"/>
  <c r="G8" i="3"/>
  <c r="D8" i="3"/>
  <c r="J9" i="3"/>
  <c r="I8" i="3"/>
  <c r="B7" i="3"/>
  <c r="K10" i="3"/>
  <c r="J6" i="27"/>
  <c r="K6" i="28"/>
  <c r="I5" i="27"/>
  <c r="J5" i="28"/>
  <c r="B10" i="27"/>
  <c r="C10" i="28"/>
  <c r="K12" i="27"/>
  <c r="L12" i="28"/>
  <c r="L12" i="32"/>
  <c r="F10" i="27"/>
  <c r="G10" i="28"/>
  <c r="F11" i="27"/>
  <c r="G11" i="28"/>
  <c r="G11" i="32"/>
  <c r="K5" i="27"/>
  <c r="L5" i="28"/>
  <c r="K6" i="27"/>
  <c r="I7" i="27"/>
  <c r="J7" i="28"/>
  <c r="H10" i="27"/>
  <c r="I10" i="28"/>
  <c r="C12" i="3"/>
  <c r="E5" i="3"/>
  <c r="I9" i="3"/>
  <c r="H8" i="3"/>
  <c r="J11" i="3"/>
  <c r="D10" i="3"/>
  <c r="K9" i="3"/>
  <c r="J12" i="3"/>
  <c r="F10" i="3"/>
  <c r="C11" i="3"/>
  <c r="J10" i="27"/>
  <c r="K10" i="28"/>
  <c r="I12" i="27"/>
  <c r="J12" i="28"/>
  <c r="J12" i="32"/>
  <c r="H12" i="27"/>
  <c r="I12" i="28"/>
  <c r="I12" i="32"/>
  <c r="D5" i="27"/>
  <c r="K9" i="27"/>
  <c r="L9" i="28"/>
  <c r="K10" i="27"/>
  <c r="L10" i="28"/>
  <c r="F6" i="27"/>
  <c r="G6" i="28"/>
  <c r="H8" i="27"/>
  <c r="I8" i="28"/>
  <c r="K11" i="27"/>
  <c r="K7" i="3"/>
  <c r="K8" i="3"/>
  <c r="E10" i="3"/>
  <c r="F5" i="3"/>
  <c r="G7" i="3"/>
  <c r="I11" i="3"/>
  <c r="E6" i="3"/>
  <c r="G9" i="3"/>
  <c r="D11" i="3"/>
  <c r="B12" i="58"/>
  <c r="B34" i="58"/>
  <c r="B27" i="60"/>
  <c r="B23" i="59"/>
  <c r="B23" i="60"/>
  <c r="C403" i="1"/>
  <c r="D153" i="1"/>
  <c r="L421" i="1"/>
  <c r="L402" i="1"/>
  <c r="J152" i="1"/>
  <c r="L404" i="1"/>
  <c r="I425" i="1"/>
  <c r="G424" i="1"/>
  <c r="F404" i="1"/>
  <c r="F152" i="1"/>
  <c r="J423" i="1"/>
  <c r="K422" i="1"/>
  <c r="K158" i="1"/>
  <c r="I423" i="1"/>
  <c r="G421" i="1"/>
  <c r="D399" i="1"/>
  <c r="L401" i="1"/>
  <c r="C154" i="1"/>
  <c r="C17" i="58"/>
  <c r="E422" i="1"/>
  <c r="I420" i="1"/>
  <c r="K154" i="1"/>
  <c r="G156" i="1"/>
  <c r="K426" i="1"/>
  <c r="G403" i="1"/>
  <c r="G401" i="1"/>
  <c r="F423" i="1"/>
  <c r="K427" i="1"/>
  <c r="C159" i="1"/>
  <c r="C22" i="58"/>
  <c r="C33" i="58"/>
  <c r="I154" i="1"/>
  <c r="G186" i="1"/>
  <c r="J155" i="1"/>
  <c r="E156" i="1"/>
  <c r="H426" i="1"/>
  <c r="G398" i="1"/>
  <c r="K188" i="1"/>
  <c r="G422" i="1"/>
  <c r="C399" i="1"/>
  <c r="D152" i="1"/>
  <c r="H402" i="1"/>
  <c r="C187" i="1"/>
  <c r="C17" i="59"/>
  <c r="E425" i="1"/>
  <c r="I427" i="1"/>
  <c r="J404" i="1"/>
  <c r="D405" i="1"/>
  <c r="J403" i="1"/>
  <c r="L157" i="1"/>
  <c r="F156" i="1"/>
  <c r="C427" i="1"/>
  <c r="K420" i="1"/>
  <c r="H422" i="1"/>
  <c r="K399" i="1"/>
  <c r="H156" i="1"/>
  <c r="F405" i="1"/>
  <c r="J405" i="1"/>
  <c r="I159" i="1"/>
  <c r="K156" i="1"/>
  <c r="K424" i="1"/>
  <c r="E423" i="1"/>
  <c r="D404" i="1"/>
  <c r="E402" i="1"/>
  <c r="H159" i="1"/>
  <c r="F421" i="1"/>
  <c r="K425" i="1"/>
  <c r="L427" i="1"/>
  <c r="I152" i="1"/>
  <c r="E159" i="1"/>
  <c r="H190" i="1"/>
  <c r="D186" i="1"/>
  <c r="F186" i="1"/>
  <c r="J190" i="1"/>
  <c r="F158" i="1"/>
  <c r="C152" i="1"/>
  <c r="C15" i="58"/>
  <c r="I153" i="1"/>
  <c r="D157" i="1"/>
  <c r="L158" i="1"/>
  <c r="L192" i="1"/>
  <c r="F191" i="1"/>
  <c r="H191" i="1"/>
  <c r="H186" i="1"/>
  <c r="J191" i="1"/>
  <c r="I156" i="1"/>
  <c r="J154" i="1"/>
  <c r="H154" i="1"/>
  <c r="D159" i="1"/>
  <c r="K152" i="1"/>
  <c r="C191" i="1"/>
  <c r="C21" i="59"/>
  <c r="J189" i="1"/>
  <c r="F187" i="1"/>
  <c r="I191" i="1"/>
  <c r="E158" i="1"/>
  <c r="D156" i="1"/>
  <c r="L152" i="1"/>
  <c r="D155" i="1"/>
  <c r="J158" i="1"/>
  <c r="H189" i="1"/>
  <c r="L187" i="1"/>
  <c r="G190" i="1"/>
  <c r="J153" i="1"/>
  <c r="G152" i="1"/>
  <c r="I155" i="1"/>
  <c r="G159" i="1"/>
  <c r="J192" i="1"/>
  <c r="F188" i="1"/>
  <c r="J187" i="1"/>
  <c r="I189" i="1"/>
  <c r="K192" i="1"/>
  <c r="C188" i="1"/>
  <c r="C18" i="59"/>
  <c r="C186" i="1"/>
  <c r="C16" i="59"/>
  <c r="I188" i="1"/>
  <c r="J185" i="1"/>
  <c r="I192" i="1"/>
  <c r="K159" i="1"/>
  <c r="E154" i="1"/>
  <c r="C156" i="1"/>
  <c r="C19" i="58"/>
  <c r="G155" i="1"/>
  <c r="F155" i="1"/>
  <c r="K153" i="1"/>
  <c r="J156" i="1"/>
  <c r="I157" i="1"/>
  <c r="G153" i="1"/>
  <c r="L159" i="1"/>
  <c r="C158" i="1"/>
  <c r="C21" i="58"/>
  <c r="L155" i="1"/>
  <c r="D154" i="1"/>
  <c r="D17" i="58"/>
  <c r="H157" i="1"/>
  <c r="L156" i="1"/>
  <c r="L153" i="1"/>
  <c r="E153" i="1"/>
  <c r="K157" i="1"/>
  <c r="H153" i="1"/>
  <c r="I158" i="1"/>
  <c r="C155" i="1"/>
  <c r="C18" i="58"/>
  <c r="J159" i="1"/>
  <c r="E152" i="1"/>
  <c r="E157" i="1"/>
  <c r="H158" i="1"/>
  <c r="G157" i="1"/>
  <c r="C153" i="1"/>
  <c r="C16" i="58"/>
  <c r="G158" i="1"/>
  <c r="F153" i="1"/>
  <c r="F154" i="1"/>
  <c r="J157" i="1"/>
  <c r="L154" i="1"/>
  <c r="F157" i="1"/>
  <c r="G154" i="1"/>
  <c r="H152" i="1"/>
  <c r="E155" i="1"/>
  <c r="K155" i="1"/>
  <c r="C157" i="1"/>
  <c r="C20" i="58"/>
  <c r="H155" i="1"/>
  <c r="L186" i="1"/>
  <c r="F190" i="1"/>
  <c r="E191" i="1"/>
  <c r="K186" i="1"/>
  <c r="J188" i="1"/>
  <c r="D188" i="1"/>
  <c r="D190" i="1"/>
  <c r="I187" i="1"/>
  <c r="F185" i="1"/>
  <c r="D192" i="1"/>
  <c r="L189" i="1"/>
  <c r="L190" i="1"/>
  <c r="G189" i="1"/>
  <c r="I190" i="1"/>
  <c r="E190" i="1"/>
  <c r="H192" i="1"/>
  <c r="D191" i="1"/>
  <c r="C185" i="1"/>
  <c r="C15" i="59"/>
  <c r="K190" i="1"/>
  <c r="L185" i="1"/>
  <c r="G187" i="1"/>
  <c r="H188" i="1"/>
  <c r="F192" i="1"/>
  <c r="G188" i="1"/>
  <c r="J186" i="1"/>
  <c r="E186" i="1"/>
  <c r="E187" i="1"/>
  <c r="C192" i="1"/>
  <c r="C22" i="59"/>
  <c r="I186" i="1"/>
  <c r="E189" i="1"/>
  <c r="G191" i="1"/>
  <c r="L188" i="1"/>
  <c r="H185" i="1"/>
  <c r="E188" i="1"/>
  <c r="I185" i="1"/>
  <c r="L191" i="1"/>
  <c r="K191" i="1"/>
  <c r="C190" i="1"/>
  <c r="C20" i="59"/>
  <c r="C31" i="59"/>
  <c r="E185" i="1"/>
  <c r="G192" i="1"/>
  <c r="K187" i="1"/>
  <c r="C189" i="1"/>
  <c r="C19" i="59"/>
  <c r="G185" i="1"/>
  <c r="D185" i="1"/>
  <c r="K185" i="1"/>
  <c r="D187" i="1"/>
  <c r="H187" i="1"/>
  <c r="D189" i="1"/>
  <c r="K189" i="1"/>
  <c r="F189" i="1"/>
  <c r="D391" i="1"/>
  <c r="J417" i="1"/>
  <c r="L392" i="1"/>
  <c r="C389" i="1"/>
  <c r="E176" i="1"/>
  <c r="G415" i="1"/>
  <c r="H411" i="1"/>
  <c r="K417" i="1"/>
  <c r="K396" i="1"/>
  <c r="C390" i="1"/>
  <c r="D396" i="1"/>
  <c r="I417" i="1"/>
  <c r="J391" i="1"/>
  <c r="E148" i="1"/>
  <c r="H148" i="1"/>
  <c r="G411" i="1"/>
  <c r="E412" i="1"/>
  <c r="E394" i="1"/>
  <c r="J146" i="1"/>
  <c r="I147" i="1"/>
  <c r="D179" i="1"/>
  <c r="L418" i="1"/>
  <c r="H414" i="1"/>
  <c r="K411" i="1"/>
  <c r="K391" i="1"/>
  <c r="H416" i="1"/>
  <c r="D412" i="1"/>
  <c r="L148" i="1"/>
  <c r="G146" i="1"/>
  <c r="K147" i="1"/>
  <c r="K176" i="1"/>
  <c r="F411" i="1"/>
  <c r="D415" i="1"/>
  <c r="C148" i="1"/>
  <c r="C9" i="58"/>
  <c r="C9" i="60"/>
  <c r="L146" i="1"/>
  <c r="H147" i="1"/>
  <c r="E177" i="1"/>
  <c r="G148" i="1"/>
  <c r="D144" i="1"/>
  <c r="L145" i="1"/>
  <c r="J144" i="1"/>
  <c r="L176" i="1"/>
  <c r="E150" i="1"/>
  <c r="F143" i="1"/>
  <c r="G143" i="1"/>
  <c r="F145" i="1"/>
  <c r="E179" i="1"/>
  <c r="C182" i="1"/>
  <c r="C10" i="59"/>
  <c r="J178" i="1"/>
  <c r="F176" i="1"/>
  <c r="F183" i="1"/>
  <c r="K179" i="1"/>
  <c r="J177" i="1"/>
  <c r="I145" i="1"/>
  <c r="H144" i="1"/>
  <c r="J147" i="1"/>
  <c r="J143" i="1"/>
  <c r="H143" i="1"/>
  <c r="C178" i="1"/>
  <c r="C6" i="59"/>
  <c r="G181" i="1"/>
  <c r="E182" i="1"/>
  <c r="K177" i="1"/>
  <c r="I178" i="1"/>
  <c r="G182" i="1"/>
  <c r="E144" i="1"/>
  <c r="E143" i="1"/>
  <c r="I144" i="1"/>
  <c r="J145" i="1"/>
  <c r="I149" i="1"/>
  <c r="E183" i="1"/>
  <c r="L178" i="1"/>
  <c r="G183" i="1"/>
  <c r="J181" i="1"/>
  <c r="I180" i="1"/>
  <c r="D182" i="1"/>
  <c r="D178" i="1"/>
  <c r="G176" i="1"/>
  <c r="D177" i="1"/>
  <c r="H177" i="1"/>
  <c r="L181" i="1"/>
  <c r="C180" i="1"/>
  <c r="C8" i="59"/>
  <c r="H180" i="1"/>
  <c r="L182" i="1"/>
  <c r="J179" i="1"/>
  <c r="C179" i="1"/>
  <c r="C7" i="59"/>
  <c r="I183" i="1"/>
  <c r="F182" i="1"/>
  <c r="H183" i="1"/>
  <c r="I176" i="1"/>
  <c r="G178" i="1"/>
  <c r="F181" i="1"/>
  <c r="H182" i="1"/>
  <c r="I179" i="1"/>
  <c r="F179" i="1"/>
  <c r="D180" i="1"/>
  <c r="I177" i="1"/>
  <c r="K183" i="1"/>
  <c r="C176" i="1"/>
  <c r="C4" i="59"/>
  <c r="J180" i="1"/>
  <c r="K178" i="1"/>
  <c r="G179" i="1"/>
  <c r="F177" i="1"/>
  <c r="L180" i="1"/>
  <c r="E178" i="1"/>
  <c r="G180" i="1"/>
  <c r="J183" i="1"/>
  <c r="H181" i="1"/>
  <c r="H176" i="1"/>
  <c r="E180" i="1"/>
  <c r="C183" i="1"/>
  <c r="C11" i="59"/>
  <c r="F178" i="1"/>
  <c r="G177" i="1"/>
  <c r="D183" i="1"/>
  <c r="H179" i="1"/>
  <c r="J182" i="1"/>
  <c r="F180" i="1"/>
  <c r="E181" i="1"/>
  <c r="E9" i="59"/>
  <c r="L179" i="1"/>
  <c r="J176" i="1"/>
  <c r="K181" i="1"/>
  <c r="H178" i="1"/>
  <c r="L177" i="1"/>
  <c r="K182" i="1"/>
  <c r="K180" i="1"/>
  <c r="L183" i="1"/>
  <c r="C177" i="1"/>
  <c r="C5" i="59"/>
  <c r="I182" i="1"/>
  <c r="D11" i="58"/>
  <c r="C28" i="58"/>
  <c r="J148" i="1"/>
  <c r="D149" i="1"/>
  <c r="L147" i="1"/>
  <c r="H150" i="1"/>
  <c r="D143" i="1"/>
  <c r="L144" i="1"/>
  <c r="F150" i="1"/>
  <c r="G144" i="1"/>
  <c r="D148" i="1"/>
  <c r="J149" i="1"/>
  <c r="H146" i="1"/>
  <c r="K143" i="1"/>
  <c r="E149" i="1"/>
  <c r="I146" i="1"/>
  <c r="G149" i="1"/>
  <c r="I143" i="1"/>
  <c r="F148" i="1"/>
  <c r="C147" i="1"/>
  <c r="C8" i="58"/>
  <c r="K145" i="1"/>
  <c r="K149" i="1"/>
  <c r="K150" i="1"/>
  <c r="L143" i="1"/>
  <c r="G145" i="1"/>
  <c r="C144" i="1"/>
  <c r="C5" i="58"/>
  <c r="G150" i="1"/>
  <c r="L150" i="1"/>
  <c r="K148" i="1"/>
  <c r="L149" i="1"/>
  <c r="K146" i="1"/>
  <c r="E145" i="1"/>
  <c r="D147" i="1"/>
  <c r="D145" i="1"/>
  <c r="D6" i="58"/>
  <c r="F149" i="1"/>
  <c r="C146" i="1"/>
  <c r="C7" i="58"/>
  <c r="F147" i="1"/>
  <c r="F146" i="1"/>
  <c r="C143" i="1"/>
  <c r="C4" i="58"/>
  <c r="C149" i="1"/>
  <c r="C10" i="58"/>
  <c r="I148" i="1"/>
  <c r="D146" i="1"/>
  <c r="E147" i="1"/>
  <c r="D6" i="59"/>
  <c r="D6" i="60"/>
  <c r="H10" i="28"/>
  <c r="H10" i="32"/>
  <c r="H13" i="28"/>
  <c r="H14" i="28"/>
  <c r="K10" i="32"/>
  <c r="K13" i="28"/>
  <c r="K14" i="28"/>
  <c r="D9" i="31"/>
  <c r="J10" i="31"/>
  <c r="I6" i="28"/>
  <c r="I6" i="32"/>
  <c r="H6" i="31"/>
  <c r="E7" i="31"/>
  <c r="C8" i="31"/>
  <c r="C5" i="5"/>
  <c r="C5" i="32"/>
  <c r="J8" i="31"/>
  <c r="C10" i="31"/>
  <c r="D10" i="5"/>
  <c r="D10" i="32"/>
  <c r="H12" i="31"/>
  <c r="B6" i="31"/>
  <c r="G11" i="31"/>
  <c r="I12" i="31"/>
  <c r="D6" i="31"/>
  <c r="E6" i="5"/>
  <c r="E6" i="32"/>
  <c r="C13" i="28"/>
  <c r="C14" i="28"/>
  <c r="J10" i="32"/>
  <c r="I7" i="31"/>
  <c r="E8" i="31"/>
  <c r="F8" i="5"/>
  <c r="F8" i="32"/>
  <c r="F12" i="31"/>
  <c r="G12" i="5"/>
  <c r="G12" i="32"/>
  <c r="E12" i="5"/>
  <c r="E12" i="32"/>
  <c r="D12" i="31"/>
  <c r="J13" i="28"/>
  <c r="J14" i="28"/>
  <c r="L5" i="32"/>
  <c r="E6" i="31"/>
  <c r="F6" i="5"/>
  <c r="F6" i="32"/>
  <c r="C11" i="31"/>
  <c r="D11" i="5"/>
  <c r="D11" i="32"/>
  <c r="E5" i="31"/>
  <c r="F5" i="5"/>
  <c r="F5" i="32"/>
  <c r="C7" i="5"/>
  <c r="C7" i="32"/>
  <c r="B7" i="31"/>
  <c r="F9" i="31"/>
  <c r="G9" i="5"/>
  <c r="G9" i="32"/>
  <c r="H6" i="5"/>
  <c r="H6" i="32"/>
  <c r="G6" i="31"/>
  <c r="F11" i="5"/>
  <c r="F11" i="32"/>
  <c r="E11" i="31"/>
  <c r="I6" i="31"/>
  <c r="J6" i="5"/>
  <c r="J6" i="32"/>
  <c r="G6" i="32"/>
  <c r="J8" i="5"/>
  <c r="J8" i="32"/>
  <c r="I8" i="31"/>
  <c r="H5" i="5"/>
  <c r="H5" i="32"/>
  <c r="G5" i="31"/>
  <c r="F7" i="31"/>
  <c r="G7" i="5"/>
  <c r="G7" i="32"/>
  <c r="E10" i="31"/>
  <c r="F10" i="5"/>
  <c r="F10" i="32"/>
  <c r="E5" i="28"/>
  <c r="D5" i="31"/>
  <c r="E10" i="5"/>
  <c r="E10" i="32"/>
  <c r="D10" i="31"/>
  <c r="K6" i="31"/>
  <c r="L6" i="28"/>
  <c r="L6" i="32"/>
  <c r="G8" i="31"/>
  <c r="H8" i="5"/>
  <c r="H8" i="32"/>
  <c r="D7" i="28"/>
  <c r="C7" i="31"/>
  <c r="K12" i="31"/>
  <c r="L8" i="5"/>
  <c r="K8" i="31"/>
  <c r="K11" i="5"/>
  <c r="K11" i="32"/>
  <c r="J11" i="31"/>
  <c r="B11" i="31"/>
  <c r="C11" i="5"/>
  <c r="C11" i="32"/>
  <c r="F9" i="5"/>
  <c r="F9" i="32"/>
  <c r="E9" i="31"/>
  <c r="F11" i="31"/>
  <c r="D5" i="5"/>
  <c r="C5" i="31"/>
  <c r="I10" i="31"/>
  <c r="H11" i="31"/>
  <c r="J11" i="5"/>
  <c r="J11" i="32"/>
  <c r="I11" i="31"/>
  <c r="F10" i="31"/>
  <c r="G10" i="5"/>
  <c r="G10" i="32"/>
  <c r="D12" i="5"/>
  <c r="D12" i="32"/>
  <c r="C12" i="31"/>
  <c r="B12" i="31"/>
  <c r="C12" i="5"/>
  <c r="C12" i="32"/>
  <c r="G7" i="31"/>
  <c r="H7" i="5"/>
  <c r="J12" i="31"/>
  <c r="K12" i="5"/>
  <c r="K12" i="32"/>
  <c r="K9" i="5"/>
  <c r="K9" i="32"/>
  <c r="J9" i="31"/>
  <c r="G8" i="28"/>
  <c r="G8" i="32"/>
  <c r="F8" i="31"/>
  <c r="C6" i="31"/>
  <c r="D6" i="5"/>
  <c r="D6" i="32"/>
  <c r="B9" i="31"/>
  <c r="C9" i="5"/>
  <c r="G5" i="5"/>
  <c r="G5" i="32"/>
  <c r="F5" i="31"/>
  <c r="K9" i="31"/>
  <c r="L9" i="5"/>
  <c r="L9" i="32"/>
  <c r="J7" i="32"/>
  <c r="E8" i="5"/>
  <c r="E8" i="32"/>
  <c r="D8" i="31"/>
  <c r="J5" i="31"/>
  <c r="K5" i="5"/>
  <c r="H9" i="31"/>
  <c r="I9" i="5"/>
  <c r="I9" i="32"/>
  <c r="I13" i="28"/>
  <c r="I14" i="28"/>
  <c r="B10" i="31"/>
  <c r="C10" i="5"/>
  <c r="C10" i="32"/>
  <c r="F12" i="5"/>
  <c r="F12" i="32"/>
  <c r="E12" i="31"/>
  <c r="D11" i="31"/>
  <c r="E11" i="5"/>
  <c r="E11" i="32"/>
  <c r="K7" i="31"/>
  <c r="L7" i="5"/>
  <c r="L7" i="32"/>
  <c r="I8" i="5"/>
  <c r="H8" i="31"/>
  <c r="G12" i="31"/>
  <c r="H12" i="5"/>
  <c r="H12" i="32"/>
  <c r="H10" i="31"/>
  <c r="I10" i="5"/>
  <c r="I10" i="32"/>
  <c r="J6" i="31"/>
  <c r="K6" i="5"/>
  <c r="K6" i="32"/>
  <c r="C8" i="5"/>
  <c r="C8" i="32"/>
  <c r="B8" i="31"/>
  <c r="I5" i="32"/>
  <c r="I11" i="32"/>
  <c r="G9" i="31"/>
  <c r="H9" i="5"/>
  <c r="H9" i="32"/>
  <c r="K11" i="31"/>
  <c r="L11" i="28"/>
  <c r="L11" i="32"/>
  <c r="J9" i="5"/>
  <c r="J9" i="32"/>
  <c r="I9" i="31"/>
  <c r="K10" i="31"/>
  <c r="L10" i="5"/>
  <c r="L10" i="32"/>
  <c r="J5" i="5"/>
  <c r="I5" i="31"/>
  <c r="F13" i="28"/>
  <c r="F14" i="28"/>
  <c r="D7" i="31"/>
  <c r="E7" i="5"/>
  <c r="K7" i="5"/>
  <c r="K7" i="32"/>
  <c r="J7" i="31"/>
  <c r="C9" i="31"/>
  <c r="D9" i="5"/>
  <c r="D9" i="32"/>
  <c r="K5" i="31"/>
  <c r="F6" i="31"/>
  <c r="H5" i="31"/>
  <c r="C6" i="32"/>
  <c r="D9" i="58"/>
  <c r="B34" i="59"/>
  <c r="B34" i="60"/>
  <c r="B12" i="60"/>
  <c r="C17" i="60"/>
  <c r="D19" i="59"/>
  <c r="E19" i="59"/>
  <c r="F19" i="59"/>
  <c r="G19" i="59"/>
  <c r="H19" i="59"/>
  <c r="I19" i="59"/>
  <c r="J19" i="59"/>
  <c r="K19" i="59"/>
  <c r="L19" i="59"/>
  <c r="D15" i="58"/>
  <c r="D17" i="59"/>
  <c r="D28" i="59"/>
  <c r="D22" i="58"/>
  <c r="E22" i="58"/>
  <c r="C28" i="59"/>
  <c r="D16" i="59"/>
  <c r="E16" i="59"/>
  <c r="F16" i="59"/>
  <c r="G16" i="59"/>
  <c r="H16" i="59"/>
  <c r="I16" i="59"/>
  <c r="J16" i="59"/>
  <c r="K16" i="59"/>
  <c r="L16" i="59"/>
  <c r="D21" i="59"/>
  <c r="E21" i="59"/>
  <c r="F21" i="59"/>
  <c r="G21" i="59"/>
  <c r="H21" i="59"/>
  <c r="I21" i="59"/>
  <c r="J21" i="59"/>
  <c r="K21" i="59"/>
  <c r="L21" i="59"/>
  <c r="C31" i="58"/>
  <c r="C31" i="60"/>
  <c r="C32" i="59"/>
  <c r="C21" i="60"/>
  <c r="D21" i="58"/>
  <c r="D20" i="59"/>
  <c r="C23" i="59"/>
  <c r="C24" i="59"/>
  <c r="D15" i="59"/>
  <c r="C15" i="60"/>
  <c r="C16" i="60"/>
  <c r="D16" i="58"/>
  <c r="C23" i="58"/>
  <c r="E15" i="58"/>
  <c r="C20" i="60"/>
  <c r="D20" i="58"/>
  <c r="C19" i="60"/>
  <c r="D19" i="58"/>
  <c r="C22" i="60"/>
  <c r="D22" i="59"/>
  <c r="E22" i="59"/>
  <c r="F22" i="59"/>
  <c r="G22" i="59"/>
  <c r="H22" i="59"/>
  <c r="I22" i="59"/>
  <c r="J22" i="59"/>
  <c r="K22" i="59"/>
  <c r="L22" i="59"/>
  <c r="C18" i="60"/>
  <c r="D18" i="58"/>
  <c r="E17" i="58"/>
  <c r="D18" i="59"/>
  <c r="E18" i="59"/>
  <c r="F18" i="59"/>
  <c r="G18" i="59"/>
  <c r="H18" i="59"/>
  <c r="I18" i="59"/>
  <c r="J18" i="59"/>
  <c r="K18" i="59"/>
  <c r="L18" i="59"/>
  <c r="C6" i="60"/>
  <c r="D10" i="59"/>
  <c r="E10" i="59"/>
  <c r="E9" i="58"/>
  <c r="D9" i="60"/>
  <c r="D28" i="58"/>
  <c r="E6" i="58"/>
  <c r="E6" i="59"/>
  <c r="C8" i="60"/>
  <c r="D8" i="58"/>
  <c r="C30" i="58"/>
  <c r="C5" i="60"/>
  <c r="C27" i="58"/>
  <c r="D5" i="58"/>
  <c r="C26" i="59"/>
  <c r="C12" i="59"/>
  <c r="D4" i="59"/>
  <c r="C7" i="60"/>
  <c r="C29" i="58"/>
  <c r="D7" i="58"/>
  <c r="C27" i="59"/>
  <c r="D5" i="59"/>
  <c r="D11" i="59"/>
  <c r="D11" i="60"/>
  <c r="C11" i="60"/>
  <c r="C33" i="59"/>
  <c r="D8" i="59"/>
  <c r="C30" i="59"/>
  <c r="C10" i="60"/>
  <c r="C32" i="58"/>
  <c r="D10" i="58"/>
  <c r="D7" i="59"/>
  <c r="C29" i="59"/>
  <c r="C26" i="58"/>
  <c r="C12" i="58"/>
  <c r="C4" i="60"/>
  <c r="D4" i="58"/>
  <c r="E11" i="58"/>
  <c r="F9" i="59"/>
  <c r="D31" i="58"/>
  <c r="C14" i="5"/>
  <c r="C14" i="32"/>
  <c r="C9" i="32"/>
  <c r="D7" i="32"/>
  <c r="D13" i="28"/>
  <c r="D14" i="28"/>
  <c r="E13" i="28"/>
  <c r="E14" i="28"/>
  <c r="E5" i="32"/>
  <c r="L13" i="28"/>
  <c r="L14" i="28"/>
  <c r="G13" i="28"/>
  <c r="G14" i="28"/>
  <c r="L14" i="5"/>
  <c r="L8" i="32"/>
  <c r="E7" i="32"/>
  <c r="E14" i="5"/>
  <c r="H14" i="5"/>
  <c r="H14" i="32"/>
  <c r="H7" i="32"/>
  <c r="F14" i="5"/>
  <c r="F14" i="32"/>
  <c r="I8" i="32"/>
  <c r="I14" i="5"/>
  <c r="I14" i="32"/>
  <c r="J5" i="32"/>
  <c r="J14" i="5"/>
  <c r="J14" i="32"/>
  <c r="K5" i="32"/>
  <c r="K14" i="5"/>
  <c r="K14" i="32"/>
  <c r="D14" i="5"/>
  <c r="D5" i="32"/>
  <c r="G14" i="5"/>
  <c r="G14" i="32"/>
  <c r="D33" i="58"/>
  <c r="E17" i="59"/>
  <c r="F17" i="59"/>
  <c r="G17" i="59"/>
  <c r="H17" i="59"/>
  <c r="I17" i="59"/>
  <c r="J17" i="59"/>
  <c r="K17" i="59"/>
  <c r="L17" i="59"/>
  <c r="D17" i="60"/>
  <c r="C32" i="60"/>
  <c r="C28" i="60"/>
  <c r="D18" i="60"/>
  <c r="E18" i="58"/>
  <c r="E15" i="59"/>
  <c r="D23" i="59"/>
  <c r="D24" i="59"/>
  <c r="D22" i="60"/>
  <c r="D15" i="60"/>
  <c r="E20" i="59"/>
  <c r="D31" i="59"/>
  <c r="D20" i="60"/>
  <c r="E20" i="58"/>
  <c r="F15" i="58"/>
  <c r="F17" i="58"/>
  <c r="E17" i="60"/>
  <c r="F22" i="58"/>
  <c r="E22" i="60"/>
  <c r="D21" i="60"/>
  <c r="E21" i="58"/>
  <c r="D16" i="60"/>
  <c r="E16" i="58"/>
  <c r="D23" i="58"/>
  <c r="D19" i="60"/>
  <c r="E19" i="58"/>
  <c r="C24" i="58"/>
  <c r="C24" i="60"/>
  <c r="C23" i="60"/>
  <c r="D32" i="59"/>
  <c r="E7" i="59"/>
  <c r="D29" i="59"/>
  <c r="D27" i="59"/>
  <c r="E5" i="59"/>
  <c r="D5" i="60"/>
  <c r="E5" i="58"/>
  <c r="D27" i="58"/>
  <c r="F6" i="58"/>
  <c r="E28" i="58"/>
  <c r="E6" i="60"/>
  <c r="C33" i="60"/>
  <c r="E10" i="58"/>
  <c r="D32" i="58"/>
  <c r="D10" i="60"/>
  <c r="D30" i="59"/>
  <c r="E8" i="59"/>
  <c r="E7" i="58"/>
  <c r="D29" i="58"/>
  <c r="D7" i="60"/>
  <c r="C27" i="60"/>
  <c r="D28" i="60"/>
  <c r="C34" i="59"/>
  <c r="C13" i="59"/>
  <c r="C35" i="59"/>
  <c r="F11" i="58"/>
  <c r="E33" i="58"/>
  <c r="C30" i="60"/>
  <c r="C34" i="58"/>
  <c r="C12" i="60"/>
  <c r="C13" i="58"/>
  <c r="E28" i="59"/>
  <c r="F6" i="59"/>
  <c r="C26" i="60"/>
  <c r="E32" i="59"/>
  <c r="F10" i="59"/>
  <c r="E4" i="58"/>
  <c r="D26" i="58"/>
  <c r="D12" i="58"/>
  <c r="D4" i="60"/>
  <c r="E8" i="58"/>
  <c r="D30" i="58"/>
  <c r="D8" i="60"/>
  <c r="E9" i="60"/>
  <c r="F9" i="58"/>
  <c r="G9" i="59"/>
  <c r="E11" i="59"/>
  <c r="E11" i="60"/>
  <c r="D33" i="59"/>
  <c r="C29" i="60"/>
  <c r="D26" i="59"/>
  <c r="E4" i="59"/>
  <c r="D12" i="59"/>
  <c r="E14" i="32"/>
  <c r="D14" i="32"/>
  <c r="L14" i="32"/>
  <c r="D29" i="60"/>
  <c r="E23" i="58"/>
  <c r="E24" i="58"/>
  <c r="D31" i="60"/>
  <c r="D24" i="58"/>
  <c r="D24" i="60"/>
  <c r="D23" i="60"/>
  <c r="E20" i="60"/>
  <c r="F20" i="58"/>
  <c r="F17" i="60"/>
  <c r="G17" i="58"/>
  <c r="F15" i="59"/>
  <c r="F15" i="60"/>
  <c r="E23" i="59"/>
  <c r="E24" i="59"/>
  <c r="F16" i="58"/>
  <c r="E16" i="60"/>
  <c r="E31" i="58"/>
  <c r="E18" i="60"/>
  <c r="F18" i="58"/>
  <c r="F19" i="58"/>
  <c r="E19" i="60"/>
  <c r="G22" i="58"/>
  <c r="F22" i="60"/>
  <c r="E21" i="60"/>
  <c r="F21" i="58"/>
  <c r="E15" i="60"/>
  <c r="F20" i="59"/>
  <c r="E31" i="59"/>
  <c r="G15" i="58"/>
  <c r="D32" i="60"/>
  <c r="D27" i="60"/>
  <c r="D30" i="60"/>
  <c r="D26" i="60"/>
  <c r="G9" i="58"/>
  <c r="F9" i="60"/>
  <c r="E4" i="60"/>
  <c r="F4" i="58"/>
  <c r="E12" i="58"/>
  <c r="E26" i="58"/>
  <c r="D13" i="59"/>
  <c r="D35" i="59"/>
  <c r="D34" i="59"/>
  <c r="D33" i="60"/>
  <c r="F5" i="58"/>
  <c r="E5" i="60"/>
  <c r="E27" i="58"/>
  <c r="G6" i="59"/>
  <c r="F28" i="59"/>
  <c r="G11" i="58"/>
  <c r="F33" i="58"/>
  <c r="D13" i="58"/>
  <c r="D12" i="60"/>
  <c r="D34" i="58"/>
  <c r="E30" i="59"/>
  <c r="F8" i="59"/>
  <c r="G6" i="58"/>
  <c r="F28" i="58"/>
  <c r="F6" i="60"/>
  <c r="E12" i="59"/>
  <c r="F4" i="59"/>
  <c r="E26" i="59"/>
  <c r="E33" i="59"/>
  <c r="F11" i="59"/>
  <c r="F11" i="60"/>
  <c r="C35" i="58"/>
  <c r="C35" i="60"/>
  <c r="C13" i="60"/>
  <c r="F10" i="58"/>
  <c r="E10" i="60"/>
  <c r="E32" i="58"/>
  <c r="E32" i="60"/>
  <c r="E27" i="59"/>
  <c r="F5" i="59"/>
  <c r="H9" i="59"/>
  <c r="E8" i="60"/>
  <c r="F8" i="58"/>
  <c r="E30" i="58"/>
  <c r="C34" i="60"/>
  <c r="F32" i="59"/>
  <c r="G10" i="59"/>
  <c r="E29" i="58"/>
  <c r="E7" i="60"/>
  <c r="F7" i="58"/>
  <c r="E28" i="60"/>
  <c r="F7" i="59"/>
  <c r="E29" i="59"/>
  <c r="F23" i="58"/>
  <c r="H17" i="58"/>
  <c r="G17" i="60"/>
  <c r="H15" i="58"/>
  <c r="G16" i="58"/>
  <c r="F16" i="60"/>
  <c r="F20" i="60"/>
  <c r="G20" i="58"/>
  <c r="G31" i="58"/>
  <c r="F19" i="60"/>
  <c r="G19" i="58"/>
  <c r="F24" i="58"/>
  <c r="G22" i="60"/>
  <c r="H22" i="58"/>
  <c r="G18" i="58"/>
  <c r="F18" i="60"/>
  <c r="F31" i="58"/>
  <c r="G20" i="59"/>
  <c r="F31" i="59"/>
  <c r="E31" i="60"/>
  <c r="E23" i="60"/>
  <c r="F21" i="60"/>
  <c r="G21" i="58"/>
  <c r="F23" i="59"/>
  <c r="F24" i="59"/>
  <c r="G15" i="59"/>
  <c r="G15" i="60"/>
  <c r="E24" i="60"/>
  <c r="E33" i="60"/>
  <c r="E27" i="60"/>
  <c r="F28" i="60"/>
  <c r="E12" i="60"/>
  <c r="E34" i="58"/>
  <c r="E13" i="58"/>
  <c r="F4" i="60"/>
  <c r="G4" i="58"/>
  <c r="F12" i="58"/>
  <c r="F26" i="58"/>
  <c r="H11" i="58"/>
  <c r="G33" i="58"/>
  <c r="F29" i="59"/>
  <c r="G7" i="59"/>
  <c r="D34" i="60"/>
  <c r="F29" i="58"/>
  <c r="F29" i="60"/>
  <c r="G7" i="58"/>
  <c r="F7" i="60"/>
  <c r="G5" i="59"/>
  <c r="F27" i="59"/>
  <c r="F33" i="59"/>
  <c r="G11" i="59"/>
  <c r="G11" i="60"/>
  <c r="D35" i="58"/>
  <c r="D35" i="60"/>
  <c r="D13" i="60"/>
  <c r="G5" i="58"/>
  <c r="F5" i="60"/>
  <c r="F27" i="58"/>
  <c r="I9" i="59"/>
  <c r="E30" i="60"/>
  <c r="E29" i="60"/>
  <c r="F30" i="58"/>
  <c r="F8" i="60"/>
  <c r="G8" i="58"/>
  <c r="G32" i="59"/>
  <c r="H10" i="59"/>
  <c r="F26" i="59"/>
  <c r="F12" i="59"/>
  <c r="G4" i="59"/>
  <c r="G6" i="60"/>
  <c r="H6" i="58"/>
  <c r="G28" i="58"/>
  <c r="G28" i="59"/>
  <c r="H6" i="59"/>
  <c r="H9" i="58"/>
  <c r="G9" i="60"/>
  <c r="F10" i="60"/>
  <c r="G10" i="58"/>
  <c r="F32" i="58"/>
  <c r="F32" i="60"/>
  <c r="E34" i="59"/>
  <c r="E13" i="59"/>
  <c r="E35" i="59"/>
  <c r="F30" i="59"/>
  <c r="G8" i="59"/>
  <c r="E26" i="60"/>
  <c r="G28" i="60"/>
  <c r="G23" i="58"/>
  <c r="G24" i="58"/>
  <c r="F31" i="60"/>
  <c r="H19" i="58"/>
  <c r="G19" i="60"/>
  <c r="H18" i="58"/>
  <c r="G18" i="60"/>
  <c r="H22" i="60"/>
  <c r="I22" i="58"/>
  <c r="H21" i="58"/>
  <c r="G21" i="60"/>
  <c r="I15" i="58"/>
  <c r="G23" i="59"/>
  <c r="G24" i="59"/>
  <c r="H15" i="59"/>
  <c r="H15" i="60"/>
  <c r="H20" i="59"/>
  <c r="G31" i="59"/>
  <c r="F24" i="60"/>
  <c r="G20" i="60"/>
  <c r="H20" i="58"/>
  <c r="G16" i="60"/>
  <c r="H16" i="58"/>
  <c r="F23" i="60"/>
  <c r="I17" i="58"/>
  <c r="H17" i="60"/>
  <c r="F27" i="60"/>
  <c r="F30" i="60"/>
  <c r="F26" i="60"/>
  <c r="G27" i="58"/>
  <c r="G5" i="60"/>
  <c r="H5" i="58"/>
  <c r="H4" i="58"/>
  <c r="G26" i="58"/>
  <c r="G12" i="58"/>
  <c r="G4" i="60"/>
  <c r="H8" i="59"/>
  <c r="G30" i="59"/>
  <c r="I9" i="58"/>
  <c r="H9" i="60"/>
  <c r="H31" i="58"/>
  <c r="F33" i="60"/>
  <c r="E35" i="58"/>
  <c r="E35" i="60"/>
  <c r="E13" i="60"/>
  <c r="F13" i="58"/>
  <c r="F12" i="60"/>
  <c r="F34" i="58"/>
  <c r="G10" i="60"/>
  <c r="G32" i="58"/>
  <c r="G32" i="60"/>
  <c r="H10" i="58"/>
  <c r="E34" i="60"/>
  <c r="I6" i="58"/>
  <c r="H28" i="58"/>
  <c r="H6" i="60"/>
  <c r="F13" i="59"/>
  <c r="F35" i="59"/>
  <c r="F34" i="59"/>
  <c r="H11" i="59"/>
  <c r="H11" i="60"/>
  <c r="G33" i="59"/>
  <c r="H28" i="59"/>
  <c r="I6" i="59"/>
  <c r="J9" i="59"/>
  <c r="H33" i="58"/>
  <c r="I11" i="58"/>
  <c r="G29" i="58"/>
  <c r="H7" i="58"/>
  <c r="G7" i="60"/>
  <c r="H7" i="59"/>
  <c r="G29" i="59"/>
  <c r="G12" i="59"/>
  <c r="G26" i="59"/>
  <c r="H4" i="59"/>
  <c r="H5" i="59"/>
  <c r="G27" i="59"/>
  <c r="H32" i="59"/>
  <c r="I10" i="59"/>
  <c r="G30" i="58"/>
  <c r="G8" i="60"/>
  <c r="H8" i="58"/>
  <c r="G24" i="60"/>
  <c r="G23" i="60"/>
  <c r="G31" i="60"/>
  <c r="I19" i="58"/>
  <c r="H19" i="60"/>
  <c r="I16" i="58"/>
  <c r="H16" i="60"/>
  <c r="J17" i="58"/>
  <c r="I17" i="60"/>
  <c r="H23" i="58"/>
  <c r="H21" i="60"/>
  <c r="I21" i="58"/>
  <c r="I22" i="60"/>
  <c r="J22" i="58"/>
  <c r="H20" i="60"/>
  <c r="I20" i="58"/>
  <c r="J15" i="58"/>
  <c r="I20" i="59"/>
  <c r="H31" i="59"/>
  <c r="I15" i="59"/>
  <c r="H23" i="59"/>
  <c r="H24" i="59"/>
  <c r="I18" i="58"/>
  <c r="H18" i="60"/>
  <c r="G30" i="60"/>
  <c r="H28" i="60"/>
  <c r="F34" i="60"/>
  <c r="I28" i="59"/>
  <c r="J6" i="59"/>
  <c r="J6" i="58"/>
  <c r="I6" i="60"/>
  <c r="I28" i="58"/>
  <c r="F35" i="58"/>
  <c r="F35" i="60"/>
  <c r="F13" i="60"/>
  <c r="I8" i="59"/>
  <c r="H30" i="59"/>
  <c r="G12" i="60"/>
  <c r="G34" i="58"/>
  <c r="G13" i="58"/>
  <c r="I4" i="59"/>
  <c r="H26" i="59"/>
  <c r="H12" i="59"/>
  <c r="G26" i="60"/>
  <c r="G27" i="60"/>
  <c r="H29" i="58"/>
  <c r="I7" i="58"/>
  <c r="H7" i="60"/>
  <c r="K9" i="59"/>
  <c r="H10" i="60"/>
  <c r="I10" i="58"/>
  <c r="H32" i="58"/>
  <c r="H32" i="60"/>
  <c r="I9" i="60"/>
  <c r="J9" i="58"/>
  <c r="I4" i="58"/>
  <c r="H4" i="60"/>
  <c r="H26" i="58"/>
  <c r="H12" i="58"/>
  <c r="G33" i="60"/>
  <c r="I5" i="58"/>
  <c r="H5" i="60"/>
  <c r="H27" i="58"/>
  <c r="J10" i="59"/>
  <c r="I32" i="59"/>
  <c r="G13" i="59"/>
  <c r="G35" i="59"/>
  <c r="G34" i="59"/>
  <c r="G29" i="60"/>
  <c r="J11" i="58"/>
  <c r="I33" i="58"/>
  <c r="I11" i="59"/>
  <c r="H33" i="59"/>
  <c r="H30" i="58"/>
  <c r="I8" i="58"/>
  <c r="H8" i="60"/>
  <c r="I5" i="59"/>
  <c r="H27" i="59"/>
  <c r="H29" i="59"/>
  <c r="I7" i="59"/>
  <c r="I23" i="58"/>
  <c r="I24" i="58"/>
  <c r="H31" i="60"/>
  <c r="K15" i="58"/>
  <c r="J18" i="58"/>
  <c r="I18" i="60"/>
  <c r="J15" i="59"/>
  <c r="J15" i="60"/>
  <c r="I23" i="59"/>
  <c r="I24" i="59"/>
  <c r="K22" i="58"/>
  <c r="J22" i="60"/>
  <c r="K17" i="58"/>
  <c r="J17" i="60"/>
  <c r="I16" i="60"/>
  <c r="J16" i="58"/>
  <c r="I20" i="60"/>
  <c r="J20" i="58"/>
  <c r="J20" i="59"/>
  <c r="I31" i="59"/>
  <c r="H23" i="60"/>
  <c r="H24" i="58"/>
  <c r="H24" i="60"/>
  <c r="I31" i="58"/>
  <c r="I15" i="60"/>
  <c r="J21" i="58"/>
  <c r="I21" i="60"/>
  <c r="J19" i="58"/>
  <c r="I19" i="60"/>
  <c r="I28" i="60"/>
  <c r="H30" i="60"/>
  <c r="H33" i="60"/>
  <c r="J4" i="58"/>
  <c r="I4" i="60"/>
  <c r="I12" i="58"/>
  <c r="I26" i="58"/>
  <c r="H13" i="59"/>
  <c r="H35" i="59"/>
  <c r="H34" i="59"/>
  <c r="J11" i="59"/>
  <c r="I33" i="59"/>
  <c r="I30" i="58"/>
  <c r="I8" i="60"/>
  <c r="J8" i="58"/>
  <c r="J4" i="59"/>
  <c r="I12" i="59"/>
  <c r="I26" i="59"/>
  <c r="L9" i="59"/>
  <c r="J7" i="58"/>
  <c r="I7" i="60"/>
  <c r="I29" i="58"/>
  <c r="J32" i="59"/>
  <c r="K10" i="59"/>
  <c r="I27" i="59"/>
  <c r="J5" i="59"/>
  <c r="H27" i="60"/>
  <c r="H13" i="58"/>
  <c r="H12" i="60"/>
  <c r="H34" i="58"/>
  <c r="K9" i="58"/>
  <c r="J31" i="58"/>
  <c r="J9" i="60"/>
  <c r="J10" i="58"/>
  <c r="I10" i="60"/>
  <c r="I32" i="58"/>
  <c r="I32" i="60"/>
  <c r="H29" i="60"/>
  <c r="G13" i="60"/>
  <c r="G35" i="58"/>
  <c r="G35" i="60"/>
  <c r="J8" i="59"/>
  <c r="I30" i="59"/>
  <c r="K6" i="59"/>
  <c r="J28" i="59"/>
  <c r="K11" i="58"/>
  <c r="J33" i="58"/>
  <c r="J11" i="60"/>
  <c r="I5" i="60"/>
  <c r="J5" i="58"/>
  <c r="I27" i="58"/>
  <c r="I27" i="60"/>
  <c r="J7" i="59"/>
  <c r="I29" i="59"/>
  <c r="I11" i="60"/>
  <c r="H26" i="60"/>
  <c r="G34" i="60"/>
  <c r="K6" i="58"/>
  <c r="J28" i="58"/>
  <c r="J6" i="60"/>
  <c r="I31" i="60"/>
  <c r="J23" i="58"/>
  <c r="J24" i="58"/>
  <c r="J21" i="60"/>
  <c r="K21" i="58"/>
  <c r="J23" i="59"/>
  <c r="J24" i="59"/>
  <c r="K15" i="59"/>
  <c r="K16" i="58"/>
  <c r="J16" i="60"/>
  <c r="J18" i="60"/>
  <c r="K18" i="58"/>
  <c r="K17" i="60"/>
  <c r="L17" i="58"/>
  <c r="L17" i="60"/>
  <c r="L15" i="58"/>
  <c r="J19" i="60"/>
  <c r="K19" i="58"/>
  <c r="K20" i="59"/>
  <c r="J31" i="59"/>
  <c r="L22" i="58"/>
  <c r="L22" i="60"/>
  <c r="K22" i="60"/>
  <c r="I24" i="60"/>
  <c r="K20" i="58"/>
  <c r="K31" i="58"/>
  <c r="J20" i="60"/>
  <c r="I23" i="60"/>
  <c r="J28" i="60"/>
  <c r="I33" i="60"/>
  <c r="I29" i="60"/>
  <c r="I13" i="59"/>
  <c r="I35" i="59"/>
  <c r="I34" i="59"/>
  <c r="J26" i="59"/>
  <c r="J12" i="59"/>
  <c r="K4" i="59"/>
  <c r="J30" i="59"/>
  <c r="K8" i="59"/>
  <c r="K9" i="60"/>
  <c r="L9" i="58"/>
  <c r="L10" i="59"/>
  <c r="K32" i="59"/>
  <c r="K7" i="58"/>
  <c r="J29" i="58"/>
  <c r="J7" i="60"/>
  <c r="J30" i="58"/>
  <c r="K8" i="58"/>
  <c r="J8" i="60"/>
  <c r="I26" i="60"/>
  <c r="L6" i="59"/>
  <c r="K28" i="59"/>
  <c r="K5" i="58"/>
  <c r="J27" i="58"/>
  <c r="J5" i="60"/>
  <c r="K33" i="58"/>
  <c r="L11" i="58"/>
  <c r="H35" i="58"/>
  <c r="H35" i="60"/>
  <c r="H13" i="60"/>
  <c r="K4" i="58"/>
  <c r="J12" i="58"/>
  <c r="J4" i="60"/>
  <c r="J26" i="58"/>
  <c r="L6" i="58"/>
  <c r="K28" i="58"/>
  <c r="K6" i="60"/>
  <c r="K10" i="58"/>
  <c r="J32" i="58"/>
  <c r="J32" i="60"/>
  <c r="J10" i="60"/>
  <c r="H34" i="60"/>
  <c r="I34" i="58"/>
  <c r="I13" i="58"/>
  <c r="I12" i="60"/>
  <c r="K5" i="59"/>
  <c r="J27" i="59"/>
  <c r="I30" i="60"/>
  <c r="J33" i="59"/>
  <c r="K11" i="59"/>
  <c r="K7" i="59"/>
  <c r="J29" i="59"/>
  <c r="K23" i="58"/>
  <c r="K23" i="59"/>
  <c r="K24" i="59"/>
  <c r="L15" i="59"/>
  <c r="L15" i="60"/>
  <c r="K15" i="60"/>
  <c r="J30" i="60"/>
  <c r="L20" i="59"/>
  <c r="L31" i="59"/>
  <c r="K31" i="59"/>
  <c r="L21" i="58"/>
  <c r="L21" i="60"/>
  <c r="K21" i="60"/>
  <c r="L16" i="58"/>
  <c r="L16" i="60"/>
  <c r="K16" i="60"/>
  <c r="K19" i="60"/>
  <c r="L19" i="58"/>
  <c r="L19" i="60"/>
  <c r="K23" i="60"/>
  <c r="K24" i="58"/>
  <c r="K24" i="60"/>
  <c r="K18" i="60"/>
  <c r="L18" i="58"/>
  <c r="L18" i="60"/>
  <c r="J23" i="60"/>
  <c r="L20" i="58"/>
  <c r="K20" i="60"/>
  <c r="J31" i="60"/>
  <c r="J24" i="60"/>
  <c r="K28" i="60"/>
  <c r="K30" i="58"/>
  <c r="K8" i="60"/>
  <c r="L8" i="58"/>
  <c r="L8" i="59"/>
  <c r="K30" i="59"/>
  <c r="L5" i="58"/>
  <c r="K27" i="58"/>
  <c r="K5" i="60"/>
  <c r="L11" i="59"/>
  <c r="K33" i="59"/>
  <c r="J13" i="59"/>
  <c r="J35" i="59"/>
  <c r="J34" i="59"/>
  <c r="I35" i="58"/>
  <c r="I35" i="60"/>
  <c r="I13" i="60"/>
  <c r="J34" i="58"/>
  <c r="J13" i="58"/>
  <c r="J12" i="60"/>
  <c r="L33" i="58"/>
  <c r="K29" i="58"/>
  <c r="K7" i="60"/>
  <c r="L7" i="58"/>
  <c r="L5" i="59"/>
  <c r="K27" i="59"/>
  <c r="K29" i="59"/>
  <c r="L7" i="59"/>
  <c r="L9" i="60"/>
  <c r="I34" i="60"/>
  <c r="L28" i="58"/>
  <c r="L6" i="60"/>
  <c r="K26" i="58"/>
  <c r="L4" i="58"/>
  <c r="K12" i="58"/>
  <c r="K4" i="60"/>
  <c r="L28" i="59"/>
  <c r="L32" i="59"/>
  <c r="J33" i="60"/>
  <c r="J26" i="60"/>
  <c r="K26" i="59"/>
  <c r="K12" i="59"/>
  <c r="L4" i="59"/>
  <c r="L10" i="58"/>
  <c r="K32" i="58"/>
  <c r="K32" i="60"/>
  <c r="K10" i="60"/>
  <c r="K11" i="60"/>
  <c r="J27" i="60"/>
  <c r="J29" i="60"/>
  <c r="L20" i="60"/>
  <c r="L23" i="58"/>
  <c r="L31" i="58"/>
  <c r="L31" i="60"/>
  <c r="K31" i="60"/>
  <c r="L23" i="59"/>
  <c r="L24" i="59"/>
  <c r="K26" i="60"/>
  <c r="K27" i="60"/>
  <c r="L28" i="60"/>
  <c r="K13" i="58"/>
  <c r="K12" i="60"/>
  <c r="K34" i="58"/>
  <c r="L33" i="59"/>
  <c r="J13" i="60"/>
  <c r="J35" i="58"/>
  <c r="J35" i="60"/>
  <c r="L12" i="59"/>
  <c r="L26" i="59"/>
  <c r="L7" i="60"/>
  <c r="L29" i="58"/>
  <c r="L11" i="60"/>
  <c r="J34" i="60"/>
  <c r="L30" i="58"/>
  <c r="L8" i="60"/>
  <c r="L27" i="58"/>
  <c r="L5" i="60"/>
  <c r="K33" i="60"/>
  <c r="K34" i="59"/>
  <c r="K13" i="59"/>
  <c r="K35" i="59"/>
  <c r="L32" i="58"/>
  <c r="L32" i="60"/>
  <c r="L10" i="60"/>
  <c r="L29" i="59"/>
  <c r="K29" i="60"/>
  <c r="K30" i="60"/>
  <c r="L12" i="58"/>
  <c r="L26" i="58"/>
  <c r="L4" i="60"/>
  <c r="L27" i="59"/>
  <c r="L30" i="59"/>
  <c r="L24" i="58"/>
  <c r="L24" i="60"/>
  <c r="L23" i="60"/>
  <c r="K34" i="60"/>
  <c r="L26" i="60"/>
  <c r="L33" i="60"/>
  <c r="L29" i="60"/>
  <c r="L27" i="60"/>
  <c r="L34" i="58"/>
  <c r="L13" i="58"/>
  <c r="L12" i="60"/>
  <c r="K35" i="58"/>
  <c r="K35" i="60"/>
  <c r="K13" i="60"/>
  <c r="L30" i="60"/>
  <c r="L13" i="59"/>
  <c r="L35" i="59"/>
  <c r="L34" i="59"/>
  <c r="L13" i="60"/>
  <c r="L35" i="58"/>
  <c r="L35" i="60"/>
  <c r="L34" i="60"/>
  <c r="H224" i="6"/>
  <c r="L226" i="6"/>
  <c r="L226" i="34" s="1"/>
  <c r="L223" i="6"/>
  <c r="L223" i="34" s="1"/>
  <c r="J223" i="6"/>
  <c r="J223" i="34" s="1"/>
  <c r="J225" i="6"/>
  <c r="K225" i="6"/>
  <c r="G224" i="6"/>
  <c r="G224" i="34" s="1"/>
  <c r="D224" i="6"/>
  <c r="D224" i="34" s="1"/>
  <c r="I223" i="6"/>
  <c r="E223" i="6"/>
  <c r="F222" i="6"/>
  <c r="F225" i="6"/>
  <c r="F225" i="34" s="1"/>
  <c r="H221" i="6"/>
  <c r="G222" i="6"/>
  <c r="K220" i="6"/>
  <c r="K220" i="34" s="1"/>
  <c r="D222" i="6"/>
  <c r="D222" i="34" s="1"/>
  <c r="I224" i="6"/>
  <c r="I224" i="34" s="1"/>
  <c r="G221" i="6"/>
  <c r="H225" i="6"/>
  <c r="D220" i="6"/>
  <c r="F221" i="6"/>
  <c r="K224" i="6"/>
  <c r="L221" i="6"/>
  <c r="L221" i="34" s="1"/>
  <c r="C227" i="6"/>
  <c r="C227" i="34" s="1"/>
  <c r="F223" i="6"/>
  <c r="G226" i="6"/>
  <c r="K222" i="6"/>
  <c r="D226" i="6"/>
  <c r="D226" i="34" s="1"/>
  <c r="C222" i="6"/>
  <c r="C222" i="34" s="1"/>
  <c r="C220" i="6"/>
  <c r="C220" i="34" s="1"/>
  <c r="I227" i="6"/>
  <c r="C220" i="30" a="1"/>
  <c r="F224" i="30" s="1"/>
  <c r="C224" i="30"/>
  <c r="D71" i="2" a="1"/>
  <c r="I222" i="30"/>
  <c r="K221" i="30"/>
  <c r="C225" i="30"/>
  <c r="C225" i="34" s="1"/>
  <c r="D221" i="30"/>
  <c r="J225" i="30"/>
  <c r="J225" i="34"/>
  <c r="C227" i="30"/>
  <c r="H223" i="30"/>
  <c r="G222" i="30"/>
  <c r="G222" i="34" s="1"/>
  <c r="E227" i="30"/>
  <c r="D226" i="30"/>
  <c r="L226" i="30"/>
  <c r="I225" i="30"/>
  <c r="I225" i="34"/>
  <c r="E221" i="30"/>
  <c r="E221" i="34" s="1"/>
  <c r="J226" i="30"/>
  <c r="D224" i="30"/>
  <c r="L223" i="30"/>
  <c r="F221" i="30"/>
  <c r="F221" i="34"/>
  <c r="J221" i="30"/>
  <c r="J221" i="34" s="1"/>
  <c r="G224" i="30"/>
  <c r="F220" i="30"/>
  <c r="F220" i="34" s="1"/>
  <c r="H227" i="30"/>
  <c r="D227" i="30"/>
  <c r="E72" i="2"/>
  <c r="F71" i="2"/>
  <c r="E71" i="2"/>
  <c r="D73" i="2"/>
  <c r="E74" i="2"/>
  <c r="F74" i="2"/>
  <c r="F72" i="2"/>
  <c r="D72" i="2"/>
  <c r="D74" i="2"/>
  <c r="E73" i="2"/>
  <c r="D71" i="2"/>
  <c r="F73" i="2"/>
  <c r="F223" i="30"/>
  <c r="F223" i="34"/>
  <c r="F222" i="30"/>
  <c r="F222" i="34" s="1"/>
  <c r="L220" i="30"/>
  <c r="D220" i="30"/>
  <c r="D220" i="34"/>
  <c r="D225" i="30"/>
  <c r="K227" i="30"/>
  <c r="K227" i="34" s="1"/>
  <c r="I226" i="30"/>
  <c r="I220" i="30"/>
  <c r="F226" i="30"/>
  <c r="F224" i="6"/>
  <c r="H222" i="6"/>
  <c r="H222" i="34" s="1"/>
  <c r="F220" i="6"/>
  <c r="F227" i="6"/>
  <c r="K226" i="6"/>
  <c r="K226" i="34" s="1"/>
  <c r="J221" i="6"/>
  <c r="K227" i="6"/>
  <c r="E221" i="6"/>
  <c r="H223" i="6"/>
  <c r="H223" i="34"/>
  <c r="E227" i="6"/>
  <c r="E227" i="34" s="1"/>
  <c r="D227" i="6"/>
  <c r="D227" i="34" s="1"/>
  <c r="J223" i="30"/>
  <c r="H224" i="30"/>
  <c r="H224" i="34"/>
  <c r="F227" i="30"/>
  <c r="F227" i="34" s="1"/>
  <c r="L225" i="30"/>
  <c r="C220" i="30"/>
  <c r="H225" i="30"/>
  <c r="H225" i="34"/>
  <c r="J222" i="6"/>
  <c r="D225" i="6"/>
  <c r="D225" i="34" s="1"/>
  <c r="J224" i="6"/>
  <c r="K223" i="6"/>
  <c r="E225" i="6"/>
  <c r="E224" i="6"/>
  <c r="E224" i="34" s="1"/>
  <c r="E222" i="6"/>
  <c r="E222" i="34"/>
  <c r="F226" i="6"/>
  <c r="F226" i="34" s="1"/>
  <c r="E220" i="6"/>
  <c r="E226" i="6"/>
  <c r="L221" i="30"/>
  <c r="H222" i="30"/>
  <c r="K223" i="30"/>
  <c r="K226" i="30"/>
  <c r="K222" i="30"/>
  <c r="K222" i="34" s="1"/>
  <c r="E224" i="30"/>
  <c r="E225" i="30"/>
  <c r="E225" i="34" s="1"/>
  <c r="C226" i="30"/>
  <c r="J222" i="30"/>
  <c r="K220" i="30"/>
  <c r="G226" i="30"/>
  <c r="E226" i="30"/>
  <c r="E226" i="34" s="1"/>
  <c r="H220" i="30"/>
  <c r="I226" i="6"/>
  <c r="I226" i="34" s="1"/>
  <c r="H220" i="6"/>
  <c r="H220" i="34" s="1"/>
  <c r="L220" i="6"/>
  <c r="L220" i="34"/>
  <c r="L227" i="6"/>
  <c r="I222" i="6"/>
  <c r="I222" i="34"/>
  <c r="C223" i="6"/>
  <c r="J226" i="6"/>
  <c r="J226" i="34" s="1"/>
  <c r="I220" i="6"/>
  <c r="I220" i="34" s="1"/>
  <c r="G223" i="6"/>
  <c r="G226" i="34"/>
  <c r="K225" i="30"/>
  <c r="K225" i="34" s="1"/>
  <c r="H221" i="30"/>
  <c r="H221" i="34" s="1"/>
  <c r="E222" i="30"/>
  <c r="H226" i="30"/>
  <c r="G220" i="30"/>
  <c r="G220" i="34" s="1"/>
  <c r="C221" i="30"/>
  <c r="C222" i="30"/>
  <c r="D222" i="30"/>
  <c r="L227" i="30"/>
  <c r="L227" i="34"/>
  <c r="J220" i="30"/>
  <c r="J220" i="34" s="1"/>
  <c r="J224" i="30"/>
  <c r="J224" i="34" s="1"/>
  <c r="I224" i="30"/>
  <c r="F225" i="30"/>
  <c r="C225" i="6"/>
  <c r="H226" i="6"/>
  <c r="H226" i="34" s="1"/>
  <c r="J227" i="6"/>
  <c r="H227" i="6"/>
  <c r="H227" i="34" s="1"/>
  <c r="C224" i="6"/>
  <c r="G225" i="6"/>
  <c r="G227" i="6"/>
  <c r="L225" i="6"/>
  <c r="L225" i="34" s="1"/>
  <c r="G220" i="6"/>
  <c r="C224" i="34"/>
  <c r="J222" i="34"/>
  <c r="K223" i="34"/>
  <c r="L6" i="67"/>
  <c r="A6" i="67"/>
  <c r="M443" i="34"/>
  <c r="V172" i="4"/>
  <c r="S172" i="4"/>
  <c r="W172" i="4"/>
  <c r="Q172" i="4"/>
  <c r="H167" i="57"/>
  <c r="F168" i="57"/>
  <c r="D161" i="57"/>
  <c r="L161" i="57"/>
  <c r="J162" i="57"/>
  <c r="H163" i="57"/>
  <c r="F164" i="57"/>
  <c r="D165" i="57"/>
  <c r="L165" i="57"/>
  <c r="J102" i="57"/>
  <c r="H103" i="57"/>
  <c r="F96" i="57"/>
  <c r="D97" i="57"/>
  <c r="L97" i="57"/>
  <c r="J98" i="57"/>
  <c r="H99" i="57"/>
  <c r="F100" i="57"/>
  <c r="H70" i="57"/>
  <c r="R172" i="4"/>
  <c r="C22" i="2"/>
  <c r="D167" i="57"/>
  <c r="C168" i="57"/>
  <c r="L168" i="57"/>
  <c r="K161" i="57"/>
  <c r="K162" i="57"/>
  <c r="J163" i="57"/>
  <c r="I164" i="57"/>
  <c r="H165" i="57"/>
  <c r="D102" i="57"/>
  <c r="C103" i="57"/>
  <c r="L103" i="57"/>
  <c r="K96" i="57"/>
  <c r="J97" i="57"/>
  <c r="I98" i="57"/>
  <c r="I99" i="57"/>
  <c r="H100" i="57"/>
  <c r="D70" i="57"/>
  <c r="C71" i="57"/>
  <c r="K71" i="57"/>
  <c r="D48" i="57"/>
  <c r="B21" i="57"/>
  <c r="C19" i="57"/>
  <c r="P172" i="4"/>
  <c r="X172" i="4"/>
  <c r="C195" i="2"/>
  <c r="E167" i="57"/>
  <c r="D168" i="57"/>
  <c r="C161" i="57"/>
  <c r="C162" i="57"/>
  <c r="L162" i="57"/>
  <c r="K163" i="57"/>
  <c r="J164" i="57"/>
  <c r="I165" i="57"/>
  <c r="E102" i="57"/>
  <c r="D103" i="57"/>
  <c r="C96" i="57"/>
  <c r="L96" i="57"/>
  <c r="K97" i="57"/>
  <c r="K98" i="57"/>
  <c r="J99" i="57"/>
  <c r="I100" i="57"/>
  <c r="E70" i="57"/>
  <c r="D71" i="57"/>
  <c r="L71" i="57"/>
  <c r="D49" i="57"/>
  <c r="C21" i="57"/>
  <c r="B17" i="57"/>
  <c r="F167" i="57"/>
  <c r="E168" i="57"/>
  <c r="E161" i="57"/>
  <c r="D162" i="57"/>
  <c r="C163" i="57"/>
  <c r="L163" i="57"/>
  <c r="K164" i="57"/>
  <c r="J165" i="57"/>
  <c r="F102" i="57"/>
  <c r="E103" i="57"/>
  <c r="D96" i="57"/>
  <c r="C97" i="57"/>
  <c r="C98" i="57"/>
  <c r="L98" i="57"/>
  <c r="K99" i="57"/>
  <c r="J100" i="57"/>
  <c r="F70" i="57"/>
  <c r="E71" i="57"/>
  <c r="D51" i="57"/>
  <c r="C17" i="57"/>
  <c r="I167" i="57"/>
  <c r="H168" i="57"/>
  <c r="G161" i="57"/>
  <c r="F162" i="57"/>
  <c r="E163" i="57"/>
  <c r="D164" i="57"/>
  <c r="C165" i="57"/>
  <c r="H102" i="57"/>
  <c r="G103" i="57"/>
  <c r="G96" i="57"/>
  <c r="F97" i="57"/>
  <c r="E98" i="57"/>
  <c r="D99" i="57"/>
  <c r="C100" i="57"/>
  <c r="L100" i="57"/>
  <c r="I70" i="57"/>
  <c r="G71" i="57"/>
  <c r="B62" i="57"/>
  <c r="D53" i="57"/>
  <c r="C15" i="57"/>
  <c r="B18" i="57"/>
  <c r="J167" i="57"/>
  <c r="I168" i="57"/>
  <c r="H161" i="57"/>
  <c r="G162" i="57"/>
  <c r="F163" i="57"/>
  <c r="E164" i="57"/>
  <c r="E165" i="57"/>
  <c r="I102" i="57"/>
  <c r="I103" i="57"/>
  <c r="H96" i="57"/>
  <c r="G97" i="57"/>
  <c r="F98" i="57"/>
  <c r="E99" i="57"/>
  <c r="D100" i="57"/>
  <c r="J70" i="57"/>
  <c r="H71" i="57"/>
  <c r="D45" i="57"/>
  <c r="C18" i="57"/>
  <c r="J168" i="57"/>
  <c r="D163" i="57"/>
  <c r="G165" i="57"/>
  <c r="C102" i="57"/>
  <c r="I96" i="57"/>
  <c r="C99" i="57"/>
  <c r="C87" i="57"/>
  <c r="C70" i="57"/>
  <c r="H162" i="57"/>
  <c r="O172" i="4"/>
  <c r="K168" i="57"/>
  <c r="G163" i="57"/>
  <c r="K165" i="57"/>
  <c r="G102" i="57"/>
  <c r="J96" i="57"/>
  <c r="F99" i="57"/>
  <c r="G70" i="57"/>
  <c r="C18" i="2"/>
  <c r="L167" i="57"/>
  <c r="K103" i="57"/>
  <c r="B16" i="57"/>
  <c r="T172" i="4"/>
  <c r="F161" i="57"/>
  <c r="I163" i="57"/>
  <c r="K102" i="57"/>
  <c r="E97" i="57"/>
  <c r="G99" i="57"/>
  <c r="K70" i="57"/>
  <c r="B19" i="57"/>
  <c r="G98" i="57"/>
  <c r="C167" i="57"/>
  <c r="I161" i="57"/>
  <c r="C164" i="57"/>
  <c r="L102" i="57"/>
  <c r="H97" i="57"/>
  <c r="L99" i="57"/>
  <c r="L70" i="57"/>
  <c r="D52" i="57"/>
  <c r="G167" i="57"/>
  <c r="J161" i="57"/>
  <c r="G164" i="57"/>
  <c r="F103" i="57"/>
  <c r="I97" i="57"/>
  <c r="E100" i="57"/>
  <c r="F71" i="57"/>
  <c r="D46" i="57"/>
  <c r="K167" i="57"/>
  <c r="E162" i="57"/>
  <c r="H164" i="57"/>
  <c r="J103" i="57"/>
  <c r="D98" i="57"/>
  <c r="G100" i="57"/>
  <c r="I71" i="57"/>
  <c r="D47" i="57"/>
  <c r="B15" i="57"/>
  <c r="L164" i="57"/>
  <c r="K100" i="57"/>
  <c r="J71" i="57"/>
  <c r="G168" i="57"/>
  <c r="I162" i="57"/>
  <c r="F165" i="57"/>
  <c r="E96" i="57"/>
  <c r="H98" i="57"/>
  <c r="G87" i="57"/>
  <c r="C16" i="57"/>
  <c r="L78" i="57" l="1"/>
  <c r="K78" i="57"/>
  <c r="D190" i="4" a="1"/>
  <c r="D190" i="4" s="1"/>
  <c r="G78" i="57"/>
  <c r="C78" i="57"/>
  <c r="O70" i="57"/>
  <c r="J78" i="57"/>
  <c r="I78" i="57"/>
  <c r="D54" i="57"/>
  <c r="F78" i="57"/>
  <c r="E78" i="57"/>
  <c r="B233" i="38" a="1"/>
  <c r="F233" i="38" s="1"/>
  <c r="O71" i="57"/>
  <c r="D78" i="57"/>
  <c r="H78" i="57"/>
  <c r="F224" i="34"/>
  <c r="E223" i="34"/>
  <c r="G223" i="30"/>
  <c r="G223" i="34" s="1"/>
  <c r="L222" i="30"/>
  <c r="D223" i="30"/>
  <c r="I227" i="30"/>
  <c r="I227" i="34" s="1"/>
  <c r="I223" i="30"/>
  <c r="I223" i="34" s="1"/>
  <c r="G227" i="30"/>
  <c r="G227" i="34" s="1"/>
  <c r="C223" i="30"/>
  <c r="C223" i="34" s="1"/>
  <c r="K224" i="30"/>
  <c r="K224" i="34" s="1"/>
  <c r="J227" i="30"/>
  <c r="J227" i="34" s="1"/>
  <c r="L224" i="30"/>
  <c r="G225" i="30"/>
  <c r="G225" i="34" s="1"/>
  <c r="E223" i="30"/>
  <c r="G221" i="30"/>
  <c r="G221" i="34" s="1"/>
  <c r="I221" i="30"/>
  <c r="E220" i="30"/>
  <c r="E220" i="34" s="1"/>
  <c r="J107" i="4"/>
  <c r="J108" i="4" s="1"/>
  <c r="K109" i="4" s="1"/>
  <c r="K112" i="4" s="1"/>
  <c r="D223" i="6"/>
  <c r="D223" i="34" s="1"/>
  <c r="C221" i="6"/>
  <c r="C221" i="34" s="1"/>
  <c r="C226" i="6"/>
  <c r="C226" i="34" s="1"/>
  <c r="D221" i="6"/>
  <c r="D221" i="34" s="1"/>
  <c r="L222" i="6"/>
  <c r="L224" i="6"/>
  <c r="I221" i="6"/>
  <c r="I221" i="34" s="1"/>
  <c r="I111" i="30"/>
  <c r="D190" i="29" a="1"/>
  <c r="K190" i="29" s="1"/>
  <c r="B5" i="35"/>
  <c r="B5" i="37" s="1"/>
  <c r="D27" i="4"/>
  <c r="C126" i="30" a="1"/>
  <c r="F126" i="30" s="1"/>
  <c r="F126" i="34" s="1"/>
  <c r="C5" i="35"/>
  <c r="C5" i="37" s="1"/>
  <c r="F106" i="30"/>
  <c r="H118" i="30"/>
  <c r="H118" i="34" s="1"/>
  <c r="L111" i="30"/>
  <c r="L111" i="34" s="1"/>
  <c r="K106" i="30"/>
  <c r="C122" i="6"/>
  <c r="J94" i="4"/>
  <c r="D5" i="8"/>
  <c r="D5" i="39" s="1"/>
  <c r="K119" i="30"/>
  <c r="E117" i="6"/>
  <c r="H112" i="30"/>
  <c r="H112" i="34" s="1"/>
  <c r="C110" i="30"/>
  <c r="C110" i="34" s="1"/>
  <c r="K175" i="4"/>
  <c r="H108" i="6"/>
  <c r="G121" i="29"/>
  <c r="G122" i="29" s="1"/>
  <c r="D116" i="30"/>
  <c r="M89" i="4"/>
  <c r="F110" i="30"/>
  <c r="E94" i="4"/>
  <c r="D119" i="6"/>
  <c r="C31" i="38"/>
  <c r="C31" i="39" s="1"/>
  <c r="H113" i="30"/>
  <c r="D31" i="4"/>
  <c r="F174" i="29" s="1"/>
  <c r="E5" i="8"/>
  <c r="E5" i="39" s="1"/>
  <c r="C89" i="4"/>
  <c r="C89" i="40" s="1"/>
  <c r="E172" i="40"/>
  <c r="E107" i="29"/>
  <c r="E108" i="29" s="1"/>
  <c r="D119" i="30"/>
  <c r="L118" i="6"/>
  <c r="E89" i="4"/>
  <c r="D118" i="6"/>
  <c r="D124" i="30"/>
  <c r="D125" i="30" s="1"/>
  <c r="C109" i="6"/>
  <c r="G175" i="4"/>
  <c r="L39" i="59"/>
  <c r="H42" i="59"/>
  <c r="D38" i="59"/>
  <c r="I118" i="30"/>
  <c r="K121" i="30"/>
  <c r="G119" i="30"/>
  <c r="I113" i="30"/>
  <c r="M175" i="4"/>
  <c r="G175" i="29"/>
  <c r="J112" i="30"/>
  <c r="J120" i="6"/>
  <c r="L119" i="6"/>
  <c r="G107" i="29"/>
  <c r="G108" i="29" s="1"/>
  <c r="G89" i="29"/>
  <c r="E175" i="4"/>
  <c r="E121" i="4"/>
  <c r="E122" i="4" s="1"/>
  <c r="M177" i="40"/>
  <c r="F109" i="6"/>
  <c r="F109" i="34" s="1"/>
  <c r="J108" i="30"/>
  <c r="J108" i="34" s="1"/>
  <c r="K183" i="40"/>
  <c r="E182" i="40"/>
  <c r="G181" i="40"/>
  <c r="G177" i="40"/>
  <c r="L115" i="6"/>
  <c r="L292" i="6" s="1"/>
  <c r="L107" i="30"/>
  <c r="M94" i="4"/>
  <c r="F122" i="6"/>
  <c r="F122" i="34" s="1"/>
  <c r="D120" i="30"/>
  <c r="J116" i="6"/>
  <c r="M107" i="4"/>
  <c r="M108" i="4" s="1"/>
  <c r="M108" i="40" s="1"/>
  <c r="H121" i="6"/>
  <c r="H121" i="34" s="1"/>
  <c r="I183" i="40"/>
  <c r="K182" i="40"/>
  <c r="M181" i="40"/>
  <c r="D115" i="6"/>
  <c r="D292" i="6" s="1"/>
  <c r="I175" i="29"/>
  <c r="I43" i="59"/>
  <c r="I184" i="40"/>
  <c r="G5" i="35"/>
  <c r="G5" i="37" s="1"/>
  <c r="H41" i="59"/>
  <c r="E42" i="59"/>
  <c r="F175" i="4"/>
  <c r="E40" i="59"/>
  <c r="G37" i="59"/>
  <c r="D44" i="59"/>
  <c r="B211" i="8"/>
  <c r="B237" i="38" a="1"/>
  <c r="I237" i="38" s="1"/>
  <c r="I39" i="59"/>
  <c r="L44" i="59"/>
  <c r="J38" i="59"/>
  <c r="F40" i="59"/>
  <c r="F41" i="59"/>
  <c r="K39" i="59"/>
  <c r="F175" i="29"/>
  <c r="F39" i="59"/>
  <c r="I38" i="59"/>
  <c r="G38" i="59"/>
  <c r="M189" i="29"/>
  <c r="B200" i="38"/>
  <c r="I45" i="59"/>
  <c r="J41" i="59"/>
  <c r="I190" i="4"/>
  <c r="H45" i="59"/>
  <c r="D39" i="59"/>
  <c r="I42" i="59"/>
  <c r="J175" i="4"/>
  <c r="D175" i="29"/>
  <c r="E116" i="30"/>
  <c r="I112" i="6"/>
  <c r="I112" i="34" s="1"/>
  <c r="E124" i="6"/>
  <c r="E125" i="6" s="1"/>
  <c r="B240" i="8" a="1"/>
  <c r="B240" i="8" s="1"/>
  <c r="K109" i="6"/>
  <c r="C121" i="30"/>
  <c r="E120" i="30"/>
  <c r="D29" i="4"/>
  <c r="D30" i="4" s="1"/>
  <c r="H107" i="29"/>
  <c r="H108" i="29" s="1"/>
  <c r="D124" i="6"/>
  <c r="D125" i="6" s="1"/>
  <c r="E106" i="6"/>
  <c r="C117" i="30"/>
  <c r="K107" i="6"/>
  <c r="E110" i="6"/>
  <c r="G106" i="30"/>
  <c r="K111" i="6"/>
  <c r="C73" i="4"/>
  <c r="B242" i="8" a="1"/>
  <c r="E242" i="8" s="1"/>
  <c r="C73" i="29"/>
  <c r="F89" i="4"/>
  <c r="D73" i="4"/>
  <c r="D117" i="30"/>
  <c r="C18" i="8"/>
  <c r="C18" i="39" s="1"/>
  <c r="D112" i="30"/>
  <c r="B240" i="38" a="1"/>
  <c r="D240" i="38" s="1"/>
  <c r="D120" i="6"/>
  <c r="M182" i="40"/>
  <c r="I89" i="29"/>
  <c r="L178" i="40"/>
  <c r="E89" i="29"/>
  <c r="K117" i="30"/>
  <c r="H121" i="29"/>
  <c r="H122" i="29" s="1"/>
  <c r="C111" i="6"/>
  <c r="B242" i="38" a="1"/>
  <c r="K242" i="38" s="1"/>
  <c r="C60" i="4"/>
  <c r="G172" i="40"/>
  <c r="L121" i="30"/>
  <c r="G109" i="6"/>
  <c r="C116" i="6"/>
  <c r="G122" i="6"/>
  <c r="H180" i="40"/>
  <c r="D9" i="4"/>
  <c r="C87" i="29" s="1"/>
  <c r="H89" i="29"/>
  <c r="E178" i="40"/>
  <c r="J121" i="6"/>
  <c r="J121" i="34" s="1"/>
  <c r="H113" i="6"/>
  <c r="E124" i="30"/>
  <c r="E125" i="30" s="1"/>
  <c r="F94" i="4"/>
  <c r="F124" i="30"/>
  <c r="F125" i="30" s="1"/>
  <c r="J113" i="30"/>
  <c r="L120" i="6"/>
  <c r="L120" i="34" s="1"/>
  <c r="F116" i="30"/>
  <c r="F107" i="4"/>
  <c r="F108" i="4" s="1"/>
  <c r="F109" i="4" s="1"/>
  <c r="F112" i="4" s="1"/>
  <c r="K89" i="4"/>
  <c r="L122" i="6"/>
  <c r="B197" i="38"/>
  <c r="G124" i="30"/>
  <c r="G125" i="30" s="1"/>
  <c r="I108" i="6"/>
  <c r="I108" i="34" s="1"/>
  <c r="E18" i="8"/>
  <c r="E18" i="39" s="1"/>
  <c r="L124" i="6"/>
  <c r="L125" i="6" s="1"/>
  <c r="F124" i="6"/>
  <c r="F125" i="6" s="1"/>
  <c r="H115" i="30"/>
  <c r="H292" i="30" s="1"/>
  <c r="I121" i="29"/>
  <c r="I122" i="29" s="1"/>
  <c r="H184" i="40"/>
  <c r="J89" i="4"/>
  <c r="M175" i="29"/>
  <c r="J190" i="4"/>
  <c r="I180" i="40"/>
  <c r="D182" i="40"/>
  <c r="H175" i="29"/>
  <c r="J109" i="30"/>
  <c r="K179" i="40"/>
  <c r="M109" i="29"/>
  <c r="M112" i="29" s="1"/>
  <c r="D128" i="29"/>
  <c r="D129" i="29" s="1"/>
  <c r="E125" i="29"/>
  <c r="F190" i="4"/>
  <c r="K190" i="4"/>
  <c r="K124" i="30"/>
  <c r="K125" i="30" s="1"/>
  <c r="K43" i="59"/>
  <c r="C45" i="59"/>
  <c r="G44" i="59"/>
  <c r="E39" i="59"/>
  <c r="C40" i="59"/>
  <c r="E41" i="59"/>
  <c r="E43" i="59"/>
  <c r="C191" i="29"/>
  <c r="J44" i="59"/>
  <c r="F37" i="59"/>
  <c r="B37" i="58" a="1"/>
  <c r="B42" i="58" s="1"/>
  <c r="H43" i="59"/>
  <c r="J121" i="4"/>
  <c r="J122" i="4" s="1"/>
  <c r="I106" i="6"/>
  <c r="L89" i="29"/>
  <c r="C115" i="30"/>
  <c r="C292" i="30" s="1"/>
  <c r="E121" i="6"/>
  <c r="I107" i="30"/>
  <c r="I107" i="34" s="1"/>
  <c r="L190" i="4"/>
  <c r="I124" i="6"/>
  <c r="I125" i="6" s="1"/>
  <c r="C37" i="59"/>
  <c r="J39" i="59"/>
  <c r="D43" i="59"/>
  <c r="F38" i="59"/>
  <c r="K38" i="59"/>
  <c r="F45" i="59"/>
  <c r="L40" i="59"/>
  <c r="B45" i="58"/>
  <c r="C39" i="59"/>
  <c r="G40" i="59"/>
  <c r="H44" i="59"/>
  <c r="D42" i="59"/>
  <c r="G43" i="59"/>
  <c r="L175" i="29"/>
  <c r="G120" i="6"/>
  <c r="I119" i="6"/>
  <c r="L121" i="29"/>
  <c r="L122" i="29" s="1"/>
  <c r="K113" i="6"/>
  <c r="L94" i="29"/>
  <c r="G121" i="30"/>
  <c r="G89" i="4"/>
  <c r="D41" i="59"/>
  <c r="K40" i="59"/>
  <c r="K37" i="59"/>
  <c r="C38" i="59"/>
  <c r="H39" i="59"/>
  <c r="G45" i="59"/>
  <c r="C37" i="58" a="1"/>
  <c r="F39" i="58" s="1"/>
  <c r="H38" i="59"/>
  <c r="G39" i="59"/>
  <c r="J43" i="59"/>
  <c r="B37" i="59" a="1"/>
  <c r="B42" i="59" s="1"/>
  <c r="L37" i="59"/>
  <c r="I44" i="59"/>
  <c r="G108" i="30"/>
  <c r="D89" i="29"/>
  <c r="C191" i="4"/>
  <c r="E109" i="30"/>
  <c r="G190" i="4"/>
  <c r="E38" i="59"/>
  <c r="F44" i="59"/>
  <c r="E37" i="59"/>
  <c r="D37" i="59"/>
  <c r="L38" i="59"/>
  <c r="F42" i="59"/>
  <c r="L45" i="59"/>
  <c r="C45" i="58" a="1"/>
  <c r="I45" i="58" s="1"/>
  <c r="J42" i="59"/>
  <c r="I41" i="59"/>
  <c r="D40" i="59"/>
  <c r="K44" i="59"/>
  <c r="E122" i="30"/>
  <c r="D45" i="59"/>
  <c r="D94" i="29"/>
  <c r="D96" i="29" s="1"/>
  <c r="E190" i="4"/>
  <c r="K42" i="59"/>
  <c r="L42" i="59"/>
  <c r="K41" i="59"/>
  <c r="E44" i="59"/>
  <c r="E45" i="59"/>
  <c r="F43" i="59"/>
  <c r="B45" i="59"/>
  <c r="J45" i="59"/>
  <c r="L43" i="59"/>
  <c r="I40" i="59"/>
  <c r="G41" i="59"/>
  <c r="I37" i="59"/>
  <c r="C41" i="59"/>
  <c r="G107" i="6"/>
  <c r="D107" i="29"/>
  <c r="D108" i="29" s="1"/>
  <c r="D109" i="29" s="1"/>
  <c r="D112" i="29" s="1"/>
  <c r="D113" i="29" s="1"/>
  <c r="E111" i="29" s="1"/>
  <c r="B241" i="8" a="1"/>
  <c r="K241" i="8" s="1"/>
  <c r="B225" i="38"/>
  <c r="L172" i="40"/>
  <c r="E113" i="34"/>
  <c r="I120" i="34"/>
  <c r="K110" i="34"/>
  <c r="E118" i="34"/>
  <c r="L177" i="40"/>
  <c r="H190" i="4"/>
  <c r="C124" i="30"/>
  <c r="C125" i="30" s="1"/>
  <c r="C127" i="30" s="1"/>
  <c r="J40" i="59"/>
  <c r="C42" i="59"/>
  <c r="H40" i="59"/>
  <c r="H37" i="59"/>
  <c r="C24" i="6"/>
  <c r="G42" i="59"/>
  <c r="C44" i="59"/>
  <c r="L41" i="59"/>
  <c r="C43" i="59"/>
  <c r="J37" i="59"/>
  <c r="C163" i="1" a="1"/>
  <c r="G170" i="1" s="1"/>
  <c r="B236" i="38" a="1"/>
  <c r="H236" i="38" s="1"/>
  <c r="B206" i="38"/>
  <c r="I179" i="40"/>
  <c r="H233" i="38"/>
  <c r="I233" i="38"/>
  <c r="G233" i="38"/>
  <c r="B233" i="38"/>
  <c r="C233" i="38"/>
  <c r="K233" i="38"/>
  <c r="E109" i="4"/>
  <c r="E112" i="4" s="1"/>
  <c r="D112" i="4"/>
  <c r="D113" i="4" s="1"/>
  <c r="F107" i="29"/>
  <c r="F108" i="29" s="1"/>
  <c r="D94" i="4"/>
  <c r="D96" i="4" s="1"/>
  <c r="B213" i="8"/>
  <c r="G108" i="6"/>
  <c r="B228" i="38"/>
  <c r="B198" i="8"/>
  <c r="B206" i="8"/>
  <c r="L107" i="6"/>
  <c r="G94" i="4"/>
  <c r="G94" i="40" s="1"/>
  <c r="F106" i="6"/>
  <c r="B233" i="8" a="1"/>
  <c r="G233" i="8" s="1"/>
  <c r="D116" i="6"/>
  <c r="D5" i="35"/>
  <c r="D5" i="37" s="1"/>
  <c r="H124" i="30"/>
  <c r="H125" i="30" s="1"/>
  <c r="D31" i="8"/>
  <c r="D31" i="39" s="1"/>
  <c r="L124" i="30"/>
  <c r="L107" i="4"/>
  <c r="L108" i="4" s="1"/>
  <c r="L109" i="4" s="1"/>
  <c r="L112" i="4" s="1"/>
  <c r="E181" i="40"/>
  <c r="J111" i="30"/>
  <c r="J111" i="34" s="1"/>
  <c r="K94" i="4"/>
  <c r="E16" i="6" a="1"/>
  <c r="E17" i="6" s="1"/>
  <c r="F172" i="40"/>
  <c r="D18" i="8"/>
  <c r="D18" i="39" s="1"/>
  <c r="C119" i="6"/>
  <c r="C119" i="34" s="1"/>
  <c r="B228" i="8"/>
  <c r="B199" i="8"/>
  <c r="B212" i="8"/>
  <c r="J124" i="6"/>
  <c r="J125" i="6" s="1"/>
  <c r="M178" i="40"/>
  <c r="G121" i="4"/>
  <c r="G122" i="4" s="1"/>
  <c r="G123" i="4" s="1"/>
  <c r="F115" i="6"/>
  <c r="F115" i="34" s="1"/>
  <c r="B5" i="8"/>
  <c r="B5" i="39" s="1"/>
  <c r="J117" i="6"/>
  <c r="J117" i="34" s="1"/>
  <c r="B227" i="8"/>
  <c r="B226" i="38"/>
  <c r="B207" i="38"/>
  <c r="B201" i="38"/>
  <c r="E177" i="40"/>
  <c r="D106" i="30"/>
  <c r="D106" i="34" s="1"/>
  <c r="F112" i="6"/>
  <c r="J120" i="30"/>
  <c r="G16" i="6" a="1"/>
  <c r="G18" i="6" s="1"/>
  <c r="D181" i="40"/>
  <c r="B208" i="8"/>
  <c r="B241" i="38" a="1"/>
  <c r="D241" i="38" s="1"/>
  <c r="C189" i="29"/>
  <c r="F177" i="40"/>
  <c r="B213" i="38"/>
  <c r="F120" i="30"/>
  <c r="D111" i="6"/>
  <c r="D111" i="34" s="1"/>
  <c r="G107" i="4"/>
  <c r="H109" i="6"/>
  <c r="H109" i="34" s="1"/>
  <c r="F119" i="6"/>
  <c r="F119" i="34" s="1"/>
  <c r="E119" i="34"/>
  <c r="B31" i="8"/>
  <c r="B31" i="39" s="1"/>
  <c r="L116" i="34"/>
  <c r="J110" i="6"/>
  <c r="H117" i="30"/>
  <c r="H117" i="34" s="1"/>
  <c r="J115" i="6"/>
  <c r="J292" i="6" s="1"/>
  <c r="M189" i="4"/>
  <c r="F184" i="40"/>
  <c r="E122" i="6"/>
  <c r="E189" i="29"/>
  <c r="E115" i="34"/>
  <c r="L117" i="30"/>
  <c r="F110" i="6"/>
  <c r="H119" i="30"/>
  <c r="J112" i="6"/>
  <c r="E189" i="4"/>
  <c r="G189" i="29"/>
  <c r="D110" i="34"/>
  <c r="H179" i="40"/>
  <c r="B225" i="8"/>
  <c r="B202" i="38"/>
  <c r="H122" i="34"/>
  <c r="H96" i="29"/>
  <c r="H116" i="6"/>
  <c r="F117" i="6"/>
  <c r="C107" i="34"/>
  <c r="D107" i="34"/>
  <c r="H126" i="6"/>
  <c r="L126" i="6"/>
  <c r="B238" i="38" a="1"/>
  <c r="B238" i="8" a="1"/>
  <c r="B237" i="8" a="1"/>
  <c r="H237" i="8" s="1"/>
  <c r="H108" i="30"/>
  <c r="C189" i="4"/>
  <c r="J189" i="4"/>
  <c r="K189" i="4"/>
  <c r="F189" i="29"/>
  <c r="H189" i="29"/>
  <c r="I189" i="29"/>
  <c r="L189" i="4"/>
  <c r="F189" i="4"/>
  <c r="G189" i="4"/>
  <c r="D189" i="4"/>
  <c r="D191" i="4" s="1"/>
  <c r="L89" i="4"/>
  <c r="L94" i="4"/>
  <c r="K124" i="6"/>
  <c r="D121" i="4"/>
  <c r="D89" i="4"/>
  <c r="D172" i="40"/>
  <c r="C124" i="6"/>
  <c r="G121" i="6"/>
  <c r="H183" i="40"/>
  <c r="G112" i="6"/>
  <c r="G112" i="34" s="1"/>
  <c r="J182" i="40"/>
  <c r="I111" i="6"/>
  <c r="K119" i="6"/>
  <c r="L181" i="40"/>
  <c r="G117" i="34"/>
  <c r="K106" i="6"/>
  <c r="K115" i="6"/>
  <c r="K115" i="34" s="1"/>
  <c r="D177" i="40"/>
  <c r="C106" i="6"/>
  <c r="C106" i="34" s="1"/>
  <c r="C115" i="6"/>
  <c r="F94" i="29"/>
  <c r="G96" i="29" s="1"/>
  <c r="F89" i="29"/>
  <c r="G122" i="30"/>
  <c r="G113" i="30"/>
  <c r="G113" i="34" s="1"/>
  <c r="I121" i="30"/>
  <c r="I121" i="34" s="1"/>
  <c r="J183" i="40"/>
  <c r="K120" i="30"/>
  <c r="K120" i="34" s="1"/>
  <c r="K111" i="30"/>
  <c r="L182" i="40"/>
  <c r="C120" i="30"/>
  <c r="C120" i="34" s="1"/>
  <c r="C111" i="30"/>
  <c r="F181" i="40"/>
  <c r="E110" i="30"/>
  <c r="J179" i="40"/>
  <c r="I117" i="30"/>
  <c r="I117" i="34" s="1"/>
  <c r="K107" i="30"/>
  <c r="K116" i="30"/>
  <c r="K116" i="34" s="1"/>
  <c r="C67" i="58" a="1"/>
  <c r="C196" i="1" a="1"/>
  <c r="B236" i="8" a="1"/>
  <c r="B202" i="8"/>
  <c r="B209" i="38"/>
  <c r="B210" i="38"/>
  <c r="B197" i="8"/>
  <c r="B199" i="38"/>
  <c r="B229" i="38"/>
  <c r="B230" i="8"/>
  <c r="B210" i="8"/>
  <c r="B207" i="8"/>
  <c r="B204" i="8"/>
  <c r="B224" i="38"/>
  <c r="B227" i="38"/>
  <c r="B208" i="38"/>
  <c r="B198" i="38"/>
  <c r="B229" i="8"/>
  <c r="B200" i="8"/>
  <c r="B204" i="38"/>
  <c r="B224" i="8"/>
  <c r="B209" i="8"/>
  <c r="B211" i="38"/>
  <c r="B203" i="8"/>
  <c r="B226" i="8"/>
  <c r="K121" i="4"/>
  <c r="K122" i="4" s="1"/>
  <c r="D122" i="6"/>
  <c r="D113" i="6"/>
  <c r="H111" i="6"/>
  <c r="H120" i="6"/>
  <c r="M94" i="29"/>
  <c r="M172" i="40"/>
  <c r="M121" i="29"/>
  <c r="M89" i="29"/>
  <c r="E94" i="29"/>
  <c r="E121" i="29"/>
  <c r="E122" i="29" s="1"/>
  <c r="E123" i="29" s="1"/>
  <c r="E126" i="29" s="1"/>
  <c r="E175" i="29"/>
  <c r="F113" i="30"/>
  <c r="F113" i="34" s="1"/>
  <c r="G184" i="40"/>
  <c r="L119" i="30"/>
  <c r="L110" i="30"/>
  <c r="L110" i="34" s="1"/>
  <c r="G180" i="40"/>
  <c r="F118" i="30"/>
  <c r="F118" i="34" s="1"/>
  <c r="J107" i="30"/>
  <c r="J107" i="34" s="1"/>
  <c r="J116" i="30"/>
  <c r="K178" i="40"/>
  <c r="L106" i="30"/>
  <c r="L106" i="34" s="1"/>
  <c r="L115" i="30"/>
  <c r="C51" i="29"/>
  <c r="D19" i="4"/>
  <c r="C52" i="29"/>
  <c r="C51" i="4"/>
  <c r="C6" i="8" a="1"/>
  <c r="C6" i="38" a="1"/>
  <c r="C5" i="8"/>
  <c r="C5" i="38"/>
  <c r="I172" i="40"/>
  <c r="I107" i="4"/>
  <c r="I189" i="4"/>
  <c r="I38" i="4"/>
  <c r="I89" i="4"/>
  <c r="I121" i="4"/>
  <c r="I94" i="4"/>
  <c r="H124" i="6"/>
  <c r="I55" i="4"/>
  <c r="I175" i="4"/>
  <c r="D112" i="6"/>
  <c r="D121" i="6"/>
  <c r="D121" i="34" s="1"/>
  <c r="E183" i="40"/>
  <c r="J109" i="6"/>
  <c r="K180" i="40"/>
  <c r="J118" i="6"/>
  <c r="J118" i="34" s="1"/>
  <c r="K185" i="4" a="1"/>
  <c r="K185" i="4" s="1"/>
  <c r="G178" i="40"/>
  <c r="G185" i="4" a="1"/>
  <c r="G185" i="4" s="1"/>
  <c r="F116" i="6"/>
  <c r="F107" i="6"/>
  <c r="F107" i="34" s="1"/>
  <c r="M184" i="40"/>
  <c r="L122" i="30"/>
  <c r="L113" i="30"/>
  <c r="L113" i="34" s="1"/>
  <c r="G179" i="40"/>
  <c r="F108" i="30"/>
  <c r="F108" i="34" s="1"/>
  <c r="G185" i="29" a="1"/>
  <c r="G185" i="29" s="1"/>
  <c r="G187" i="29" s="1"/>
  <c r="F117" i="30"/>
  <c r="C133" i="29" a="1"/>
  <c r="C133" i="4" a="1"/>
  <c r="C16" i="6" a="1"/>
  <c r="E5" i="35"/>
  <c r="E6" i="7" a="1"/>
  <c r="E5" i="7"/>
  <c r="E6" i="35" a="1"/>
  <c r="B218" i="8"/>
  <c r="B217" i="8"/>
  <c r="B217" i="38"/>
  <c r="B216" i="38"/>
  <c r="B215" i="8"/>
  <c r="B222" i="8"/>
  <c r="B222" i="38"/>
  <c r="B219" i="38"/>
  <c r="B221" i="8"/>
  <c r="B221" i="38"/>
  <c r="B220" i="8"/>
  <c r="B220" i="38"/>
  <c r="B219" i="8"/>
  <c r="B215" i="38"/>
  <c r="B218" i="38"/>
  <c r="B216" i="8"/>
  <c r="D6" i="8" a="1"/>
  <c r="E6" i="8" a="1"/>
  <c r="B6" i="38" a="1"/>
  <c r="E6" i="38" a="1"/>
  <c r="D6" i="38" a="1"/>
  <c r="B6" i="8" a="1"/>
  <c r="B32" i="8" a="1"/>
  <c r="C32" i="38" a="1"/>
  <c r="D32" i="8" a="1"/>
  <c r="C32" i="8" a="1"/>
  <c r="B32" i="38" a="1"/>
  <c r="D32" i="38" a="1"/>
  <c r="H89" i="4"/>
  <c r="H38" i="4"/>
  <c r="H175" i="4"/>
  <c r="H94" i="4"/>
  <c r="H121" i="4"/>
  <c r="H107" i="4"/>
  <c r="G124" i="6"/>
  <c r="H172" i="40"/>
  <c r="H55" i="4"/>
  <c r="K121" i="6"/>
  <c r="K112" i="6"/>
  <c r="K112" i="34" s="1"/>
  <c r="L183" i="40"/>
  <c r="E120" i="6"/>
  <c r="F182" i="40"/>
  <c r="E111" i="6"/>
  <c r="E111" i="34" s="1"/>
  <c r="I109" i="6"/>
  <c r="I109" i="34" s="1"/>
  <c r="J180" i="40"/>
  <c r="I118" i="6"/>
  <c r="E116" i="6"/>
  <c r="F185" i="4" a="1"/>
  <c r="F185" i="4" s="1"/>
  <c r="E107" i="6"/>
  <c r="E107" i="34" s="1"/>
  <c r="F178" i="40"/>
  <c r="J94" i="29"/>
  <c r="J55" i="29"/>
  <c r="J121" i="29"/>
  <c r="J107" i="29"/>
  <c r="J38" i="29"/>
  <c r="J189" i="29"/>
  <c r="I124" i="30"/>
  <c r="J172" i="40"/>
  <c r="J89" i="29"/>
  <c r="J175" i="29"/>
  <c r="F179" i="40"/>
  <c r="E117" i="30"/>
  <c r="E108" i="30"/>
  <c r="E108" i="34" s="1"/>
  <c r="D142" i="29" a="1"/>
  <c r="D142" i="4" a="1"/>
  <c r="C142" i="4" a="1"/>
  <c r="M55" i="4"/>
  <c r="L55" i="29"/>
  <c r="J55" i="4"/>
  <c r="G55" i="29"/>
  <c r="C55" i="4"/>
  <c r="K55" i="4"/>
  <c r="G55" i="4"/>
  <c r="E55" i="29"/>
  <c r="F55" i="4"/>
  <c r="E55" i="4"/>
  <c r="M55" i="29"/>
  <c r="D55" i="29"/>
  <c r="F55" i="29"/>
  <c r="D55" i="4"/>
  <c r="H55" i="29"/>
  <c r="I55" i="29"/>
  <c r="B235" i="8" a="1"/>
  <c r="B235" i="38" a="1"/>
  <c r="L112" i="6"/>
  <c r="L112" i="34" s="1"/>
  <c r="M183" i="40"/>
  <c r="L121" i="6"/>
  <c r="H110" i="6"/>
  <c r="H110" i="34" s="1"/>
  <c r="I181" i="40"/>
  <c r="H119" i="6"/>
  <c r="D108" i="6"/>
  <c r="D108" i="34" s="1"/>
  <c r="D117" i="6"/>
  <c r="E185" i="4" a="1"/>
  <c r="E185" i="4" s="1"/>
  <c r="E179" i="40"/>
  <c r="K175" i="29"/>
  <c r="J124" i="30"/>
  <c r="K55" i="29"/>
  <c r="K121" i="29"/>
  <c r="K89" i="29"/>
  <c r="K189" i="29"/>
  <c r="K38" i="29"/>
  <c r="K94" i="29"/>
  <c r="K172" i="40"/>
  <c r="K107" i="29"/>
  <c r="G183" i="40"/>
  <c r="F112" i="30"/>
  <c r="F121" i="30"/>
  <c r="F121" i="34" s="1"/>
  <c r="J110" i="30"/>
  <c r="K181" i="40"/>
  <c r="J119" i="30"/>
  <c r="J119" i="34" s="1"/>
  <c r="J106" i="30"/>
  <c r="J106" i="34" s="1"/>
  <c r="K177" i="40"/>
  <c r="K185" i="29" a="1"/>
  <c r="K185" i="29" s="1"/>
  <c r="K187" i="29" s="1"/>
  <c r="J115" i="30"/>
  <c r="J292" i="30" s="1"/>
  <c r="C38" i="4"/>
  <c r="F38" i="4"/>
  <c r="M38" i="4"/>
  <c r="D38" i="29"/>
  <c r="I38" i="29"/>
  <c r="L38" i="29"/>
  <c r="M38" i="29"/>
  <c r="G38" i="29"/>
  <c r="E38" i="4"/>
  <c r="L38" i="4"/>
  <c r="J38" i="4"/>
  <c r="H38" i="29"/>
  <c r="G38" i="4"/>
  <c r="E38" i="29"/>
  <c r="K38" i="4"/>
  <c r="F38" i="29"/>
  <c r="B243" i="38" a="1"/>
  <c r="B243" i="8" a="1"/>
  <c r="G116" i="30"/>
  <c r="G116" i="34" s="1"/>
  <c r="G107" i="30"/>
  <c r="H178" i="40"/>
  <c r="H185" i="29" a="1"/>
  <c r="H185" i="29" s="1"/>
  <c r="H187" i="29" s="1"/>
  <c r="F6" i="35" a="1"/>
  <c r="F5" i="35"/>
  <c r="F6" i="7" a="1"/>
  <c r="F5" i="7"/>
  <c r="E32" i="38" a="1"/>
  <c r="E32" i="8" a="1"/>
  <c r="E31" i="8"/>
  <c r="E31" i="38"/>
  <c r="K184" i="40"/>
  <c r="J122" i="6"/>
  <c r="J122" i="34" s="1"/>
  <c r="J113" i="6"/>
  <c r="F120" i="6"/>
  <c r="G182" i="40"/>
  <c r="F111" i="6"/>
  <c r="F111" i="34" s="1"/>
  <c r="M179" i="40"/>
  <c r="L117" i="6"/>
  <c r="L108" i="6"/>
  <c r="L108" i="34" s="1"/>
  <c r="M185" i="4" a="1"/>
  <c r="M185" i="4" s="1"/>
  <c r="I177" i="40"/>
  <c r="H106" i="6"/>
  <c r="H106" i="34" s="1"/>
  <c r="H115" i="6"/>
  <c r="I185" i="4" a="1"/>
  <c r="I185" i="4" s="1"/>
  <c r="I187" i="4" s="1"/>
  <c r="D113" i="30"/>
  <c r="D122" i="30"/>
  <c r="E184" i="40"/>
  <c r="H111" i="30"/>
  <c r="I182" i="40"/>
  <c r="H120" i="30"/>
  <c r="M180" i="40"/>
  <c r="L109" i="30"/>
  <c r="L109" i="34" s="1"/>
  <c r="L118" i="30"/>
  <c r="M185" i="29" a="1"/>
  <c r="M185" i="29" s="1"/>
  <c r="M187" i="29" s="1"/>
  <c r="I178" i="40"/>
  <c r="H116" i="30"/>
  <c r="H107" i="30"/>
  <c r="H107" i="34" s="1"/>
  <c r="C43" i="4"/>
  <c r="D18" i="4"/>
  <c r="C43" i="29"/>
  <c r="C44" i="29"/>
  <c r="D17" i="4"/>
  <c r="L26" i="1" a="1"/>
  <c r="C4" i="6" a="1"/>
  <c r="D22" i="4"/>
  <c r="D24" i="4"/>
  <c r="C64" i="4" s="1"/>
  <c r="E292" i="30"/>
  <c r="K292" i="30"/>
  <c r="I292" i="6"/>
  <c r="F292" i="30"/>
  <c r="D292" i="30"/>
  <c r="E292" i="6"/>
  <c r="G292" i="30"/>
  <c r="G6" i="35" a="1"/>
  <c r="B6" i="7" a="1"/>
  <c r="G6" i="7" a="1"/>
  <c r="D6" i="35" a="1"/>
  <c r="C6" i="35" a="1"/>
  <c r="B6" i="35" a="1"/>
  <c r="C6" i="7" a="1"/>
  <c r="B18" i="8"/>
  <c r="B19" i="8" a="1"/>
  <c r="B18" i="38"/>
  <c r="B19" i="38" a="1"/>
  <c r="C19" i="38" a="1"/>
  <c r="C19" i="8" a="1"/>
  <c r="E19" i="8" a="1"/>
  <c r="D19" i="38" a="1"/>
  <c r="E19" i="38" a="1"/>
  <c r="D19" i="8" a="1"/>
  <c r="I113" i="6"/>
  <c r="J184" i="40"/>
  <c r="I122" i="6"/>
  <c r="I122" i="34" s="1"/>
  <c r="C121" i="6"/>
  <c r="C112" i="6"/>
  <c r="C112" i="34" s="1"/>
  <c r="D183" i="40"/>
  <c r="G119" i="6"/>
  <c r="H181" i="40"/>
  <c r="G110" i="6"/>
  <c r="G110" i="34" s="1"/>
  <c r="K117" i="6"/>
  <c r="L179" i="40"/>
  <c r="K108" i="6"/>
  <c r="K108" i="34" s="1"/>
  <c r="L185" i="4" a="1"/>
  <c r="L185" i="4" s="1"/>
  <c r="C117" i="6"/>
  <c r="C108" i="6"/>
  <c r="C108" i="34" s="1"/>
  <c r="D185" i="4" a="1"/>
  <c r="D185" i="4" s="1"/>
  <c r="D179" i="40"/>
  <c r="H177" i="40"/>
  <c r="G115" i="6"/>
  <c r="G115" i="34" s="1"/>
  <c r="G106" i="6"/>
  <c r="H185" i="4" a="1"/>
  <c r="H185" i="4" s="1"/>
  <c r="H187" i="4" s="1"/>
  <c r="K122" i="30"/>
  <c r="K122" i="34" s="1"/>
  <c r="K113" i="30"/>
  <c r="L184" i="40"/>
  <c r="C113" i="30"/>
  <c r="C113" i="34" s="1"/>
  <c r="C122" i="30"/>
  <c r="D184" i="40"/>
  <c r="F183" i="40"/>
  <c r="E112" i="30"/>
  <c r="E112" i="34" s="1"/>
  <c r="E121" i="30"/>
  <c r="H182" i="40"/>
  <c r="G111" i="30"/>
  <c r="G111" i="34" s="1"/>
  <c r="G120" i="30"/>
  <c r="I110" i="30"/>
  <c r="I110" i="34" s="1"/>
  <c r="I119" i="30"/>
  <c r="J181" i="40"/>
  <c r="K118" i="30"/>
  <c r="K118" i="34" s="1"/>
  <c r="K109" i="30"/>
  <c r="L180" i="40"/>
  <c r="L185" i="29" a="1"/>
  <c r="L185" i="29" s="1"/>
  <c r="L187" i="29" s="1"/>
  <c r="I106" i="30"/>
  <c r="I115" i="30"/>
  <c r="I115" i="34" s="1"/>
  <c r="J177" i="40"/>
  <c r="J185" i="29" a="1"/>
  <c r="J185" i="29" s="1"/>
  <c r="J187" i="29" s="1"/>
  <c r="D118" i="30"/>
  <c r="D109" i="30"/>
  <c r="D109" i="34" s="1"/>
  <c r="E180" i="40"/>
  <c r="E185" i="29" a="1"/>
  <c r="E185" i="29" s="1"/>
  <c r="E187" i="29" s="1"/>
  <c r="C109" i="30"/>
  <c r="D180" i="40"/>
  <c r="D185" i="29" a="1"/>
  <c r="D185" i="29" s="1"/>
  <c r="D187" i="29" s="1"/>
  <c r="C118" i="30"/>
  <c r="C118" i="34" s="1"/>
  <c r="L73" i="29"/>
  <c r="E126" i="6"/>
  <c r="I126" i="6"/>
  <c r="K126" i="6"/>
  <c r="D126" i="6"/>
  <c r="G126" i="6"/>
  <c r="J126" i="6"/>
  <c r="C126" i="6"/>
  <c r="D6" i="7" a="1"/>
  <c r="I107" i="29"/>
  <c r="I108" i="29" s="1"/>
  <c r="I94" i="29"/>
  <c r="I185" i="29" a="1"/>
  <c r="I185" i="29" s="1"/>
  <c r="I187" i="29" s="1"/>
  <c r="L189" i="29"/>
  <c r="D189" i="29"/>
  <c r="D191" i="29" s="1"/>
  <c r="H189" i="4"/>
  <c r="B203" i="38"/>
  <c r="B201" i="8"/>
  <c r="B231" i="8"/>
  <c r="B231" i="38"/>
  <c r="B212" i="38"/>
  <c r="B230" i="38"/>
  <c r="L55" i="4"/>
  <c r="L175" i="4"/>
  <c r="D175" i="4"/>
  <c r="D38" i="4"/>
  <c r="F180" i="40"/>
  <c r="E109" i="6"/>
  <c r="I116" i="6"/>
  <c r="I116" i="34" s="1"/>
  <c r="J178" i="40"/>
  <c r="J185" i="4" a="1"/>
  <c r="J185" i="4" s="1"/>
  <c r="G109" i="30"/>
  <c r="G118" i="30"/>
  <c r="G118" i="34" s="1"/>
  <c r="C116" i="30"/>
  <c r="D178" i="40"/>
  <c r="E106" i="30"/>
  <c r="F185" i="29" a="1"/>
  <c r="F185" i="29" s="1"/>
  <c r="F187" i="29" s="1"/>
  <c r="L121" i="4"/>
  <c r="F121" i="29"/>
  <c r="B60" i="57"/>
  <c r="D108" i="57"/>
  <c r="D109" i="57"/>
  <c r="D107" i="57"/>
  <c r="D110" i="57"/>
  <c r="D106" i="57"/>
  <c r="G88" i="57"/>
  <c r="C88" i="57"/>
  <c r="E176" i="57"/>
  <c r="E178" i="57"/>
  <c r="E177" i="57"/>
  <c r="E175" i="57"/>
  <c r="E182" i="57"/>
  <c r="E181" i="57"/>
  <c r="E179" i="57"/>
  <c r="C179" i="57"/>
  <c r="C182" i="57"/>
  <c r="C178" i="57"/>
  <c r="C175" i="57"/>
  <c r="C177" i="57"/>
  <c r="C176" i="57"/>
  <c r="C181" i="57"/>
  <c r="L109" i="57"/>
  <c r="L108" i="57"/>
  <c r="L107" i="57"/>
  <c r="L110" i="57"/>
  <c r="L106" i="57"/>
  <c r="I109" i="57"/>
  <c r="I110" i="57"/>
  <c r="I108" i="57"/>
  <c r="I107" i="57"/>
  <c r="I106" i="57"/>
  <c r="D181" i="57"/>
  <c r="D177" i="57"/>
  <c r="D179" i="57"/>
  <c r="D176" i="57"/>
  <c r="D175" i="57"/>
  <c r="D178" i="57"/>
  <c r="D182" i="57"/>
  <c r="J177" i="57"/>
  <c r="J178" i="57"/>
  <c r="J176" i="57"/>
  <c r="J182" i="57"/>
  <c r="J181" i="57"/>
  <c r="J179" i="57"/>
  <c r="J175" i="57"/>
  <c r="D12" i="4"/>
  <c r="F176" i="57"/>
  <c r="F175" i="57"/>
  <c r="F182" i="57"/>
  <c r="F179" i="57"/>
  <c r="F178" i="57"/>
  <c r="F177" i="57"/>
  <c r="F181" i="57"/>
  <c r="K176" i="57"/>
  <c r="K179" i="57"/>
  <c r="K178" i="57"/>
  <c r="K177" i="57"/>
  <c r="K175" i="57"/>
  <c r="K182" i="57"/>
  <c r="K181" i="57"/>
  <c r="H181" i="57"/>
  <c r="D18" i="57"/>
  <c r="H179" i="57"/>
  <c r="H182" i="57"/>
  <c r="D17" i="57"/>
  <c r="D15" i="57"/>
  <c r="D21" i="57"/>
  <c r="H178" i="57"/>
  <c r="D19" i="57"/>
  <c r="H177" i="57"/>
  <c r="D16" i="57"/>
  <c r="H175" i="57"/>
  <c r="H176" i="57"/>
  <c r="G106" i="57"/>
  <c r="G110" i="57"/>
  <c r="G109" i="57"/>
  <c r="G108" i="57"/>
  <c r="G107" i="57"/>
  <c r="U172" i="4"/>
  <c r="C73" i="57"/>
  <c r="E108" i="57"/>
  <c r="E107" i="57"/>
  <c r="E106" i="57"/>
  <c r="E110" i="57"/>
  <c r="E109" i="57"/>
  <c r="C60" i="57"/>
  <c r="F107" i="57"/>
  <c r="F106" i="57"/>
  <c r="F110" i="57"/>
  <c r="F108" i="57"/>
  <c r="F109" i="57"/>
  <c r="K110" i="57"/>
  <c r="K107" i="57"/>
  <c r="K106" i="57"/>
  <c r="K109" i="57"/>
  <c r="K108" i="57"/>
  <c r="O126" i="6"/>
  <c r="C110" i="57"/>
  <c r="C109" i="57"/>
  <c r="C108" i="57"/>
  <c r="C107" i="57"/>
  <c r="C106" i="57"/>
  <c r="L175" i="57"/>
  <c r="L179" i="57"/>
  <c r="L177" i="57"/>
  <c r="L176" i="57"/>
  <c r="L181" i="57"/>
  <c r="L178" i="57"/>
  <c r="L182" i="57"/>
  <c r="H110" i="57"/>
  <c r="H109" i="57"/>
  <c r="H107" i="57"/>
  <c r="H106" i="57"/>
  <c r="H108" i="57"/>
  <c r="J108" i="57"/>
  <c r="J110" i="57"/>
  <c r="J109" i="57"/>
  <c r="J106" i="57"/>
  <c r="J107" i="57"/>
  <c r="I181" i="57"/>
  <c r="I178" i="57"/>
  <c r="I179" i="57"/>
  <c r="I177" i="57"/>
  <c r="I176" i="57"/>
  <c r="I175" i="57"/>
  <c r="I182" i="57"/>
  <c r="C86" i="57"/>
  <c r="G86" i="57"/>
  <c r="G175" i="57"/>
  <c r="G182" i="57"/>
  <c r="G181" i="57"/>
  <c r="G179" i="57"/>
  <c r="G178" i="57"/>
  <c r="G177" i="57"/>
  <c r="G176" i="57"/>
  <c r="J233" i="38" l="1"/>
  <c r="D233" i="38"/>
  <c r="E233" i="38"/>
  <c r="M190" i="4"/>
  <c r="F21" i="57"/>
  <c r="H195" i="40"/>
  <c r="F199" i="4"/>
  <c r="J195" i="40"/>
  <c r="M195" i="40"/>
  <c r="E73" i="4"/>
  <c r="F73" i="4" s="1"/>
  <c r="I195" i="40"/>
  <c r="L195" i="40"/>
  <c r="G195" i="40"/>
  <c r="L224" i="34"/>
  <c r="K195" i="40"/>
  <c r="E195" i="40"/>
  <c r="D195" i="40"/>
  <c r="F195" i="40"/>
  <c r="L222" i="34"/>
  <c r="C166" i="4"/>
  <c r="C167" i="4" s="1"/>
  <c r="C170" i="4" s="1"/>
  <c r="H190" i="29"/>
  <c r="H190" i="40" s="1"/>
  <c r="K190" i="40"/>
  <c r="J190" i="29"/>
  <c r="J190" i="40" s="1"/>
  <c r="D190" i="29"/>
  <c r="D190" i="40" s="1"/>
  <c r="E190" i="29"/>
  <c r="E190" i="40" s="1"/>
  <c r="G190" i="29"/>
  <c r="G190" i="40" s="1"/>
  <c r="F190" i="29"/>
  <c r="F190" i="40" s="1"/>
  <c r="I190" i="29"/>
  <c r="I190" i="40" s="1"/>
  <c r="L190" i="29"/>
  <c r="L190" i="40" s="1"/>
  <c r="M190" i="29"/>
  <c r="I111" i="34"/>
  <c r="E126" i="30"/>
  <c r="E126" i="34" s="1"/>
  <c r="J126" i="30"/>
  <c r="J126" i="34" s="1"/>
  <c r="K126" i="30"/>
  <c r="K126" i="34" s="1"/>
  <c r="I126" i="30"/>
  <c r="I126" i="34" s="1"/>
  <c r="G126" i="30"/>
  <c r="G126" i="34" s="1"/>
  <c r="C126" i="30"/>
  <c r="C126" i="34" s="1"/>
  <c r="D126" i="30"/>
  <c r="D126" i="34" s="1"/>
  <c r="H126" i="30"/>
  <c r="H126" i="34" s="1"/>
  <c r="L126" i="30"/>
  <c r="L126" i="34" s="1"/>
  <c r="C174" i="4"/>
  <c r="F106" i="34"/>
  <c r="D116" i="34"/>
  <c r="C122" i="34"/>
  <c r="H108" i="34"/>
  <c r="F174" i="4"/>
  <c r="G174" i="29"/>
  <c r="G200" i="29" s="1"/>
  <c r="H174" i="29"/>
  <c r="H200" i="29" s="1"/>
  <c r="K96" i="4"/>
  <c r="K175" i="40"/>
  <c r="K106" i="34"/>
  <c r="H113" i="34"/>
  <c r="M89" i="40"/>
  <c r="C109" i="34"/>
  <c r="K119" i="34"/>
  <c r="E117" i="34"/>
  <c r="D119" i="34"/>
  <c r="D174" i="29"/>
  <c r="D200" i="29" s="1"/>
  <c r="J174" i="4"/>
  <c r="M174" i="29"/>
  <c r="M200" i="29" s="1"/>
  <c r="H123" i="29"/>
  <c r="H126" i="29" s="1"/>
  <c r="I174" i="4"/>
  <c r="E174" i="4"/>
  <c r="H174" i="4"/>
  <c r="L174" i="4"/>
  <c r="G122" i="40"/>
  <c r="K174" i="29"/>
  <c r="K200" i="29" s="1"/>
  <c r="I174" i="29"/>
  <c r="I200" i="29" s="1"/>
  <c r="F96" i="4"/>
  <c r="E107" i="40"/>
  <c r="C116" i="34"/>
  <c r="F110" i="34"/>
  <c r="C117" i="34"/>
  <c r="M174" i="4"/>
  <c r="G174" i="4"/>
  <c r="J174" i="29"/>
  <c r="J200" i="29" s="1"/>
  <c r="K174" i="4"/>
  <c r="L174" i="29"/>
  <c r="L200" i="29" s="1"/>
  <c r="D174" i="4"/>
  <c r="F39" i="60"/>
  <c r="E174" i="29"/>
  <c r="G240" i="8"/>
  <c r="L118" i="34"/>
  <c r="D118" i="34"/>
  <c r="E89" i="40"/>
  <c r="E121" i="34"/>
  <c r="E237" i="38"/>
  <c r="B201" i="39"/>
  <c r="G175" i="40"/>
  <c r="D115" i="34"/>
  <c r="J120" i="34"/>
  <c r="K240" i="8"/>
  <c r="D240" i="8"/>
  <c r="D240" i="39" s="1"/>
  <c r="G122" i="34"/>
  <c r="J89" i="40"/>
  <c r="E240" i="8"/>
  <c r="D120" i="34"/>
  <c r="I118" i="34"/>
  <c r="I175" i="40"/>
  <c r="L119" i="34"/>
  <c r="J109" i="34"/>
  <c r="K117" i="34"/>
  <c r="F116" i="34"/>
  <c r="E106" i="34"/>
  <c r="F240" i="38"/>
  <c r="J116" i="34"/>
  <c r="C121" i="34"/>
  <c r="K121" i="34"/>
  <c r="C242" i="38"/>
  <c r="K89" i="40"/>
  <c r="H116" i="34"/>
  <c r="G119" i="34"/>
  <c r="J199" i="4"/>
  <c r="I165" i="1"/>
  <c r="L167" i="1"/>
  <c r="K167" i="1"/>
  <c r="D175" i="40"/>
  <c r="H199" i="29"/>
  <c r="F236" i="38"/>
  <c r="M175" i="40"/>
  <c r="K113" i="34"/>
  <c r="L115" i="34"/>
  <c r="K189" i="40"/>
  <c r="D117" i="34"/>
  <c r="D169" i="1"/>
  <c r="I45" i="60"/>
  <c r="C43" i="58"/>
  <c r="C43" i="60" s="1"/>
  <c r="I166" i="1"/>
  <c r="J164" i="1"/>
  <c r="L199" i="4"/>
  <c r="G89" i="40"/>
  <c r="D164" i="1"/>
  <c r="C163" i="1"/>
  <c r="E116" i="34"/>
  <c r="D199" i="29"/>
  <c r="L165" i="1"/>
  <c r="H163" i="1"/>
  <c r="K168" i="1"/>
  <c r="G169" i="1"/>
  <c r="I113" i="34"/>
  <c r="F167" i="1"/>
  <c r="I168" i="1"/>
  <c r="D163" i="1"/>
  <c r="F241" i="8"/>
  <c r="J236" i="38"/>
  <c r="H240" i="8"/>
  <c r="L107" i="34"/>
  <c r="J112" i="34"/>
  <c r="H109" i="29"/>
  <c r="H112" i="29" s="1"/>
  <c r="D73" i="40"/>
  <c r="E120" i="34"/>
  <c r="J168" i="1"/>
  <c r="I167" i="1"/>
  <c r="K166" i="1"/>
  <c r="B40" i="59"/>
  <c r="D166" i="1"/>
  <c r="C73" i="40"/>
  <c r="B200" i="39"/>
  <c r="E175" i="40"/>
  <c r="H242" i="38"/>
  <c r="I242" i="38"/>
  <c r="L169" i="1"/>
  <c r="E168" i="1"/>
  <c r="G163" i="1"/>
  <c r="L168" i="1"/>
  <c r="C169" i="1"/>
  <c r="H233" i="8"/>
  <c r="H52" i="7" s="1"/>
  <c r="D165" i="1"/>
  <c r="C167" i="1"/>
  <c r="M107" i="40"/>
  <c r="G109" i="29"/>
  <c r="G112" i="29" s="1"/>
  <c r="D242" i="38"/>
  <c r="J175" i="40"/>
  <c r="C170" i="1"/>
  <c r="J166" i="1"/>
  <c r="H237" i="38"/>
  <c r="H237" i="39" s="1"/>
  <c r="D125" i="34"/>
  <c r="F292" i="6"/>
  <c r="F292" i="34" s="1"/>
  <c r="E169" i="1"/>
  <c r="K170" i="1"/>
  <c r="H169" i="1"/>
  <c r="J170" i="1"/>
  <c r="H170" i="1"/>
  <c r="E167" i="1"/>
  <c r="G237" i="38"/>
  <c r="H175" i="40"/>
  <c r="K123" i="4"/>
  <c r="K126" i="4" s="1"/>
  <c r="L170" i="1"/>
  <c r="G165" i="1"/>
  <c r="E163" i="1"/>
  <c r="K237" i="38"/>
  <c r="I164" i="1"/>
  <c r="C165" i="1"/>
  <c r="L166" i="1"/>
  <c r="B237" i="38"/>
  <c r="C237" i="38"/>
  <c r="J165" i="1"/>
  <c r="H242" i="8"/>
  <c r="G109" i="34"/>
  <c r="D237" i="38"/>
  <c r="K165" i="1"/>
  <c r="H168" i="1"/>
  <c r="F242" i="8"/>
  <c r="J237" i="38"/>
  <c r="C166" i="1"/>
  <c r="F237" i="38"/>
  <c r="D124" i="34"/>
  <c r="G120" i="34"/>
  <c r="B211" i="39"/>
  <c r="H166" i="1"/>
  <c r="I241" i="8"/>
  <c r="F175" i="40"/>
  <c r="E37" i="58"/>
  <c r="E37" i="60" s="1"/>
  <c r="I44" i="58"/>
  <c r="I44" i="60" s="1"/>
  <c r="J240" i="38"/>
  <c r="I240" i="38"/>
  <c r="K164" i="1"/>
  <c r="B241" i="8"/>
  <c r="D127" i="30"/>
  <c r="E127" i="30" s="1"/>
  <c r="F127" i="30" s="1"/>
  <c r="G127" i="30" s="1"/>
  <c r="H127" i="30" s="1"/>
  <c r="K292" i="6"/>
  <c r="K292" i="34" s="1"/>
  <c r="L117" i="34"/>
  <c r="B227" i="39"/>
  <c r="C240" i="8"/>
  <c r="C240" i="38"/>
  <c r="K107" i="34"/>
  <c r="M189" i="40"/>
  <c r="I240" i="8"/>
  <c r="G242" i="8"/>
  <c r="F240" i="8"/>
  <c r="K109" i="34"/>
  <c r="D114" i="29"/>
  <c r="D115" i="29" s="1"/>
  <c r="J240" i="8"/>
  <c r="I242" i="8"/>
  <c r="B212" i="39"/>
  <c r="H240" i="38"/>
  <c r="H189" i="40"/>
  <c r="L107" i="40"/>
  <c r="E240" i="38"/>
  <c r="D112" i="34"/>
  <c r="D236" i="38"/>
  <c r="K242" i="8"/>
  <c r="K242" i="39" s="1"/>
  <c r="B242" i="8"/>
  <c r="K111" i="34"/>
  <c r="E127" i="29"/>
  <c r="F125" i="29" s="1"/>
  <c r="D233" i="8"/>
  <c r="D92" i="7" s="1"/>
  <c r="B240" i="38"/>
  <c r="B240" i="39" s="1"/>
  <c r="J199" i="29"/>
  <c r="K199" i="4"/>
  <c r="E165" i="1"/>
  <c r="L163" i="1"/>
  <c r="D170" i="1"/>
  <c r="H199" i="4"/>
  <c r="D199" i="4"/>
  <c r="G199" i="29"/>
  <c r="H120" i="34"/>
  <c r="G21" i="6"/>
  <c r="H298" i="30" s="1"/>
  <c r="E110" i="34"/>
  <c r="B41" i="58"/>
  <c r="H164" i="1"/>
  <c r="F112" i="34"/>
  <c r="B206" i="39"/>
  <c r="I199" i="29"/>
  <c r="G199" i="4"/>
  <c r="B233" i="8"/>
  <c r="B371" i="38" s="1"/>
  <c r="G106" i="34"/>
  <c r="M199" i="4"/>
  <c r="F200" i="29"/>
  <c r="E199" i="4"/>
  <c r="B237" i="8"/>
  <c r="M199" i="29"/>
  <c r="I199" i="4"/>
  <c r="L175" i="40"/>
  <c r="G240" i="38"/>
  <c r="H89" i="40"/>
  <c r="H165" i="1"/>
  <c r="C164" i="1"/>
  <c r="E170" i="1"/>
  <c r="F169" i="1"/>
  <c r="E166" i="1"/>
  <c r="G167" i="1"/>
  <c r="G166" i="1"/>
  <c r="I169" i="1"/>
  <c r="I170" i="1"/>
  <c r="L199" i="29"/>
  <c r="C242" i="8"/>
  <c r="E199" i="29"/>
  <c r="F199" i="29"/>
  <c r="K199" i="29"/>
  <c r="B208" i="39"/>
  <c r="B199" i="39"/>
  <c r="E109" i="29"/>
  <c r="E112" i="29" s="1"/>
  <c r="E113" i="29" s="1"/>
  <c r="D107" i="40"/>
  <c r="D109" i="40"/>
  <c r="J242" i="8"/>
  <c r="L41" i="58"/>
  <c r="L41" i="60" s="1"/>
  <c r="E44" i="58"/>
  <c r="E44" i="60" s="1"/>
  <c r="F242" i="38"/>
  <c r="L44" i="58"/>
  <c r="L44" i="60" s="1"/>
  <c r="L38" i="58"/>
  <c r="L38" i="60" s="1"/>
  <c r="D40" i="58"/>
  <c r="D40" i="60" s="1"/>
  <c r="L37" i="58"/>
  <c r="L37" i="60" s="1"/>
  <c r="E233" i="8"/>
  <c r="E82" i="35" s="1"/>
  <c r="K240" i="38"/>
  <c r="L122" i="34"/>
  <c r="L89" i="40"/>
  <c r="I39" i="58"/>
  <c r="I39" i="60" s="1"/>
  <c r="F241" i="38"/>
  <c r="E122" i="34"/>
  <c r="C111" i="34"/>
  <c r="D37" i="58"/>
  <c r="D37" i="60" s="1"/>
  <c r="E124" i="34"/>
  <c r="J242" i="38"/>
  <c r="H39" i="58"/>
  <c r="H39" i="60" s="1"/>
  <c r="H115" i="34"/>
  <c r="M96" i="29"/>
  <c r="F89" i="40"/>
  <c r="K42" i="58"/>
  <c r="K42" i="60" s="1"/>
  <c r="E125" i="34"/>
  <c r="B225" i="39"/>
  <c r="C41" i="58"/>
  <c r="C41" i="60" s="1"/>
  <c r="I89" i="40"/>
  <c r="G189" i="40"/>
  <c r="G38" i="58"/>
  <c r="G38" i="60" s="1"/>
  <c r="E236" i="38"/>
  <c r="G168" i="1"/>
  <c r="E164" i="1"/>
  <c r="L164" i="1"/>
  <c r="H241" i="8"/>
  <c r="D242" i="8"/>
  <c r="F43" i="58"/>
  <c r="F43" i="60" s="1"/>
  <c r="G41" i="58"/>
  <c r="G41" i="60" s="1"/>
  <c r="J38" i="58"/>
  <c r="J38" i="60" s="1"/>
  <c r="I43" i="58"/>
  <c r="I43" i="60" s="1"/>
  <c r="J37" i="58"/>
  <c r="J37" i="60" s="1"/>
  <c r="G42" i="58"/>
  <c r="G42" i="60" s="1"/>
  <c r="C38" i="58"/>
  <c r="C38" i="60" s="1"/>
  <c r="H38" i="58"/>
  <c r="H38" i="60" s="1"/>
  <c r="H37" i="58"/>
  <c r="H37" i="60" s="1"/>
  <c r="F37" i="58"/>
  <c r="F37" i="60" s="1"/>
  <c r="C87" i="4"/>
  <c r="C87" i="40" s="1"/>
  <c r="F41" i="58"/>
  <c r="F41" i="60" s="1"/>
  <c r="F42" i="58"/>
  <c r="F42" i="60" s="1"/>
  <c r="K38" i="58"/>
  <c r="K38" i="60" s="1"/>
  <c r="C88" i="4"/>
  <c r="C90" i="4" s="1"/>
  <c r="C90" i="40" s="1"/>
  <c r="F120" i="34"/>
  <c r="D44" i="58"/>
  <c r="D44" i="60" s="1"/>
  <c r="J39" i="58"/>
  <c r="J39" i="60" s="1"/>
  <c r="C42" i="58"/>
  <c r="C42" i="60" s="1"/>
  <c r="J110" i="34"/>
  <c r="C115" i="34"/>
  <c r="D89" i="40"/>
  <c r="B236" i="38"/>
  <c r="J169" i="1"/>
  <c r="F165" i="1"/>
  <c r="C168" i="1"/>
  <c r="K169" i="1"/>
  <c r="J163" i="1"/>
  <c r="C191" i="40"/>
  <c r="I123" i="29"/>
  <c r="I126" i="29" s="1"/>
  <c r="G20" i="6"/>
  <c r="D297" i="6" s="1"/>
  <c r="I38" i="58"/>
  <c r="I38" i="60" s="1"/>
  <c r="E39" i="58"/>
  <c r="E39" i="60" s="1"/>
  <c r="D42" i="58"/>
  <c r="D42" i="60" s="1"/>
  <c r="K40" i="58"/>
  <c r="K40" i="60" s="1"/>
  <c r="K43" i="58"/>
  <c r="K43" i="60" s="1"/>
  <c r="I37" i="58"/>
  <c r="I37" i="60" s="1"/>
  <c r="G17" i="6"/>
  <c r="F294" i="6" s="1"/>
  <c r="J44" i="58"/>
  <c r="J44" i="60" s="1"/>
  <c r="C236" i="38"/>
  <c r="D112" i="40"/>
  <c r="I163" i="1"/>
  <c r="G16" i="6"/>
  <c r="F293" i="30" s="1"/>
  <c r="G121" i="34"/>
  <c r="E42" i="58"/>
  <c r="E42" i="60" s="1"/>
  <c r="I41" i="58"/>
  <c r="I41" i="60" s="1"/>
  <c r="C241" i="38"/>
  <c r="J113" i="34"/>
  <c r="H41" i="58"/>
  <c r="H41" i="60" s="1"/>
  <c r="E40" i="58"/>
  <c r="E40" i="60" s="1"/>
  <c r="I241" i="38"/>
  <c r="G19" i="6"/>
  <c r="J296" i="6" s="1"/>
  <c r="B197" i="39"/>
  <c r="D38" i="58"/>
  <c r="D38" i="60" s="1"/>
  <c r="C39" i="58"/>
  <c r="C39" i="60" s="1"/>
  <c r="F125" i="34"/>
  <c r="E241" i="38"/>
  <c r="D108" i="40"/>
  <c r="I40" i="58"/>
  <c r="I40" i="60" s="1"/>
  <c r="D96" i="40"/>
  <c r="F40" i="58"/>
  <c r="F40" i="60" s="1"/>
  <c r="H42" i="58"/>
  <c r="H42" i="60" s="1"/>
  <c r="J43" i="58"/>
  <c r="J43" i="60" s="1"/>
  <c r="L40" i="58"/>
  <c r="L40" i="60" s="1"/>
  <c r="C44" i="58"/>
  <c r="C44" i="60" s="1"/>
  <c r="D113" i="34"/>
  <c r="G22" i="6"/>
  <c r="G299" i="6" s="1"/>
  <c r="E38" i="58"/>
  <c r="E38" i="60" s="1"/>
  <c r="K39" i="58"/>
  <c r="K39" i="60" s="1"/>
  <c r="L43" i="58"/>
  <c r="L43" i="60" s="1"/>
  <c r="G39" i="58"/>
  <c r="G39" i="60" s="1"/>
  <c r="K41" i="58"/>
  <c r="K41" i="60" s="1"/>
  <c r="E41" i="58"/>
  <c r="E41" i="60" s="1"/>
  <c r="L121" i="34"/>
  <c r="J189" i="40"/>
  <c r="G96" i="4"/>
  <c r="G96" i="40" s="1"/>
  <c r="F124" i="34"/>
  <c r="B242" i="38"/>
  <c r="G242" i="38"/>
  <c r="E242" i="38"/>
  <c r="E242" i="39" s="1"/>
  <c r="D114" i="4"/>
  <c r="D117" i="4" s="1"/>
  <c r="E111" i="4"/>
  <c r="E113" i="4" s="1"/>
  <c r="D113" i="40"/>
  <c r="I106" i="34"/>
  <c r="E109" i="34"/>
  <c r="I236" i="38"/>
  <c r="F166" i="1"/>
  <c r="H167" i="1"/>
  <c r="J167" i="1"/>
  <c r="G164" i="1"/>
  <c r="C241" i="8"/>
  <c r="D241" i="8"/>
  <c r="D241" i="39" s="1"/>
  <c r="B45" i="60"/>
  <c r="B43" i="59"/>
  <c r="B38" i="59"/>
  <c r="B37" i="59"/>
  <c r="B44" i="59"/>
  <c r="B41" i="59"/>
  <c r="B39" i="59"/>
  <c r="H111" i="34"/>
  <c r="G45" i="58"/>
  <c r="G45" i="60" s="1"/>
  <c r="K45" i="58"/>
  <c r="K45" i="60" s="1"/>
  <c r="B203" i="39"/>
  <c r="H119" i="34"/>
  <c r="E20" i="6"/>
  <c r="I189" i="40"/>
  <c r="F96" i="29"/>
  <c r="B202" i="39"/>
  <c r="G236" i="38"/>
  <c r="G121" i="40"/>
  <c r="L45" i="58"/>
  <c r="L45" i="60" s="1"/>
  <c r="G108" i="34"/>
  <c r="K236" i="38"/>
  <c r="J241" i="8"/>
  <c r="H292" i="6"/>
  <c r="H292" i="34" s="1"/>
  <c r="E21" i="6"/>
  <c r="C45" i="58"/>
  <c r="C46" i="58" s="1"/>
  <c r="E241" i="8"/>
  <c r="D46" i="59" a="1"/>
  <c r="L39" i="58"/>
  <c r="L39" i="60" s="1"/>
  <c r="K44" i="58"/>
  <c r="K44" i="60" s="1"/>
  <c r="G44" i="58"/>
  <c r="G44" i="60" s="1"/>
  <c r="J41" i="58"/>
  <c r="J41" i="60" s="1"/>
  <c r="K37" i="58"/>
  <c r="K37" i="60" s="1"/>
  <c r="C40" i="58"/>
  <c r="C40" i="60" s="1"/>
  <c r="E43" i="58"/>
  <c r="E43" i="60" s="1"/>
  <c r="D39" i="58"/>
  <c r="D39" i="60" s="1"/>
  <c r="F38" i="58"/>
  <c r="F38" i="60" s="1"/>
  <c r="H40" i="58"/>
  <c r="H40" i="60" s="1"/>
  <c r="I42" i="58"/>
  <c r="I42" i="60" s="1"/>
  <c r="D41" i="58"/>
  <c r="D41" i="60" s="1"/>
  <c r="G43" i="58"/>
  <c r="G43" i="60" s="1"/>
  <c r="H43" i="58"/>
  <c r="H43" i="60" s="1"/>
  <c r="H44" i="58"/>
  <c r="H44" i="60" s="1"/>
  <c r="L42" i="58"/>
  <c r="L42" i="60" s="1"/>
  <c r="F44" i="58"/>
  <c r="F44" i="60" s="1"/>
  <c r="D43" i="58"/>
  <c r="D43" i="60" s="1"/>
  <c r="J42" i="58"/>
  <c r="J42" i="60" s="1"/>
  <c r="G37" i="58"/>
  <c r="G37" i="60" s="1"/>
  <c r="J40" i="58"/>
  <c r="J40" i="60" s="1"/>
  <c r="G40" i="58"/>
  <c r="G40" i="60" s="1"/>
  <c r="C37" i="58"/>
  <c r="C37" i="60" s="1"/>
  <c r="B40" i="58"/>
  <c r="B38" i="58"/>
  <c r="B39" i="58"/>
  <c r="B44" i="58"/>
  <c r="B37" i="58"/>
  <c r="B43" i="58"/>
  <c r="E45" i="58"/>
  <c r="E45" i="60" s="1"/>
  <c r="J45" i="58"/>
  <c r="J45" i="60" s="1"/>
  <c r="F45" i="58"/>
  <c r="F45" i="60" s="1"/>
  <c r="G241" i="8"/>
  <c r="C46" i="59"/>
  <c r="I119" i="34"/>
  <c r="G107" i="34"/>
  <c r="B226" i="39"/>
  <c r="B198" i="39"/>
  <c r="B42" i="60"/>
  <c r="H45" i="58"/>
  <c r="H45" i="60" s="1"/>
  <c r="D45" i="58"/>
  <c r="D167" i="1"/>
  <c r="F168" i="1"/>
  <c r="F163" i="1"/>
  <c r="D168" i="1"/>
  <c r="F170" i="1"/>
  <c r="K163" i="1"/>
  <c r="F164" i="1"/>
  <c r="E22" i="6"/>
  <c r="B209" i="39"/>
  <c r="C189" i="40"/>
  <c r="B228" i="39"/>
  <c r="F233" i="8"/>
  <c r="F82" i="7" s="1"/>
  <c r="K233" i="8"/>
  <c r="K82" i="35" s="1"/>
  <c r="J233" i="8"/>
  <c r="J82" i="7" s="1"/>
  <c r="I233" i="8"/>
  <c r="I82" i="7" s="1"/>
  <c r="C233" i="8"/>
  <c r="C82" i="7" s="1"/>
  <c r="E18" i="6"/>
  <c r="F189" i="40"/>
  <c r="G108" i="4"/>
  <c r="G107" i="40"/>
  <c r="E96" i="4"/>
  <c r="D94" i="40"/>
  <c r="L292" i="30"/>
  <c r="L292" i="34" s="1"/>
  <c r="M94" i="40"/>
  <c r="M109" i="4"/>
  <c r="L108" i="40"/>
  <c r="F108" i="40"/>
  <c r="E19" i="6"/>
  <c r="F117" i="34"/>
  <c r="B210" i="39"/>
  <c r="G241" i="38"/>
  <c r="F107" i="40"/>
  <c r="L125" i="30"/>
  <c r="L124" i="34"/>
  <c r="B213" i="39"/>
  <c r="E16" i="6"/>
  <c r="B207" i="39"/>
  <c r="B229" i="39"/>
  <c r="H241" i="38"/>
  <c r="E189" i="40"/>
  <c r="J241" i="38"/>
  <c r="K241" i="38"/>
  <c r="K241" i="39" s="1"/>
  <c r="B241" i="38"/>
  <c r="L189" i="40"/>
  <c r="D189" i="40"/>
  <c r="H73" i="58"/>
  <c r="G72" i="58"/>
  <c r="H69" i="58"/>
  <c r="E68" i="58"/>
  <c r="L67" i="58"/>
  <c r="F72" i="58"/>
  <c r="H71" i="58"/>
  <c r="D68" i="58"/>
  <c r="K68" i="58"/>
  <c r="I70" i="58"/>
  <c r="J72" i="58"/>
  <c r="H72" i="58"/>
  <c r="H70" i="58"/>
  <c r="J73" i="58"/>
  <c r="I72" i="58"/>
  <c r="K71" i="58"/>
  <c r="I74" i="58"/>
  <c r="H68" i="58"/>
  <c r="L69" i="58"/>
  <c r="D72" i="58"/>
  <c r="E67" i="58"/>
  <c r="J70" i="58"/>
  <c r="G67" i="58"/>
  <c r="F74" i="58"/>
  <c r="J74" i="58"/>
  <c r="L71" i="58"/>
  <c r="K72" i="58"/>
  <c r="I68" i="58"/>
  <c r="C71" i="58"/>
  <c r="G71" i="58"/>
  <c r="G70" i="58"/>
  <c r="F67" i="58"/>
  <c r="J68" i="58"/>
  <c r="C72" i="58"/>
  <c r="F70" i="58"/>
  <c r="L70" i="58"/>
  <c r="D74" i="58"/>
  <c r="D67" i="58"/>
  <c r="C68" i="58"/>
  <c r="C69" i="58"/>
  <c r="E70" i="58"/>
  <c r="K73" i="58"/>
  <c r="K67" i="58"/>
  <c r="K69" i="58"/>
  <c r="C74" i="58"/>
  <c r="E71" i="58"/>
  <c r="G73" i="58"/>
  <c r="I73" i="58"/>
  <c r="D70" i="58"/>
  <c r="G68" i="58"/>
  <c r="D71" i="58"/>
  <c r="J69" i="58"/>
  <c r="G69" i="58"/>
  <c r="D73" i="58"/>
  <c r="G74" i="58"/>
  <c r="C70" i="58"/>
  <c r="I69" i="58"/>
  <c r="J67" i="58"/>
  <c r="E72" i="58"/>
  <c r="K74" i="58"/>
  <c r="H74" i="58"/>
  <c r="D69" i="58"/>
  <c r="L68" i="58"/>
  <c r="C73" i="58"/>
  <c r="L73" i="58"/>
  <c r="E74" i="58"/>
  <c r="C67" i="58"/>
  <c r="I71" i="58"/>
  <c r="K70" i="58"/>
  <c r="F71" i="58"/>
  <c r="F69" i="58"/>
  <c r="I67" i="58"/>
  <c r="E69" i="58"/>
  <c r="L72" i="58"/>
  <c r="F68" i="58"/>
  <c r="J71" i="58"/>
  <c r="L74" i="58"/>
  <c r="E73" i="58"/>
  <c r="H67" i="58"/>
  <c r="F73" i="58"/>
  <c r="M96" i="4"/>
  <c r="L96" i="4"/>
  <c r="L94" i="40"/>
  <c r="K238" i="8"/>
  <c r="G238" i="8"/>
  <c r="F238" i="8"/>
  <c r="J238" i="8"/>
  <c r="I238" i="8"/>
  <c r="D238" i="8"/>
  <c r="H238" i="8"/>
  <c r="E238" i="8"/>
  <c r="C238" i="8"/>
  <c r="B238" i="8"/>
  <c r="D122" i="34"/>
  <c r="E121" i="40"/>
  <c r="B238" i="38"/>
  <c r="K238" i="38"/>
  <c r="F238" i="38"/>
  <c r="D238" i="38"/>
  <c r="E238" i="38"/>
  <c r="C238" i="38"/>
  <c r="I238" i="38"/>
  <c r="H238" i="38"/>
  <c r="G238" i="38"/>
  <c r="J238" i="38"/>
  <c r="F94" i="40"/>
  <c r="E108" i="40"/>
  <c r="F109" i="29"/>
  <c r="E94" i="40"/>
  <c r="C292" i="6"/>
  <c r="C292" i="34" s="1"/>
  <c r="D121" i="40"/>
  <c r="D122" i="4"/>
  <c r="E96" i="29"/>
  <c r="J115" i="34"/>
  <c r="J198" i="1"/>
  <c r="E198" i="1"/>
  <c r="G202" i="1"/>
  <c r="I202" i="1"/>
  <c r="L197" i="1"/>
  <c r="F196" i="1"/>
  <c r="G197" i="1"/>
  <c r="I203" i="1"/>
  <c r="H196" i="1"/>
  <c r="L203" i="1"/>
  <c r="E196" i="1"/>
  <c r="C201" i="1"/>
  <c r="J202" i="1"/>
  <c r="J199" i="1"/>
  <c r="L202" i="1"/>
  <c r="H203" i="1"/>
  <c r="I201" i="1"/>
  <c r="I197" i="1"/>
  <c r="F201" i="1"/>
  <c r="G196" i="1"/>
  <c r="E201" i="1"/>
  <c r="J203" i="1"/>
  <c r="K200" i="1"/>
  <c r="H200" i="1"/>
  <c r="E197" i="1"/>
  <c r="H199" i="1"/>
  <c r="I198" i="1"/>
  <c r="E200" i="1"/>
  <c r="D203" i="1"/>
  <c r="C203" i="1"/>
  <c r="K196" i="1"/>
  <c r="F200" i="1"/>
  <c r="K202" i="1"/>
  <c r="G201" i="1"/>
  <c r="I200" i="1"/>
  <c r="C200" i="1"/>
  <c r="F197" i="1"/>
  <c r="E199" i="1"/>
  <c r="J197" i="1"/>
  <c r="D199" i="1"/>
  <c r="C197" i="1"/>
  <c r="D197" i="1"/>
  <c r="G199" i="1"/>
  <c r="L201" i="1"/>
  <c r="H201" i="1"/>
  <c r="E202" i="1"/>
  <c r="F198" i="1"/>
  <c r="K197" i="1"/>
  <c r="C202" i="1"/>
  <c r="L200" i="1"/>
  <c r="K203" i="1"/>
  <c r="D202" i="1"/>
  <c r="G200" i="1"/>
  <c r="D200" i="1"/>
  <c r="L196" i="1"/>
  <c r="K201" i="1"/>
  <c r="K198" i="1"/>
  <c r="J201" i="1"/>
  <c r="H202" i="1"/>
  <c r="J200" i="1"/>
  <c r="C196" i="1"/>
  <c r="G198" i="1"/>
  <c r="H197" i="1"/>
  <c r="D198" i="1"/>
  <c r="F203" i="1"/>
  <c r="L199" i="1"/>
  <c r="D201" i="1"/>
  <c r="I196" i="1"/>
  <c r="C198" i="1"/>
  <c r="K199" i="1"/>
  <c r="C199" i="1"/>
  <c r="J196" i="1"/>
  <c r="I199" i="1"/>
  <c r="G203" i="1"/>
  <c r="F202" i="1"/>
  <c r="F199" i="1"/>
  <c r="L198" i="1"/>
  <c r="D196" i="1"/>
  <c r="E203" i="1"/>
  <c r="H198" i="1"/>
  <c r="K124" i="34"/>
  <c r="K125" i="6"/>
  <c r="K125" i="34" s="1"/>
  <c r="C125" i="6"/>
  <c r="C124" i="34"/>
  <c r="F236" i="8"/>
  <c r="G236" i="8"/>
  <c r="E236" i="8"/>
  <c r="B236" i="8"/>
  <c r="H236" i="8"/>
  <c r="H236" i="39" s="1"/>
  <c r="D236" i="8"/>
  <c r="I236" i="8"/>
  <c r="C236" i="8"/>
  <c r="K236" i="8"/>
  <c r="J236" i="8"/>
  <c r="M122" i="29"/>
  <c r="M121" i="40"/>
  <c r="G237" i="8"/>
  <c r="J237" i="8"/>
  <c r="K237" i="8"/>
  <c r="E237" i="8"/>
  <c r="C237" i="8"/>
  <c r="D237" i="8"/>
  <c r="F237" i="8"/>
  <c r="I237" i="8"/>
  <c r="I237" i="39" s="1"/>
  <c r="B230" i="39"/>
  <c r="E122" i="40"/>
  <c r="F123" i="4"/>
  <c r="F126" i="4" s="1"/>
  <c r="I292" i="30"/>
  <c r="I292" i="34" s="1"/>
  <c r="B224" i="39"/>
  <c r="B204" i="39"/>
  <c r="C67" i="4"/>
  <c r="C67" i="29"/>
  <c r="C75" i="29" s="1"/>
  <c r="C44" i="4"/>
  <c r="J47" i="29"/>
  <c r="J48" i="29"/>
  <c r="H57" i="4"/>
  <c r="H55" i="40"/>
  <c r="H56" i="4"/>
  <c r="E5" i="37"/>
  <c r="C5" i="6"/>
  <c r="C4" i="6"/>
  <c r="C9" i="6"/>
  <c r="C6" i="6"/>
  <c r="C10" i="6"/>
  <c r="C7" i="6"/>
  <c r="C8" i="6"/>
  <c r="C11" i="6"/>
  <c r="L96" i="29"/>
  <c r="K94" i="40"/>
  <c r="E9" i="38"/>
  <c r="E7" i="38"/>
  <c r="E8" i="38"/>
  <c r="E6" i="38"/>
  <c r="E11" i="38"/>
  <c r="E10" i="38"/>
  <c r="E12" i="38"/>
  <c r="I187" i="40"/>
  <c r="L122" i="4"/>
  <c r="L121" i="40"/>
  <c r="D185" i="40"/>
  <c r="D187" i="4"/>
  <c r="D187" i="40" s="1"/>
  <c r="G8" i="35"/>
  <c r="G6" i="35"/>
  <c r="G11" i="35"/>
  <c r="G12" i="35"/>
  <c r="G10" i="35"/>
  <c r="G7" i="35"/>
  <c r="G9" i="35"/>
  <c r="L27" i="1"/>
  <c r="L28" i="1"/>
  <c r="L33" i="1"/>
  <c r="L31" i="1"/>
  <c r="L26" i="1"/>
  <c r="L29" i="1"/>
  <c r="L30" i="1"/>
  <c r="L32" i="1"/>
  <c r="K47" i="29"/>
  <c r="K48" i="29"/>
  <c r="F57" i="29"/>
  <c r="F56" i="29"/>
  <c r="C55" i="29"/>
  <c r="C57" i="4"/>
  <c r="C58" i="4"/>
  <c r="C58" i="29" s="1"/>
  <c r="C56" i="4"/>
  <c r="K187" i="4"/>
  <c r="K187" i="40" s="1"/>
  <c r="K185" i="40"/>
  <c r="I94" i="40"/>
  <c r="J96" i="4"/>
  <c r="E22" i="38"/>
  <c r="E25" i="38"/>
  <c r="E23" i="38"/>
  <c r="E20" i="38"/>
  <c r="E24" i="38"/>
  <c r="E21" i="38"/>
  <c r="E19" i="38"/>
  <c r="B18" i="39"/>
  <c r="H295" i="30"/>
  <c r="C295" i="6"/>
  <c r="I295" i="30"/>
  <c r="C295" i="30"/>
  <c r="F295" i="6"/>
  <c r="E295" i="6"/>
  <c r="F295" i="30"/>
  <c r="G295" i="30"/>
  <c r="E295" i="30"/>
  <c r="K295" i="6"/>
  <c r="L295" i="6"/>
  <c r="J295" i="30"/>
  <c r="L295" i="30"/>
  <c r="K295" i="30"/>
  <c r="G295" i="6"/>
  <c r="D295" i="30"/>
  <c r="H295" i="6"/>
  <c r="J295" i="6"/>
  <c r="I295" i="6"/>
  <c r="D295" i="6"/>
  <c r="J38" i="40"/>
  <c r="J48" i="4"/>
  <c r="J47" i="4"/>
  <c r="M48" i="4"/>
  <c r="M38" i="40"/>
  <c r="M47" i="4"/>
  <c r="E185" i="40"/>
  <c r="E187" i="4"/>
  <c r="E187" i="40" s="1"/>
  <c r="D58" i="29"/>
  <c r="K58" i="29"/>
  <c r="M58" i="29"/>
  <c r="I58" i="29"/>
  <c r="J58" i="29"/>
  <c r="L58" i="29"/>
  <c r="D57" i="29"/>
  <c r="E58" i="29"/>
  <c r="H58" i="29"/>
  <c r="F58" i="29"/>
  <c r="G58" i="29"/>
  <c r="D56" i="29"/>
  <c r="G57" i="29"/>
  <c r="G56" i="29"/>
  <c r="H108" i="4"/>
  <c r="H107" i="40"/>
  <c r="C38" i="8"/>
  <c r="C33" i="8"/>
  <c r="C34" i="8"/>
  <c r="C37" i="8"/>
  <c r="C35" i="8"/>
  <c r="C36" i="8"/>
  <c r="C32" i="8"/>
  <c r="E9" i="8"/>
  <c r="E11" i="8"/>
  <c r="E8" i="8"/>
  <c r="E10" i="8"/>
  <c r="E6" i="8"/>
  <c r="E12" i="8"/>
  <c r="E7" i="8"/>
  <c r="B217" i="39"/>
  <c r="C133" i="29"/>
  <c r="C135" i="29"/>
  <c r="C140" i="29"/>
  <c r="C136" i="29"/>
  <c r="C138" i="29"/>
  <c r="C139" i="29"/>
  <c r="C137" i="29"/>
  <c r="C134" i="29"/>
  <c r="I122" i="4"/>
  <c r="I121" i="40"/>
  <c r="C8" i="38"/>
  <c r="C11" i="38"/>
  <c r="C10" i="38"/>
  <c r="C12" i="38"/>
  <c r="C9" i="38"/>
  <c r="C7" i="38"/>
  <c r="C6" i="38"/>
  <c r="L185" i="40"/>
  <c r="L187" i="4"/>
  <c r="L187" i="40" s="1"/>
  <c r="K57" i="29"/>
  <c r="K56" i="29"/>
  <c r="F187" i="4"/>
  <c r="F187" i="40" s="1"/>
  <c r="F185" i="40"/>
  <c r="G47" i="4"/>
  <c r="G48" i="4"/>
  <c r="G38" i="40"/>
  <c r="I48" i="29"/>
  <c r="I47" i="29"/>
  <c r="I58" i="4"/>
  <c r="H58" i="4"/>
  <c r="G58" i="4"/>
  <c r="E58" i="4"/>
  <c r="D55" i="40"/>
  <c r="J58" i="4"/>
  <c r="D56" i="4"/>
  <c r="D58" i="4"/>
  <c r="M58" i="4"/>
  <c r="F58" i="4"/>
  <c r="L58" i="4"/>
  <c r="K58" i="4"/>
  <c r="D57" i="4"/>
  <c r="K55" i="40"/>
  <c r="K57" i="4"/>
  <c r="K56" i="4"/>
  <c r="J56" i="29"/>
  <c r="J57" i="29"/>
  <c r="D38" i="38"/>
  <c r="D34" i="38"/>
  <c r="D33" i="38"/>
  <c r="D37" i="38"/>
  <c r="D35" i="38"/>
  <c r="D36" i="38"/>
  <c r="D32" i="38"/>
  <c r="C20" i="6"/>
  <c r="C17" i="6"/>
  <c r="C21" i="6"/>
  <c r="C22" i="6"/>
  <c r="C19" i="6"/>
  <c r="C18" i="6"/>
  <c r="C16" i="6"/>
  <c r="G125" i="6"/>
  <c r="G124" i="34"/>
  <c r="C138" i="4"/>
  <c r="C136" i="4"/>
  <c r="C140" i="4"/>
  <c r="C135" i="4"/>
  <c r="C133" i="4"/>
  <c r="C137" i="4"/>
  <c r="C139" i="4"/>
  <c r="C134" i="4"/>
  <c r="H185" i="40"/>
  <c r="E31" i="39"/>
  <c r="L38" i="40"/>
  <c r="L47" i="4"/>
  <c r="L48" i="4"/>
  <c r="F47" i="4"/>
  <c r="F48" i="4"/>
  <c r="F38" i="40"/>
  <c r="M57" i="29"/>
  <c r="M56" i="29"/>
  <c r="J57" i="4"/>
  <c r="J56" i="4"/>
  <c r="J55" i="40"/>
  <c r="I125" i="30"/>
  <c r="I124" i="34"/>
  <c r="H122" i="4"/>
  <c r="H121" i="40"/>
  <c r="D37" i="8"/>
  <c r="D38" i="8"/>
  <c r="D36" i="8"/>
  <c r="D35" i="8"/>
  <c r="D34" i="8"/>
  <c r="D32" i="8"/>
  <c r="D33" i="8"/>
  <c r="D7" i="8"/>
  <c r="D12" i="8"/>
  <c r="D9" i="8"/>
  <c r="D11" i="8"/>
  <c r="D6" i="8"/>
  <c r="D8" i="8"/>
  <c r="D10" i="8"/>
  <c r="B221" i="39"/>
  <c r="B218" i="39"/>
  <c r="C7" i="8"/>
  <c r="C8" i="8"/>
  <c r="C12" i="8"/>
  <c r="C6" i="8"/>
  <c r="C11" i="8"/>
  <c r="C9" i="8"/>
  <c r="C10" i="8"/>
  <c r="G52" i="7"/>
  <c r="G52" i="35"/>
  <c r="G92" i="35"/>
  <c r="G92" i="7"/>
  <c r="G32" i="35"/>
  <c r="G32" i="7"/>
  <c r="G233" i="39"/>
  <c r="C7" i="35"/>
  <c r="C12" i="35"/>
  <c r="C11" i="35"/>
  <c r="C10" i="35"/>
  <c r="C6" i="35"/>
  <c r="C8" i="35"/>
  <c r="C9" i="35"/>
  <c r="G292" i="6"/>
  <c r="J185" i="40"/>
  <c r="J187" i="4"/>
  <c r="J187" i="40" s="1"/>
  <c r="L57" i="4"/>
  <c r="L56" i="4"/>
  <c r="L55" i="40"/>
  <c r="C90" i="30"/>
  <c r="C95" i="30"/>
  <c r="C88" i="30"/>
  <c r="C148" i="30" s="1"/>
  <c r="C92" i="30"/>
  <c r="C89" i="30"/>
  <c r="C94" i="30"/>
  <c r="E191" i="29"/>
  <c r="F191" i="29" s="1"/>
  <c r="G191" i="29" s="1"/>
  <c r="H191" i="29" s="1"/>
  <c r="I191" i="29" s="1"/>
  <c r="C93" i="30"/>
  <c r="C91" i="30"/>
  <c r="D8" i="7"/>
  <c r="D10" i="7"/>
  <c r="D9" i="7"/>
  <c r="D7" i="7"/>
  <c r="D11" i="7"/>
  <c r="D12" i="7"/>
  <c r="D6" i="7"/>
  <c r="B10" i="7"/>
  <c r="B6" i="7"/>
  <c r="B11" i="7"/>
  <c r="B7" i="7"/>
  <c r="B8" i="7"/>
  <c r="B12" i="7"/>
  <c r="B9" i="7"/>
  <c r="D142" i="29"/>
  <c r="H149" i="29"/>
  <c r="H146" i="29"/>
  <c r="L143" i="29"/>
  <c r="H144" i="29"/>
  <c r="M145" i="29"/>
  <c r="G148" i="29"/>
  <c r="F144" i="29"/>
  <c r="E149" i="29"/>
  <c r="J142" i="29"/>
  <c r="D144" i="29"/>
  <c r="F145" i="29"/>
  <c r="L144" i="29"/>
  <c r="J148" i="29"/>
  <c r="I142" i="29"/>
  <c r="G146" i="29"/>
  <c r="H143" i="29"/>
  <c r="J149" i="29"/>
  <c r="G149" i="29"/>
  <c r="K148" i="29"/>
  <c r="I149" i="29"/>
  <c r="D145" i="29"/>
  <c r="E148" i="29"/>
  <c r="K144" i="29"/>
  <c r="E146" i="29"/>
  <c r="G145" i="29"/>
  <c r="G142" i="29"/>
  <c r="I144" i="29"/>
  <c r="F149" i="29"/>
  <c r="I147" i="29"/>
  <c r="E143" i="29"/>
  <c r="H148" i="29"/>
  <c r="E145" i="29"/>
  <c r="G144" i="29"/>
  <c r="F148" i="29"/>
  <c r="K146" i="29"/>
  <c r="J146" i="29"/>
  <c r="D143" i="29"/>
  <c r="L145" i="29"/>
  <c r="F147" i="29"/>
  <c r="E142" i="29"/>
  <c r="J147" i="29"/>
  <c r="K145" i="29"/>
  <c r="I148" i="29"/>
  <c r="K149" i="29"/>
  <c r="D147" i="29"/>
  <c r="F143" i="29"/>
  <c r="D146" i="29"/>
  <c r="J143" i="29"/>
  <c r="M148" i="29"/>
  <c r="J145" i="29"/>
  <c r="M142" i="29"/>
  <c r="L142" i="29"/>
  <c r="K143" i="29"/>
  <c r="M146" i="29"/>
  <c r="K142" i="29"/>
  <c r="I146" i="29"/>
  <c r="K147" i="29"/>
  <c r="I143" i="29"/>
  <c r="I145" i="29"/>
  <c r="F142" i="29"/>
  <c r="E147" i="29"/>
  <c r="M143" i="29"/>
  <c r="L146" i="29"/>
  <c r="L148" i="29"/>
  <c r="M144" i="29"/>
  <c r="L147" i="29"/>
  <c r="M149" i="29"/>
  <c r="E144" i="29"/>
  <c r="M147" i="29"/>
  <c r="H142" i="29"/>
  <c r="D149" i="29"/>
  <c r="H145" i="29"/>
  <c r="H147" i="29"/>
  <c r="F146" i="29"/>
  <c r="J144" i="29"/>
  <c r="L149" i="29"/>
  <c r="D148" i="29"/>
  <c r="G143" i="29"/>
  <c r="G147" i="29"/>
  <c r="G126" i="4"/>
  <c r="C95" i="6"/>
  <c r="C89" i="6"/>
  <c r="C93" i="6"/>
  <c r="C91" i="6"/>
  <c r="C94" i="6"/>
  <c r="C92" i="6"/>
  <c r="D191" i="40"/>
  <c r="C88" i="6"/>
  <c r="E191" i="4"/>
  <c r="C90" i="6"/>
  <c r="D24" i="8"/>
  <c r="D19" i="8"/>
  <c r="D25" i="8"/>
  <c r="D23" i="8"/>
  <c r="D22" i="8"/>
  <c r="D21" i="8"/>
  <c r="D20" i="8"/>
  <c r="B23" i="8"/>
  <c r="B19" i="8"/>
  <c r="B22" i="8"/>
  <c r="B25" i="8"/>
  <c r="B21" i="8"/>
  <c r="B24" i="8"/>
  <c r="B20" i="8"/>
  <c r="I185" i="40"/>
  <c r="F7" i="35"/>
  <c r="F12" i="35"/>
  <c r="F8" i="35"/>
  <c r="F6" i="35"/>
  <c r="F10" i="35"/>
  <c r="F11" i="35"/>
  <c r="F9" i="35"/>
  <c r="H47" i="29"/>
  <c r="H48" i="29"/>
  <c r="D47" i="29"/>
  <c r="M41" i="29"/>
  <c r="F39" i="29"/>
  <c r="L40" i="29"/>
  <c r="F49" i="29"/>
  <c r="M49" i="29"/>
  <c r="G40" i="29"/>
  <c r="F41" i="29"/>
  <c r="D40" i="29"/>
  <c r="J39" i="29"/>
  <c r="F40" i="29"/>
  <c r="E39" i="29"/>
  <c r="I41" i="29"/>
  <c r="L41" i="29"/>
  <c r="G49" i="29"/>
  <c r="H49" i="29"/>
  <c r="D41" i="29"/>
  <c r="D39" i="29"/>
  <c r="I39" i="29"/>
  <c r="H41" i="29"/>
  <c r="L39" i="29"/>
  <c r="K39" i="29"/>
  <c r="E40" i="29"/>
  <c r="M39" i="29"/>
  <c r="K40" i="29"/>
  <c r="D49" i="29"/>
  <c r="J41" i="29"/>
  <c r="H39" i="29"/>
  <c r="E41" i="29"/>
  <c r="J49" i="29"/>
  <c r="I40" i="29"/>
  <c r="H40" i="29"/>
  <c r="K41" i="29"/>
  <c r="I49" i="29"/>
  <c r="G39" i="29"/>
  <c r="K49" i="29"/>
  <c r="L49" i="29"/>
  <c r="J40" i="29"/>
  <c r="G41" i="29"/>
  <c r="E49" i="29"/>
  <c r="M40" i="29"/>
  <c r="D48" i="29"/>
  <c r="J94" i="40"/>
  <c r="K96" i="29"/>
  <c r="B35" i="38"/>
  <c r="B32" i="38"/>
  <c r="B38" i="38"/>
  <c r="B33" i="38"/>
  <c r="B36" i="38"/>
  <c r="B37" i="38"/>
  <c r="B34" i="38"/>
  <c r="B12" i="38"/>
  <c r="B9" i="38"/>
  <c r="B8" i="38"/>
  <c r="B7" i="38"/>
  <c r="B11" i="38"/>
  <c r="B6" i="38"/>
  <c r="B10" i="38"/>
  <c r="B220" i="39"/>
  <c r="C5" i="39"/>
  <c r="D20" i="38"/>
  <c r="D19" i="38"/>
  <c r="D22" i="38"/>
  <c r="D21" i="38"/>
  <c r="D25" i="38"/>
  <c r="D23" i="38"/>
  <c r="D24" i="38"/>
  <c r="C10" i="7"/>
  <c r="C7" i="7"/>
  <c r="C6" i="7"/>
  <c r="C8" i="7"/>
  <c r="C11" i="7"/>
  <c r="C12" i="7"/>
  <c r="C9" i="7"/>
  <c r="B231" i="39"/>
  <c r="E20" i="8"/>
  <c r="E21" i="8"/>
  <c r="E23" i="8"/>
  <c r="E19" i="8"/>
  <c r="E24" i="8"/>
  <c r="E22" i="8"/>
  <c r="E25" i="8"/>
  <c r="B12" i="35"/>
  <c r="B10" i="35"/>
  <c r="B9" i="35"/>
  <c r="B6" i="35"/>
  <c r="B11" i="35"/>
  <c r="B8" i="35"/>
  <c r="B7" i="35"/>
  <c r="D292" i="34"/>
  <c r="J292" i="34"/>
  <c r="E35" i="8"/>
  <c r="E34" i="8"/>
  <c r="E37" i="8"/>
  <c r="E36" i="8"/>
  <c r="E33" i="8"/>
  <c r="E32" i="8"/>
  <c r="E38" i="8"/>
  <c r="G243" i="8"/>
  <c r="B243" i="8"/>
  <c r="H243" i="8"/>
  <c r="K243" i="8"/>
  <c r="J243" i="8"/>
  <c r="I243" i="8"/>
  <c r="F243" i="8"/>
  <c r="D243" i="8"/>
  <c r="E243" i="8"/>
  <c r="C243" i="8"/>
  <c r="E47" i="4"/>
  <c r="E38" i="40"/>
  <c r="E48" i="4"/>
  <c r="C49" i="4"/>
  <c r="C38" i="29"/>
  <c r="C40" i="4"/>
  <c r="C39" i="4"/>
  <c r="C42" i="4" s="1"/>
  <c r="C47" i="4"/>
  <c r="C50" i="4" s="1"/>
  <c r="C48" i="4"/>
  <c r="C41" i="4"/>
  <c r="K122" i="29"/>
  <c r="K121" i="40"/>
  <c r="E56" i="4"/>
  <c r="E57" i="4"/>
  <c r="E55" i="40"/>
  <c r="L56" i="29"/>
  <c r="L57" i="29"/>
  <c r="H94" i="40"/>
  <c r="I96" i="4"/>
  <c r="H96" i="4"/>
  <c r="C38" i="38"/>
  <c r="C35" i="38"/>
  <c r="C37" i="38"/>
  <c r="C32" i="38"/>
  <c r="C33" i="38"/>
  <c r="C36" i="38"/>
  <c r="C34" i="38"/>
  <c r="B216" i="39"/>
  <c r="E12" i="35"/>
  <c r="E10" i="35"/>
  <c r="E6" i="35"/>
  <c r="E11" i="35"/>
  <c r="E9" i="35"/>
  <c r="E7" i="35"/>
  <c r="E8" i="35"/>
  <c r="I47" i="4"/>
  <c r="I48" i="4"/>
  <c r="I38" i="40"/>
  <c r="K40" i="4"/>
  <c r="J40" i="4"/>
  <c r="H40" i="4"/>
  <c r="L41" i="4"/>
  <c r="D49" i="4"/>
  <c r="H39" i="4"/>
  <c r="F39" i="4"/>
  <c r="E49" i="4"/>
  <c r="F40" i="4"/>
  <c r="K41" i="4"/>
  <c r="H49" i="4"/>
  <c r="L49" i="4"/>
  <c r="L39" i="4"/>
  <c r="L40" i="4"/>
  <c r="F41" i="4"/>
  <c r="G49" i="4"/>
  <c r="M40" i="4"/>
  <c r="M39" i="4"/>
  <c r="J39" i="4"/>
  <c r="M41" i="4"/>
  <c r="D40" i="4"/>
  <c r="D39" i="4"/>
  <c r="G40" i="4"/>
  <c r="F49" i="4"/>
  <c r="K49" i="4"/>
  <c r="G39" i="4"/>
  <c r="I40" i="4"/>
  <c r="E40" i="4"/>
  <c r="D38" i="40"/>
  <c r="I39" i="4"/>
  <c r="J41" i="4"/>
  <c r="J49" i="4"/>
  <c r="E39" i="4"/>
  <c r="D41" i="4"/>
  <c r="E41" i="4"/>
  <c r="D47" i="4"/>
  <c r="I41" i="4"/>
  <c r="D48" i="4"/>
  <c r="I49" i="4"/>
  <c r="M49" i="4"/>
  <c r="G41" i="4"/>
  <c r="H41" i="4"/>
  <c r="K39" i="4"/>
  <c r="C25" i="8"/>
  <c r="C19" i="8"/>
  <c r="C23" i="8"/>
  <c r="C22" i="8"/>
  <c r="C21" i="8"/>
  <c r="C24" i="8"/>
  <c r="C20" i="8"/>
  <c r="E33" i="38"/>
  <c r="E36" i="38"/>
  <c r="E35" i="38"/>
  <c r="E34" i="38"/>
  <c r="E37" i="38"/>
  <c r="E38" i="38"/>
  <c r="E32" i="38"/>
  <c r="B243" i="38"/>
  <c r="C243" i="38"/>
  <c r="E243" i="38"/>
  <c r="H243" i="38"/>
  <c r="G243" i="38"/>
  <c r="I243" i="38"/>
  <c r="K243" i="38"/>
  <c r="D243" i="38"/>
  <c r="J243" i="38"/>
  <c r="F243" i="38"/>
  <c r="F48" i="29"/>
  <c r="F47" i="29"/>
  <c r="G47" i="29"/>
  <c r="G48" i="29"/>
  <c r="H235" i="38"/>
  <c r="D235" i="38"/>
  <c r="G235" i="38"/>
  <c r="K235" i="38"/>
  <c r="I235" i="38"/>
  <c r="J235" i="38"/>
  <c r="C235" i="38"/>
  <c r="F235" i="38"/>
  <c r="B235" i="38"/>
  <c r="E235" i="38"/>
  <c r="F56" i="4"/>
  <c r="F57" i="4"/>
  <c r="F55" i="40"/>
  <c r="M57" i="4"/>
  <c r="M56" i="4"/>
  <c r="M55" i="40"/>
  <c r="B37" i="8"/>
  <c r="B35" i="8"/>
  <c r="B36" i="8"/>
  <c r="B38" i="8"/>
  <c r="B34" i="8"/>
  <c r="B32" i="8"/>
  <c r="B33" i="8"/>
  <c r="J96" i="29"/>
  <c r="I96" i="29"/>
  <c r="C20" i="38"/>
  <c r="C23" i="38"/>
  <c r="C21" i="38"/>
  <c r="C19" i="38"/>
  <c r="C22" i="38"/>
  <c r="C24" i="38"/>
  <c r="C25" i="38"/>
  <c r="D7" i="35"/>
  <c r="D11" i="35"/>
  <c r="D9" i="35"/>
  <c r="D10" i="35"/>
  <c r="D8" i="35"/>
  <c r="D6" i="35"/>
  <c r="D12" i="35"/>
  <c r="E292" i="34"/>
  <c r="M185" i="40"/>
  <c r="M187" i="4"/>
  <c r="M187" i="40" s="1"/>
  <c r="F5" i="37"/>
  <c r="G82" i="7"/>
  <c r="G82" i="35"/>
  <c r="K47" i="4"/>
  <c r="K48" i="4"/>
  <c r="K38" i="40"/>
  <c r="M48" i="29"/>
  <c r="M47" i="29"/>
  <c r="K108" i="29"/>
  <c r="K107" i="40"/>
  <c r="J125" i="30"/>
  <c r="J124" i="34"/>
  <c r="K235" i="8"/>
  <c r="C235" i="8"/>
  <c r="H235" i="8"/>
  <c r="J235" i="8"/>
  <c r="I235" i="8"/>
  <c r="D235" i="8"/>
  <c r="G235" i="8"/>
  <c r="E235" i="8"/>
  <c r="B235" i="8"/>
  <c r="F235" i="8"/>
  <c r="I57" i="29"/>
  <c r="I56" i="29"/>
  <c r="E56" i="29"/>
  <c r="E57" i="29"/>
  <c r="C143" i="4"/>
  <c r="C142" i="4"/>
  <c r="C145" i="4"/>
  <c r="C149" i="4"/>
  <c r="C144" i="4"/>
  <c r="C146" i="4"/>
  <c r="C147" i="4"/>
  <c r="C148" i="4"/>
  <c r="J108" i="29"/>
  <c r="J109" i="29" s="1"/>
  <c r="J112" i="29" s="1"/>
  <c r="J107" i="40"/>
  <c r="H187" i="40"/>
  <c r="H48" i="4"/>
  <c r="H38" i="40"/>
  <c r="H47" i="4"/>
  <c r="B9" i="8"/>
  <c r="B10" i="8"/>
  <c r="B11" i="8"/>
  <c r="B12" i="8"/>
  <c r="B7" i="8"/>
  <c r="B8" i="8"/>
  <c r="B6" i="8"/>
  <c r="B222" i="39"/>
  <c r="E9" i="7"/>
  <c r="E12" i="7"/>
  <c r="E10" i="7"/>
  <c r="E8" i="7"/>
  <c r="E7" i="7"/>
  <c r="E6" i="7"/>
  <c r="E11" i="7"/>
  <c r="I57" i="4"/>
  <c r="I56" i="4"/>
  <c r="I55" i="40"/>
  <c r="I108" i="4"/>
  <c r="I107" i="40"/>
  <c r="C52" i="4"/>
  <c r="C70" i="4"/>
  <c r="C70" i="29"/>
  <c r="F122" i="29"/>
  <c r="F121" i="40"/>
  <c r="I109" i="29"/>
  <c r="I112" i="29" s="1"/>
  <c r="M73" i="29"/>
  <c r="B23" i="38"/>
  <c r="B19" i="38"/>
  <c r="B24" i="38"/>
  <c r="B25" i="38"/>
  <c r="B21" i="38"/>
  <c r="B22" i="38"/>
  <c r="B20" i="38"/>
  <c r="G11" i="7"/>
  <c r="G10" i="7"/>
  <c r="G8" i="7"/>
  <c r="G12" i="7"/>
  <c r="G7" i="7"/>
  <c r="G9" i="7"/>
  <c r="G6" i="7"/>
  <c r="F10" i="7"/>
  <c r="F11" i="7"/>
  <c r="F6" i="7"/>
  <c r="F12" i="7"/>
  <c r="F7" i="7"/>
  <c r="F8" i="7"/>
  <c r="F9" i="7"/>
  <c r="E47" i="29"/>
  <c r="E48" i="29"/>
  <c r="L47" i="29"/>
  <c r="L48" i="29"/>
  <c r="H56" i="29"/>
  <c r="H57" i="29"/>
  <c r="G55" i="40"/>
  <c r="G56" i="4"/>
  <c r="G57" i="4"/>
  <c r="E144" i="4"/>
  <c r="D148" i="4"/>
  <c r="E146" i="4"/>
  <c r="K147" i="4"/>
  <c r="E148" i="4"/>
  <c r="G146" i="4"/>
  <c r="I147" i="4"/>
  <c r="M144" i="4"/>
  <c r="K142" i="4"/>
  <c r="H149" i="4"/>
  <c r="J145" i="4"/>
  <c r="I145" i="4"/>
  <c r="M147" i="4"/>
  <c r="J143" i="4"/>
  <c r="I142" i="4"/>
  <c r="I149" i="4"/>
  <c r="G147" i="4"/>
  <c r="L143" i="4"/>
  <c r="F149" i="4"/>
  <c r="G142" i="4"/>
  <c r="K149" i="4"/>
  <c r="I148" i="4"/>
  <c r="M145" i="4"/>
  <c r="F148" i="4"/>
  <c r="G143" i="4"/>
  <c r="E149" i="4"/>
  <c r="K145" i="4"/>
  <c r="M148" i="4"/>
  <c r="D144" i="4"/>
  <c r="L148" i="4"/>
  <c r="D143" i="4"/>
  <c r="D147" i="4"/>
  <c r="H143" i="4"/>
  <c r="F144" i="4"/>
  <c r="E142" i="4"/>
  <c r="M146" i="4"/>
  <c r="D149" i="4"/>
  <c r="I146" i="4"/>
  <c r="H146" i="4"/>
  <c r="L145" i="4"/>
  <c r="D146" i="4"/>
  <c r="I143" i="4"/>
  <c r="L142" i="4"/>
  <c r="H148" i="4"/>
  <c r="E145" i="4"/>
  <c r="L146" i="4"/>
  <c r="G149" i="4"/>
  <c r="G145" i="4"/>
  <c r="G144" i="4"/>
  <c r="I144" i="4"/>
  <c r="D142" i="4"/>
  <c r="E147" i="4"/>
  <c r="H142" i="4"/>
  <c r="F143" i="4"/>
  <c r="F142" i="4"/>
  <c r="J142" i="4"/>
  <c r="E143" i="4"/>
  <c r="K144" i="4"/>
  <c r="M143" i="4"/>
  <c r="L147" i="4"/>
  <c r="M142" i="4"/>
  <c r="K146" i="4"/>
  <c r="F146" i="4"/>
  <c r="F145" i="4"/>
  <c r="L149" i="4"/>
  <c r="D145" i="4"/>
  <c r="G148" i="4"/>
  <c r="J147" i="4"/>
  <c r="H144" i="4"/>
  <c r="J146" i="4"/>
  <c r="J148" i="4"/>
  <c r="F147" i="4"/>
  <c r="H147" i="4"/>
  <c r="M149" i="4"/>
  <c r="J149" i="4"/>
  <c r="L144" i="4"/>
  <c r="H145" i="4"/>
  <c r="K148" i="4"/>
  <c r="J144" i="4"/>
  <c r="K143" i="4"/>
  <c r="J121" i="40"/>
  <c r="J122" i="29"/>
  <c r="D10" i="38"/>
  <c r="D11" i="38"/>
  <c r="D12" i="38"/>
  <c r="D9" i="38"/>
  <c r="D6" i="38"/>
  <c r="D7" i="38"/>
  <c r="D8" i="38"/>
  <c r="B219" i="39"/>
  <c r="B215" i="39"/>
  <c r="G187" i="4"/>
  <c r="G187" i="40" s="1"/>
  <c r="G185" i="40"/>
  <c r="H124" i="34"/>
  <c r="H125" i="6"/>
  <c r="E80" i="57"/>
  <c r="E79" i="57"/>
  <c r="H79" i="57"/>
  <c r="G187" i="57"/>
  <c r="G189" i="57"/>
  <c r="G188" i="57"/>
  <c r="G186" i="57"/>
  <c r="G185" i="57"/>
  <c r="G192" i="57"/>
  <c r="G191" i="57"/>
  <c r="I188" i="57"/>
  <c r="I185" i="57"/>
  <c r="I189" i="57"/>
  <c r="I192" i="57"/>
  <c r="I187" i="57"/>
  <c r="I186" i="57"/>
  <c r="I191" i="57"/>
  <c r="J191" i="57"/>
  <c r="J187" i="57"/>
  <c r="J189" i="57"/>
  <c r="J186" i="57"/>
  <c r="J185" i="57"/>
  <c r="J188" i="57"/>
  <c r="J192" i="57"/>
  <c r="D79" i="57"/>
  <c r="C79" i="57"/>
  <c r="F80" i="57"/>
  <c r="H80" i="57"/>
  <c r="C30" i="57"/>
  <c r="C28" i="57"/>
  <c r="C27" i="57"/>
  <c r="C25" i="57"/>
  <c r="C24" i="57"/>
  <c r="C26" i="57"/>
  <c r="L186" i="57"/>
  <c r="L185" i="57"/>
  <c r="L192" i="57"/>
  <c r="L189" i="57"/>
  <c r="L188" i="57"/>
  <c r="L187" i="57"/>
  <c r="L191" i="57"/>
  <c r="D185" i="57"/>
  <c r="D192" i="57"/>
  <c r="D189" i="57"/>
  <c r="D188" i="57"/>
  <c r="D186" i="57"/>
  <c r="D187" i="57"/>
  <c r="D191" i="57"/>
  <c r="G79" i="57"/>
  <c r="J80" i="57"/>
  <c r="E60" i="57"/>
  <c r="D80" i="57"/>
  <c r="F191" i="57"/>
  <c r="F188" i="57"/>
  <c r="F189" i="57"/>
  <c r="F187" i="57"/>
  <c r="F185" i="57"/>
  <c r="F192" i="57"/>
  <c r="F186" i="57"/>
  <c r="C80" i="57"/>
  <c r="D60" i="57"/>
  <c r="C186" i="57"/>
  <c r="C185" i="57"/>
  <c r="C192" i="57"/>
  <c r="C191" i="57"/>
  <c r="C189" i="57"/>
  <c r="C188" i="57"/>
  <c r="C187" i="57"/>
  <c r="K79" i="57"/>
  <c r="I80" i="57"/>
  <c r="D73" i="57"/>
  <c r="G80" i="57"/>
  <c r="O191" i="4"/>
  <c r="E191" i="57"/>
  <c r="E189" i="57"/>
  <c r="E192" i="57"/>
  <c r="E188" i="57"/>
  <c r="E187" i="57"/>
  <c r="E186" i="57"/>
  <c r="E185" i="57"/>
  <c r="L79" i="57"/>
  <c r="K80" i="57"/>
  <c r="L80" i="57"/>
  <c r="H186" i="57"/>
  <c r="H188" i="57"/>
  <c r="H187" i="57"/>
  <c r="H192" i="57"/>
  <c r="H191" i="57"/>
  <c r="H189" i="57"/>
  <c r="H185" i="57"/>
  <c r="I79" i="57"/>
  <c r="F79" i="57"/>
  <c r="K187" i="57"/>
  <c r="K186" i="57"/>
  <c r="K188" i="57"/>
  <c r="K185" i="57"/>
  <c r="K192" i="57"/>
  <c r="K191" i="57"/>
  <c r="K189" i="57"/>
  <c r="J79" i="57"/>
  <c r="M190" i="40" l="1"/>
  <c r="E73" i="40"/>
  <c r="K200" i="4"/>
  <c r="J200" i="4"/>
  <c r="M200" i="4"/>
  <c r="D91" i="6"/>
  <c r="D151" i="6" s="1"/>
  <c r="L200" i="4"/>
  <c r="H200" i="4"/>
  <c r="J191" i="29"/>
  <c r="K191" i="29" s="1"/>
  <c r="L191" i="29" s="1"/>
  <c r="M191" i="29" s="1"/>
  <c r="L91" i="30" s="1"/>
  <c r="L151" i="30" s="1"/>
  <c r="D200" i="4"/>
  <c r="E200" i="4"/>
  <c r="I200" i="4"/>
  <c r="F174" i="40"/>
  <c r="H242" i="39"/>
  <c r="F200" i="4"/>
  <c r="G174" i="40"/>
  <c r="G240" i="39"/>
  <c r="F96" i="40"/>
  <c r="E174" i="40"/>
  <c r="I174" i="40"/>
  <c r="J174" i="40"/>
  <c r="H174" i="40"/>
  <c r="C237" i="39"/>
  <c r="M174" i="40"/>
  <c r="G200" i="4"/>
  <c r="K174" i="40"/>
  <c r="L174" i="40"/>
  <c r="D174" i="40"/>
  <c r="E200" i="29"/>
  <c r="E237" i="39"/>
  <c r="F237" i="39"/>
  <c r="K240" i="39"/>
  <c r="E240" i="39"/>
  <c r="C242" i="39"/>
  <c r="B380" i="38"/>
  <c r="B92" i="35"/>
  <c r="B32" i="7"/>
  <c r="B82" i="35"/>
  <c r="F240" i="39"/>
  <c r="D52" i="7"/>
  <c r="F82" i="35"/>
  <c r="F82" i="37" s="1"/>
  <c r="E52" i="35"/>
  <c r="G242" i="39"/>
  <c r="I296" i="30"/>
  <c r="H296" i="6"/>
  <c r="C134" i="40"/>
  <c r="D298" i="6"/>
  <c r="B82" i="7"/>
  <c r="H52" i="35"/>
  <c r="H52" i="37" s="1"/>
  <c r="B241" i="39"/>
  <c r="F236" i="39"/>
  <c r="J237" i="39"/>
  <c r="F241" i="39"/>
  <c r="B43" i="60"/>
  <c r="D242" i="39"/>
  <c r="J236" i="39"/>
  <c r="L298" i="6"/>
  <c r="K298" i="6"/>
  <c r="J298" i="6"/>
  <c r="G298" i="30"/>
  <c r="D117" i="29"/>
  <c r="D119" i="29" s="1"/>
  <c r="I242" i="39"/>
  <c r="D82" i="35"/>
  <c r="F242" i="39"/>
  <c r="D82" i="7"/>
  <c r="E299" i="6"/>
  <c r="E109" i="40"/>
  <c r="I241" i="39"/>
  <c r="D52" i="35"/>
  <c r="E111" i="40"/>
  <c r="D236" i="39"/>
  <c r="D92" i="35"/>
  <c r="D92" i="37" s="1"/>
  <c r="L58" i="40"/>
  <c r="L297" i="30"/>
  <c r="B237" i="39"/>
  <c r="E24" i="39"/>
  <c r="H32" i="35"/>
  <c r="L293" i="6"/>
  <c r="H92" i="7"/>
  <c r="H82" i="7"/>
  <c r="C293" i="6"/>
  <c r="H92" i="35"/>
  <c r="E128" i="29"/>
  <c r="E129" i="29" s="1"/>
  <c r="H233" i="39"/>
  <c r="H32" i="7"/>
  <c r="H82" i="35"/>
  <c r="H240" i="39"/>
  <c r="C298" i="30"/>
  <c r="G237" i="39"/>
  <c r="H298" i="6"/>
  <c r="H298" i="34" s="1"/>
  <c r="E298" i="30"/>
  <c r="D293" i="6"/>
  <c r="B52" i="7"/>
  <c r="C293" i="30"/>
  <c r="L298" i="30"/>
  <c r="I298" i="6"/>
  <c r="G293" i="30"/>
  <c r="D293" i="30"/>
  <c r="B32" i="35"/>
  <c r="E298" i="6"/>
  <c r="H293" i="6"/>
  <c r="B92" i="7"/>
  <c r="D237" i="39"/>
  <c r="D298" i="30"/>
  <c r="F298" i="30"/>
  <c r="G298" i="6"/>
  <c r="C298" i="6"/>
  <c r="K298" i="30"/>
  <c r="F298" i="6"/>
  <c r="J293" i="30"/>
  <c r="B52" i="35"/>
  <c r="I298" i="30"/>
  <c r="J298" i="30"/>
  <c r="E293" i="30"/>
  <c r="B233" i="39"/>
  <c r="E82" i="7"/>
  <c r="E82" i="37" s="1"/>
  <c r="H299" i="30"/>
  <c r="E52" i="7"/>
  <c r="C58" i="58" a="1"/>
  <c r="C60" i="58" s="1"/>
  <c r="D60" i="58" s="1"/>
  <c r="K299" i="30"/>
  <c r="E92" i="35"/>
  <c r="C299" i="30"/>
  <c r="E233" i="39"/>
  <c r="D145" i="40"/>
  <c r="D148" i="40"/>
  <c r="K299" i="6"/>
  <c r="E92" i="7"/>
  <c r="J58" i="40"/>
  <c r="D299" i="30"/>
  <c r="E32" i="35"/>
  <c r="D114" i="40"/>
  <c r="K237" i="39"/>
  <c r="E32" i="7"/>
  <c r="D299" i="6"/>
  <c r="D115" i="4"/>
  <c r="D119" i="4" s="1"/>
  <c r="C299" i="6"/>
  <c r="F297" i="6"/>
  <c r="C240" i="39"/>
  <c r="C235" i="39"/>
  <c r="I294" i="30"/>
  <c r="C136" i="40"/>
  <c r="J294" i="6"/>
  <c r="D296" i="30"/>
  <c r="J296" i="30"/>
  <c r="J296" i="34" s="1"/>
  <c r="J297" i="30"/>
  <c r="I236" i="39"/>
  <c r="B242" i="39"/>
  <c r="L296" i="6"/>
  <c r="G296" i="30"/>
  <c r="K296" i="6"/>
  <c r="M39" i="40"/>
  <c r="I296" i="6"/>
  <c r="E20" i="39"/>
  <c r="B41" i="60"/>
  <c r="J242" i="39"/>
  <c r="I146" i="40"/>
  <c r="E241" i="39"/>
  <c r="I240" i="39"/>
  <c r="C296" i="30"/>
  <c r="L294" i="30"/>
  <c r="L148" i="40"/>
  <c r="J143" i="40"/>
  <c r="F296" i="6"/>
  <c r="L296" i="30"/>
  <c r="E296" i="30"/>
  <c r="D296" i="6"/>
  <c r="C296" i="6"/>
  <c r="H296" i="30"/>
  <c r="C7" i="39"/>
  <c r="D294" i="30"/>
  <c r="D297" i="30"/>
  <c r="D297" i="34" s="1"/>
  <c r="E8" i="39"/>
  <c r="J48" i="40"/>
  <c r="G236" i="39"/>
  <c r="J240" i="39"/>
  <c r="E11" i="39"/>
  <c r="J147" i="40"/>
  <c r="M148" i="40"/>
  <c r="K147" i="40"/>
  <c r="I293" i="6"/>
  <c r="K293" i="6"/>
  <c r="D233" i="39"/>
  <c r="J299" i="30"/>
  <c r="L299" i="30"/>
  <c r="J299" i="6"/>
  <c r="C46" i="60"/>
  <c r="G293" i="6"/>
  <c r="E299" i="30"/>
  <c r="H299" i="6"/>
  <c r="L299" i="6"/>
  <c r="E112" i="40"/>
  <c r="B32" i="39"/>
  <c r="H293" i="30"/>
  <c r="F293" i="6"/>
  <c r="F293" i="34" s="1"/>
  <c r="D32" i="35"/>
  <c r="C169" i="4"/>
  <c r="G299" i="30"/>
  <c r="G299" i="34" s="1"/>
  <c r="F299" i="30"/>
  <c r="H241" i="39"/>
  <c r="G241" i="39"/>
  <c r="I293" i="30"/>
  <c r="H147" i="40"/>
  <c r="G144" i="40"/>
  <c r="E293" i="6"/>
  <c r="K293" i="30"/>
  <c r="D32" i="7"/>
  <c r="I299" i="30"/>
  <c r="F299" i="6"/>
  <c r="B44" i="60"/>
  <c r="F145" i="40"/>
  <c r="F148" i="40"/>
  <c r="L293" i="30"/>
  <c r="J293" i="6"/>
  <c r="I299" i="6"/>
  <c r="B236" i="39"/>
  <c r="G88" i="30"/>
  <c r="G148" i="30" s="1"/>
  <c r="L88" i="30"/>
  <c r="L148" i="30" s="1"/>
  <c r="G294" i="30"/>
  <c r="L294" i="6"/>
  <c r="K297" i="6"/>
  <c r="E236" i="39"/>
  <c r="E6" i="37"/>
  <c r="E22" i="39"/>
  <c r="G93" i="30"/>
  <c r="G153" i="30" s="1"/>
  <c r="F95" i="30"/>
  <c r="F155" i="30" s="1"/>
  <c r="G294" i="6"/>
  <c r="J294" i="30"/>
  <c r="K294" i="30"/>
  <c r="E297" i="30"/>
  <c r="J297" i="6"/>
  <c r="E297" i="6"/>
  <c r="G95" i="30"/>
  <c r="G155" i="30" s="1"/>
  <c r="G297" i="6"/>
  <c r="E90" i="30"/>
  <c r="E150" i="30" s="1"/>
  <c r="E294" i="6"/>
  <c r="H294" i="6"/>
  <c r="C294" i="30"/>
  <c r="H297" i="30"/>
  <c r="I297" i="30"/>
  <c r="F297" i="30"/>
  <c r="H89" i="30"/>
  <c r="H149" i="30" s="1"/>
  <c r="E92" i="30"/>
  <c r="E152" i="30" s="1"/>
  <c r="B58" i="38" a="1"/>
  <c r="D60" i="38" s="1"/>
  <c r="H294" i="30"/>
  <c r="I294" i="6"/>
  <c r="E294" i="30"/>
  <c r="C297" i="30"/>
  <c r="G297" i="30"/>
  <c r="K297" i="30"/>
  <c r="M96" i="40"/>
  <c r="H93" i="30"/>
  <c r="H153" i="30" s="1"/>
  <c r="E94" i="30"/>
  <c r="E154" i="30" s="1"/>
  <c r="D294" i="6"/>
  <c r="K294" i="6"/>
  <c r="F294" i="30"/>
  <c r="F294" i="34" s="1"/>
  <c r="L297" i="6"/>
  <c r="C297" i="6"/>
  <c r="I297" i="6"/>
  <c r="H90" i="30"/>
  <c r="H150" i="30" s="1"/>
  <c r="B48" i="59" a="1"/>
  <c r="B54" i="59" s="1"/>
  <c r="E143" i="40"/>
  <c r="G143" i="40"/>
  <c r="D95" i="30"/>
  <c r="D155" i="30" s="1"/>
  <c r="C294" i="6"/>
  <c r="H297" i="6"/>
  <c r="B39" i="60"/>
  <c r="C241" i="39"/>
  <c r="J148" i="40"/>
  <c r="M145" i="40"/>
  <c r="I147" i="40"/>
  <c r="J146" i="40"/>
  <c r="M147" i="40"/>
  <c r="E296" i="6"/>
  <c r="F296" i="30"/>
  <c r="K296" i="30"/>
  <c r="C82" i="35"/>
  <c r="C82" i="37" s="1"/>
  <c r="H95" i="30"/>
  <c r="H155" i="30" s="1"/>
  <c r="F92" i="30"/>
  <c r="F152" i="30" s="1"/>
  <c r="C95" i="34"/>
  <c r="E58" i="40"/>
  <c r="K143" i="40"/>
  <c r="D147" i="40"/>
  <c r="B8" i="39"/>
  <c r="G296" i="6"/>
  <c r="G89" i="30"/>
  <c r="G149" i="30" s="1"/>
  <c r="D92" i="30"/>
  <c r="D152" i="30" s="1"/>
  <c r="C236" i="39"/>
  <c r="D143" i="40"/>
  <c r="C56" i="58" a="1"/>
  <c r="C56" i="58" s="1"/>
  <c r="D45" i="60"/>
  <c r="D46" i="58" a="1"/>
  <c r="G46" i="59"/>
  <c r="I46" i="59"/>
  <c r="E46" i="59"/>
  <c r="D46" i="59"/>
  <c r="K46" i="59"/>
  <c r="J46" i="59"/>
  <c r="H46" i="59"/>
  <c r="F46" i="59"/>
  <c r="L46" i="59"/>
  <c r="F147" i="40"/>
  <c r="G145" i="40"/>
  <c r="L145" i="40"/>
  <c r="I149" i="40"/>
  <c r="M144" i="40"/>
  <c r="H235" i="39"/>
  <c r="D48" i="40"/>
  <c r="C243" i="39"/>
  <c r="E21" i="39"/>
  <c r="C48" i="58" a="1"/>
  <c r="G53" i="58" s="1"/>
  <c r="G58" i="40"/>
  <c r="J241" i="39"/>
  <c r="H144" i="40"/>
  <c r="K149" i="40"/>
  <c r="E8" i="37"/>
  <c r="K47" i="40"/>
  <c r="F56" i="40"/>
  <c r="K39" i="40"/>
  <c r="J39" i="40"/>
  <c r="E88" i="30"/>
  <c r="E148" i="30" s="1"/>
  <c r="D89" i="30"/>
  <c r="D149" i="30" s="1"/>
  <c r="B56" i="58"/>
  <c r="B48" i="58" a="1"/>
  <c r="B37" i="60"/>
  <c r="C56" i="59" a="1"/>
  <c r="B56" i="59"/>
  <c r="C48" i="59" a="1"/>
  <c r="B40" i="60"/>
  <c r="C6" i="39"/>
  <c r="K236" i="39"/>
  <c r="C45" i="60"/>
  <c r="K82" i="7"/>
  <c r="K82" i="37" s="1"/>
  <c r="G148" i="40"/>
  <c r="M143" i="40"/>
  <c r="B10" i="39"/>
  <c r="J149" i="40"/>
  <c r="H149" i="40"/>
  <c r="B6" i="37"/>
  <c r="D238" i="39"/>
  <c r="B38" i="60"/>
  <c r="G39" i="40"/>
  <c r="F143" i="40"/>
  <c r="G146" i="40"/>
  <c r="J82" i="35"/>
  <c r="J82" i="37" s="1"/>
  <c r="D149" i="40"/>
  <c r="E148" i="40"/>
  <c r="M49" i="40"/>
  <c r="J49" i="40"/>
  <c r="K243" i="39"/>
  <c r="B21" i="39"/>
  <c r="D23" i="39"/>
  <c r="L125" i="34"/>
  <c r="F32" i="35"/>
  <c r="F92" i="7"/>
  <c r="F32" i="7"/>
  <c r="F233" i="39"/>
  <c r="F52" i="35"/>
  <c r="F92" i="35"/>
  <c r="F52" i="7"/>
  <c r="C24" i="39"/>
  <c r="M146" i="40"/>
  <c r="C12" i="39"/>
  <c r="E7" i="39"/>
  <c r="E96" i="40"/>
  <c r="G109" i="4"/>
  <c r="G108" i="40"/>
  <c r="C91" i="34"/>
  <c r="G150" i="29" a="1"/>
  <c r="G150" i="29" s="1"/>
  <c r="E238" i="39"/>
  <c r="M109" i="40"/>
  <c r="M112" i="4"/>
  <c r="M112" i="40" s="1"/>
  <c r="K144" i="40"/>
  <c r="I143" i="40"/>
  <c r="F144" i="40"/>
  <c r="E9" i="37"/>
  <c r="I82" i="35"/>
  <c r="I82" i="37" s="1"/>
  <c r="B34" i="39"/>
  <c r="G243" i="39"/>
  <c r="C37" i="39"/>
  <c r="C440" i="6" a="1"/>
  <c r="K440" i="6" s="1"/>
  <c r="I39" i="40"/>
  <c r="J235" i="39"/>
  <c r="M41" i="40"/>
  <c r="L41" i="40"/>
  <c r="C89" i="34"/>
  <c r="I238" i="39"/>
  <c r="C92" i="7"/>
  <c r="C233" i="39"/>
  <c r="C32" i="7"/>
  <c r="C92" i="35"/>
  <c r="C32" i="35"/>
  <c r="C52" i="35"/>
  <c r="C52" i="7"/>
  <c r="J32" i="7"/>
  <c r="J92" i="35"/>
  <c r="J52" i="35"/>
  <c r="J32" i="35"/>
  <c r="J233" i="39"/>
  <c r="J52" i="7"/>
  <c r="J92" i="7"/>
  <c r="B22" i="7" a="1"/>
  <c r="I28" i="7" s="1"/>
  <c r="I32" i="7"/>
  <c r="I92" i="35"/>
  <c r="I92" i="7"/>
  <c r="I233" i="39"/>
  <c r="I32" i="35"/>
  <c r="I52" i="35"/>
  <c r="I52" i="7"/>
  <c r="L146" i="40"/>
  <c r="C139" i="40"/>
  <c r="F238" i="39"/>
  <c r="K92" i="7"/>
  <c r="K32" i="35"/>
  <c r="K52" i="7"/>
  <c r="K233" i="39"/>
  <c r="K92" i="35"/>
  <c r="K32" i="7"/>
  <c r="K52" i="35"/>
  <c r="H238" i="39"/>
  <c r="E145" i="40"/>
  <c r="F58" i="40"/>
  <c r="C58" i="59" a="1"/>
  <c r="L144" i="40"/>
  <c r="D95" i="6"/>
  <c r="D155" i="6" s="1"/>
  <c r="L95" i="30"/>
  <c r="L155" i="30" s="1"/>
  <c r="H94" i="30"/>
  <c r="H154" i="30" s="1"/>
  <c r="G90" i="30"/>
  <c r="G150" i="30" s="1"/>
  <c r="H91" i="30"/>
  <c r="H151" i="30" s="1"/>
  <c r="F93" i="30"/>
  <c r="F153" i="30" s="1"/>
  <c r="F88" i="30"/>
  <c r="F148" i="30" s="1"/>
  <c r="D90" i="30"/>
  <c r="D150" i="30" s="1"/>
  <c r="C125" i="34"/>
  <c r="C127" i="6"/>
  <c r="C238" i="39"/>
  <c r="H145" i="40"/>
  <c r="E11" i="37"/>
  <c r="C25" i="39"/>
  <c r="H148" i="40"/>
  <c r="L49" i="40"/>
  <c r="F149" i="40"/>
  <c r="K235" i="39"/>
  <c r="B36" i="39"/>
  <c r="C20" i="39"/>
  <c r="H49" i="40"/>
  <c r="E47" i="40"/>
  <c r="F243" i="39"/>
  <c r="E25" i="39"/>
  <c r="B22" i="39"/>
  <c r="B8" i="37"/>
  <c r="H88" i="30"/>
  <c r="H148" i="30" s="1"/>
  <c r="G92" i="30"/>
  <c r="G152" i="30" s="1"/>
  <c r="D94" i="30"/>
  <c r="D154" i="30" s="1"/>
  <c r="L48" i="40"/>
  <c r="M123" i="29"/>
  <c r="M126" i="29" s="1"/>
  <c r="M122" i="40"/>
  <c r="F109" i="40"/>
  <c r="F112" i="29"/>
  <c r="J238" i="39"/>
  <c r="D22" i="39"/>
  <c r="D41" i="40"/>
  <c r="K41" i="40"/>
  <c r="I243" i="39"/>
  <c r="B245" i="38" a="1"/>
  <c r="C247" i="38" s="1"/>
  <c r="D24" i="39"/>
  <c r="L47" i="40"/>
  <c r="F111" i="29"/>
  <c r="E114" i="29"/>
  <c r="L149" i="40"/>
  <c r="D146" i="40"/>
  <c r="G147" i="40"/>
  <c r="E144" i="40"/>
  <c r="E10" i="37"/>
  <c r="B58" i="8" a="1"/>
  <c r="D64" i="8" s="1"/>
  <c r="D90" i="6"/>
  <c r="D150" i="6" s="1"/>
  <c r="B11" i="37"/>
  <c r="H92" i="30"/>
  <c r="H152" i="30" s="1"/>
  <c r="G91" i="30"/>
  <c r="G151" i="30" s="1"/>
  <c r="G94" i="30"/>
  <c r="G154" i="30" s="1"/>
  <c r="F89" i="30"/>
  <c r="F149" i="30" s="1"/>
  <c r="D88" i="30"/>
  <c r="D148" i="30" s="1"/>
  <c r="C8" i="39"/>
  <c r="C135" i="40"/>
  <c r="G73" i="4"/>
  <c r="F73" i="40"/>
  <c r="B238" i="39"/>
  <c r="G238" i="39"/>
  <c r="E149" i="40"/>
  <c r="D235" i="39"/>
  <c r="D94" i="6"/>
  <c r="D154" i="6" s="1"/>
  <c r="C140" i="40"/>
  <c r="K238" i="39"/>
  <c r="F146" i="40"/>
  <c r="G149" i="40"/>
  <c r="H146" i="40"/>
  <c r="G56" i="40"/>
  <c r="I56" i="40"/>
  <c r="I235" i="39"/>
  <c r="M56" i="40"/>
  <c r="J41" i="40"/>
  <c r="F41" i="40"/>
  <c r="F39" i="40"/>
  <c r="H243" i="39"/>
  <c r="C93" i="34"/>
  <c r="E91" i="30"/>
  <c r="E151" i="30" s="1"/>
  <c r="F91" i="30"/>
  <c r="F151" i="30" s="1"/>
  <c r="F94" i="30"/>
  <c r="F154" i="30" s="1"/>
  <c r="E93" i="30"/>
  <c r="E153" i="30" s="1"/>
  <c r="D93" i="30"/>
  <c r="D153" i="30" s="1"/>
  <c r="L56" i="40"/>
  <c r="D7" i="39"/>
  <c r="K58" i="40"/>
  <c r="E10" i="39"/>
  <c r="C34" i="39"/>
  <c r="D123" i="4"/>
  <c r="D122" i="40"/>
  <c r="E123" i="4"/>
  <c r="C440" i="30" a="1"/>
  <c r="J142" i="40"/>
  <c r="J150" i="4" a="1"/>
  <c r="J150" i="4" s="1"/>
  <c r="B386" i="38"/>
  <c r="E37" i="39"/>
  <c r="B33" i="7"/>
  <c r="G33" i="35"/>
  <c r="B33" i="35"/>
  <c r="I33" i="7"/>
  <c r="F33" i="35"/>
  <c r="G33" i="7"/>
  <c r="F33" i="7"/>
  <c r="K33" i="35"/>
  <c r="J33" i="35"/>
  <c r="J33" i="7"/>
  <c r="D33" i="7"/>
  <c r="K33" i="7"/>
  <c r="C6" i="37"/>
  <c r="H33" i="35"/>
  <c r="H33" i="7"/>
  <c r="C33" i="7"/>
  <c r="E33" i="7"/>
  <c r="C33" i="35"/>
  <c r="I33" i="35"/>
  <c r="D33" i="35"/>
  <c r="E33" i="35"/>
  <c r="E6" i="39"/>
  <c r="B76" i="38" a="1"/>
  <c r="B76" i="8" a="1"/>
  <c r="M59" i="29"/>
  <c r="I59" i="29"/>
  <c r="K59" i="29"/>
  <c r="D59" i="29"/>
  <c r="D60" i="29" s="1"/>
  <c r="D62" i="29" s="1"/>
  <c r="F59" i="29"/>
  <c r="H59" i="29"/>
  <c r="L59" i="29"/>
  <c r="J59" i="29"/>
  <c r="G59" i="29"/>
  <c r="E59" i="29"/>
  <c r="C57" i="29"/>
  <c r="H99" i="30"/>
  <c r="H204" i="30" s="1"/>
  <c r="H213" i="30" s="1"/>
  <c r="H231" i="30" s="1"/>
  <c r="L99" i="30"/>
  <c r="L204" i="30" s="1"/>
  <c r="L213" i="30" s="1"/>
  <c r="L231" i="30" s="1"/>
  <c r="E99" i="6"/>
  <c r="D99" i="30"/>
  <c r="D204" i="30" s="1"/>
  <c r="D213" i="30" s="1"/>
  <c r="D231" i="30" s="1"/>
  <c r="I99" i="6"/>
  <c r="H99" i="6"/>
  <c r="F99" i="6"/>
  <c r="J99" i="6"/>
  <c r="G99" i="30"/>
  <c r="G204" i="30" s="1"/>
  <c r="G213" i="30" s="1"/>
  <c r="G231" i="30" s="1"/>
  <c r="G99" i="6"/>
  <c r="I99" i="30"/>
  <c r="I204" i="30" s="1"/>
  <c r="I213" i="30" s="1"/>
  <c r="I231" i="30" s="1"/>
  <c r="J99" i="30"/>
  <c r="J204" i="30" s="1"/>
  <c r="J213" i="30" s="1"/>
  <c r="J231" i="30" s="1"/>
  <c r="C99" i="30"/>
  <c r="C204" i="30" s="1"/>
  <c r="C213" i="30" s="1"/>
  <c r="C231" i="30" s="1"/>
  <c r="K99" i="30"/>
  <c r="K204" i="30" s="1"/>
  <c r="K213" i="30" s="1"/>
  <c r="K231" i="30" s="1"/>
  <c r="C99" i="6"/>
  <c r="K99" i="6"/>
  <c r="L99" i="6"/>
  <c r="F99" i="30"/>
  <c r="F204" i="30" s="1"/>
  <c r="F213" i="30" s="1"/>
  <c r="F231" i="30" s="1"/>
  <c r="E99" i="30"/>
  <c r="E204" i="30" s="1"/>
  <c r="E213" i="30" s="1"/>
  <c r="E231" i="30" s="1"/>
  <c r="D99" i="6"/>
  <c r="L96" i="40"/>
  <c r="F142" i="40"/>
  <c r="F150" i="4" a="1"/>
  <c r="F150" i="4" s="1"/>
  <c r="I142" i="40"/>
  <c r="I150" i="4" a="1"/>
  <c r="I150" i="4" s="1"/>
  <c r="D86" i="35"/>
  <c r="J86" i="35"/>
  <c r="F86" i="35"/>
  <c r="D86" i="7"/>
  <c r="I86" i="35"/>
  <c r="E86" i="35"/>
  <c r="E86" i="7"/>
  <c r="C86" i="35"/>
  <c r="C86" i="7"/>
  <c r="J86" i="7"/>
  <c r="H86" i="35"/>
  <c r="H86" i="7"/>
  <c r="F9" i="37"/>
  <c r="K86" i="35"/>
  <c r="K86" i="7"/>
  <c r="G86" i="35"/>
  <c r="G86" i="7"/>
  <c r="I86" i="7"/>
  <c r="B86" i="35"/>
  <c r="F86" i="7"/>
  <c r="B86" i="7"/>
  <c r="H97" i="7"/>
  <c r="D97" i="35"/>
  <c r="B97" i="7"/>
  <c r="E97" i="7"/>
  <c r="J97" i="35"/>
  <c r="G10" i="37"/>
  <c r="E97" i="35"/>
  <c r="F97" i="35"/>
  <c r="K97" i="35"/>
  <c r="I97" i="35"/>
  <c r="K97" i="7"/>
  <c r="D97" i="7"/>
  <c r="G97" i="7"/>
  <c r="C97" i="7"/>
  <c r="C97" i="35"/>
  <c r="G97" i="35"/>
  <c r="I97" i="7"/>
  <c r="B97" i="35"/>
  <c r="J97" i="7"/>
  <c r="F97" i="7"/>
  <c r="H97" i="35"/>
  <c r="B9" i="39"/>
  <c r="L109" i="29"/>
  <c r="K108" i="40"/>
  <c r="E41" i="40"/>
  <c r="G58" i="35"/>
  <c r="H58" i="7"/>
  <c r="K58" i="35"/>
  <c r="F58" i="7"/>
  <c r="C58" i="7"/>
  <c r="K58" i="7"/>
  <c r="H58" i="35"/>
  <c r="D11" i="37"/>
  <c r="E58" i="35"/>
  <c r="E58" i="7"/>
  <c r="C58" i="35"/>
  <c r="G58" i="7"/>
  <c r="J58" i="7"/>
  <c r="D58" i="7"/>
  <c r="B58" i="7"/>
  <c r="F58" i="35"/>
  <c r="J58" i="35"/>
  <c r="B58" i="35"/>
  <c r="I58" i="35"/>
  <c r="D58" i="35"/>
  <c r="I58" i="7"/>
  <c r="L57" i="40"/>
  <c r="H122" i="40"/>
  <c r="I123" i="4"/>
  <c r="H123" i="4"/>
  <c r="I295" i="34"/>
  <c r="L295" i="34"/>
  <c r="B245" i="8" a="1"/>
  <c r="L98" i="6"/>
  <c r="H98" i="6"/>
  <c r="G98" i="6"/>
  <c r="K98" i="30"/>
  <c r="K203" i="30" s="1"/>
  <c r="K212" i="30" s="1"/>
  <c r="K230" i="30" s="1"/>
  <c r="D98" i="6"/>
  <c r="L98" i="30"/>
  <c r="L203" i="30" s="1"/>
  <c r="L212" i="30" s="1"/>
  <c r="L230" i="30" s="1"/>
  <c r="F98" i="30"/>
  <c r="F203" i="30" s="1"/>
  <c r="F212" i="30" s="1"/>
  <c r="F230" i="30" s="1"/>
  <c r="D98" i="30"/>
  <c r="D203" i="30" s="1"/>
  <c r="D212" i="30" s="1"/>
  <c r="D230" i="30" s="1"/>
  <c r="J98" i="6"/>
  <c r="I98" i="30"/>
  <c r="I203" i="30" s="1"/>
  <c r="I212" i="30" s="1"/>
  <c r="I230" i="30" s="1"/>
  <c r="C98" i="30"/>
  <c r="C203" i="30" s="1"/>
  <c r="C212" i="30" s="1"/>
  <c r="C230" i="30" s="1"/>
  <c r="E98" i="30"/>
  <c r="E203" i="30" s="1"/>
  <c r="E212" i="30" s="1"/>
  <c r="E230" i="30" s="1"/>
  <c r="I98" i="6"/>
  <c r="K98" i="6"/>
  <c r="C98" i="6"/>
  <c r="J98" i="30"/>
  <c r="J203" i="30" s="1"/>
  <c r="J212" i="30" s="1"/>
  <c r="J230" i="30" s="1"/>
  <c r="G98" i="30"/>
  <c r="G203" i="30" s="1"/>
  <c r="G212" i="30" s="1"/>
  <c r="G230" i="30" s="1"/>
  <c r="F98" i="6"/>
  <c r="E98" i="6"/>
  <c r="H98" i="30"/>
  <c r="H203" i="30" s="1"/>
  <c r="H212" i="30" s="1"/>
  <c r="H230" i="30" s="1"/>
  <c r="H57" i="40"/>
  <c r="K148" i="40"/>
  <c r="K146" i="40"/>
  <c r="I148" i="40"/>
  <c r="K85" i="35"/>
  <c r="C85" i="35"/>
  <c r="F85" i="35"/>
  <c r="B85" i="35"/>
  <c r="E85" i="7"/>
  <c r="E85" i="35"/>
  <c r="D85" i="35"/>
  <c r="G85" i="7"/>
  <c r="F8" i="37"/>
  <c r="K85" i="7"/>
  <c r="D85" i="7"/>
  <c r="I85" i="35"/>
  <c r="J85" i="35"/>
  <c r="H85" i="35"/>
  <c r="F85" i="7"/>
  <c r="J85" i="7"/>
  <c r="I85" i="7"/>
  <c r="H85" i="7"/>
  <c r="C85" i="7"/>
  <c r="G85" i="35"/>
  <c r="B85" i="7"/>
  <c r="D98" i="7"/>
  <c r="I98" i="7"/>
  <c r="I98" i="35"/>
  <c r="K98" i="7"/>
  <c r="K98" i="35"/>
  <c r="H98" i="35"/>
  <c r="G98" i="35"/>
  <c r="C98" i="35"/>
  <c r="C98" i="7"/>
  <c r="J98" i="35"/>
  <c r="F98" i="35"/>
  <c r="G11" i="37"/>
  <c r="E98" i="35"/>
  <c r="E98" i="7"/>
  <c r="B98" i="35"/>
  <c r="F98" i="7"/>
  <c r="B98" i="7"/>
  <c r="H98" i="7"/>
  <c r="G98" i="7"/>
  <c r="J98" i="7"/>
  <c r="D98" i="35"/>
  <c r="H47" i="40"/>
  <c r="B37" i="39"/>
  <c r="H41" i="40"/>
  <c r="J40" i="40"/>
  <c r="B243" i="39"/>
  <c r="E35" i="39"/>
  <c r="B384" i="38"/>
  <c r="G37" i="7"/>
  <c r="H37" i="35"/>
  <c r="J37" i="7"/>
  <c r="E37" i="7"/>
  <c r="I37" i="7"/>
  <c r="J37" i="35"/>
  <c r="F37" i="35"/>
  <c r="D37" i="7"/>
  <c r="B37" i="35"/>
  <c r="C37" i="35"/>
  <c r="C37" i="7"/>
  <c r="E37" i="35"/>
  <c r="D37" i="35"/>
  <c r="B37" i="7"/>
  <c r="K37" i="7"/>
  <c r="F37" i="7"/>
  <c r="G37" i="35"/>
  <c r="I37" i="35"/>
  <c r="K37" i="35"/>
  <c r="H37" i="7"/>
  <c r="C10" i="37"/>
  <c r="B23" i="39"/>
  <c r="D89" i="6"/>
  <c r="D149" i="6" s="1"/>
  <c r="J150" i="29" a="1"/>
  <c r="J150" i="29" s="1"/>
  <c r="B10" i="37"/>
  <c r="C54" i="35"/>
  <c r="B54" i="7"/>
  <c r="D54" i="7"/>
  <c r="C54" i="7"/>
  <c r="D7" i="37"/>
  <c r="D54" i="35"/>
  <c r="J54" i="7"/>
  <c r="H54" i="7"/>
  <c r="J54" i="35"/>
  <c r="F54" i="35"/>
  <c r="K54" i="7"/>
  <c r="F54" i="7"/>
  <c r="H54" i="35"/>
  <c r="E54" i="35"/>
  <c r="E54" i="7"/>
  <c r="I54" i="7"/>
  <c r="G54" i="7"/>
  <c r="I54" i="35"/>
  <c r="B54" i="35"/>
  <c r="K54" i="35"/>
  <c r="G54" i="35"/>
  <c r="C9" i="39"/>
  <c r="D10" i="39"/>
  <c r="B372" i="38"/>
  <c r="D32" i="39"/>
  <c r="C153" i="30"/>
  <c r="C153" i="6"/>
  <c r="H58" i="40"/>
  <c r="C33" i="39"/>
  <c r="M47" i="40"/>
  <c r="J295" i="34"/>
  <c r="K295" i="34"/>
  <c r="C295" i="34"/>
  <c r="J96" i="40"/>
  <c r="I103" i="6"/>
  <c r="G103" i="6"/>
  <c r="E103" i="6"/>
  <c r="J103" i="6"/>
  <c r="K103" i="30"/>
  <c r="K208" i="30" s="1"/>
  <c r="K217" i="30" s="1"/>
  <c r="K235" i="30" s="1"/>
  <c r="F103" i="6"/>
  <c r="D103" i="30"/>
  <c r="D208" i="30" s="1"/>
  <c r="D217" i="30" s="1"/>
  <c r="D235" i="30" s="1"/>
  <c r="H103" i="6"/>
  <c r="H103" i="30"/>
  <c r="H208" i="30" s="1"/>
  <c r="H217" i="30" s="1"/>
  <c r="H235" i="30" s="1"/>
  <c r="L103" i="30"/>
  <c r="L208" i="30" s="1"/>
  <c r="L217" i="30" s="1"/>
  <c r="L235" i="30" s="1"/>
  <c r="I103" i="30"/>
  <c r="I208" i="30" s="1"/>
  <c r="I217" i="30" s="1"/>
  <c r="I235" i="30" s="1"/>
  <c r="J103" i="30"/>
  <c r="J208" i="30" s="1"/>
  <c r="J217" i="30" s="1"/>
  <c r="J235" i="30" s="1"/>
  <c r="C103" i="30"/>
  <c r="C208" i="30" s="1"/>
  <c r="C217" i="30" s="1"/>
  <c r="C235" i="30" s="1"/>
  <c r="G103" i="30"/>
  <c r="G208" i="30" s="1"/>
  <c r="G217" i="30" s="1"/>
  <c r="G235" i="30" s="1"/>
  <c r="K103" i="6"/>
  <c r="D103" i="6"/>
  <c r="F103" i="30"/>
  <c r="F208" i="30" s="1"/>
  <c r="F217" i="30" s="1"/>
  <c r="F235" i="30" s="1"/>
  <c r="E103" i="30"/>
  <c r="E208" i="30" s="1"/>
  <c r="E217" i="30" s="1"/>
  <c r="E235" i="30" s="1"/>
  <c r="L103" i="6"/>
  <c r="C103" i="6"/>
  <c r="E95" i="35"/>
  <c r="D95" i="35"/>
  <c r="G95" i="35"/>
  <c r="C95" i="7"/>
  <c r="B95" i="35"/>
  <c r="C95" i="35"/>
  <c r="J95" i="35"/>
  <c r="G8" i="37"/>
  <c r="G95" i="7"/>
  <c r="E95" i="7"/>
  <c r="K95" i="7"/>
  <c r="I95" i="35"/>
  <c r="H95" i="35"/>
  <c r="H95" i="7"/>
  <c r="B95" i="7"/>
  <c r="I95" i="7"/>
  <c r="F95" i="35"/>
  <c r="K95" i="35"/>
  <c r="D95" i="7"/>
  <c r="F95" i="7"/>
  <c r="J95" i="7"/>
  <c r="K50" i="4"/>
  <c r="H50" i="4"/>
  <c r="M50" i="4"/>
  <c r="J50" i="4"/>
  <c r="I50" i="4"/>
  <c r="E50" i="4"/>
  <c r="F50" i="4"/>
  <c r="G50" i="4"/>
  <c r="D50" i="4"/>
  <c r="D47" i="40"/>
  <c r="L50" i="4"/>
  <c r="B263" i="8" a="1"/>
  <c r="D19" i="39"/>
  <c r="B263" i="38" a="1"/>
  <c r="C88" i="34"/>
  <c r="C148" i="6"/>
  <c r="M150" i="29" a="1"/>
  <c r="M150" i="29" s="1"/>
  <c r="J59" i="7"/>
  <c r="F59" i="35"/>
  <c r="I59" i="35"/>
  <c r="D12" i="37"/>
  <c r="C59" i="7"/>
  <c r="D59" i="7"/>
  <c r="F59" i="7"/>
  <c r="D59" i="35"/>
  <c r="C59" i="35"/>
  <c r="E59" i="35"/>
  <c r="G59" i="35"/>
  <c r="B59" i="7"/>
  <c r="E59" i="7"/>
  <c r="G59" i="7"/>
  <c r="I59" i="7"/>
  <c r="K59" i="35"/>
  <c r="H59" i="7"/>
  <c r="H59" i="35"/>
  <c r="B59" i="35"/>
  <c r="J59" i="35"/>
  <c r="K59" i="7"/>
  <c r="C154" i="30"/>
  <c r="C154" i="6"/>
  <c r="J144" i="40"/>
  <c r="G123" i="29"/>
  <c r="F122" i="40"/>
  <c r="F123" i="29"/>
  <c r="B35" i="39"/>
  <c r="I40" i="40"/>
  <c r="H40" i="40"/>
  <c r="E34" i="39"/>
  <c r="B383" i="38"/>
  <c r="K34" i="35"/>
  <c r="G34" i="35"/>
  <c r="I34" i="35"/>
  <c r="C34" i="7"/>
  <c r="C34" i="35"/>
  <c r="J34" i="7"/>
  <c r="J34" i="35"/>
  <c r="G34" i="7"/>
  <c r="K34" i="7"/>
  <c r="F34" i="7"/>
  <c r="I34" i="7"/>
  <c r="H34" i="7"/>
  <c r="F34" i="35"/>
  <c r="D34" i="7"/>
  <c r="D34" i="35"/>
  <c r="C7" i="37"/>
  <c r="B34" i="35"/>
  <c r="E34" i="7"/>
  <c r="H34" i="35"/>
  <c r="E34" i="35"/>
  <c r="B34" i="7"/>
  <c r="B19" i="39"/>
  <c r="G32" i="37"/>
  <c r="C10" i="39"/>
  <c r="B373" i="38"/>
  <c r="D33" i="39"/>
  <c r="M142" i="40"/>
  <c r="M150" i="4" a="1"/>
  <c r="M150" i="4" s="1"/>
  <c r="H150" i="4" a="1"/>
  <c r="H150" i="4" s="1"/>
  <c r="H142" i="40"/>
  <c r="D144" i="40"/>
  <c r="E84" i="7"/>
  <c r="K84" i="7"/>
  <c r="F7" i="37"/>
  <c r="H84" i="35"/>
  <c r="D84" i="7"/>
  <c r="G84" i="7"/>
  <c r="H84" i="7"/>
  <c r="C84" i="35"/>
  <c r="I84" i="35"/>
  <c r="K84" i="35"/>
  <c r="B84" i="35"/>
  <c r="G84" i="35"/>
  <c r="J84" i="7"/>
  <c r="I84" i="7"/>
  <c r="F84" i="7"/>
  <c r="J84" i="35"/>
  <c r="D84" i="35"/>
  <c r="E84" i="35"/>
  <c r="F84" i="35"/>
  <c r="C84" i="7"/>
  <c r="B84" i="7"/>
  <c r="B6" i="39"/>
  <c r="B49" i="8" a="1"/>
  <c r="B49" i="38" a="1"/>
  <c r="G41" i="40"/>
  <c r="E39" i="40"/>
  <c r="M40" i="40"/>
  <c r="F40" i="40"/>
  <c r="L123" i="29"/>
  <c r="L126" i="29" s="1"/>
  <c r="K122" i="40"/>
  <c r="E48" i="40"/>
  <c r="E243" i="39"/>
  <c r="E19" i="39"/>
  <c r="B272" i="8" a="1"/>
  <c r="B272" i="38" a="1"/>
  <c r="I42" i="29"/>
  <c r="K42" i="29"/>
  <c r="M42" i="29"/>
  <c r="H42" i="29"/>
  <c r="D42" i="29"/>
  <c r="D43" i="29" s="1"/>
  <c r="D44" i="29" s="1"/>
  <c r="F42" i="29"/>
  <c r="L42" i="29"/>
  <c r="J42" i="29"/>
  <c r="E42" i="29"/>
  <c r="G42" i="29"/>
  <c r="D20" i="39"/>
  <c r="D150" i="29" a="1"/>
  <c r="D150" i="29" s="1"/>
  <c r="G92" i="37"/>
  <c r="C11" i="39"/>
  <c r="D8" i="39"/>
  <c r="D34" i="39"/>
  <c r="B374" i="38"/>
  <c r="I127" i="30"/>
  <c r="J127" i="30" s="1"/>
  <c r="K127" i="30" s="1"/>
  <c r="L127" i="30" s="1"/>
  <c r="I125" i="34"/>
  <c r="G125" i="34"/>
  <c r="M58" i="40"/>
  <c r="I58" i="40"/>
  <c r="G48" i="40"/>
  <c r="C38" i="39"/>
  <c r="H295" i="34"/>
  <c r="C101" i="6"/>
  <c r="D101" i="30"/>
  <c r="D206" i="30" s="1"/>
  <c r="D215" i="30" s="1"/>
  <c r="D233" i="30" s="1"/>
  <c r="I101" i="6"/>
  <c r="J101" i="6"/>
  <c r="K101" i="6"/>
  <c r="E101" i="30"/>
  <c r="E206" i="30" s="1"/>
  <c r="E215" i="30" s="1"/>
  <c r="E233" i="30" s="1"/>
  <c r="K101" i="30"/>
  <c r="K206" i="30" s="1"/>
  <c r="K215" i="30" s="1"/>
  <c r="K233" i="30" s="1"/>
  <c r="E101" i="6"/>
  <c r="L101" i="30"/>
  <c r="L206" i="30" s="1"/>
  <c r="L215" i="30" s="1"/>
  <c r="L233" i="30" s="1"/>
  <c r="F101" i="30"/>
  <c r="F206" i="30" s="1"/>
  <c r="F215" i="30" s="1"/>
  <c r="F233" i="30" s="1"/>
  <c r="L101" i="6"/>
  <c r="G101" i="30"/>
  <c r="G206" i="30" s="1"/>
  <c r="G215" i="30" s="1"/>
  <c r="G233" i="30" s="1"/>
  <c r="C101" i="30"/>
  <c r="C206" i="30" s="1"/>
  <c r="C215" i="30" s="1"/>
  <c r="C233" i="30" s="1"/>
  <c r="H101" i="30"/>
  <c r="H206" i="30" s="1"/>
  <c r="H215" i="30" s="1"/>
  <c r="H233" i="30" s="1"/>
  <c r="D101" i="6"/>
  <c r="F101" i="6"/>
  <c r="I101" i="30"/>
  <c r="I206" i="30" s="1"/>
  <c r="I215" i="30" s="1"/>
  <c r="I233" i="30" s="1"/>
  <c r="G101" i="6"/>
  <c r="H101" i="6"/>
  <c r="J101" i="30"/>
  <c r="J206" i="30" s="1"/>
  <c r="J215" i="30" s="1"/>
  <c r="J233" i="30" s="1"/>
  <c r="L147" i="40"/>
  <c r="E147" i="40"/>
  <c r="G150" i="4" a="1"/>
  <c r="G150" i="4" s="1"/>
  <c r="G142" i="40"/>
  <c r="I145" i="40"/>
  <c r="H89" i="7"/>
  <c r="D89" i="7"/>
  <c r="C89" i="35"/>
  <c r="F89" i="35"/>
  <c r="J89" i="7"/>
  <c r="B89" i="7"/>
  <c r="K89" i="7"/>
  <c r="I89" i="35"/>
  <c r="J89" i="35"/>
  <c r="G89" i="35"/>
  <c r="C89" i="7"/>
  <c r="E89" i="35"/>
  <c r="F12" i="37"/>
  <c r="I89" i="7"/>
  <c r="G89" i="7"/>
  <c r="E89" i="7"/>
  <c r="K89" i="35"/>
  <c r="B89" i="35"/>
  <c r="H89" i="35"/>
  <c r="F89" i="7"/>
  <c r="D89" i="35"/>
  <c r="D93" i="7"/>
  <c r="E93" i="7"/>
  <c r="G93" i="35"/>
  <c r="G93" i="7"/>
  <c r="H93" i="7"/>
  <c r="F93" i="35"/>
  <c r="D93" i="35"/>
  <c r="J93" i="35"/>
  <c r="C93" i="7"/>
  <c r="J93" i="7"/>
  <c r="K93" i="7"/>
  <c r="B93" i="35"/>
  <c r="I93" i="35"/>
  <c r="C93" i="35"/>
  <c r="K93" i="35"/>
  <c r="G6" i="37"/>
  <c r="F93" i="7"/>
  <c r="B93" i="7"/>
  <c r="H93" i="35"/>
  <c r="E93" i="35"/>
  <c r="I93" i="7"/>
  <c r="E7" i="37"/>
  <c r="H48" i="40"/>
  <c r="F235" i="39"/>
  <c r="G82" i="37"/>
  <c r="B33" i="39"/>
  <c r="C22" i="39"/>
  <c r="F49" i="40"/>
  <c r="G49" i="40"/>
  <c r="E49" i="40"/>
  <c r="E57" i="40"/>
  <c r="D243" i="39"/>
  <c r="E38" i="39"/>
  <c r="B387" i="38"/>
  <c r="E23" i="39"/>
  <c r="K36" i="7"/>
  <c r="K36" i="35"/>
  <c r="G36" i="35"/>
  <c r="C36" i="35"/>
  <c r="I36" i="7"/>
  <c r="B36" i="7"/>
  <c r="G36" i="7"/>
  <c r="D36" i="7"/>
  <c r="E36" i="35"/>
  <c r="F36" i="7"/>
  <c r="C36" i="7"/>
  <c r="B36" i="35"/>
  <c r="H36" i="7"/>
  <c r="D36" i="35"/>
  <c r="I36" i="35"/>
  <c r="J36" i="35"/>
  <c r="C9" i="37"/>
  <c r="E36" i="7"/>
  <c r="F36" i="35"/>
  <c r="H36" i="35"/>
  <c r="J36" i="7"/>
  <c r="B22" i="35" a="1"/>
  <c r="L50" i="29"/>
  <c r="E50" i="29"/>
  <c r="D50" i="29"/>
  <c r="D51" i="29" s="1"/>
  <c r="D52" i="29" s="1"/>
  <c r="G50" i="29"/>
  <c r="I50" i="29"/>
  <c r="J50" i="29"/>
  <c r="M50" i="29"/>
  <c r="K50" i="29"/>
  <c r="F50" i="29"/>
  <c r="H50" i="29"/>
  <c r="B20" i="39"/>
  <c r="D21" i="39"/>
  <c r="C90" i="34"/>
  <c r="D92" i="6"/>
  <c r="K150" i="29" a="1"/>
  <c r="K150" i="29" s="1"/>
  <c r="B9" i="37"/>
  <c r="J57" i="7"/>
  <c r="H57" i="35"/>
  <c r="F57" i="7"/>
  <c r="D57" i="7"/>
  <c r="G57" i="35"/>
  <c r="I57" i="35"/>
  <c r="D57" i="35"/>
  <c r="D10" i="37"/>
  <c r="K57" i="35"/>
  <c r="F57" i="35"/>
  <c r="J57" i="35"/>
  <c r="B57" i="35"/>
  <c r="C57" i="7"/>
  <c r="I57" i="7"/>
  <c r="H57" i="7"/>
  <c r="B57" i="7"/>
  <c r="E57" i="7"/>
  <c r="E57" i="35"/>
  <c r="K57" i="7"/>
  <c r="C57" i="35"/>
  <c r="G57" i="7"/>
  <c r="F90" i="30"/>
  <c r="F150" i="30" s="1"/>
  <c r="E95" i="30"/>
  <c r="E155" i="30" s="1"/>
  <c r="E89" i="30"/>
  <c r="E149" i="30" s="1"/>
  <c r="B67" i="38" a="1"/>
  <c r="B67" i="8" a="1"/>
  <c r="D6" i="39"/>
  <c r="B375" i="38"/>
  <c r="D35" i="39"/>
  <c r="C137" i="40"/>
  <c r="C346" i="30" a="1"/>
  <c r="C149" i="30"/>
  <c r="C346" i="6" a="1"/>
  <c r="C149" i="6"/>
  <c r="K56" i="40"/>
  <c r="D58" i="40"/>
  <c r="G47" i="40"/>
  <c r="I122" i="40"/>
  <c r="J123" i="4"/>
  <c r="C141" i="29" a="1"/>
  <c r="C141" i="29" s="1"/>
  <c r="E9" i="39"/>
  <c r="M48" i="40"/>
  <c r="G100" i="6"/>
  <c r="E100" i="6"/>
  <c r="E100" i="30"/>
  <c r="E205" i="30" s="1"/>
  <c r="E214" i="30" s="1"/>
  <c r="E232" i="30" s="1"/>
  <c r="J100" i="30"/>
  <c r="J205" i="30" s="1"/>
  <c r="J214" i="30" s="1"/>
  <c r="J232" i="30" s="1"/>
  <c r="L100" i="6"/>
  <c r="K100" i="6"/>
  <c r="I100" i="30"/>
  <c r="I205" i="30" s="1"/>
  <c r="I214" i="30" s="1"/>
  <c r="I232" i="30" s="1"/>
  <c r="D100" i="6"/>
  <c r="C100" i="6"/>
  <c r="H100" i="6"/>
  <c r="F100" i="6"/>
  <c r="F100" i="30"/>
  <c r="F205" i="30" s="1"/>
  <c r="F214" i="30" s="1"/>
  <c r="F232" i="30" s="1"/>
  <c r="H100" i="30"/>
  <c r="H205" i="30" s="1"/>
  <c r="H214" i="30" s="1"/>
  <c r="H232" i="30" s="1"/>
  <c r="G100" i="30"/>
  <c r="G205" i="30" s="1"/>
  <c r="G214" i="30" s="1"/>
  <c r="G232" i="30" s="1"/>
  <c r="I100" i="6"/>
  <c r="D100" i="30"/>
  <c r="D205" i="30" s="1"/>
  <c r="D214" i="30" s="1"/>
  <c r="D232" i="30" s="1"/>
  <c r="L100" i="30"/>
  <c r="L205" i="30" s="1"/>
  <c r="L214" i="30" s="1"/>
  <c r="L232" i="30" s="1"/>
  <c r="K100" i="30"/>
  <c r="K205" i="30" s="1"/>
  <c r="K214" i="30" s="1"/>
  <c r="K232" i="30" s="1"/>
  <c r="J100" i="6"/>
  <c r="C100" i="30"/>
  <c r="C205" i="30" s="1"/>
  <c r="C214" i="30" s="1"/>
  <c r="C232" i="30" s="1"/>
  <c r="B62" i="35" a="1"/>
  <c r="E40" i="40"/>
  <c r="D295" i="34"/>
  <c r="C138" i="40"/>
  <c r="C150" i="30"/>
  <c r="C150" i="6"/>
  <c r="C21" i="39"/>
  <c r="K49" i="40"/>
  <c r="K40" i="40"/>
  <c r="E150" i="29" a="1"/>
  <c r="E150" i="29" s="1"/>
  <c r="F56" i="35"/>
  <c r="G56" i="7"/>
  <c r="I56" i="35"/>
  <c r="G56" i="35"/>
  <c r="C56" i="35"/>
  <c r="B56" i="35"/>
  <c r="D9" i="37"/>
  <c r="B56" i="7"/>
  <c r="H56" i="7"/>
  <c r="H56" i="35"/>
  <c r="D56" i="7"/>
  <c r="I56" i="7"/>
  <c r="K56" i="35"/>
  <c r="E56" i="35"/>
  <c r="D56" i="35"/>
  <c r="J56" i="35"/>
  <c r="J56" i="7"/>
  <c r="E56" i="7"/>
  <c r="C56" i="7"/>
  <c r="F56" i="7"/>
  <c r="K56" i="7"/>
  <c r="D142" i="40"/>
  <c r="D150" i="4" a="1"/>
  <c r="D150" i="4" s="1"/>
  <c r="L142" i="40"/>
  <c r="L150" i="4" a="1"/>
  <c r="L150" i="4" s="1"/>
  <c r="E142" i="40"/>
  <c r="E150" i="4" a="1"/>
  <c r="E150" i="4" s="1"/>
  <c r="K145" i="40"/>
  <c r="J145" i="40"/>
  <c r="E146" i="40"/>
  <c r="F6" i="37"/>
  <c r="G83" i="7"/>
  <c r="D83" i="7"/>
  <c r="B83" i="35"/>
  <c r="I83" i="7"/>
  <c r="K83" i="7"/>
  <c r="H83" i="35"/>
  <c r="G83" i="35"/>
  <c r="F83" i="35"/>
  <c r="J83" i="35"/>
  <c r="J83" i="7"/>
  <c r="F83" i="7"/>
  <c r="E83" i="7"/>
  <c r="C83" i="7"/>
  <c r="B83" i="7"/>
  <c r="C83" i="35"/>
  <c r="I83" i="35"/>
  <c r="K83" i="35"/>
  <c r="E83" i="35"/>
  <c r="H83" i="7"/>
  <c r="D83" i="35"/>
  <c r="B96" i="7"/>
  <c r="E96" i="35"/>
  <c r="F96" i="7"/>
  <c r="G9" i="37"/>
  <c r="H96" i="7"/>
  <c r="C96" i="7"/>
  <c r="E96" i="7"/>
  <c r="D96" i="7"/>
  <c r="D96" i="35"/>
  <c r="I96" i="35"/>
  <c r="J96" i="7"/>
  <c r="F96" i="35"/>
  <c r="K96" i="7"/>
  <c r="B96" i="35"/>
  <c r="G96" i="7"/>
  <c r="J96" i="35"/>
  <c r="C96" i="35"/>
  <c r="G96" i="35"/>
  <c r="K96" i="35"/>
  <c r="I96" i="7"/>
  <c r="H96" i="35"/>
  <c r="B7" i="39"/>
  <c r="B235" i="39"/>
  <c r="K48" i="40"/>
  <c r="M57" i="40"/>
  <c r="C23" i="39"/>
  <c r="I49" i="40"/>
  <c r="G40" i="40"/>
  <c r="I48" i="40"/>
  <c r="E56" i="40"/>
  <c r="E32" i="39"/>
  <c r="B381" i="38"/>
  <c r="E39" i="35"/>
  <c r="J39" i="35"/>
  <c r="K39" i="35"/>
  <c r="I39" i="35"/>
  <c r="D39" i="35"/>
  <c r="F39" i="7"/>
  <c r="B39" i="35"/>
  <c r="H39" i="7"/>
  <c r="G39" i="35"/>
  <c r="K39" i="7"/>
  <c r="I39" i="7"/>
  <c r="E39" i="7"/>
  <c r="J39" i="7"/>
  <c r="F39" i="35"/>
  <c r="C39" i="35"/>
  <c r="B39" i="7"/>
  <c r="H39" i="35"/>
  <c r="C39" i="7"/>
  <c r="D39" i="7"/>
  <c r="C12" i="37"/>
  <c r="G39" i="7"/>
  <c r="B24" i="39"/>
  <c r="C92" i="34"/>
  <c r="H150" i="29" a="1"/>
  <c r="H150" i="29" s="1"/>
  <c r="I150" i="29" a="1"/>
  <c r="I150" i="29" s="1"/>
  <c r="B12" i="37"/>
  <c r="F55" i="35"/>
  <c r="K55" i="35"/>
  <c r="H55" i="7"/>
  <c r="H55" i="35"/>
  <c r="J55" i="7"/>
  <c r="C55" i="35"/>
  <c r="D55" i="7"/>
  <c r="J55" i="35"/>
  <c r="C55" i="7"/>
  <c r="E55" i="7"/>
  <c r="F55" i="7"/>
  <c r="G55" i="7"/>
  <c r="K55" i="7"/>
  <c r="B55" i="7"/>
  <c r="D8" i="37"/>
  <c r="I55" i="35"/>
  <c r="G55" i="35"/>
  <c r="E55" i="35"/>
  <c r="B55" i="35"/>
  <c r="D55" i="35"/>
  <c r="I55" i="7"/>
  <c r="D91" i="30"/>
  <c r="D11" i="39"/>
  <c r="B376" i="38"/>
  <c r="D36" i="39"/>
  <c r="J56" i="40"/>
  <c r="C141" i="4" a="1"/>
  <c r="C141" i="4" s="1"/>
  <c r="D133" i="4" a="1"/>
  <c r="C133" i="40"/>
  <c r="D133" i="29" a="1"/>
  <c r="C151" i="30"/>
  <c r="C151" i="6"/>
  <c r="K57" i="40"/>
  <c r="L59" i="4"/>
  <c r="E59" i="4"/>
  <c r="D56" i="40"/>
  <c r="I59" i="4"/>
  <c r="G59" i="4"/>
  <c r="M59" i="4"/>
  <c r="H59" i="4"/>
  <c r="K59" i="4"/>
  <c r="D59" i="4"/>
  <c r="J59" i="4"/>
  <c r="F59" i="4"/>
  <c r="C32" i="39"/>
  <c r="H108" i="40"/>
  <c r="I109" i="4"/>
  <c r="H109" i="4"/>
  <c r="J47" i="40"/>
  <c r="G295" i="34"/>
  <c r="D58" i="1" a="1"/>
  <c r="D58" i="1" s="1"/>
  <c r="E97" i="6"/>
  <c r="C97" i="30"/>
  <c r="C202" i="30" s="1"/>
  <c r="C211" i="30" s="1"/>
  <c r="C229" i="30" s="1"/>
  <c r="F97" i="6"/>
  <c r="I97" i="6"/>
  <c r="G97" i="30"/>
  <c r="G202" i="30" s="1"/>
  <c r="G211" i="30" s="1"/>
  <c r="G229" i="30" s="1"/>
  <c r="L97" i="30"/>
  <c r="L202" i="30" s="1"/>
  <c r="L211" i="30" s="1"/>
  <c r="L229" i="30" s="1"/>
  <c r="K97" i="30"/>
  <c r="K202" i="30" s="1"/>
  <c r="K211" i="30" s="1"/>
  <c r="K229" i="30" s="1"/>
  <c r="F97" i="30"/>
  <c r="F202" i="30" s="1"/>
  <c r="F211" i="30" s="1"/>
  <c r="F229" i="30" s="1"/>
  <c r="H97" i="30"/>
  <c r="H202" i="30" s="1"/>
  <c r="H211" i="30" s="1"/>
  <c r="H229" i="30" s="1"/>
  <c r="E97" i="30"/>
  <c r="E202" i="30" s="1"/>
  <c r="E211" i="30" s="1"/>
  <c r="E229" i="30" s="1"/>
  <c r="J97" i="6"/>
  <c r="L97" i="6"/>
  <c r="D97" i="6"/>
  <c r="D97" i="30"/>
  <c r="D202" i="30" s="1"/>
  <c r="D211" i="30" s="1"/>
  <c r="D229" i="30" s="1"/>
  <c r="K97" i="6"/>
  <c r="C97" i="6"/>
  <c r="J97" i="30"/>
  <c r="J202" i="30" s="1"/>
  <c r="J211" i="30" s="1"/>
  <c r="J229" i="30" s="1"/>
  <c r="I97" i="30"/>
  <c r="I202" i="30" s="1"/>
  <c r="I211" i="30" s="1"/>
  <c r="I229" i="30" s="1"/>
  <c r="G97" i="6"/>
  <c r="H97" i="6"/>
  <c r="B62" i="7" a="1"/>
  <c r="G57" i="40"/>
  <c r="C45" i="29"/>
  <c r="C45" i="4"/>
  <c r="I57" i="40"/>
  <c r="K96" i="40"/>
  <c r="H125" i="34"/>
  <c r="J122" i="40"/>
  <c r="K123" i="29"/>
  <c r="J123" i="29"/>
  <c r="J126" i="29" s="1"/>
  <c r="M149" i="40"/>
  <c r="I144" i="40"/>
  <c r="L143" i="40"/>
  <c r="J88" i="7"/>
  <c r="F11" i="37"/>
  <c r="B88" i="35"/>
  <c r="D88" i="7"/>
  <c r="C88" i="35"/>
  <c r="F88" i="7"/>
  <c r="K88" i="35"/>
  <c r="H88" i="7"/>
  <c r="E88" i="7"/>
  <c r="K88" i="7"/>
  <c r="G88" i="35"/>
  <c r="G88" i="7"/>
  <c r="J88" i="35"/>
  <c r="D88" i="35"/>
  <c r="C88" i="7"/>
  <c r="I88" i="7"/>
  <c r="B88" i="7"/>
  <c r="E88" i="35"/>
  <c r="F88" i="35"/>
  <c r="I88" i="35"/>
  <c r="H88" i="35"/>
  <c r="J94" i="35"/>
  <c r="C94" i="7"/>
  <c r="E94" i="7"/>
  <c r="D94" i="35"/>
  <c r="B94" i="7"/>
  <c r="B94" i="35"/>
  <c r="G94" i="7"/>
  <c r="I94" i="7"/>
  <c r="D94" i="7"/>
  <c r="G7" i="37"/>
  <c r="K94" i="7"/>
  <c r="F94" i="7"/>
  <c r="J94" i="7"/>
  <c r="C94" i="35"/>
  <c r="F94" i="35"/>
  <c r="H94" i="7"/>
  <c r="G94" i="35"/>
  <c r="K94" i="35"/>
  <c r="I94" i="35"/>
  <c r="E94" i="35"/>
  <c r="H94" i="35"/>
  <c r="J109" i="4"/>
  <c r="I108" i="40"/>
  <c r="B12" i="39"/>
  <c r="C150" i="4" a="1"/>
  <c r="C150" i="4" s="1"/>
  <c r="E235" i="39"/>
  <c r="B254" i="38" a="1"/>
  <c r="B254" i="8" a="1"/>
  <c r="C19" i="39"/>
  <c r="D39" i="40"/>
  <c r="D42" i="4"/>
  <c r="E42" i="4"/>
  <c r="F42" i="4"/>
  <c r="K42" i="4"/>
  <c r="H42" i="4"/>
  <c r="L42" i="4"/>
  <c r="J42" i="4"/>
  <c r="G42" i="4"/>
  <c r="M42" i="4"/>
  <c r="I42" i="4"/>
  <c r="L40" i="40"/>
  <c r="H39" i="40"/>
  <c r="I47" i="40"/>
  <c r="H96" i="40"/>
  <c r="B382" i="38"/>
  <c r="E33" i="39"/>
  <c r="C38" i="35"/>
  <c r="I38" i="7"/>
  <c r="G38" i="35"/>
  <c r="E38" i="7"/>
  <c r="B38" i="35"/>
  <c r="H38" i="35"/>
  <c r="F38" i="35"/>
  <c r="K38" i="35"/>
  <c r="D38" i="35"/>
  <c r="B38" i="7"/>
  <c r="I38" i="35"/>
  <c r="D38" i="7"/>
  <c r="H38" i="7"/>
  <c r="C38" i="7"/>
  <c r="F38" i="7"/>
  <c r="J38" i="7"/>
  <c r="C11" i="37"/>
  <c r="G38" i="7"/>
  <c r="K38" i="7"/>
  <c r="E38" i="35"/>
  <c r="J38" i="35"/>
  <c r="F191" i="4"/>
  <c r="E191" i="40"/>
  <c r="D88" i="6"/>
  <c r="G292" i="34"/>
  <c r="G52" i="37"/>
  <c r="D9" i="39"/>
  <c r="B378" i="38"/>
  <c r="D38" i="39"/>
  <c r="J57" i="40"/>
  <c r="F48" i="40"/>
  <c r="E114" i="4"/>
  <c r="F111" i="4"/>
  <c r="E113" i="40"/>
  <c r="C152" i="30"/>
  <c r="C152" i="6"/>
  <c r="C36" i="39"/>
  <c r="E295" i="34"/>
  <c r="C56" i="29"/>
  <c r="C59" i="4"/>
  <c r="C62" i="4" s="1"/>
  <c r="F102" i="30"/>
  <c r="F207" i="30" s="1"/>
  <c r="F216" i="30" s="1"/>
  <c r="F234" i="30" s="1"/>
  <c r="I102" i="30"/>
  <c r="I207" i="30" s="1"/>
  <c r="I216" i="30" s="1"/>
  <c r="I234" i="30" s="1"/>
  <c r="J102" i="30"/>
  <c r="J207" i="30" s="1"/>
  <c r="J216" i="30" s="1"/>
  <c r="J234" i="30" s="1"/>
  <c r="D102" i="6"/>
  <c r="J102" i="6"/>
  <c r="K102" i="30"/>
  <c r="K207" i="30" s="1"/>
  <c r="K216" i="30" s="1"/>
  <c r="K234" i="30" s="1"/>
  <c r="I102" i="6"/>
  <c r="K102" i="6"/>
  <c r="L102" i="6"/>
  <c r="H102" i="6"/>
  <c r="G102" i="6"/>
  <c r="D102" i="30"/>
  <c r="D207" i="30" s="1"/>
  <c r="D216" i="30" s="1"/>
  <c r="D234" i="30" s="1"/>
  <c r="L102" i="30"/>
  <c r="L207" i="30" s="1"/>
  <c r="L216" i="30" s="1"/>
  <c r="L234" i="30" s="1"/>
  <c r="C102" i="6"/>
  <c r="E102" i="30"/>
  <c r="E207" i="30" s="1"/>
  <c r="E216" i="30" s="1"/>
  <c r="E234" i="30" s="1"/>
  <c r="C102" i="30"/>
  <c r="C207" i="30" s="1"/>
  <c r="C216" i="30" s="1"/>
  <c r="C234" i="30" s="1"/>
  <c r="E102" i="6"/>
  <c r="F102" i="6"/>
  <c r="G102" i="30"/>
  <c r="G207" i="30" s="1"/>
  <c r="G216" i="30" s="1"/>
  <c r="G234" i="30" s="1"/>
  <c r="H102" i="30"/>
  <c r="H207" i="30" s="1"/>
  <c r="H216" i="30" s="1"/>
  <c r="H234" i="30" s="1"/>
  <c r="L123" i="4"/>
  <c r="M123" i="4"/>
  <c r="L122" i="40"/>
  <c r="D206" i="4"/>
  <c r="C75" i="4"/>
  <c r="H143" i="40"/>
  <c r="K150" i="4" a="1"/>
  <c r="K150" i="4" s="1"/>
  <c r="K142" i="40"/>
  <c r="B87" i="7"/>
  <c r="J87" i="7"/>
  <c r="H87" i="7"/>
  <c r="J87" i="35"/>
  <c r="G87" i="35"/>
  <c r="H87" i="35"/>
  <c r="I87" i="7"/>
  <c r="D87" i="35"/>
  <c r="C87" i="35"/>
  <c r="G87" i="7"/>
  <c r="F10" i="37"/>
  <c r="C87" i="7"/>
  <c r="E87" i="35"/>
  <c r="E87" i="7"/>
  <c r="K87" i="7"/>
  <c r="B87" i="35"/>
  <c r="D87" i="7"/>
  <c r="K87" i="35"/>
  <c r="F87" i="35"/>
  <c r="I87" i="35"/>
  <c r="F87" i="7"/>
  <c r="K99" i="7"/>
  <c r="F99" i="7"/>
  <c r="C99" i="7"/>
  <c r="B99" i="7"/>
  <c r="G99" i="7"/>
  <c r="C99" i="35"/>
  <c r="J99" i="35"/>
  <c r="I99" i="7"/>
  <c r="E99" i="35"/>
  <c r="G12" i="37"/>
  <c r="H99" i="7"/>
  <c r="D99" i="35"/>
  <c r="D99" i="7"/>
  <c r="E99" i="7"/>
  <c r="J99" i="7"/>
  <c r="B99" i="35"/>
  <c r="G99" i="35"/>
  <c r="F99" i="35"/>
  <c r="I99" i="35"/>
  <c r="K99" i="35"/>
  <c r="H99" i="35"/>
  <c r="E12" i="37"/>
  <c r="B11" i="39"/>
  <c r="J108" i="40"/>
  <c r="K109" i="29"/>
  <c r="G235" i="39"/>
  <c r="J125" i="34"/>
  <c r="B38" i="39"/>
  <c r="F57" i="40"/>
  <c r="I41" i="40"/>
  <c r="D40" i="40"/>
  <c r="L39" i="40"/>
  <c r="D49" i="40"/>
  <c r="I96" i="40"/>
  <c r="J243" i="39"/>
  <c r="E36" i="39"/>
  <c r="B385" i="38"/>
  <c r="C35" i="7"/>
  <c r="K35" i="35"/>
  <c r="E35" i="35"/>
  <c r="I35" i="35"/>
  <c r="E35" i="7"/>
  <c r="B35" i="35"/>
  <c r="B35" i="7"/>
  <c r="H35" i="7"/>
  <c r="K35" i="7"/>
  <c r="C35" i="35"/>
  <c r="G35" i="7"/>
  <c r="I35" i="7"/>
  <c r="F35" i="35"/>
  <c r="G35" i="35"/>
  <c r="C8" i="37"/>
  <c r="J35" i="35"/>
  <c r="J35" i="7"/>
  <c r="D35" i="7"/>
  <c r="D35" i="35"/>
  <c r="F35" i="7"/>
  <c r="H35" i="35"/>
  <c r="B25" i="39"/>
  <c r="D25" i="39"/>
  <c r="D93" i="6"/>
  <c r="C94" i="34"/>
  <c r="F150" i="29" a="1"/>
  <c r="F150" i="29" s="1"/>
  <c r="L150" i="29" a="1"/>
  <c r="L150" i="29" s="1"/>
  <c r="B7" i="37"/>
  <c r="D6" i="37"/>
  <c r="J53" i="7"/>
  <c r="C53" i="7"/>
  <c r="J53" i="35"/>
  <c r="G53" i="35"/>
  <c r="D53" i="35"/>
  <c r="E53" i="7"/>
  <c r="G53" i="7"/>
  <c r="K53" i="35"/>
  <c r="H53" i="7"/>
  <c r="F53" i="7"/>
  <c r="I53" i="7"/>
  <c r="C53" i="35"/>
  <c r="B53" i="35"/>
  <c r="K53" i="7"/>
  <c r="F53" i="35"/>
  <c r="H53" i="35"/>
  <c r="B53" i="7"/>
  <c r="I53" i="35"/>
  <c r="D53" i="7"/>
  <c r="E53" i="35"/>
  <c r="D12" i="39"/>
  <c r="D37" i="39"/>
  <c r="B377" i="38"/>
  <c r="F47" i="40"/>
  <c r="C155" i="30"/>
  <c r="C155" i="6"/>
  <c r="D57" i="40"/>
  <c r="E12" i="39"/>
  <c r="C35" i="39"/>
  <c r="F295" i="34"/>
  <c r="L104" i="6"/>
  <c r="G104" i="30"/>
  <c r="G209" i="30" s="1"/>
  <c r="G218" i="30" s="1"/>
  <c r="G236" i="30" s="1"/>
  <c r="F104" i="6"/>
  <c r="C104" i="6"/>
  <c r="E104" i="6"/>
  <c r="F104" i="30"/>
  <c r="F209" i="30" s="1"/>
  <c r="F218" i="30" s="1"/>
  <c r="F236" i="30" s="1"/>
  <c r="H104" i="6"/>
  <c r="I104" i="30"/>
  <c r="I209" i="30" s="1"/>
  <c r="I218" i="30" s="1"/>
  <c r="I236" i="30" s="1"/>
  <c r="J104" i="30"/>
  <c r="J209" i="30" s="1"/>
  <c r="J218" i="30" s="1"/>
  <c r="J236" i="30" s="1"/>
  <c r="G104" i="6"/>
  <c r="D104" i="6"/>
  <c r="H104" i="30"/>
  <c r="H209" i="30" s="1"/>
  <c r="H218" i="30" s="1"/>
  <c r="H236" i="30" s="1"/>
  <c r="K104" i="6"/>
  <c r="E104" i="30"/>
  <c r="E209" i="30" s="1"/>
  <c r="E218" i="30" s="1"/>
  <c r="E236" i="30" s="1"/>
  <c r="J104" i="6"/>
  <c r="K104" i="30"/>
  <c r="K209" i="30" s="1"/>
  <c r="K218" i="30" s="1"/>
  <c r="K236" i="30" s="1"/>
  <c r="D104" i="30"/>
  <c r="D209" i="30" s="1"/>
  <c r="D218" i="30" s="1"/>
  <c r="D236" i="30" s="1"/>
  <c r="C104" i="30"/>
  <c r="C209" i="30" s="1"/>
  <c r="C218" i="30" s="1"/>
  <c r="C236" i="30" s="1"/>
  <c r="L104" i="30"/>
  <c r="L209" i="30" s="1"/>
  <c r="L218" i="30" s="1"/>
  <c r="L236" i="30" s="1"/>
  <c r="I104" i="6"/>
  <c r="H56" i="40"/>
  <c r="J146" i="57"/>
  <c r="J144" i="57"/>
  <c r="J147" i="57"/>
  <c r="J143" i="57"/>
  <c r="J142" i="57"/>
  <c r="J140" i="57"/>
  <c r="J141" i="57"/>
  <c r="C142" i="57"/>
  <c r="C144" i="57"/>
  <c r="C143" i="57"/>
  <c r="C141" i="57"/>
  <c r="C140" i="57"/>
  <c r="C147" i="57"/>
  <c r="C146" i="57"/>
  <c r="I147" i="57"/>
  <c r="I140" i="57"/>
  <c r="I146" i="57"/>
  <c r="I144" i="57"/>
  <c r="I143" i="57"/>
  <c r="I142" i="57"/>
  <c r="I141" i="57"/>
  <c r="D141" i="57"/>
  <c r="D143" i="57"/>
  <c r="D142" i="57"/>
  <c r="D147" i="57"/>
  <c r="D146" i="57"/>
  <c r="D144" i="57"/>
  <c r="D140" i="57"/>
  <c r="L142" i="57"/>
  <c r="L143" i="57"/>
  <c r="L141" i="57"/>
  <c r="L147" i="57"/>
  <c r="L146" i="57"/>
  <c r="L144" i="57"/>
  <c r="L140" i="57"/>
  <c r="H141" i="57"/>
  <c r="H140" i="57"/>
  <c r="H147" i="57"/>
  <c r="H144" i="57"/>
  <c r="H143" i="57"/>
  <c r="H142" i="57"/>
  <c r="H146" i="57"/>
  <c r="F60" i="57"/>
  <c r="P191" i="4"/>
  <c r="E143" i="57"/>
  <c r="E144" i="57"/>
  <c r="E140" i="57"/>
  <c r="E147" i="57"/>
  <c r="E142" i="57"/>
  <c r="E141" i="57"/>
  <c r="E146" i="57"/>
  <c r="G141" i="57"/>
  <c r="G143" i="57"/>
  <c r="G142" i="57"/>
  <c r="G140" i="57"/>
  <c r="G147" i="57"/>
  <c r="G146" i="57"/>
  <c r="G144" i="57"/>
  <c r="E73" i="57"/>
  <c r="K143" i="57"/>
  <c r="K146" i="57"/>
  <c r="K144" i="57"/>
  <c r="K142" i="57"/>
  <c r="K141" i="57"/>
  <c r="K140" i="57"/>
  <c r="K147" i="57"/>
  <c r="F144" i="57"/>
  <c r="F146" i="57"/>
  <c r="F142" i="57"/>
  <c r="F141" i="57"/>
  <c r="F140" i="57"/>
  <c r="F143" i="57"/>
  <c r="F147" i="57"/>
  <c r="C75" i="57"/>
  <c r="L90" i="30" l="1"/>
  <c r="L150" i="30" s="1"/>
  <c r="I88" i="30"/>
  <c r="I148" i="30" s="1"/>
  <c r="K94" i="30"/>
  <c r="K154" i="30" s="1"/>
  <c r="L94" i="30"/>
  <c r="L154" i="30" s="1"/>
  <c r="K91" i="30"/>
  <c r="K151" i="30" s="1"/>
  <c r="I92" i="30"/>
  <c r="I152" i="30" s="1"/>
  <c r="I95" i="30"/>
  <c r="I155" i="30" s="1"/>
  <c r="L92" i="30"/>
  <c r="L152" i="30" s="1"/>
  <c r="I90" i="30"/>
  <c r="I150" i="30" s="1"/>
  <c r="I89" i="30"/>
  <c r="I149" i="30" s="1"/>
  <c r="J95" i="30"/>
  <c r="J155" i="30" s="1"/>
  <c r="J90" i="30"/>
  <c r="J150" i="30" s="1"/>
  <c r="J88" i="30"/>
  <c r="J148" i="30" s="1"/>
  <c r="J91" i="30"/>
  <c r="J151" i="30" s="1"/>
  <c r="J92" i="30"/>
  <c r="J152" i="30" s="1"/>
  <c r="I91" i="30"/>
  <c r="I151" i="30" s="1"/>
  <c r="I94" i="30"/>
  <c r="I154" i="30" s="1"/>
  <c r="K88" i="30"/>
  <c r="K148" i="30" s="1"/>
  <c r="K93" i="30"/>
  <c r="K153" i="30" s="1"/>
  <c r="J94" i="30"/>
  <c r="J154" i="30" s="1"/>
  <c r="J93" i="30"/>
  <c r="J153" i="30" s="1"/>
  <c r="L89" i="30"/>
  <c r="L149" i="30" s="1"/>
  <c r="L93" i="30"/>
  <c r="L153" i="30" s="1"/>
  <c r="K95" i="30"/>
  <c r="K155" i="30" s="1"/>
  <c r="I93" i="30"/>
  <c r="I153" i="30" s="1"/>
  <c r="K90" i="30"/>
  <c r="K150" i="30" s="1"/>
  <c r="J89" i="30"/>
  <c r="J149" i="30" s="1"/>
  <c r="K89" i="30"/>
  <c r="K149" i="30" s="1"/>
  <c r="K92" i="30"/>
  <c r="K152" i="30" s="1"/>
  <c r="D91" i="34"/>
  <c r="G57" i="37"/>
  <c r="C89" i="37"/>
  <c r="H299" i="34"/>
  <c r="E52" i="37"/>
  <c r="B92" i="37"/>
  <c r="H32" i="37"/>
  <c r="B32" i="37"/>
  <c r="B82" i="37"/>
  <c r="D52" i="37"/>
  <c r="K294" i="34"/>
  <c r="I34" i="37"/>
  <c r="J86" i="37"/>
  <c r="I296" i="34"/>
  <c r="D117" i="40"/>
  <c r="I57" i="37"/>
  <c r="H296" i="34"/>
  <c r="C296" i="34"/>
  <c r="D298" i="34"/>
  <c r="K60" i="38"/>
  <c r="I298" i="34"/>
  <c r="H61" i="38"/>
  <c r="I63" i="38"/>
  <c r="H64" i="38"/>
  <c r="C298" i="34"/>
  <c r="G48" i="58"/>
  <c r="F54" i="58"/>
  <c r="G298" i="34"/>
  <c r="J298" i="34"/>
  <c r="F89" i="37"/>
  <c r="B52" i="59"/>
  <c r="H50" i="58"/>
  <c r="C49" i="58"/>
  <c r="G50" i="58"/>
  <c r="F50" i="58"/>
  <c r="C61" i="8"/>
  <c r="E52" i="58"/>
  <c r="L51" i="58"/>
  <c r="I58" i="8"/>
  <c r="K65" i="8"/>
  <c r="K60" i="8"/>
  <c r="I297" i="34"/>
  <c r="J54" i="58"/>
  <c r="F48" i="58"/>
  <c r="L55" i="58"/>
  <c r="H55" i="58"/>
  <c r="F49" i="58"/>
  <c r="I54" i="58"/>
  <c r="K53" i="58"/>
  <c r="C48" i="58"/>
  <c r="H54" i="58"/>
  <c r="E50" i="58"/>
  <c r="J55" i="58"/>
  <c r="C50" i="58"/>
  <c r="L54" i="58"/>
  <c r="K50" i="58"/>
  <c r="E48" i="58"/>
  <c r="I50" i="58"/>
  <c r="I49" i="58"/>
  <c r="K48" i="58"/>
  <c r="K54" i="58"/>
  <c r="L49" i="58"/>
  <c r="G51" i="58"/>
  <c r="F51" i="58"/>
  <c r="E49" i="58"/>
  <c r="E51" i="58"/>
  <c r="D55" i="58"/>
  <c r="D92" i="34"/>
  <c r="G150" i="40"/>
  <c r="J64" i="8"/>
  <c r="H62" i="8"/>
  <c r="C54" i="58"/>
  <c r="L53" i="58"/>
  <c r="I63" i="8"/>
  <c r="D53" i="58"/>
  <c r="I48" i="58"/>
  <c r="C52" i="58"/>
  <c r="C53" i="58"/>
  <c r="G54" i="58"/>
  <c r="I55" i="58"/>
  <c r="J53" i="58"/>
  <c r="D48" i="58"/>
  <c r="L52" i="58"/>
  <c r="H53" i="58"/>
  <c r="I59" i="8"/>
  <c r="B60" i="8"/>
  <c r="F58" i="8"/>
  <c r="L297" i="34"/>
  <c r="L298" i="34"/>
  <c r="D82" i="37"/>
  <c r="D51" i="58"/>
  <c r="D54" i="58"/>
  <c r="K55" i="58"/>
  <c r="G49" i="58"/>
  <c r="H60" i="8"/>
  <c r="G64" i="8"/>
  <c r="D60" i="8"/>
  <c r="D60" i="39" s="1"/>
  <c r="I53" i="58"/>
  <c r="K52" i="58"/>
  <c r="H52" i="58"/>
  <c r="E53" i="58"/>
  <c r="L50" i="58"/>
  <c r="E54" i="58"/>
  <c r="J51" i="58"/>
  <c r="F28" i="7"/>
  <c r="D59" i="8"/>
  <c r="F65" i="8"/>
  <c r="E59" i="8"/>
  <c r="H49" i="58"/>
  <c r="F55" i="58"/>
  <c r="F53" i="58"/>
  <c r="J52" i="58"/>
  <c r="G63" i="8"/>
  <c r="G59" i="8"/>
  <c r="G62" i="8"/>
  <c r="G297" i="34"/>
  <c r="J63" i="8"/>
  <c r="B59" i="8"/>
  <c r="E299" i="34"/>
  <c r="K298" i="34"/>
  <c r="E298" i="34"/>
  <c r="C59" i="58"/>
  <c r="D59" i="58" s="1"/>
  <c r="E59" i="58" s="1"/>
  <c r="K299" i="34"/>
  <c r="H82" i="37"/>
  <c r="D63" i="8"/>
  <c r="B65" i="8"/>
  <c r="J58" i="8"/>
  <c r="I294" i="34"/>
  <c r="E83" i="37"/>
  <c r="I83" i="37"/>
  <c r="C299" i="34"/>
  <c r="H92" i="37"/>
  <c r="E32" i="37"/>
  <c r="D293" i="34"/>
  <c r="D299" i="34"/>
  <c r="L293" i="34"/>
  <c r="I59" i="40"/>
  <c r="K297" i="34"/>
  <c r="H60" i="38"/>
  <c r="G293" i="34"/>
  <c r="I61" i="38"/>
  <c r="G60" i="8"/>
  <c r="C62" i="8"/>
  <c r="D61" i="8"/>
  <c r="K62" i="38"/>
  <c r="E92" i="37"/>
  <c r="J62" i="38"/>
  <c r="J294" i="34"/>
  <c r="C293" i="34"/>
  <c r="F60" i="38"/>
  <c r="D294" i="34"/>
  <c r="F298" i="34"/>
  <c r="H293" i="34"/>
  <c r="B52" i="37"/>
  <c r="G63" i="38"/>
  <c r="H297" i="34"/>
  <c r="F297" i="34"/>
  <c r="E293" i="34"/>
  <c r="I299" i="34"/>
  <c r="D296" i="34"/>
  <c r="C62" i="58"/>
  <c r="D62" i="58" s="1"/>
  <c r="E62" i="58" s="1"/>
  <c r="J293" i="34"/>
  <c r="J60" i="8"/>
  <c r="J65" i="8"/>
  <c r="J59" i="8"/>
  <c r="E58" i="8"/>
  <c r="C58" i="58"/>
  <c r="D58" i="58" s="1"/>
  <c r="E58" i="58" s="1"/>
  <c r="C65" i="58"/>
  <c r="D65" i="58" s="1"/>
  <c r="E65" i="58" s="1"/>
  <c r="D99" i="37"/>
  <c r="G294" i="34"/>
  <c r="C64" i="58"/>
  <c r="D64" i="58" s="1"/>
  <c r="E64" i="58" s="1"/>
  <c r="C63" i="58"/>
  <c r="D63" i="58" s="1"/>
  <c r="E63" i="58" s="1"/>
  <c r="D115" i="40"/>
  <c r="C61" i="58"/>
  <c r="D61" i="58" s="1"/>
  <c r="E61" i="58" s="1"/>
  <c r="D27" i="7"/>
  <c r="B48" i="59"/>
  <c r="H25" i="7"/>
  <c r="B49" i="59"/>
  <c r="E28" i="7"/>
  <c r="H29" i="7"/>
  <c r="B53" i="59"/>
  <c r="C294" i="34"/>
  <c r="L294" i="34"/>
  <c r="K25" i="7"/>
  <c r="G25" i="7"/>
  <c r="B55" i="59"/>
  <c r="J297" i="34"/>
  <c r="G29" i="7"/>
  <c r="B51" i="59"/>
  <c r="D32" i="37"/>
  <c r="J26" i="7"/>
  <c r="B50" i="59"/>
  <c r="F32" i="37"/>
  <c r="F24" i="7"/>
  <c r="F296" i="34"/>
  <c r="C63" i="38"/>
  <c r="I60" i="38"/>
  <c r="H62" i="38"/>
  <c r="K61" i="38"/>
  <c r="C59" i="38"/>
  <c r="K64" i="38"/>
  <c r="E63" i="38"/>
  <c r="G60" i="38"/>
  <c r="C62" i="38"/>
  <c r="I64" i="38"/>
  <c r="F248" i="38"/>
  <c r="K250" i="38"/>
  <c r="C249" i="38"/>
  <c r="D248" i="38"/>
  <c r="B252" i="38"/>
  <c r="K246" i="38"/>
  <c r="B62" i="38"/>
  <c r="D58" i="38"/>
  <c r="D64" i="38"/>
  <c r="D64" i="39" s="1"/>
  <c r="E60" i="38"/>
  <c r="D59" i="38"/>
  <c r="B60" i="38"/>
  <c r="F62" i="38"/>
  <c r="H58" i="38"/>
  <c r="G58" i="38"/>
  <c r="K58" i="38"/>
  <c r="E65" i="8"/>
  <c r="C64" i="8"/>
  <c r="B64" i="8"/>
  <c r="I61" i="8"/>
  <c r="F61" i="8"/>
  <c r="I247" i="38"/>
  <c r="I252" i="38"/>
  <c r="K248" i="38"/>
  <c r="H65" i="38"/>
  <c r="G61" i="38"/>
  <c r="C61" i="38"/>
  <c r="C58" i="38"/>
  <c r="B63" i="38"/>
  <c r="B61" i="38"/>
  <c r="G59" i="38"/>
  <c r="H59" i="38"/>
  <c r="F63" i="38"/>
  <c r="J64" i="38"/>
  <c r="G246" i="38"/>
  <c r="H249" i="38"/>
  <c r="F61" i="38"/>
  <c r="D63" i="38"/>
  <c r="F65" i="38"/>
  <c r="H63" i="38"/>
  <c r="B59" i="38"/>
  <c r="D61" i="38"/>
  <c r="I62" i="38"/>
  <c r="J59" i="38"/>
  <c r="J60" i="38"/>
  <c r="I59" i="38"/>
  <c r="G249" i="38"/>
  <c r="H250" i="38"/>
  <c r="E294" i="34"/>
  <c r="E297" i="34"/>
  <c r="F299" i="34"/>
  <c r="L299" i="34"/>
  <c r="B64" i="38"/>
  <c r="K63" i="38"/>
  <c r="C65" i="38"/>
  <c r="K59" i="38"/>
  <c r="C64" i="38"/>
  <c r="E65" i="38"/>
  <c r="G64" i="38"/>
  <c r="E58" i="38"/>
  <c r="C60" i="38"/>
  <c r="E64" i="38"/>
  <c r="J246" i="38"/>
  <c r="H248" i="38"/>
  <c r="K293" i="34"/>
  <c r="E296" i="34"/>
  <c r="J58" i="38"/>
  <c r="E62" i="38"/>
  <c r="B65" i="38"/>
  <c r="D65" i="38"/>
  <c r="G65" i="38"/>
  <c r="D62" i="38"/>
  <c r="G62" i="38"/>
  <c r="J63" i="38"/>
  <c r="I65" i="38"/>
  <c r="I58" i="38"/>
  <c r="H246" i="38"/>
  <c r="J252" i="38"/>
  <c r="E248" i="38"/>
  <c r="C297" i="34"/>
  <c r="I293" i="34"/>
  <c r="L296" i="34"/>
  <c r="F64" i="38"/>
  <c r="F59" i="38"/>
  <c r="J65" i="38"/>
  <c r="E59" i="38"/>
  <c r="K65" i="38"/>
  <c r="B58" i="38"/>
  <c r="F58" i="38"/>
  <c r="E61" i="38"/>
  <c r="J61" i="38"/>
  <c r="I249" i="38"/>
  <c r="J247" i="38"/>
  <c r="K247" i="38"/>
  <c r="G42" i="40"/>
  <c r="K58" i="8"/>
  <c r="C65" i="8"/>
  <c r="H58" i="8"/>
  <c r="H61" i="8"/>
  <c r="E60" i="8"/>
  <c r="F249" i="38"/>
  <c r="K249" i="38"/>
  <c r="J248" i="38"/>
  <c r="E249" i="38"/>
  <c r="K296" i="34"/>
  <c r="H440" i="6"/>
  <c r="H63" i="8"/>
  <c r="I62" i="8"/>
  <c r="F63" i="8"/>
  <c r="B61" i="8"/>
  <c r="B61" i="39" s="1"/>
  <c r="H64" i="8"/>
  <c r="E62" i="8"/>
  <c r="E246" i="38"/>
  <c r="B246" i="38"/>
  <c r="B245" i="38"/>
  <c r="G296" i="34"/>
  <c r="H294" i="34"/>
  <c r="J299" i="34"/>
  <c r="I35" i="37"/>
  <c r="I65" i="8"/>
  <c r="I60" i="8"/>
  <c r="F62" i="8"/>
  <c r="K62" i="8"/>
  <c r="F60" i="8"/>
  <c r="D62" i="8"/>
  <c r="D65" i="8"/>
  <c r="G247" i="38"/>
  <c r="D245" i="38"/>
  <c r="H251" i="38"/>
  <c r="J245" i="38"/>
  <c r="I246" i="38"/>
  <c r="C252" i="38"/>
  <c r="E150" i="40"/>
  <c r="H247" i="38"/>
  <c r="G248" i="38"/>
  <c r="D246" i="38"/>
  <c r="C250" i="38"/>
  <c r="J251" i="38"/>
  <c r="E245" i="38"/>
  <c r="F64" i="8"/>
  <c r="E64" i="8"/>
  <c r="K59" i="8"/>
  <c r="I64" i="8"/>
  <c r="C59" i="8"/>
  <c r="J62" i="8"/>
  <c r="C63" i="8"/>
  <c r="J61" i="8"/>
  <c r="I245" i="38"/>
  <c r="H245" i="38"/>
  <c r="K245" i="38"/>
  <c r="F252" i="38"/>
  <c r="C246" i="38"/>
  <c r="I248" i="38"/>
  <c r="D93" i="34"/>
  <c r="C440" i="6"/>
  <c r="D55" i="37"/>
  <c r="G58" i="8"/>
  <c r="C58" i="8"/>
  <c r="E63" i="8"/>
  <c r="B63" i="8"/>
  <c r="B58" i="8"/>
  <c r="F59" i="8"/>
  <c r="D58" i="8"/>
  <c r="K64" i="8"/>
  <c r="D252" i="38"/>
  <c r="K251" i="38"/>
  <c r="E251" i="38"/>
  <c r="E247" i="38"/>
  <c r="F250" i="38"/>
  <c r="B247" i="38"/>
  <c r="C248" i="38"/>
  <c r="L440" i="6"/>
  <c r="I440" i="6"/>
  <c r="D152" i="6"/>
  <c r="D152" i="34" s="1"/>
  <c r="J440" i="6"/>
  <c r="J52" i="37"/>
  <c r="K88" i="37"/>
  <c r="G440" i="6"/>
  <c r="E53" i="37"/>
  <c r="F440" i="6"/>
  <c r="F37" i="37"/>
  <c r="C92" i="37"/>
  <c r="G97" i="37"/>
  <c r="M42" i="40"/>
  <c r="G95" i="37"/>
  <c r="J249" i="38"/>
  <c r="G251" i="38"/>
  <c r="D250" i="38"/>
  <c r="D251" i="38"/>
  <c r="D247" i="38"/>
  <c r="G252" i="38"/>
  <c r="B248" i="38"/>
  <c r="K252" i="38"/>
  <c r="F245" i="38"/>
  <c r="J59" i="40"/>
  <c r="H60" i="35"/>
  <c r="G94" i="37"/>
  <c r="G88" i="37"/>
  <c r="D88" i="37"/>
  <c r="I58" i="37"/>
  <c r="C58" i="37"/>
  <c r="I52" i="37"/>
  <c r="D119" i="40"/>
  <c r="K52" i="37"/>
  <c r="I32" i="37"/>
  <c r="J32" i="37"/>
  <c r="F52" i="37"/>
  <c r="K59" i="40"/>
  <c r="K34" i="37"/>
  <c r="I86" i="37"/>
  <c r="B83" i="37"/>
  <c r="G59" i="37"/>
  <c r="G54" i="37"/>
  <c r="G250" i="38"/>
  <c r="C251" i="38"/>
  <c r="H252" i="38"/>
  <c r="J250" i="38"/>
  <c r="F251" i="38"/>
  <c r="E252" i="38"/>
  <c r="I251" i="38"/>
  <c r="G245" i="38"/>
  <c r="K60" i="35"/>
  <c r="D90" i="34"/>
  <c r="H40" i="35"/>
  <c r="D56" i="58"/>
  <c r="I56" i="59"/>
  <c r="H56" i="59"/>
  <c r="F56" i="59"/>
  <c r="K56" i="59"/>
  <c r="E56" i="59"/>
  <c r="G56" i="59"/>
  <c r="C56" i="59"/>
  <c r="C56" i="60" s="1"/>
  <c r="L56" i="59"/>
  <c r="J56" i="59"/>
  <c r="D56" i="59"/>
  <c r="J50" i="58"/>
  <c r="C51" i="58"/>
  <c r="I51" i="58"/>
  <c r="L48" i="58"/>
  <c r="J49" i="58"/>
  <c r="J48" i="58"/>
  <c r="H51" i="58"/>
  <c r="G52" i="58"/>
  <c r="D49" i="58"/>
  <c r="C55" i="58"/>
  <c r="G60" i="7"/>
  <c r="E440" i="6"/>
  <c r="D440" i="6"/>
  <c r="J88" i="37"/>
  <c r="J89" i="37"/>
  <c r="H95" i="37"/>
  <c r="K63" i="8"/>
  <c r="G65" i="8"/>
  <c r="E61" i="8"/>
  <c r="H59" i="8"/>
  <c r="H65" i="8"/>
  <c r="G61" i="8"/>
  <c r="K61" i="8"/>
  <c r="C60" i="8"/>
  <c r="B62" i="8"/>
  <c r="H33" i="37"/>
  <c r="H90" i="7"/>
  <c r="I42" i="40"/>
  <c r="K94" i="37"/>
  <c r="I36" i="37"/>
  <c r="D89" i="34"/>
  <c r="K32" i="37"/>
  <c r="C52" i="37"/>
  <c r="F92" i="37"/>
  <c r="F56" i="58"/>
  <c r="B52" i="58"/>
  <c r="B55" i="58"/>
  <c r="B51" i="58"/>
  <c r="B50" i="58"/>
  <c r="B54" i="58"/>
  <c r="B54" i="60" s="1"/>
  <c r="B53" i="58"/>
  <c r="B49" i="58"/>
  <c r="B48" i="58"/>
  <c r="K56" i="37"/>
  <c r="J92" i="37"/>
  <c r="I52" i="58"/>
  <c r="E55" i="58"/>
  <c r="H48" i="58"/>
  <c r="G55" i="58"/>
  <c r="D50" i="58"/>
  <c r="K51" i="58"/>
  <c r="K49" i="58"/>
  <c r="F52" i="58"/>
  <c r="D52" i="58"/>
  <c r="I59" i="37"/>
  <c r="L56" i="58"/>
  <c r="I56" i="58"/>
  <c r="H56" i="58"/>
  <c r="I84" i="37"/>
  <c r="G56" i="58"/>
  <c r="F53" i="59"/>
  <c r="J48" i="59"/>
  <c r="E51" i="59"/>
  <c r="E50" i="59"/>
  <c r="C55" i="59"/>
  <c r="H52" i="59"/>
  <c r="K54" i="59"/>
  <c r="J53" i="59"/>
  <c r="J51" i="59"/>
  <c r="L51" i="59"/>
  <c r="D52" i="59"/>
  <c r="F55" i="59"/>
  <c r="J52" i="59"/>
  <c r="C54" i="59"/>
  <c r="E52" i="59"/>
  <c r="L49" i="59"/>
  <c r="L48" i="59"/>
  <c r="K52" i="59"/>
  <c r="K49" i="59"/>
  <c r="F48" i="59"/>
  <c r="F52" i="59"/>
  <c r="F54" i="59"/>
  <c r="K51" i="59"/>
  <c r="G55" i="59"/>
  <c r="K55" i="59"/>
  <c r="I51" i="59"/>
  <c r="I52" i="59"/>
  <c r="C49" i="59"/>
  <c r="F51" i="59"/>
  <c r="L55" i="59"/>
  <c r="I48" i="59"/>
  <c r="K50" i="59"/>
  <c r="C52" i="59"/>
  <c r="D48" i="59"/>
  <c r="C51" i="59"/>
  <c r="L54" i="59"/>
  <c r="G52" i="59"/>
  <c r="J54" i="59"/>
  <c r="C50" i="59"/>
  <c r="D55" i="59"/>
  <c r="I53" i="59"/>
  <c r="J50" i="59"/>
  <c r="H55" i="59"/>
  <c r="H48" i="59"/>
  <c r="G48" i="59"/>
  <c r="D49" i="59"/>
  <c r="H54" i="59"/>
  <c r="I54" i="59"/>
  <c r="G49" i="59"/>
  <c r="E53" i="59"/>
  <c r="H53" i="59"/>
  <c r="L53" i="59"/>
  <c r="H51" i="59"/>
  <c r="E54" i="59"/>
  <c r="C48" i="59"/>
  <c r="C53" i="59"/>
  <c r="G53" i="59"/>
  <c r="G53" i="60" s="1"/>
  <c r="G51" i="59"/>
  <c r="J49" i="59"/>
  <c r="K53" i="59"/>
  <c r="E48" i="59"/>
  <c r="F49" i="59"/>
  <c r="L50" i="59"/>
  <c r="D54" i="59"/>
  <c r="D54" i="60" s="1"/>
  <c r="I55" i="59"/>
  <c r="J55" i="59"/>
  <c r="E55" i="59"/>
  <c r="H49" i="59"/>
  <c r="D50" i="59"/>
  <c r="G54" i="59"/>
  <c r="F50" i="59"/>
  <c r="G50" i="59"/>
  <c r="D53" i="59"/>
  <c r="E49" i="59"/>
  <c r="L52" i="59"/>
  <c r="D51" i="59"/>
  <c r="H50" i="59"/>
  <c r="K48" i="59"/>
  <c r="I49" i="59"/>
  <c r="I49" i="60" s="1"/>
  <c r="I50" i="59"/>
  <c r="G46" i="58"/>
  <c r="G46" i="60" s="1"/>
  <c r="J46" i="58"/>
  <c r="J46" i="60" s="1"/>
  <c r="K46" i="58"/>
  <c r="K46" i="60" s="1"/>
  <c r="H46" i="58"/>
  <c r="H46" i="60" s="1"/>
  <c r="E46" i="58"/>
  <c r="E46" i="60" s="1"/>
  <c r="L46" i="58"/>
  <c r="L46" i="60" s="1"/>
  <c r="I46" i="58"/>
  <c r="I46" i="60" s="1"/>
  <c r="F46" i="58"/>
  <c r="F46" i="60" s="1"/>
  <c r="D46" i="58"/>
  <c r="D46" i="60" s="1"/>
  <c r="H42" i="40"/>
  <c r="D56" i="37"/>
  <c r="J57" i="37"/>
  <c r="B93" i="37"/>
  <c r="E93" i="37"/>
  <c r="K89" i="37"/>
  <c r="B59" i="37"/>
  <c r="E56" i="58"/>
  <c r="B56" i="60"/>
  <c r="J56" i="58"/>
  <c r="K56" i="58"/>
  <c r="D90" i="35"/>
  <c r="B40" i="7"/>
  <c r="K27" i="7"/>
  <c r="D28" i="7"/>
  <c r="C25" i="7"/>
  <c r="C22" i="7"/>
  <c r="D29" i="7"/>
  <c r="E22" i="7"/>
  <c r="G27" i="7"/>
  <c r="E23" i="7"/>
  <c r="I26" i="7"/>
  <c r="B27" i="7"/>
  <c r="B22" i="7"/>
  <c r="F26" i="7"/>
  <c r="F25" i="7"/>
  <c r="B24" i="7"/>
  <c r="G24" i="7"/>
  <c r="J22" i="7"/>
  <c r="B26" i="7"/>
  <c r="C23" i="7"/>
  <c r="D94" i="37"/>
  <c r="D89" i="37"/>
  <c r="E29" i="7"/>
  <c r="C24" i="7"/>
  <c r="H28" i="7"/>
  <c r="D24" i="7"/>
  <c r="C28" i="7"/>
  <c r="F27" i="7"/>
  <c r="J23" i="7"/>
  <c r="G26" i="7"/>
  <c r="K28" i="7"/>
  <c r="B29" i="7"/>
  <c r="B85" i="37"/>
  <c r="D40" i="35"/>
  <c r="E87" i="37"/>
  <c r="B39" i="37"/>
  <c r="D150" i="40"/>
  <c r="E36" i="37"/>
  <c r="H26" i="7"/>
  <c r="J27" i="7"/>
  <c r="B25" i="7"/>
  <c r="H24" i="7"/>
  <c r="D22" i="7"/>
  <c r="J28" i="7"/>
  <c r="D23" i="7"/>
  <c r="C27" i="7"/>
  <c r="I29" i="7"/>
  <c r="E26" i="7"/>
  <c r="E95" i="37"/>
  <c r="G112" i="4"/>
  <c r="G112" i="40" s="1"/>
  <c r="G109" i="40"/>
  <c r="F42" i="40"/>
  <c r="E27" i="7"/>
  <c r="F29" i="7"/>
  <c r="I22" i="7"/>
  <c r="J29" i="7"/>
  <c r="C26" i="7"/>
  <c r="I27" i="7"/>
  <c r="K22" i="7"/>
  <c r="I25" i="7"/>
  <c r="G28" i="7"/>
  <c r="E24" i="7"/>
  <c r="C32" i="37"/>
  <c r="B60" i="35"/>
  <c r="D39" i="37"/>
  <c r="D100" i="35"/>
  <c r="F90" i="35"/>
  <c r="E40" i="7"/>
  <c r="K24" i="7"/>
  <c r="I24" i="7"/>
  <c r="K29" i="7"/>
  <c r="B23" i="7"/>
  <c r="H22" i="7"/>
  <c r="K23" i="7"/>
  <c r="F22" i="7"/>
  <c r="C29" i="7"/>
  <c r="K26" i="7"/>
  <c r="E25" i="7"/>
  <c r="H98" i="37"/>
  <c r="F85" i="37"/>
  <c r="J58" i="37"/>
  <c r="J99" i="37"/>
  <c r="D96" i="37"/>
  <c r="B28" i="7"/>
  <c r="F23" i="7"/>
  <c r="G99" i="37"/>
  <c r="G87" i="37"/>
  <c r="J87" i="37"/>
  <c r="C38" i="37"/>
  <c r="H88" i="37"/>
  <c r="E56" i="37"/>
  <c r="G56" i="37"/>
  <c r="C99" i="37"/>
  <c r="G22" i="7"/>
  <c r="H27" i="7"/>
  <c r="H23" i="7"/>
  <c r="J25" i="7"/>
  <c r="D25" i="7"/>
  <c r="G23" i="7"/>
  <c r="D26" i="7"/>
  <c r="J24" i="7"/>
  <c r="I23" i="7"/>
  <c r="C95" i="37"/>
  <c r="D37" i="37"/>
  <c r="B250" i="38"/>
  <c r="F247" i="38"/>
  <c r="C245" i="38"/>
  <c r="D249" i="38"/>
  <c r="I250" i="38"/>
  <c r="B251" i="38"/>
  <c r="E250" i="38"/>
  <c r="B249" i="38"/>
  <c r="F246" i="38"/>
  <c r="K92" i="37"/>
  <c r="I92" i="37"/>
  <c r="C56" i="37"/>
  <c r="E117" i="29"/>
  <c r="E115" i="29"/>
  <c r="G40" i="35"/>
  <c r="J90" i="35"/>
  <c r="I37" i="37"/>
  <c r="D95" i="34"/>
  <c r="D36" i="37"/>
  <c r="H100" i="7"/>
  <c r="B40" i="35"/>
  <c r="D59" i="37"/>
  <c r="H37" i="37"/>
  <c r="I90" i="35"/>
  <c r="B90" i="35"/>
  <c r="G33" i="37"/>
  <c r="E123" i="40"/>
  <c r="E126" i="4"/>
  <c r="E126" i="40" s="1"/>
  <c r="C60" i="59"/>
  <c r="C61" i="59"/>
  <c r="C59" i="59"/>
  <c r="C58" i="59"/>
  <c r="C65" i="59"/>
  <c r="C64" i="59"/>
  <c r="C62" i="59"/>
  <c r="C63" i="59"/>
  <c r="K90" i="7"/>
  <c r="E88" i="37"/>
  <c r="H39" i="37"/>
  <c r="K90" i="35"/>
  <c r="E57" i="37"/>
  <c r="F98" i="37"/>
  <c r="E85" i="37"/>
  <c r="G58" i="37"/>
  <c r="C440" i="30"/>
  <c r="G440" i="30"/>
  <c r="F440" i="30"/>
  <c r="H440" i="30"/>
  <c r="D440" i="30"/>
  <c r="J440" i="30"/>
  <c r="L440" i="30"/>
  <c r="I440" i="30"/>
  <c r="K440" i="30"/>
  <c r="K440" i="34" s="1"/>
  <c r="E440" i="30"/>
  <c r="G60" i="35"/>
  <c r="E35" i="37"/>
  <c r="E94" i="37"/>
  <c r="M59" i="40"/>
  <c r="D53" i="37"/>
  <c r="J60" i="35"/>
  <c r="E60" i="7"/>
  <c r="F87" i="37"/>
  <c r="K38" i="37"/>
  <c r="C88" i="37"/>
  <c r="J96" i="37"/>
  <c r="F96" i="37"/>
  <c r="C90" i="35"/>
  <c r="G90" i="35"/>
  <c r="B56" i="37"/>
  <c r="H57" i="37"/>
  <c r="D45" i="29"/>
  <c r="D68" i="29" s="1"/>
  <c r="D76" i="29" s="1"/>
  <c r="E100" i="35"/>
  <c r="B100" i="35"/>
  <c r="G50" i="40"/>
  <c r="B95" i="37"/>
  <c r="E54" i="37"/>
  <c r="J54" i="37"/>
  <c r="C37" i="37"/>
  <c r="J37" i="37"/>
  <c r="E98" i="37"/>
  <c r="C85" i="37"/>
  <c r="E58" i="37"/>
  <c r="H58" i="37"/>
  <c r="C97" i="37"/>
  <c r="G73" i="40"/>
  <c r="H73" i="4"/>
  <c r="F113" i="29"/>
  <c r="F112" i="40"/>
  <c r="C90" i="7"/>
  <c r="E90" i="35"/>
  <c r="E40" i="35"/>
  <c r="H90" i="35"/>
  <c r="B36" i="37"/>
  <c r="H100" i="35"/>
  <c r="G100" i="35"/>
  <c r="E89" i="37"/>
  <c r="E60" i="35"/>
  <c r="D60" i="35"/>
  <c r="H85" i="37"/>
  <c r="D126" i="4"/>
  <c r="D123" i="40"/>
  <c r="B53" i="37"/>
  <c r="H53" i="37"/>
  <c r="D35" i="37"/>
  <c r="K42" i="40"/>
  <c r="F59" i="40"/>
  <c r="B55" i="37"/>
  <c r="E39" i="37"/>
  <c r="B96" i="37"/>
  <c r="J36" i="37"/>
  <c r="H36" i="37"/>
  <c r="G89" i="37"/>
  <c r="F84" i="37"/>
  <c r="H84" i="37"/>
  <c r="K98" i="37"/>
  <c r="E97" i="37"/>
  <c r="D33" i="37"/>
  <c r="D94" i="34"/>
  <c r="C127" i="34"/>
  <c r="D127" i="6"/>
  <c r="F54" i="37"/>
  <c r="I90" i="7"/>
  <c r="K97" i="37"/>
  <c r="G53" i="37"/>
  <c r="H35" i="37"/>
  <c r="B99" i="37"/>
  <c r="D87" i="37"/>
  <c r="B87" i="37"/>
  <c r="G55" i="37"/>
  <c r="C39" i="37"/>
  <c r="F83" i="37"/>
  <c r="B102" i="35" a="1"/>
  <c r="B107" i="35" s="1"/>
  <c r="F57" i="37"/>
  <c r="C36" i="37"/>
  <c r="B84" i="37"/>
  <c r="D84" i="37"/>
  <c r="M150" i="40"/>
  <c r="C34" i="37"/>
  <c r="J59" i="37"/>
  <c r="K54" i="37"/>
  <c r="I98" i="37"/>
  <c r="D58" i="37"/>
  <c r="K58" i="37"/>
  <c r="K86" i="37"/>
  <c r="E86" i="37"/>
  <c r="E33" i="37"/>
  <c r="B33" i="37"/>
  <c r="E102" i="34"/>
  <c r="E207" i="6"/>
  <c r="H109" i="40"/>
  <c r="H112" i="4"/>
  <c r="H112" i="40" s="1"/>
  <c r="C55" i="38"/>
  <c r="B52" i="38"/>
  <c r="K49" i="38"/>
  <c r="C49" i="38"/>
  <c r="B54" i="38"/>
  <c r="B53" i="38"/>
  <c r="B50" i="38"/>
  <c r="C54" i="38"/>
  <c r="F56" i="38"/>
  <c r="C52" i="38"/>
  <c r="I52" i="38"/>
  <c r="K50" i="38"/>
  <c r="K55" i="38"/>
  <c r="J56" i="38"/>
  <c r="G49" i="38"/>
  <c r="H56" i="38"/>
  <c r="E52" i="38"/>
  <c r="D53" i="38"/>
  <c r="H51" i="38"/>
  <c r="J55" i="38"/>
  <c r="D56" i="38"/>
  <c r="E56" i="38"/>
  <c r="J49" i="38"/>
  <c r="B55" i="38"/>
  <c r="F53" i="38"/>
  <c r="H53" i="38"/>
  <c r="C53" i="38"/>
  <c r="G51" i="38"/>
  <c r="I50" i="38"/>
  <c r="K51" i="38"/>
  <c r="B49" i="38"/>
  <c r="E54" i="38"/>
  <c r="F51" i="38"/>
  <c r="H50" i="38"/>
  <c r="H52" i="38"/>
  <c r="J52" i="38"/>
  <c r="D54" i="38"/>
  <c r="H49" i="38"/>
  <c r="D51" i="38"/>
  <c r="I49" i="38"/>
  <c r="I53" i="38"/>
  <c r="B51" i="38"/>
  <c r="I55" i="38"/>
  <c r="K54" i="38"/>
  <c r="G56" i="38"/>
  <c r="H54" i="38"/>
  <c r="K52" i="38"/>
  <c r="E50" i="38"/>
  <c r="F54" i="38"/>
  <c r="G53" i="38"/>
  <c r="F50" i="38"/>
  <c r="F49" i="38"/>
  <c r="J51" i="38"/>
  <c r="F52" i="38"/>
  <c r="G52" i="38"/>
  <c r="J53" i="38"/>
  <c r="J54" i="38"/>
  <c r="I56" i="38"/>
  <c r="D50" i="38"/>
  <c r="D55" i="38"/>
  <c r="I51" i="38"/>
  <c r="K56" i="38"/>
  <c r="E51" i="38"/>
  <c r="G55" i="38"/>
  <c r="E49" i="38"/>
  <c r="C51" i="38"/>
  <c r="D49" i="38"/>
  <c r="G54" i="38"/>
  <c r="E53" i="38"/>
  <c r="H55" i="38"/>
  <c r="C56" i="38"/>
  <c r="E55" i="38"/>
  <c r="K53" i="38"/>
  <c r="B56" i="38"/>
  <c r="J50" i="38"/>
  <c r="C50" i="38"/>
  <c r="I54" i="38"/>
  <c r="F55" i="38"/>
  <c r="G50" i="38"/>
  <c r="D52" i="38"/>
  <c r="C99" i="34"/>
  <c r="C204" i="6"/>
  <c r="F99" i="34"/>
  <c r="F204" i="6"/>
  <c r="C155" i="34"/>
  <c r="I39" i="37"/>
  <c r="J100" i="34"/>
  <c r="J205" i="6"/>
  <c r="E55" i="8"/>
  <c r="K52" i="8"/>
  <c r="K51" i="8"/>
  <c r="G50" i="8"/>
  <c r="C56" i="8"/>
  <c r="I54" i="8"/>
  <c r="K56" i="8"/>
  <c r="G52" i="8"/>
  <c r="G53" i="8"/>
  <c r="J51" i="8"/>
  <c r="G55" i="8"/>
  <c r="F49" i="8"/>
  <c r="I56" i="8"/>
  <c r="I52" i="8"/>
  <c r="E51" i="8"/>
  <c r="B50" i="8"/>
  <c r="B55" i="8"/>
  <c r="H54" i="8"/>
  <c r="C54" i="8"/>
  <c r="J54" i="8"/>
  <c r="C51" i="8"/>
  <c r="F52" i="8"/>
  <c r="E56" i="8"/>
  <c r="G56" i="8"/>
  <c r="F53" i="8"/>
  <c r="B56" i="8"/>
  <c r="I50" i="8"/>
  <c r="E50" i="8"/>
  <c r="H51" i="8"/>
  <c r="C53" i="8"/>
  <c r="C49" i="8"/>
  <c r="D55" i="8"/>
  <c r="D50" i="8"/>
  <c r="D54" i="8"/>
  <c r="F51" i="8"/>
  <c r="G51" i="8"/>
  <c r="K49" i="8"/>
  <c r="B53" i="8"/>
  <c r="H53" i="8"/>
  <c r="B52" i="8"/>
  <c r="J52" i="8"/>
  <c r="B54" i="8"/>
  <c r="I51" i="8"/>
  <c r="D49" i="8"/>
  <c r="G49" i="8"/>
  <c r="I55" i="8"/>
  <c r="F55" i="8"/>
  <c r="E52" i="8"/>
  <c r="E53" i="8"/>
  <c r="J55" i="8"/>
  <c r="H55" i="8"/>
  <c r="F50" i="8"/>
  <c r="D51" i="8"/>
  <c r="J49" i="8"/>
  <c r="D52" i="8"/>
  <c r="D56" i="8"/>
  <c r="K55" i="8"/>
  <c r="J56" i="8"/>
  <c r="H50" i="8"/>
  <c r="K54" i="8"/>
  <c r="D53" i="8"/>
  <c r="C55" i="8"/>
  <c r="K53" i="8"/>
  <c r="G54" i="8"/>
  <c r="H56" i="8"/>
  <c r="I53" i="8"/>
  <c r="C52" i="8"/>
  <c r="C50" i="8"/>
  <c r="B49" i="8"/>
  <c r="E54" i="8"/>
  <c r="J50" i="8"/>
  <c r="K50" i="8"/>
  <c r="B51" i="8"/>
  <c r="E49" i="8"/>
  <c r="I49" i="8"/>
  <c r="F56" i="8"/>
  <c r="H52" i="8"/>
  <c r="J53" i="8"/>
  <c r="H49" i="8"/>
  <c r="F54" i="8"/>
  <c r="F103" i="34"/>
  <c r="F208" i="6"/>
  <c r="E100" i="7"/>
  <c r="L104" i="34"/>
  <c r="L209" i="6"/>
  <c r="F60" i="35"/>
  <c r="F35" i="37"/>
  <c r="K112" i="29"/>
  <c r="K112" i="40" s="1"/>
  <c r="K109" i="40"/>
  <c r="H99" i="37"/>
  <c r="I102" i="34"/>
  <c r="I207" i="6"/>
  <c r="H38" i="37"/>
  <c r="L42" i="40"/>
  <c r="D261" i="8"/>
  <c r="I255" i="8"/>
  <c r="K261" i="8"/>
  <c r="E254" i="8"/>
  <c r="H257" i="8"/>
  <c r="D258" i="8"/>
  <c r="B259" i="8"/>
  <c r="G260" i="8"/>
  <c r="G258" i="8"/>
  <c r="K256" i="8"/>
  <c r="B258" i="8"/>
  <c r="D255" i="8"/>
  <c r="K255" i="8"/>
  <c r="D259" i="8"/>
  <c r="J255" i="8"/>
  <c r="C258" i="8"/>
  <c r="C254" i="8"/>
  <c r="E255" i="8"/>
  <c r="J254" i="8"/>
  <c r="D257" i="8"/>
  <c r="F258" i="8"/>
  <c r="I258" i="8"/>
  <c r="F255" i="8"/>
  <c r="E257" i="8"/>
  <c r="B254" i="8"/>
  <c r="F256" i="8"/>
  <c r="I257" i="8"/>
  <c r="G255" i="8"/>
  <c r="K259" i="8"/>
  <c r="B260" i="8"/>
  <c r="B257" i="8"/>
  <c r="H254" i="8"/>
  <c r="F260" i="8"/>
  <c r="I256" i="8"/>
  <c r="E260" i="8"/>
  <c r="G257" i="8"/>
  <c r="F259" i="8"/>
  <c r="K254" i="8"/>
  <c r="G254" i="8"/>
  <c r="K257" i="8"/>
  <c r="E258" i="8"/>
  <c r="H260" i="8"/>
  <c r="E256" i="8"/>
  <c r="J257" i="8"/>
  <c r="D256" i="8"/>
  <c r="C257" i="8"/>
  <c r="C260" i="8"/>
  <c r="B256" i="8"/>
  <c r="J260" i="8"/>
  <c r="G261" i="8"/>
  <c r="C259" i="8"/>
  <c r="G259" i="8"/>
  <c r="E259" i="8"/>
  <c r="H259" i="8"/>
  <c r="I254" i="8"/>
  <c r="I260" i="8"/>
  <c r="H258" i="8"/>
  <c r="H255" i="8"/>
  <c r="K258" i="8"/>
  <c r="I259" i="8"/>
  <c r="G256" i="8"/>
  <c r="H256" i="8"/>
  <c r="C261" i="8"/>
  <c r="B261" i="8"/>
  <c r="C256" i="8"/>
  <c r="B255" i="8"/>
  <c r="F257" i="8"/>
  <c r="J256" i="8"/>
  <c r="I261" i="8"/>
  <c r="F254" i="8"/>
  <c r="K260" i="8"/>
  <c r="D260" i="8"/>
  <c r="F261" i="8"/>
  <c r="C255" i="8"/>
  <c r="H261" i="8"/>
  <c r="D254" i="8"/>
  <c r="J258" i="8"/>
  <c r="E261" i="8"/>
  <c r="J261" i="8"/>
  <c r="J259" i="8"/>
  <c r="J94" i="37"/>
  <c r="B94" i="37"/>
  <c r="C68" i="4"/>
  <c r="C76" i="4" s="1"/>
  <c r="D13" i="4" s="1"/>
  <c r="C45" i="40"/>
  <c r="C68" i="29"/>
  <c r="C76" i="29" s="1"/>
  <c r="C97" i="34"/>
  <c r="C202" i="6"/>
  <c r="C185" i="29"/>
  <c r="C185" i="4"/>
  <c r="C187" i="29"/>
  <c r="C187" i="4"/>
  <c r="E59" i="40"/>
  <c r="K137" i="29"/>
  <c r="E135" i="29"/>
  <c r="H137" i="29"/>
  <c r="L137" i="29"/>
  <c r="I139" i="29"/>
  <c r="D135" i="29"/>
  <c r="D134" i="29"/>
  <c r="K139" i="29"/>
  <c r="J136" i="29"/>
  <c r="F139" i="29"/>
  <c r="D140" i="29"/>
  <c r="F134" i="29"/>
  <c r="G138" i="29"/>
  <c r="M136" i="29"/>
  <c r="H134" i="29"/>
  <c r="H133" i="29"/>
  <c r="G140" i="29"/>
  <c r="L139" i="29"/>
  <c r="J137" i="29"/>
  <c r="H136" i="29"/>
  <c r="H135" i="29"/>
  <c r="G133" i="29"/>
  <c r="H138" i="29"/>
  <c r="J139" i="29"/>
  <c r="G139" i="29"/>
  <c r="E140" i="29"/>
  <c r="K138" i="29"/>
  <c r="F133" i="29"/>
  <c r="K133" i="29"/>
  <c r="M140" i="29"/>
  <c r="L133" i="29"/>
  <c r="G136" i="29"/>
  <c r="J138" i="29"/>
  <c r="D139" i="29"/>
  <c r="F135" i="29"/>
  <c r="F137" i="29"/>
  <c r="K140" i="29"/>
  <c r="K135" i="29"/>
  <c r="M138" i="29"/>
  <c r="I138" i="29"/>
  <c r="L138" i="29"/>
  <c r="K134" i="29"/>
  <c r="I140" i="29"/>
  <c r="D136" i="29"/>
  <c r="E139" i="29"/>
  <c r="H139" i="29"/>
  <c r="L134" i="29"/>
  <c r="G137" i="29"/>
  <c r="M134" i="29"/>
  <c r="G135" i="29"/>
  <c r="E136" i="29"/>
  <c r="L140" i="29"/>
  <c r="M137" i="29"/>
  <c r="D137" i="29"/>
  <c r="E133" i="29"/>
  <c r="D133" i="29"/>
  <c r="E134" i="29"/>
  <c r="J133" i="29"/>
  <c r="D138" i="29"/>
  <c r="G134" i="29"/>
  <c r="L135" i="29"/>
  <c r="M135" i="29"/>
  <c r="E137" i="29"/>
  <c r="M139" i="29"/>
  <c r="F138" i="29"/>
  <c r="J134" i="29"/>
  <c r="I133" i="29"/>
  <c r="H140" i="29"/>
  <c r="M133" i="29"/>
  <c r="I135" i="29"/>
  <c r="E138" i="29"/>
  <c r="I134" i="29"/>
  <c r="F140" i="29"/>
  <c r="L136" i="29"/>
  <c r="I136" i="29"/>
  <c r="J140" i="29"/>
  <c r="K136" i="29"/>
  <c r="J135" i="29"/>
  <c r="F136" i="29"/>
  <c r="I137" i="29"/>
  <c r="K39" i="37"/>
  <c r="C83" i="37"/>
  <c r="K83" i="37"/>
  <c r="L150" i="40"/>
  <c r="J56" i="37"/>
  <c r="H56" i="37"/>
  <c r="H100" i="34"/>
  <c r="H205" i="6"/>
  <c r="E100" i="34"/>
  <c r="E205" i="6"/>
  <c r="J123" i="40"/>
  <c r="J126" i="4"/>
  <c r="J126" i="40" s="1"/>
  <c r="D149" i="34"/>
  <c r="C57" i="37"/>
  <c r="K36" i="37"/>
  <c r="F100" i="7"/>
  <c r="F93" i="37"/>
  <c r="C100" i="7"/>
  <c r="C93" i="37"/>
  <c r="D93" i="37"/>
  <c r="I89" i="37"/>
  <c r="B89" i="37"/>
  <c r="G101" i="34"/>
  <c r="G206" i="6"/>
  <c r="F275" i="38"/>
  <c r="B277" i="38"/>
  <c r="D273" i="38"/>
  <c r="J273" i="38"/>
  <c r="K277" i="38"/>
  <c r="J276" i="38"/>
  <c r="G276" i="38"/>
  <c r="B275" i="38"/>
  <c r="C273" i="38"/>
  <c r="F278" i="38"/>
  <c r="K275" i="38"/>
  <c r="H279" i="38"/>
  <c r="J279" i="38"/>
  <c r="B279" i="38"/>
  <c r="F274" i="38"/>
  <c r="J275" i="38"/>
  <c r="E273" i="38"/>
  <c r="F272" i="38"/>
  <c r="E276" i="38"/>
  <c r="I279" i="38"/>
  <c r="D274" i="38"/>
  <c r="C277" i="38"/>
  <c r="C278" i="38"/>
  <c r="E278" i="38"/>
  <c r="J274" i="38"/>
  <c r="D276" i="38"/>
  <c r="D278" i="38"/>
  <c r="D277" i="38"/>
  <c r="F273" i="38"/>
  <c r="H273" i="38"/>
  <c r="H272" i="38"/>
  <c r="H274" i="38"/>
  <c r="J277" i="38"/>
  <c r="F276" i="38"/>
  <c r="C275" i="38"/>
  <c r="D279" i="38"/>
  <c r="C279" i="38"/>
  <c r="I272" i="38"/>
  <c r="B276" i="38"/>
  <c r="C272" i="38"/>
  <c r="G278" i="38"/>
  <c r="I273" i="38"/>
  <c r="C274" i="38"/>
  <c r="I276" i="38"/>
  <c r="B274" i="38"/>
  <c r="E272" i="38"/>
  <c r="B273" i="38"/>
  <c r="H275" i="38"/>
  <c r="E275" i="38"/>
  <c r="G277" i="38"/>
  <c r="D275" i="38"/>
  <c r="F279" i="38"/>
  <c r="G279" i="38"/>
  <c r="I275" i="38"/>
  <c r="F277" i="38"/>
  <c r="E279" i="38"/>
  <c r="K279" i="38"/>
  <c r="B278" i="38"/>
  <c r="H276" i="38"/>
  <c r="G272" i="38"/>
  <c r="G273" i="38"/>
  <c r="K274" i="38"/>
  <c r="H278" i="38"/>
  <c r="K276" i="38"/>
  <c r="G274" i="38"/>
  <c r="E277" i="38"/>
  <c r="J272" i="38"/>
  <c r="H277" i="38"/>
  <c r="K273" i="38"/>
  <c r="G275" i="38"/>
  <c r="K272" i="38"/>
  <c r="I277" i="38"/>
  <c r="J278" i="38"/>
  <c r="I274" i="38"/>
  <c r="K278" i="38"/>
  <c r="I278" i="38"/>
  <c r="D272" i="38"/>
  <c r="C276" i="38"/>
  <c r="B272" i="38"/>
  <c r="E274" i="38"/>
  <c r="G84" i="37"/>
  <c r="B34" i="37"/>
  <c r="E50" i="40"/>
  <c r="I95" i="37"/>
  <c r="K37" i="37"/>
  <c r="D85" i="37"/>
  <c r="K98" i="34"/>
  <c r="K203" i="6"/>
  <c r="F58" i="37"/>
  <c r="F97" i="37"/>
  <c r="D97" i="37"/>
  <c r="G86" i="37"/>
  <c r="C86" i="37"/>
  <c r="I99" i="34"/>
  <c r="I204" i="6"/>
  <c r="F40" i="35"/>
  <c r="L102" i="34"/>
  <c r="L207" i="6"/>
  <c r="D151" i="30"/>
  <c r="D151" i="34" s="1"/>
  <c r="F100" i="34"/>
  <c r="F205" i="6"/>
  <c r="F36" i="37"/>
  <c r="I101" i="34"/>
  <c r="I206" i="6"/>
  <c r="J34" i="37"/>
  <c r="C98" i="34"/>
  <c r="C203" i="6"/>
  <c r="K53" i="37"/>
  <c r="K60" i="7"/>
  <c r="G35" i="37"/>
  <c r="F99" i="37"/>
  <c r="K87" i="37"/>
  <c r="I87" i="37"/>
  <c r="M123" i="40"/>
  <c r="M126" i="4"/>
  <c r="M126" i="40" s="1"/>
  <c r="C102" i="34"/>
  <c r="C207" i="6"/>
  <c r="D38" i="37"/>
  <c r="E38" i="37"/>
  <c r="I257" i="38"/>
  <c r="E259" i="38"/>
  <c r="B255" i="38"/>
  <c r="J261" i="38"/>
  <c r="I254" i="38"/>
  <c r="K257" i="38"/>
  <c r="H256" i="38"/>
  <c r="B261" i="38"/>
  <c r="J255" i="38"/>
  <c r="C254" i="38"/>
  <c r="D258" i="38"/>
  <c r="C255" i="38"/>
  <c r="F259" i="38"/>
  <c r="G257" i="38"/>
  <c r="G255" i="38"/>
  <c r="B256" i="38"/>
  <c r="F261" i="38"/>
  <c r="G260" i="38"/>
  <c r="K254" i="38"/>
  <c r="D260" i="38"/>
  <c r="G254" i="38"/>
  <c r="D257" i="38"/>
  <c r="D255" i="38"/>
  <c r="E255" i="38"/>
  <c r="J259" i="38"/>
  <c r="C259" i="38"/>
  <c r="F257" i="38"/>
  <c r="B257" i="38"/>
  <c r="I261" i="38"/>
  <c r="G261" i="38"/>
  <c r="F258" i="38"/>
  <c r="H254" i="38"/>
  <c r="K256" i="38"/>
  <c r="K260" i="38"/>
  <c r="C261" i="38"/>
  <c r="B260" i="38"/>
  <c r="I258" i="38"/>
  <c r="C257" i="38"/>
  <c r="J257" i="38"/>
  <c r="I260" i="38"/>
  <c r="F260" i="38"/>
  <c r="H255" i="38"/>
  <c r="J258" i="38"/>
  <c r="F256" i="38"/>
  <c r="D254" i="38"/>
  <c r="K255" i="38"/>
  <c r="H258" i="38"/>
  <c r="E261" i="38"/>
  <c r="G258" i="38"/>
  <c r="F255" i="38"/>
  <c r="J260" i="38"/>
  <c r="K259" i="38"/>
  <c r="E260" i="38"/>
  <c r="E257" i="38"/>
  <c r="B259" i="38"/>
  <c r="I256" i="38"/>
  <c r="F254" i="38"/>
  <c r="H260" i="38"/>
  <c r="E254" i="38"/>
  <c r="C258" i="38"/>
  <c r="E256" i="38"/>
  <c r="H259" i="38"/>
  <c r="G259" i="38"/>
  <c r="B258" i="38"/>
  <c r="K258" i="38"/>
  <c r="C260" i="38"/>
  <c r="K261" i="38"/>
  <c r="J254" i="38"/>
  <c r="H257" i="38"/>
  <c r="H261" i="38"/>
  <c r="I255" i="38"/>
  <c r="B254" i="38"/>
  <c r="D259" i="38"/>
  <c r="D261" i="38"/>
  <c r="I259" i="38"/>
  <c r="G256" i="38"/>
  <c r="D256" i="38"/>
  <c r="J256" i="38"/>
  <c r="C256" i="38"/>
  <c r="E258" i="38"/>
  <c r="F94" i="37"/>
  <c r="B88" i="37"/>
  <c r="K97" i="34"/>
  <c r="K202" i="6"/>
  <c r="D59" i="40"/>
  <c r="D60" i="4"/>
  <c r="E60" i="4" s="1"/>
  <c r="L59" i="40"/>
  <c r="I55" i="37"/>
  <c r="K55" i="37"/>
  <c r="J55" i="37"/>
  <c r="C150" i="34"/>
  <c r="C100" i="34"/>
  <c r="C205" i="6"/>
  <c r="G100" i="34"/>
  <c r="G205" i="6"/>
  <c r="J72" i="8"/>
  <c r="F73" i="8"/>
  <c r="E71" i="8"/>
  <c r="K71" i="8"/>
  <c r="G73" i="8"/>
  <c r="H69" i="8"/>
  <c r="E72" i="8"/>
  <c r="C68" i="8"/>
  <c r="J68" i="8"/>
  <c r="K72" i="8"/>
  <c r="J70" i="8"/>
  <c r="F68" i="8"/>
  <c r="J73" i="8"/>
  <c r="C70" i="8"/>
  <c r="C69" i="8"/>
  <c r="K74" i="8"/>
  <c r="K67" i="8"/>
  <c r="J67" i="8"/>
  <c r="G68" i="8"/>
  <c r="D71" i="8"/>
  <c r="D69" i="8"/>
  <c r="G74" i="8"/>
  <c r="G70" i="8"/>
  <c r="E74" i="8"/>
  <c r="I67" i="8"/>
  <c r="K73" i="8"/>
  <c r="F74" i="8"/>
  <c r="D70" i="8"/>
  <c r="E69" i="8"/>
  <c r="G72" i="8"/>
  <c r="G69" i="8"/>
  <c r="I70" i="8"/>
  <c r="H70" i="8"/>
  <c r="C67" i="8"/>
  <c r="G71" i="8"/>
  <c r="D67" i="8"/>
  <c r="D73" i="8"/>
  <c r="K69" i="8"/>
  <c r="F72" i="8"/>
  <c r="G67" i="8"/>
  <c r="H72" i="8"/>
  <c r="K70" i="8"/>
  <c r="B72" i="8"/>
  <c r="B68" i="8"/>
  <c r="C74" i="8"/>
  <c r="F70" i="8"/>
  <c r="J69" i="8"/>
  <c r="D74" i="8"/>
  <c r="C72" i="8"/>
  <c r="C73" i="8"/>
  <c r="J74" i="8"/>
  <c r="H73" i="8"/>
  <c r="D72" i="8"/>
  <c r="D68" i="8"/>
  <c r="B71" i="8"/>
  <c r="H67" i="8"/>
  <c r="F69" i="8"/>
  <c r="B74" i="8"/>
  <c r="E68" i="8"/>
  <c r="I68" i="8"/>
  <c r="B67" i="8"/>
  <c r="E73" i="8"/>
  <c r="H68" i="8"/>
  <c r="F67" i="8"/>
  <c r="I69" i="8"/>
  <c r="I71" i="8"/>
  <c r="H74" i="8"/>
  <c r="J71" i="8"/>
  <c r="B73" i="8"/>
  <c r="C71" i="8"/>
  <c r="E70" i="8"/>
  <c r="F71" i="8"/>
  <c r="I72" i="8"/>
  <c r="I73" i="8"/>
  <c r="B70" i="8"/>
  <c r="I74" i="8"/>
  <c r="E67" i="8"/>
  <c r="H71" i="8"/>
  <c r="B69" i="8"/>
  <c r="K68" i="8"/>
  <c r="D57" i="37"/>
  <c r="D60" i="7"/>
  <c r="J100" i="35"/>
  <c r="C101" i="34"/>
  <c r="C206" i="6"/>
  <c r="E273" i="8"/>
  <c r="B273" i="8"/>
  <c r="D278" i="8"/>
  <c r="D273" i="8"/>
  <c r="G275" i="8"/>
  <c r="D275" i="8"/>
  <c r="J277" i="8"/>
  <c r="K276" i="8"/>
  <c r="E279" i="8"/>
  <c r="K274" i="8"/>
  <c r="I279" i="8"/>
  <c r="B272" i="8"/>
  <c r="G273" i="8"/>
  <c r="C276" i="8"/>
  <c r="J276" i="8"/>
  <c r="J272" i="8"/>
  <c r="D274" i="8"/>
  <c r="J274" i="8"/>
  <c r="F279" i="8"/>
  <c r="B277" i="8"/>
  <c r="E278" i="8"/>
  <c r="I275" i="8"/>
  <c r="C272" i="8"/>
  <c r="H274" i="8"/>
  <c r="G274" i="8"/>
  <c r="E272" i="8"/>
  <c r="I276" i="8"/>
  <c r="D276" i="8"/>
  <c r="B279" i="8"/>
  <c r="C277" i="8"/>
  <c r="D279" i="8"/>
  <c r="C278" i="8"/>
  <c r="J278" i="8"/>
  <c r="G279" i="8"/>
  <c r="H277" i="8"/>
  <c r="E274" i="8"/>
  <c r="B274" i="8"/>
  <c r="C274" i="8"/>
  <c r="H278" i="8"/>
  <c r="F275" i="8"/>
  <c r="C273" i="8"/>
  <c r="E277" i="8"/>
  <c r="I273" i="8"/>
  <c r="D272" i="8"/>
  <c r="C275" i="8"/>
  <c r="H273" i="8"/>
  <c r="F276" i="8"/>
  <c r="K279" i="8"/>
  <c r="K275" i="8"/>
  <c r="K273" i="8"/>
  <c r="F273" i="8"/>
  <c r="C279" i="8"/>
  <c r="K277" i="8"/>
  <c r="K278" i="8"/>
  <c r="B278" i="8"/>
  <c r="F278" i="8"/>
  <c r="I274" i="8"/>
  <c r="J279" i="8"/>
  <c r="K272" i="8"/>
  <c r="I272" i="8"/>
  <c r="G272" i="8"/>
  <c r="J273" i="8"/>
  <c r="B275" i="8"/>
  <c r="H275" i="8"/>
  <c r="F272" i="8"/>
  <c r="H276" i="8"/>
  <c r="I277" i="8"/>
  <c r="G278" i="8"/>
  <c r="E275" i="8"/>
  <c r="I278" i="8"/>
  <c r="B276" i="8"/>
  <c r="F277" i="8"/>
  <c r="F274" i="8"/>
  <c r="J275" i="8"/>
  <c r="G276" i="8"/>
  <c r="H279" i="8"/>
  <c r="D277" i="8"/>
  <c r="H272" i="8"/>
  <c r="G277" i="8"/>
  <c r="E276" i="8"/>
  <c r="B90" i="7"/>
  <c r="J84" i="37"/>
  <c r="H150" i="40"/>
  <c r="G40" i="7"/>
  <c r="H34" i="37"/>
  <c r="F126" i="29"/>
  <c r="F123" i="40"/>
  <c r="F59" i="37"/>
  <c r="I50" i="40"/>
  <c r="C103" i="34"/>
  <c r="C208" i="6"/>
  <c r="J103" i="34"/>
  <c r="J208" i="6"/>
  <c r="C54" i="37"/>
  <c r="B37" i="37"/>
  <c r="K85" i="37"/>
  <c r="I98" i="34"/>
  <c r="I203" i="6"/>
  <c r="D98" i="34"/>
  <c r="D203" i="6"/>
  <c r="J97" i="37"/>
  <c r="B97" i="37"/>
  <c r="D99" i="34"/>
  <c r="D204" i="6"/>
  <c r="D61" i="29"/>
  <c r="D67" i="29" s="1"/>
  <c r="D75" i="29" s="1"/>
  <c r="D210" i="29" s="1"/>
  <c r="D211" i="29" s="1"/>
  <c r="D64" i="29"/>
  <c r="D70" i="29" s="1"/>
  <c r="D98" i="29" s="1"/>
  <c r="D99" i="29" s="1"/>
  <c r="D102" i="29" s="1"/>
  <c r="D103" i="29" s="1"/>
  <c r="K33" i="37"/>
  <c r="K40" i="7"/>
  <c r="I40" i="7"/>
  <c r="I33" i="37"/>
  <c r="F104" i="34"/>
  <c r="F209" i="6"/>
  <c r="F113" i="4"/>
  <c r="F111" i="40"/>
  <c r="F38" i="37"/>
  <c r="J101" i="34"/>
  <c r="J206" i="6"/>
  <c r="G100" i="7"/>
  <c r="J76" i="38"/>
  <c r="G77" i="38"/>
  <c r="G83" i="38"/>
  <c r="K77" i="38"/>
  <c r="K82" i="38"/>
  <c r="H78" i="38"/>
  <c r="I77" i="38"/>
  <c r="E83" i="38"/>
  <c r="E76" i="38"/>
  <c r="D82" i="38"/>
  <c r="B82" i="38"/>
  <c r="F82" i="38"/>
  <c r="C80" i="38"/>
  <c r="D78" i="38"/>
  <c r="C83" i="38"/>
  <c r="F81" i="38"/>
  <c r="E81" i="38"/>
  <c r="K76" i="38"/>
  <c r="B78" i="38"/>
  <c r="B76" i="38"/>
  <c r="J83" i="38"/>
  <c r="C76" i="38"/>
  <c r="J78" i="38"/>
  <c r="I80" i="38"/>
  <c r="K83" i="38"/>
  <c r="I83" i="38"/>
  <c r="C79" i="38"/>
  <c r="I79" i="38"/>
  <c r="E78" i="38"/>
  <c r="E82" i="38"/>
  <c r="B81" i="38"/>
  <c r="E80" i="38"/>
  <c r="G81" i="38"/>
  <c r="J81" i="38"/>
  <c r="C78" i="38"/>
  <c r="F80" i="38"/>
  <c r="B79" i="38"/>
  <c r="J82" i="38"/>
  <c r="K80" i="38"/>
  <c r="I81" i="38"/>
  <c r="G78" i="38"/>
  <c r="I76" i="38"/>
  <c r="F76" i="38"/>
  <c r="D81" i="38"/>
  <c r="B83" i="38"/>
  <c r="H77" i="38"/>
  <c r="G76" i="38"/>
  <c r="F77" i="38"/>
  <c r="F83" i="38"/>
  <c r="E79" i="38"/>
  <c r="H83" i="38"/>
  <c r="F78" i="38"/>
  <c r="D77" i="38"/>
  <c r="G82" i="38"/>
  <c r="F79" i="38"/>
  <c r="H80" i="38"/>
  <c r="C81" i="38"/>
  <c r="G80" i="38"/>
  <c r="H79" i="38"/>
  <c r="K81" i="38"/>
  <c r="G79" i="38"/>
  <c r="D80" i="38"/>
  <c r="H82" i="38"/>
  <c r="I82" i="38"/>
  <c r="D76" i="38"/>
  <c r="H76" i="38"/>
  <c r="H81" i="38"/>
  <c r="B80" i="38"/>
  <c r="B77" i="38"/>
  <c r="C77" i="38"/>
  <c r="J79" i="38"/>
  <c r="K79" i="38"/>
  <c r="K78" i="38"/>
  <c r="J77" i="38"/>
  <c r="I78" i="38"/>
  <c r="E77" i="38"/>
  <c r="D79" i="38"/>
  <c r="C82" i="38"/>
  <c r="D83" i="38"/>
  <c r="J80" i="38"/>
  <c r="F33" i="37"/>
  <c r="F40" i="7"/>
  <c r="G104" i="34"/>
  <c r="G209" i="6"/>
  <c r="K102" i="34"/>
  <c r="K207" i="6"/>
  <c r="I112" i="4"/>
  <c r="I112" i="40" s="1"/>
  <c r="I109" i="40"/>
  <c r="J100" i="7"/>
  <c r="J93" i="37"/>
  <c r="H101" i="34"/>
  <c r="H206" i="6"/>
  <c r="L101" i="34"/>
  <c r="L206" i="6"/>
  <c r="D34" i="37"/>
  <c r="H59" i="37"/>
  <c r="F50" i="40"/>
  <c r="I247" i="8"/>
  <c r="D250" i="8"/>
  <c r="D245" i="8"/>
  <c r="K252" i="8"/>
  <c r="H246" i="8"/>
  <c r="B248" i="8"/>
  <c r="D248" i="8"/>
  <c r="G251" i="8"/>
  <c r="D252" i="8"/>
  <c r="E251" i="8"/>
  <c r="F252" i="8"/>
  <c r="F246" i="8"/>
  <c r="I250" i="8"/>
  <c r="K248" i="8"/>
  <c r="G245" i="8"/>
  <c r="J250" i="8"/>
  <c r="I251" i="8"/>
  <c r="E252" i="8"/>
  <c r="G248" i="8"/>
  <c r="D249" i="8"/>
  <c r="B252" i="8"/>
  <c r="J245" i="8"/>
  <c r="C246" i="8"/>
  <c r="B251" i="8"/>
  <c r="I249" i="8"/>
  <c r="K249" i="8"/>
  <c r="H250" i="8"/>
  <c r="I245" i="8"/>
  <c r="J252" i="8"/>
  <c r="I248" i="8"/>
  <c r="G247" i="8"/>
  <c r="C245" i="8"/>
  <c r="B246" i="8"/>
  <c r="H245" i="8"/>
  <c r="C247" i="8"/>
  <c r="C247" i="39" s="1"/>
  <c r="K246" i="8"/>
  <c r="I246" i="8"/>
  <c r="F245" i="8"/>
  <c r="H252" i="8"/>
  <c r="I252" i="8"/>
  <c r="C249" i="8"/>
  <c r="K251" i="8"/>
  <c r="H249" i="8"/>
  <c r="J249" i="8"/>
  <c r="J247" i="8"/>
  <c r="B250" i="8"/>
  <c r="G250" i="8"/>
  <c r="E246" i="8"/>
  <c r="F248" i="8"/>
  <c r="J246" i="8"/>
  <c r="C252" i="8"/>
  <c r="F249" i="8"/>
  <c r="K247" i="8"/>
  <c r="B249" i="8"/>
  <c r="H248" i="8"/>
  <c r="D246" i="8"/>
  <c r="K245" i="8"/>
  <c r="E249" i="8"/>
  <c r="D247" i="8"/>
  <c r="J251" i="8"/>
  <c r="F250" i="8"/>
  <c r="F247" i="8"/>
  <c r="H247" i="8"/>
  <c r="E250" i="8"/>
  <c r="C248" i="8"/>
  <c r="C251" i="8"/>
  <c r="F251" i="8"/>
  <c r="K250" i="8"/>
  <c r="J248" i="8"/>
  <c r="D251" i="8"/>
  <c r="C250" i="8"/>
  <c r="G246" i="8"/>
  <c r="E247" i="8"/>
  <c r="G252" i="8"/>
  <c r="G249" i="8"/>
  <c r="B247" i="8"/>
  <c r="B245" i="8"/>
  <c r="H251" i="8"/>
  <c r="E245" i="8"/>
  <c r="E248" i="8"/>
  <c r="H99" i="34"/>
  <c r="H204" i="6"/>
  <c r="H60" i="7"/>
  <c r="H104" i="34"/>
  <c r="H209" i="6"/>
  <c r="H40" i="7"/>
  <c r="C152" i="34"/>
  <c r="F90" i="7"/>
  <c r="E140" i="4"/>
  <c r="M137" i="4"/>
  <c r="E134" i="4"/>
  <c r="E138" i="4"/>
  <c r="D138" i="4"/>
  <c r="G139" i="4"/>
  <c r="K139" i="4"/>
  <c r="L140" i="4"/>
  <c r="M135" i="4"/>
  <c r="K136" i="4"/>
  <c r="H133" i="4"/>
  <c r="D139" i="4"/>
  <c r="I136" i="4"/>
  <c r="D133" i="4"/>
  <c r="M138" i="4"/>
  <c r="F133" i="4"/>
  <c r="L134" i="4"/>
  <c r="L139" i="4"/>
  <c r="H136" i="4"/>
  <c r="E136" i="4"/>
  <c r="M133" i="4"/>
  <c r="G135" i="4"/>
  <c r="J139" i="4"/>
  <c r="G140" i="4"/>
  <c r="E137" i="4"/>
  <c r="J137" i="4"/>
  <c r="L133" i="4"/>
  <c r="K138" i="4"/>
  <c r="J135" i="4"/>
  <c r="I133" i="4"/>
  <c r="F140" i="4"/>
  <c r="F138" i="4"/>
  <c r="F135" i="4"/>
  <c r="D137" i="4"/>
  <c r="M134" i="4"/>
  <c r="J133" i="4"/>
  <c r="F139" i="4"/>
  <c r="H140" i="4"/>
  <c r="F137" i="4"/>
  <c r="G134" i="4"/>
  <c r="F136" i="4"/>
  <c r="D136" i="4"/>
  <c r="J140" i="4"/>
  <c r="G137" i="4"/>
  <c r="L136" i="4"/>
  <c r="L135" i="4"/>
  <c r="G136" i="4"/>
  <c r="J134" i="4"/>
  <c r="K137" i="4"/>
  <c r="K133" i="4"/>
  <c r="G138" i="4"/>
  <c r="K140" i="4"/>
  <c r="K134" i="4"/>
  <c r="L137" i="4"/>
  <c r="H135" i="4"/>
  <c r="M139" i="4"/>
  <c r="D134" i="4"/>
  <c r="F134" i="4"/>
  <c r="M136" i="4"/>
  <c r="I139" i="4"/>
  <c r="G133" i="4"/>
  <c r="E139" i="4"/>
  <c r="H137" i="4"/>
  <c r="K135" i="4"/>
  <c r="D135" i="4"/>
  <c r="I137" i="4"/>
  <c r="E133" i="4"/>
  <c r="J136" i="4"/>
  <c r="I135" i="4"/>
  <c r="L138" i="4"/>
  <c r="H139" i="4"/>
  <c r="I138" i="4"/>
  <c r="H134" i="4"/>
  <c r="H138" i="4"/>
  <c r="J138" i="4"/>
  <c r="E135" i="4"/>
  <c r="I140" i="4"/>
  <c r="M140" i="4"/>
  <c r="I134" i="4"/>
  <c r="D140" i="4"/>
  <c r="G96" i="37"/>
  <c r="D100" i="34"/>
  <c r="D205" i="6"/>
  <c r="C149" i="34"/>
  <c r="K57" i="37"/>
  <c r="E60" i="58"/>
  <c r="C84" i="37"/>
  <c r="D54" i="37"/>
  <c r="J98" i="37"/>
  <c r="I85" i="37"/>
  <c r="H123" i="40"/>
  <c r="H126" i="4"/>
  <c r="H126" i="40" s="1"/>
  <c r="E99" i="34"/>
  <c r="E204" i="6"/>
  <c r="I40" i="35"/>
  <c r="J60" i="7"/>
  <c r="J53" i="37"/>
  <c r="C75" i="40"/>
  <c r="D150" i="34"/>
  <c r="J349" i="30"/>
  <c r="K352" i="30"/>
  <c r="K353" i="30"/>
  <c r="H351" i="30"/>
  <c r="J350" i="30"/>
  <c r="E349" i="30"/>
  <c r="K350" i="30"/>
  <c r="E348" i="30"/>
  <c r="F348" i="30"/>
  <c r="L346" i="30"/>
  <c r="J352" i="30"/>
  <c r="K348" i="30"/>
  <c r="I346" i="30"/>
  <c r="F349" i="30"/>
  <c r="C346" i="30"/>
  <c r="I351" i="30"/>
  <c r="I350" i="30"/>
  <c r="E346" i="30"/>
  <c r="K346" i="30"/>
  <c r="K351" i="30"/>
  <c r="H352" i="30"/>
  <c r="I349" i="30"/>
  <c r="C351" i="30"/>
  <c r="I353" i="30"/>
  <c r="L349" i="30"/>
  <c r="G348" i="30"/>
  <c r="C347" i="30"/>
  <c r="L348" i="30"/>
  <c r="F353" i="30"/>
  <c r="D347" i="30"/>
  <c r="J348" i="30"/>
  <c r="H346" i="30"/>
  <c r="H353" i="30"/>
  <c r="J347" i="30"/>
  <c r="D350" i="30"/>
  <c r="J346" i="30"/>
  <c r="D353" i="30"/>
  <c r="H350" i="30"/>
  <c r="K349" i="30"/>
  <c r="H349" i="30"/>
  <c r="D352" i="30"/>
  <c r="E350" i="30"/>
  <c r="C349" i="30"/>
  <c r="F351" i="30"/>
  <c r="L353" i="30"/>
  <c r="H347" i="30"/>
  <c r="E352" i="30"/>
  <c r="G347" i="30"/>
  <c r="L347" i="30"/>
  <c r="F346" i="30"/>
  <c r="G350" i="30"/>
  <c r="C348" i="30"/>
  <c r="E351" i="30"/>
  <c r="G349" i="30"/>
  <c r="L352" i="30"/>
  <c r="E347" i="30"/>
  <c r="F350" i="30"/>
  <c r="C352" i="30"/>
  <c r="G353" i="30"/>
  <c r="D351" i="30"/>
  <c r="J351" i="30"/>
  <c r="I352" i="30"/>
  <c r="D348" i="30"/>
  <c r="D346" i="30"/>
  <c r="E353" i="30"/>
  <c r="I347" i="30"/>
  <c r="J353" i="30"/>
  <c r="L350" i="30"/>
  <c r="K347" i="30"/>
  <c r="H348" i="30"/>
  <c r="D349" i="30"/>
  <c r="G352" i="30"/>
  <c r="C350" i="30"/>
  <c r="I348" i="30"/>
  <c r="G351" i="30"/>
  <c r="C353" i="30"/>
  <c r="G346" i="30"/>
  <c r="L351" i="30"/>
  <c r="F347" i="30"/>
  <c r="F352" i="30"/>
  <c r="E51" i="29"/>
  <c r="E52" i="29" s="1"/>
  <c r="G90" i="7"/>
  <c r="K100" i="7"/>
  <c r="K93" i="37"/>
  <c r="C267" i="8"/>
  <c r="D264" i="8"/>
  <c r="F266" i="8"/>
  <c r="F263" i="8"/>
  <c r="K269" i="8"/>
  <c r="E268" i="8"/>
  <c r="J264" i="8"/>
  <c r="I270" i="8"/>
  <c r="F269" i="8"/>
  <c r="D267" i="8"/>
  <c r="G266" i="8"/>
  <c r="F268" i="8"/>
  <c r="G269" i="8"/>
  <c r="J266" i="8"/>
  <c r="B270" i="8"/>
  <c r="E263" i="8"/>
  <c r="B265" i="8"/>
  <c r="J263" i="8"/>
  <c r="G267" i="8"/>
  <c r="B269" i="8"/>
  <c r="C266" i="8"/>
  <c r="B268" i="8"/>
  <c r="D266" i="8"/>
  <c r="K264" i="8"/>
  <c r="G268" i="8"/>
  <c r="E270" i="8"/>
  <c r="G265" i="8"/>
  <c r="K266" i="8"/>
  <c r="H266" i="8"/>
  <c r="K268" i="8"/>
  <c r="G264" i="8"/>
  <c r="F265" i="8"/>
  <c r="J270" i="8"/>
  <c r="B266" i="8"/>
  <c r="B267" i="8"/>
  <c r="K265" i="8"/>
  <c r="H265" i="8"/>
  <c r="B264" i="8"/>
  <c r="K270" i="8"/>
  <c r="F264" i="8"/>
  <c r="I268" i="8"/>
  <c r="F270" i="8"/>
  <c r="B263" i="8"/>
  <c r="H263" i="8"/>
  <c r="I265" i="8"/>
  <c r="E269" i="8"/>
  <c r="K263" i="8"/>
  <c r="C265" i="8"/>
  <c r="C264" i="8"/>
  <c r="J269" i="8"/>
  <c r="E266" i="8"/>
  <c r="H267" i="8"/>
  <c r="G270" i="8"/>
  <c r="C263" i="8"/>
  <c r="H264" i="8"/>
  <c r="C268" i="8"/>
  <c r="C270" i="8"/>
  <c r="C269" i="8"/>
  <c r="G263" i="8"/>
  <c r="D270" i="8"/>
  <c r="D265" i="8"/>
  <c r="I269" i="8"/>
  <c r="I267" i="8"/>
  <c r="J267" i="8"/>
  <c r="D269" i="8"/>
  <c r="D263" i="8"/>
  <c r="H269" i="8"/>
  <c r="H270" i="8"/>
  <c r="E264" i="8"/>
  <c r="I263" i="8"/>
  <c r="E265" i="8"/>
  <c r="J265" i="8"/>
  <c r="H268" i="8"/>
  <c r="D268" i="8"/>
  <c r="I264" i="8"/>
  <c r="F267" i="8"/>
  <c r="E267" i="8"/>
  <c r="I266" i="8"/>
  <c r="K267" i="8"/>
  <c r="J268" i="8"/>
  <c r="K103" i="34"/>
  <c r="K208" i="6"/>
  <c r="G37" i="37"/>
  <c r="E114" i="40"/>
  <c r="E115" i="4"/>
  <c r="E117" i="4"/>
  <c r="J42" i="40"/>
  <c r="E97" i="34"/>
  <c r="E202" i="6"/>
  <c r="E90" i="7"/>
  <c r="J104" i="34"/>
  <c r="J209" i="6"/>
  <c r="K99" i="37"/>
  <c r="L126" i="4"/>
  <c r="L126" i="40" s="1"/>
  <c r="L123" i="40"/>
  <c r="J102" i="34"/>
  <c r="J207" i="6"/>
  <c r="D88" i="34"/>
  <c r="D148" i="6"/>
  <c r="I88" i="37"/>
  <c r="E96" i="37"/>
  <c r="H83" i="37"/>
  <c r="J72" i="38"/>
  <c r="F70" i="38"/>
  <c r="C70" i="38"/>
  <c r="C71" i="38"/>
  <c r="B71" i="38"/>
  <c r="F74" i="38"/>
  <c r="I74" i="38"/>
  <c r="F67" i="38"/>
  <c r="H71" i="38"/>
  <c r="B70" i="38"/>
  <c r="D69" i="38"/>
  <c r="C67" i="38"/>
  <c r="E70" i="38"/>
  <c r="K67" i="38"/>
  <c r="E69" i="38"/>
  <c r="H73" i="38"/>
  <c r="K68" i="38"/>
  <c r="K74" i="38"/>
  <c r="F68" i="38"/>
  <c r="G69" i="38"/>
  <c r="B73" i="38"/>
  <c r="J67" i="38"/>
  <c r="H70" i="38"/>
  <c r="I70" i="38"/>
  <c r="D74" i="38"/>
  <c r="B68" i="38"/>
  <c r="E73" i="38"/>
  <c r="H72" i="38"/>
  <c r="G72" i="38"/>
  <c r="J69" i="38"/>
  <c r="G67" i="38"/>
  <c r="I67" i="38"/>
  <c r="J68" i="38"/>
  <c r="C69" i="38"/>
  <c r="D71" i="38"/>
  <c r="K72" i="38"/>
  <c r="E67" i="38"/>
  <c r="C68" i="38"/>
  <c r="D67" i="38"/>
  <c r="E68" i="38"/>
  <c r="F72" i="38"/>
  <c r="I73" i="38"/>
  <c r="F69" i="38"/>
  <c r="D70" i="38"/>
  <c r="J74" i="38"/>
  <c r="J73" i="38"/>
  <c r="I69" i="38"/>
  <c r="H69" i="38"/>
  <c r="K69" i="38"/>
  <c r="E72" i="38"/>
  <c r="E71" i="38"/>
  <c r="G73" i="38"/>
  <c r="G71" i="38"/>
  <c r="I72" i="38"/>
  <c r="J70" i="38"/>
  <c r="B67" i="38"/>
  <c r="F73" i="38"/>
  <c r="I68" i="38"/>
  <c r="K71" i="38"/>
  <c r="I71" i="38"/>
  <c r="C73" i="38"/>
  <c r="H74" i="38"/>
  <c r="K70" i="38"/>
  <c r="H68" i="38"/>
  <c r="K73" i="38"/>
  <c r="D68" i="38"/>
  <c r="B69" i="38"/>
  <c r="C72" i="38"/>
  <c r="J71" i="38"/>
  <c r="G74" i="38"/>
  <c r="B74" i="38"/>
  <c r="G68" i="38"/>
  <c r="F71" i="38"/>
  <c r="C74" i="38"/>
  <c r="D72" i="38"/>
  <c r="E74" i="38"/>
  <c r="G70" i="38"/>
  <c r="D73" i="38"/>
  <c r="B72" i="38"/>
  <c r="H67" i="38"/>
  <c r="G36" i="37"/>
  <c r="D90" i="7"/>
  <c r="K100" i="35"/>
  <c r="F101" i="34"/>
  <c r="F206" i="6"/>
  <c r="E101" i="34"/>
  <c r="E206" i="6"/>
  <c r="B102" i="7" a="1"/>
  <c r="C148" i="34"/>
  <c r="J50" i="40"/>
  <c r="L103" i="34"/>
  <c r="L208" i="6"/>
  <c r="E103" i="34"/>
  <c r="E208" i="6"/>
  <c r="C60" i="35"/>
  <c r="J35" i="37"/>
  <c r="K35" i="37"/>
  <c r="C35" i="37"/>
  <c r="I99" i="37"/>
  <c r="D102" i="34"/>
  <c r="D207" i="6"/>
  <c r="G38" i="37"/>
  <c r="B38" i="37"/>
  <c r="I38" i="37"/>
  <c r="C94" i="37"/>
  <c r="K123" i="40"/>
  <c r="K126" i="29"/>
  <c r="K126" i="40" s="1"/>
  <c r="C63" i="7"/>
  <c r="C67" i="7"/>
  <c r="G62" i="7"/>
  <c r="G64" i="7"/>
  <c r="E69" i="7"/>
  <c r="J69" i="7"/>
  <c r="F63" i="7"/>
  <c r="H69" i="7"/>
  <c r="B62" i="7"/>
  <c r="C68" i="7"/>
  <c r="D66" i="7"/>
  <c r="H62" i="7"/>
  <c r="H67" i="7"/>
  <c r="K65" i="7"/>
  <c r="J63" i="7"/>
  <c r="E63" i="7"/>
  <c r="F66" i="7"/>
  <c r="G69" i="7"/>
  <c r="B68" i="7"/>
  <c r="J66" i="7"/>
  <c r="I67" i="7"/>
  <c r="K62" i="7"/>
  <c r="E66" i="7"/>
  <c r="I68" i="7"/>
  <c r="K67" i="7"/>
  <c r="G65" i="7"/>
  <c r="K69" i="7"/>
  <c r="D68" i="7"/>
  <c r="I64" i="7"/>
  <c r="E68" i="7"/>
  <c r="J67" i="7"/>
  <c r="D69" i="7"/>
  <c r="J68" i="7"/>
  <c r="E67" i="7"/>
  <c r="H63" i="7"/>
  <c r="J64" i="7"/>
  <c r="D67" i="7"/>
  <c r="C62" i="7"/>
  <c r="C65" i="7"/>
  <c r="F69" i="7"/>
  <c r="G63" i="7"/>
  <c r="I63" i="7"/>
  <c r="B65" i="7"/>
  <c r="G67" i="7"/>
  <c r="B67" i="7"/>
  <c r="B64" i="7"/>
  <c r="J65" i="7"/>
  <c r="F68" i="7"/>
  <c r="G66" i="7"/>
  <c r="K68" i="7"/>
  <c r="G68" i="7"/>
  <c r="J62" i="7"/>
  <c r="H66" i="7"/>
  <c r="B69" i="7"/>
  <c r="C69" i="7"/>
  <c r="D62" i="7"/>
  <c r="F64" i="7"/>
  <c r="D63" i="7"/>
  <c r="F67" i="7"/>
  <c r="I69" i="7"/>
  <c r="E65" i="7"/>
  <c r="E64" i="7"/>
  <c r="E62" i="7"/>
  <c r="K64" i="7"/>
  <c r="F62" i="7"/>
  <c r="H64" i="7"/>
  <c r="B66" i="7"/>
  <c r="H68" i="7"/>
  <c r="B63" i="7"/>
  <c r="H65" i="7"/>
  <c r="I66" i="7"/>
  <c r="K63" i="7"/>
  <c r="C64" i="7"/>
  <c r="K66" i="7"/>
  <c r="I62" i="7"/>
  <c r="C66" i="7"/>
  <c r="D65" i="7"/>
  <c r="F65" i="7"/>
  <c r="D64" i="7"/>
  <c r="I65" i="7"/>
  <c r="D97" i="34"/>
  <c r="D202" i="6"/>
  <c r="H59" i="40"/>
  <c r="C141" i="40"/>
  <c r="C161" i="4"/>
  <c r="F55" i="37"/>
  <c r="H55" i="37"/>
  <c r="C96" i="37"/>
  <c r="J83" i="37"/>
  <c r="D83" i="37"/>
  <c r="B60" i="7"/>
  <c r="J90" i="7"/>
  <c r="I100" i="34"/>
  <c r="I205" i="6"/>
  <c r="H22" i="35"/>
  <c r="C23" i="35"/>
  <c r="H27" i="35"/>
  <c r="H24" i="35"/>
  <c r="B22" i="35"/>
  <c r="J28" i="35"/>
  <c r="I23" i="35"/>
  <c r="G24" i="35"/>
  <c r="D23" i="35"/>
  <c r="J29" i="35"/>
  <c r="H23" i="35"/>
  <c r="I29" i="35"/>
  <c r="H28" i="35"/>
  <c r="F24" i="35"/>
  <c r="E28" i="35"/>
  <c r="E29" i="35"/>
  <c r="E22" i="35"/>
  <c r="D24" i="35"/>
  <c r="G23" i="35"/>
  <c r="G22" i="35"/>
  <c r="E25" i="35"/>
  <c r="H29" i="35"/>
  <c r="J24" i="35"/>
  <c r="G26" i="35"/>
  <c r="F29" i="35"/>
  <c r="C29" i="35"/>
  <c r="J23" i="35"/>
  <c r="C22" i="35"/>
  <c r="D26" i="35"/>
  <c r="I24" i="35"/>
  <c r="B27" i="35"/>
  <c r="J22" i="35"/>
  <c r="K22" i="35"/>
  <c r="E27" i="35"/>
  <c r="I26" i="35"/>
  <c r="B25" i="35"/>
  <c r="F25" i="35"/>
  <c r="B28" i="35"/>
  <c r="I27" i="35"/>
  <c r="K28" i="35"/>
  <c r="I22" i="35"/>
  <c r="E24" i="35"/>
  <c r="B24" i="35"/>
  <c r="J26" i="35"/>
  <c r="E23" i="35"/>
  <c r="B26" i="35"/>
  <c r="B23" i="35"/>
  <c r="C28" i="35"/>
  <c r="F27" i="35"/>
  <c r="I25" i="35"/>
  <c r="J27" i="35"/>
  <c r="K27" i="35"/>
  <c r="F26" i="35"/>
  <c r="K24" i="35"/>
  <c r="D27" i="35"/>
  <c r="E26" i="35"/>
  <c r="G29" i="35"/>
  <c r="G27" i="35"/>
  <c r="H25" i="35"/>
  <c r="C25" i="35"/>
  <c r="G25" i="35"/>
  <c r="H26" i="35"/>
  <c r="D25" i="35"/>
  <c r="I28" i="35"/>
  <c r="I28" i="37" s="1"/>
  <c r="F22" i="35"/>
  <c r="K29" i="35"/>
  <c r="D29" i="35"/>
  <c r="C26" i="35"/>
  <c r="F23" i="35"/>
  <c r="J25" i="35"/>
  <c r="C27" i="35"/>
  <c r="G28" i="35"/>
  <c r="K23" i="35"/>
  <c r="D22" i="35"/>
  <c r="K26" i="35"/>
  <c r="F28" i="35"/>
  <c r="C24" i="35"/>
  <c r="D28" i="35"/>
  <c r="K25" i="35"/>
  <c r="B29" i="35"/>
  <c r="C100" i="35"/>
  <c r="F100" i="35"/>
  <c r="D101" i="34"/>
  <c r="D206" i="6"/>
  <c r="E34" i="37"/>
  <c r="F34" i="37"/>
  <c r="G126" i="29"/>
  <c r="G126" i="40" s="1"/>
  <c r="G123" i="40"/>
  <c r="K59" i="37"/>
  <c r="E59" i="37"/>
  <c r="C59" i="37"/>
  <c r="L50" i="40"/>
  <c r="M50" i="40"/>
  <c r="J95" i="37"/>
  <c r="G103" i="34"/>
  <c r="G208" i="6"/>
  <c r="D153" i="6"/>
  <c r="B54" i="37"/>
  <c r="E37" i="37"/>
  <c r="G98" i="37"/>
  <c r="J85" i="37"/>
  <c r="G85" i="37"/>
  <c r="E98" i="34"/>
  <c r="E203" i="6"/>
  <c r="G98" i="34"/>
  <c r="G203" i="6"/>
  <c r="I126" i="4"/>
  <c r="I126" i="40" s="1"/>
  <c r="I123" i="40"/>
  <c r="L112" i="29"/>
  <c r="L112" i="40" s="1"/>
  <c r="L109" i="40"/>
  <c r="I97" i="37"/>
  <c r="H97" i="37"/>
  <c r="I150" i="40"/>
  <c r="G99" i="34"/>
  <c r="G204" i="6"/>
  <c r="E60" i="29"/>
  <c r="F60" i="29" s="1"/>
  <c r="C40" i="35"/>
  <c r="J33" i="37"/>
  <c r="J40" i="7"/>
  <c r="J150" i="40"/>
  <c r="D104" i="34"/>
  <c r="D209" i="6"/>
  <c r="K104" i="34"/>
  <c r="K209" i="6"/>
  <c r="E104" i="34"/>
  <c r="E209" i="6"/>
  <c r="D155" i="34"/>
  <c r="I60" i="7"/>
  <c r="I53" i="37"/>
  <c r="C87" i="37"/>
  <c r="K150" i="40"/>
  <c r="G102" i="34"/>
  <c r="G207" i="6"/>
  <c r="G191" i="4"/>
  <c r="F191" i="40"/>
  <c r="E92" i="6"/>
  <c r="E88" i="6"/>
  <c r="E94" i="6"/>
  <c r="E90" i="6"/>
  <c r="E95" i="6"/>
  <c r="E93" i="6"/>
  <c r="E89" i="6"/>
  <c r="E91" i="6"/>
  <c r="B100" i="7"/>
  <c r="E42" i="40"/>
  <c r="F88" i="37"/>
  <c r="H97" i="34"/>
  <c r="H202" i="6"/>
  <c r="L97" i="34"/>
  <c r="L202" i="6"/>
  <c r="I97" i="34"/>
  <c r="I202" i="6"/>
  <c r="E55" i="37"/>
  <c r="F39" i="37"/>
  <c r="K96" i="37"/>
  <c r="H96" i="37"/>
  <c r="G83" i="37"/>
  <c r="K100" i="34"/>
  <c r="K205" i="6"/>
  <c r="D350" i="6"/>
  <c r="C347" i="6"/>
  <c r="H353" i="6"/>
  <c r="H347" i="6"/>
  <c r="K347" i="6"/>
  <c r="E351" i="6"/>
  <c r="L351" i="6"/>
  <c r="E346" i="6"/>
  <c r="L347" i="6"/>
  <c r="E348" i="6"/>
  <c r="D347" i="6"/>
  <c r="J352" i="6"/>
  <c r="I353" i="6"/>
  <c r="J349" i="6"/>
  <c r="H350" i="6"/>
  <c r="K353" i="6"/>
  <c r="J350" i="6"/>
  <c r="I351" i="6"/>
  <c r="I348" i="6"/>
  <c r="D352" i="6"/>
  <c r="G353" i="6"/>
  <c r="K352" i="6"/>
  <c r="K350" i="6"/>
  <c r="G349" i="6"/>
  <c r="C353" i="6"/>
  <c r="D351" i="6"/>
  <c r="H352" i="6"/>
  <c r="J353" i="6"/>
  <c r="G350" i="6"/>
  <c r="E350" i="6"/>
  <c r="E347" i="6"/>
  <c r="L346" i="6"/>
  <c r="H349" i="6"/>
  <c r="L352" i="6"/>
  <c r="H348" i="6"/>
  <c r="F347" i="6"/>
  <c r="E349" i="6"/>
  <c r="F349" i="6"/>
  <c r="H351" i="6"/>
  <c r="F346" i="6"/>
  <c r="F353" i="6"/>
  <c r="L348" i="6"/>
  <c r="C350" i="6"/>
  <c r="D346" i="6"/>
  <c r="C351" i="6"/>
  <c r="C349" i="6"/>
  <c r="I349" i="6"/>
  <c r="J348" i="6"/>
  <c r="G347" i="6"/>
  <c r="I352" i="6"/>
  <c r="L353" i="6"/>
  <c r="G346" i="6"/>
  <c r="K349" i="6"/>
  <c r="J351" i="6"/>
  <c r="F348" i="6"/>
  <c r="F352" i="6"/>
  <c r="K346" i="6"/>
  <c r="H346" i="6"/>
  <c r="I347" i="6"/>
  <c r="D349" i="6"/>
  <c r="I350" i="6"/>
  <c r="D348" i="6"/>
  <c r="K351" i="6"/>
  <c r="G351" i="6"/>
  <c r="G348" i="6"/>
  <c r="E353" i="6"/>
  <c r="L350" i="6"/>
  <c r="D353" i="6"/>
  <c r="I346" i="6"/>
  <c r="J347" i="6"/>
  <c r="C352" i="6"/>
  <c r="L349" i="6"/>
  <c r="C346" i="6"/>
  <c r="E352" i="6"/>
  <c r="J346" i="6"/>
  <c r="C348" i="6"/>
  <c r="F351" i="6"/>
  <c r="K348" i="6"/>
  <c r="G352" i="6"/>
  <c r="F350" i="6"/>
  <c r="I93" i="37"/>
  <c r="I100" i="7"/>
  <c r="I100" i="35"/>
  <c r="H93" i="37"/>
  <c r="K84" i="37"/>
  <c r="D154" i="34"/>
  <c r="K263" i="38"/>
  <c r="K268" i="38"/>
  <c r="K270" i="38"/>
  <c r="K264" i="38"/>
  <c r="G263" i="38"/>
  <c r="C268" i="38"/>
  <c r="C264" i="38"/>
  <c r="G266" i="38"/>
  <c r="I270" i="38"/>
  <c r="G268" i="38"/>
  <c r="D269" i="38"/>
  <c r="E270" i="38"/>
  <c r="E267" i="38"/>
  <c r="B263" i="38"/>
  <c r="J270" i="38"/>
  <c r="H266" i="38"/>
  <c r="D266" i="38"/>
  <c r="K266" i="38"/>
  <c r="J265" i="38"/>
  <c r="D264" i="38"/>
  <c r="I268" i="38"/>
  <c r="F270" i="38"/>
  <c r="J269" i="38"/>
  <c r="B266" i="38"/>
  <c r="E263" i="38"/>
  <c r="B270" i="38"/>
  <c r="H264" i="38"/>
  <c r="F263" i="38"/>
  <c r="G265" i="38"/>
  <c r="B264" i="38"/>
  <c r="F264" i="38"/>
  <c r="I265" i="38"/>
  <c r="J267" i="38"/>
  <c r="D265" i="38"/>
  <c r="I263" i="38"/>
  <c r="H268" i="38"/>
  <c r="F268" i="38"/>
  <c r="B268" i="38"/>
  <c r="C265" i="38"/>
  <c r="J264" i="38"/>
  <c r="E264" i="38"/>
  <c r="B269" i="38"/>
  <c r="G269" i="38"/>
  <c r="I266" i="38"/>
  <c r="J263" i="38"/>
  <c r="G267" i="38"/>
  <c r="H265" i="38"/>
  <c r="B265" i="38"/>
  <c r="G270" i="38"/>
  <c r="J268" i="38"/>
  <c r="J266" i="38"/>
  <c r="E265" i="38"/>
  <c r="D270" i="38"/>
  <c r="F265" i="38"/>
  <c r="D268" i="38"/>
  <c r="C269" i="38"/>
  <c r="D267" i="38"/>
  <c r="F269" i="38"/>
  <c r="C266" i="38"/>
  <c r="E266" i="38"/>
  <c r="F266" i="38"/>
  <c r="E269" i="38"/>
  <c r="D263" i="38"/>
  <c r="H267" i="38"/>
  <c r="G264" i="38"/>
  <c r="H269" i="38"/>
  <c r="E268" i="38"/>
  <c r="H263" i="38"/>
  <c r="B267" i="38"/>
  <c r="H270" i="38"/>
  <c r="K267" i="38"/>
  <c r="C270" i="38"/>
  <c r="K265" i="38"/>
  <c r="I264" i="38"/>
  <c r="I267" i="38"/>
  <c r="I269" i="38"/>
  <c r="F267" i="38"/>
  <c r="K269" i="38"/>
  <c r="C267" i="38"/>
  <c r="C263" i="38"/>
  <c r="H50" i="40"/>
  <c r="F95" i="37"/>
  <c r="I103" i="34"/>
  <c r="I208" i="6"/>
  <c r="C153" i="34"/>
  <c r="F98" i="34"/>
  <c r="F203" i="6"/>
  <c r="H98" i="34"/>
  <c r="H203" i="6"/>
  <c r="B86" i="37"/>
  <c r="L99" i="34"/>
  <c r="L204" i="6"/>
  <c r="J40" i="35"/>
  <c r="I104" i="34"/>
  <c r="I209" i="6"/>
  <c r="C104" i="34"/>
  <c r="C209" i="6"/>
  <c r="I60" i="35"/>
  <c r="F60" i="7"/>
  <c r="F53" i="37"/>
  <c r="C60" i="7"/>
  <c r="C53" i="37"/>
  <c r="B35" i="37"/>
  <c r="E99" i="37"/>
  <c r="H87" i="37"/>
  <c r="F102" i="34"/>
  <c r="F207" i="6"/>
  <c r="H102" i="34"/>
  <c r="H207" i="6"/>
  <c r="J38" i="37"/>
  <c r="D42" i="40"/>
  <c r="D43" i="4"/>
  <c r="J109" i="40"/>
  <c r="J112" i="4"/>
  <c r="J112" i="40" s="1"/>
  <c r="H94" i="37"/>
  <c r="I94" i="37"/>
  <c r="G97" i="34"/>
  <c r="G202" i="6"/>
  <c r="J97" i="34"/>
  <c r="J202" i="6"/>
  <c r="F97" i="34"/>
  <c r="F202" i="6"/>
  <c r="G59" i="40"/>
  <c r="C151" i="34"/>
  <c r="C55" i="37"/>
  <c r="G39" i="37"/>
  <c r="J39" i="37"/>
  <c r="I96" i="37"/>
  <c r="F56" i="37"/>
  <c r="I56" i="37"/>
  <c r="C66" i="35"/>
  <c r="G67" i="35"/>
  <c r="F62" i="35"/>
  <c r="I68" i="35"/>
  <c r="H68" i="35"/>
  <c r="E65" i="35"/>
  <c r="H64" i="35"/>
  <c r="K65" i="35"/>
  <c r="B65" i="35"/>
  <c r="G68" i="35"/>
  <c r="D62" i="35"/>
  <c r="D69" i="35"/>
  <c r="C64" i="35"/>
  <c r="C68" i="35"/>
  <c r="I67" i="35"/>
  <c r="K62" i="35"/>
  <c r="H62" i="35"/>
  <c r="F65" i="35"/>
  <c r="B68" i="35"/>
  <c r="K63" i="35"/>
  <c r="F63" i="35"/>
  <c r="D68" i="35"/>
  <c r="I62" i="35"/>
  <c r="C63" i="35"/>
  <c r="E68" i="35"/>
  <c r="E66" i="35"/>
  <c r="G65" i="35"/>
  <c r="H63" i="35"/>
  <c r="J69" i="35"/>
  <c r="J66" i="35"/>
  <c r="B66" i="35"/>
  <c r="G69" i="35"/>
  <c r="I65" i="35"/>
  <c r="B67" i="35"/>
  <c r="D66" i="35"/>
  <c r="B63" i="35"/>
  <c r="J64" i="35"/>
  <c r="J62" i="35"/>
  <c r="H67" i="35"/>
  <c r="K69" i="35"/>
  <c r="J67" i="35"/>
  <c r="J63" i="35"/>
  <c r="I64" i="35"/>
  <c r="E67" i="35"/>
  <c r="G62" i="35"/>
  <c r="B62" i="35"/>
  <c r="H69" i="35"/>
  <c r="D67" i="35"/>
  <c r="B64" i="35"/>
  <c r="G66" i="35"/>
  <c r="E62" i="35"/>
  <c r="F68" i="35"/>
  <c r="H66" i="35"/>
  <c r="F64" i="35"/>
  <c r="I63" i="35"/>
  <c r="G63" i="35"/>
  <c r="C65" i="35"/>
  <c r="C67" i="35"/>
  <c r="J65" i="35"/>
  <c r="C69" i="35"/>
  <c r="F67" i="35"/>
  <c r="E63" i="35"/>
  <c r="B69" i="35"/>
  <c r="I66" i="35"/>
  <c r="K67" i="35"/>
  <c r="D65" i="35"/>
  <c r="K68" i="35"/>
  <c r="K66" i="35"/>
  <c r="K64" i="35"/>
  <c r="F66" i="35"/>
  <c r="C62" i="35"/>
  <c r="D63" i="35"/>
  <c r="G64" i="35"/>
  <c r="D64" i="35"/>
  <c r="J68" i="35"/>
  <c r="H65" i="35"/>
  <c r="F69" i="35"/>
  <c r="E64" i="35"/>
  <c r="I69" i="35"/>
  <c r="E69" i="35"/>
  <c r="L100" i="34"/>
  <c r="L205" i="6"/>
  <c r="B57" i="37"/>
  <c r="G93" i="37"/>
  <c r="H89" i="37"/>
  <c r="K101" i="34"/>
  <c r="K206" i="6"/>
  <c r="E43" i="29"/>
  <c r="E84" i="37"/>
  <c r="G34" i="37"/>
  <c r="D100" i="7"/>
  <c r="C154" i="34"/>
  <c r="D51" i="4"/>
  <c r="D50" i="40"/>
  <c r="K50" i="40"/>
  <c r="D95" i="37"/>
  <c r="K95" i="37"/>
  <c r="D103" i="34"/>
  <c r="D208" i="6"/>
  <c r="H103" i="34"/>
  <c r="H208" i="6"/>
  <c r="I54" i="37"/>
  <c r="H54" i="37"/>
  <c r="B98" i="37"/>
  <c r="C98" i="37"/>
  <c r="D98" i="37"/>
  <c r="J98" i="34"/>
  <c r="J203" i="6"/>
  <c r="L98" i="34"/>
  <c r="L203" i="6"/>
  <c r="B58" i="37"/>
  <c r="F86" i="37"/>
  <c r="H86" i="37"/>
  <c r="D86" i="37"/>
  <c r="F150" i="40"/>
  <c r="K99" i="34"/>
  <c r="K204" i="6"/>
  <c r="J99" i="34"/>
  <c r="J204" i="6"/>
  <c r="E76" i="8"/>
  <c r="I81" i="8"/>
  <c r="B80" i="8"/>
  <c r="H81" i="8"/>
  <c r="B83" i="8"/>
  <c r="D80" i="8"/>
  <c r="F77" i="8"/>
  <c r="F83" i="8"/>
  <c r="G78" i="8"/>
  <c r="J82" i="8"/>
  <c r="H79" i="8"/>
  <c r="J80" i="8"/>
  <c r="G76" i="8"/>
  <c r="K81" i="8"/>
  <c r="H82" i="8"/>
  <c r="J79" i="8"/>
  <c r="B79" i="8"/>
  <c r="C80" i="8"/>
  <c r="K82" i="8"/>
  <c r="H80" i="8"/>
  <c r="F82" i="8"/>
  <c r="F79" i="8"/>
  <c r="G82" i="8"/>
  <c r="B78" i="8"/>
  <c r="G79" i="8"/>
  <c r="C78" i="8"/>
  <c r="H78" i="8"/>
  <c r="D76" i="8"/>
  <c r="J77" i="8"/>
  <c r="C82" i="8"/>
  <c r="E77" i="8"/>
  <c r="K76" i="8"/>
  <c r="K77" i="8"/>
  <c r="F76" i="8"/>
  <c r="H76" i="8"/>
  <c r="I77" i="8"/>
  <c r="G77" i="8"/>
  <c r="H77" i="8"/>
  <c r="B76" i="8"/>
  <c r="J76" i="8"/>
  <c r="I82" i="8"/>
  <c r="G81" i="8"/>
  <c r="E82" i="8"/>
  <c r="K83" i="8"/>
  <c r="F78" i="8"/>
  <c r="H83" i="8"/>
  <c r="D77" i="8"/>
  <c r="C81" i="8"/>
  <c r="I83" i="8"/>
  <c r="B81" i="8"/>
  <c r="D83" i="8"/>
  <c r="J78" i="8"/>
  <c r="E78" i="8"/>
  <c r="E83" i="8"/>
  <c r="B82" i="8"/>
  <c r="D79" i="8"/>
  <c r="G80" i="8"/>
  <c r="F80" i="8"/>
  <c r="C76" i="8"/>
  <c r="J81" i="8"/>
  <c r="D78" i="8"/>
  <c r="C79" i="8"/>
  <c r="I80" i="8"/>
  <c r="K78" i="8"/>
  <c r="E81" i="8"/>
  <c r="E79" i="8"/>
  <c r="C77" i="8"/>
  <c r="D81" i="8"/>
  <c r="F81" i="8"/>
  <c r="J83" i="8"/>
  <c r="I76" i="8"/>
  <c r="I79" i="8"/>
  <c r="D82" i="8"/>
  <c r="K79" i="8"/>
  <c r="E80" i="8"/>
  <c r="C83" i="8"/>
  <c r="I78" i="8"/>
  <c r="K80" i="8"/>
  <c r="B77" i="8"/>
  <c r="G83" i="8"/>
  <c r="C40" i="7"/>
  <c r="C33" i="37"/>
  <c r="K40" i="35"/>
  <c r="D40" i="7"/>
  <c r="Q191" i="4"/>
  <c r="G60" i="57"/>
  <c r="F73" i="57"/>
  <c r="D65" i="39" l="1"/>
  <c r="K55" i="60"/>
  <c r="F52" i="39"/>
  <c r="K61" i="39"/>
  <c r="B59" i="39"/>
  <c r="G64" i="39"/>
  <c r="J61" i="39"/>
  <c r="L51" i="60"/>
  <c r="B49" i="60"/>
  <c r="H54" i="60"/>
  <c r="F50" i="60"/>
  <c r="E48" i="60"/>
  <c r="K58" i="39"/>
  <c r="E51" i="39"/>
  <c r="E78" i="39"/>
  <c r="B83" i="39"/>
  <c r="J83" i="39"/>
  <c r="I63" i="39"/>
  <c r="G25" i="37"/>
  <c r="H249" i="39"/>
  <c r="F28" i="37"/>
  <c r="H25" i="37"/>
  <c r="J53" i="60"/>
  <c r="K60" i="39"/>
  <c r="K53" i="60"/>
  <c r="L53" i="60"/>
  <c r="C49" i="60"/>
  <c r="K62" i="39"/>
  <c r="E49" i="60"/>
  <c r="F54" i="60"/>
  <c r="H61" i="39"/>
  <c r="B53" i="39"/>
  <c r="H64" i="39"/>
  <c r="G48" i="60"/>
  <c r="C61" i="39"/>
  <c r="B77" i="39"/>
  <c r="D77" i="39"/>
  <c r="H50" i="60"/>
  <c r="F51" i="60"/>
  <c r="J52" i="60"/>
  <c r="G440" i="34"/>
  <c r="F274" i="39"/>
  <c r="I55" i="60"/>
  <c r="J51" i="60"/>
  <c r="C80" i="39"/>
  <c r="H134" i="40"/>
  <c r="D134" i="40"/>
  <c r="F136" i="40"/>
  <c r="E137" i="40"/>
  <c r="L134" i="40"/>
  <c r="I54" i="60"/>
  <c r="K50" i="60"/>
  <c r="B52" i="60"/>
  <c r="K65" i="39"/>
  <c r="G63" i="39"/>
  <c r="K82" i="39"/>
  <c r="G79" i="39"/>
  <c r="B79" i="39"/>
  <c r="D79" i="39"/>
  <c r="C54" i="60"/>
  <c r="C48" i="60"/>
  <c r="F24" i="37"/>
  <c r="J54" i="60"/>
  <c r="I50" i="60"/>
  <c r="G50" i="60"/>
  <c r="D55" i="60"/>
  <c r="F65" i="39"/>
  <c r="G59" i="39"/>
  <c r="D51" i="60"/>
  <c r="D59" i="39"/>
  <c r="L52" i="60"/>
  <c r="E51" i="60"/>
  <c r="F62" i="39"/>
  <c r="D48" i="60"/>
  <c r="K52" i="60"/>
  <c r="G62" i="39"/>
  <c r="I247" i="39"/>
  <c r="D53" i="60"/>
  <c r="I53" i="60"/>
  <c r="E53" i="60"/>
  <c r="J55" i="60"/>
  <c r="B51" i="60"/>
  <c r="B58" i="39"/>
  <c r="I60" i="39"/>
  <c r="H248" i="39"/>
  <c r="H252" i="39"/>
  <c r="C246" i="39"/>
  <c r="H59" i="39"/>
  <c r="C52" i="60"/>
  <c r="K248" i="39"/>
  <c r="E52" i="60"/>
  <c r="K54" i="60"/>
  <c r="L55" i="60"/>
  <c r="I58" i="39"/>
  <c r="H49" i="60"/>
  <c r="F53" i="60"/>
  <c r="H62" i="39"/>
  <c r="D27" i="37"/>
  <c r="C250" i="39"/>
  <c r="C53" i="60"/>
  <c r="G51" i="60"/>
  <c r="F58" i="39"/>
  <c r="H60" i="39"/>
  <c r="G54" i="60"/>
  <c r="F49" i="60"/>
  <c r="E54" i="60"/>
  <c r="J56" i="60"/>
  <c r="L54" i="60"/>
  <c r="H53" i="60"/>
  <c r="H55" i="60"/>
  <c r="J63" i="39"/>
  <c r="J64" i="39"/>
  <c r="J58" i="39"/>
  <c r="G49" i="60"/>
  <c r="L49" i="60"/>
  <c r="L50" i="60"/>
  <c r="C50" i="60"/>
  <c r="I48" i="60"/>
  <c r="E59" i="39"/>
  <c r="I59" i="39"/>
  <c r="D63" i="39"/>
  <c r="K48" i="60"/>
  <c r="H52" i="60"/>
  <c r="B65" i="39"/>
  <c r="I61" i="39"/>
  <c r="B60" i="39"/>
  <c r="F48" i="60"/>
  <c r="F55" i="60"/>
  <c r="E50" i="60"/>
  <c r="I62" i="39"/>
  <c r="C248" i="39"/>
  <c r="C249" i="39"/>
  <c r="B246" i="39"/>
  <c r="I56" i="60"/>
  <c r="E60" i="39"/>
  <c r="F59" i="39"/>
  <c r="F245" i="39"/>
  <c r="J245" i="39"/>
  <c r="G61" i="39"/>
  <c r="C64" i="39"/>
  <c r="E65" i="39"/>
  <c r="J26" i="37"/>
  <c r="B247" i="39"/>
  <c r="K250" i="39"/>
  <c r="J251" i="39"/>
  <c r="J249" i="39"/>
  <c r="C62" i="39"/>
  <c r="E245" i="39"/>
  <c r="F251" i="39"/>
  <c r="E61" i="39"/>
  <c r="H440" i="34"/>
  <c r="M138" i="40"/>
  <c r="H272" i="39"/>
  <c r="D61" i="39"/>
  <c r="F277" i="39"/>
  <c r="C278" i="39"/>
  <c r="B276" i="39"/>
  <c r="H278" i="39"/>
  <c r="J276" i="39"/>
  <c r="E138" i="40"/>
  <c r="F56" i="39"/>
  <c r="J54" i="39"/>
  <c r="J60" i="39"/>
  <c r="G276" i="39"/>
  <c r="K272" i="39"/>
  <c r="F273" i="39"/>
  <c r="J62" i="39"/>
  <c r="H138" i="40"/>
  <c r="B273" i="39"/>
  <c r="K25" i="37"/>
  <c r="E252" i="39"/>
  <c r="I49" i="39"/>
  <c r="C54" i="39"/>
  <c r="G55" i="39"/>
  <c r="C440" i="34"/>
  <c r="F64" i="39"/>
  <c r="F60" i="39"/>
  <c r="D135" i="40"/>
  <c r="M135" i="40"/>
  <c r="G246" i="39"/>
  <c r="G251" i="39"/>
  <c r="B50" i="60"/>
  <c r="M140" i="40"/>
  <c r="B55" i="60"/>
  <c r="C59" i="39"/>
  <c r="I65" i="39"/>
  <c r="H63" i="39"/>
  <c r="D58" i="39"/>
  <c r="B53" i="60"/>
  <c r="J59" i="39"/>
  <c r="I246" i="39"/>
  <c r="C63" i="39"/>
  <c r="B48" i="60"/>
  <c r="H58" i="39"/>
  <c r="G60" i="39"/>
  <c r="H65" i="39"/>
  <c r="I64" i="39"/>
  <c r="C65" i="39"/>
  <c r="G28" i="37"/>
  <c r="K59" i="39"/>
  <c r="H250" i="39"/>
  <c r="D245" i="39"/>
  <c r="D62" i="39"/>
  <c r="F63" i="39"/>
  <c r="J65" i="39"/>
  <c r="B64" i="39"/>
  <c r="I248" i="39"/>
  <c r="B28" i="37"/>
  <c r="E249" i="39"/>
  <c r="J246" i="39"/>
  <c r="E440" i="34"/>
  <c r="E62" i="39"/>
  <c r="E58" i="39"/>
  <c r="F25" i="37"/>
  <c r="F248" i="39"/>
  <c r="H251" i="39"/>
  <c r="D246" i="39"/>
  <c r="E246" i="39"/>
  <c r="J250" i="39"/>
  <c r="B27" i="37"/>
  <c r="E28" i="37"/>
  <c r="K246" i="39"/>
  <c r="D28" i="37"/>
  <c r="H29" i="37"/>
  <c r="J28" i="37"/>
  <c r="G249" i="39"/>
  <c r="G248" i="39"/>
  <c r="F252" i="39"/>
  <c r="E248" i="39"/>
  <c r="I252" i="39"/>
  <c r="I30" i="7"/>
  <c r="H24" i="37"/>
  <c r="G65" i="39"/>
  <c r="G58" i="39"/>
  <c r="E64" i="39"/>
  <c r="B63" i="39"/>
  <c r="F61" i="39"/>
  <c r="E63" i="39"/>
  <c r="I25" i="37"/>
  <c r="C23" i="37"/>
  <c r="G247" i="39"/>
  <c r="G55" i="60"/>
  <c r="K63" i="39"/>
  <c r="G29" i="37"/>
  <c r="F27" i="37"/>
  <c r="C28" i="37"/>
  <c r="J248" i="39"/>
  <c r="K247" i="39"/>
  <c r="J252" i="39"/>
  <c r="K53" i="39"/>
  <c r="D22" i="37"/>
  <c r="C58" i="39"/>
  <c r="I249" i="39"/>
  <c r="I251" i="39"/>
  <c r="D252" i="39"/>
  <c r="J22" i="37"/>
  <c r="C52" i="39"/>
  <c r="H50" i="39"/>
  <c r="I27" i="37"/>
  <c r="D248" i="39"/>
  <c r="G100" i="37"/>
  <c r="K64" i="39"/>
  <c r="J247" i="39"/>
  <c r="B252" i="39"/>
  <c r="H246" i="39"/>
  <c r="J134" i="40"/>
  <c r="F23" i="37"/>
  <c r="E23" i="37"/>
  <c r="D26" i="37"/>
  <c r="E25" i="37"/>
  <c r="E117" i="40"/>
  <c r="H273" i="39"/>
  <c r="C277" i="39"/>
  <c r="I275" i="39"/>
  <c r="C276" i="39"/>
  <c r="K56" i="60"/>
  <c r="K24" i="37"/>
  <c r="I24" i="37"/>
  <c r="K27" i="37"/>
  <c r="F440" i="34"/>
  <c r="K30" i="7"/>
  <c r="I29" i="37"/>
  <c r="B26" i="37"/>
  <c r="B100" i="37"/>
  <c r="F249" i="39"/>
  <c r="D249" i="39"/>
  <c r="I272" i="39"/>
  <c r="D52" i="39"/>
  <c r="C90" i="37"/>
  <c r="I23" i="37"/>
  <c r="C29" i="37"/>
  <c r="D24" i="37"/>
  <c r="B251" i="39"/>
  <c r="F81" i="39"/>
  <c r="D40" i="37"/>
  <c r="H80" i="39"/>
  <c r="J80" i="39"/>
  <c r="K251" i="39"/>
  <c r="H245" i="39"/>
  <c r="K249" i="39"/>
  <c r="H247" i="39"/>
  <c r="G250" i="39"/>
  <c r="K245" i="39"/>
  <c r="D51" i="39"/>
  <c r="G49" i="39"/>
  <c r="E139" i="40"/>
  <c r="L135" i="40"/>
  <c r="D279" i="39"/>
  <c r="E259" i="39"/>
  <c r="F258" i="39"/>
  <c r="E100" i="37"/>
  <c r="I440" i="34"/>
  <c r="L440" i="34"/>
  <c r="C24" i="37"/>
  <c r="C56" i="39"/>
  <c r="I245" i="39"/>
  <c r="K277" i="39"/>
  <c r="M440" i="6"/>
  <c r="D274" i="39"/>
  <c r="D247" i="39"/>
  <c r="C252" i="39"/>
  <c r="C279" i="39"/>
  <c r="D272" i="39"/>
  <c r="J440" i="34"/>
  <c r="B248" i="39"/>
  <c r="B278" i="39"/>
  <c r="B81" i="39"/>
  <c r="K134" i="40"/>
  <c r="L136" i="40"/>
  <c r="F139" i="40"/>
  <c r="F250" i="39"/>
  <c r="I22" i="37"/>
  <c r="H22" i="37"/>
  <c r="E135" i="40"/>
  <c r="D139" i="40"/>
  <c r="F246" i="39"/>
  <c r="K252" i="39"/>
  <c r="L56" i="60"/>
  <c r="D29" i="37"/>
  <c r="K28" i="37"/>
  <c r="E29" i="37"/>
  <c r="D276" i="39"/>
  <c r="B277" i="39"/>
  <c r="B40" i="37"/>
  <c r="B94" i="8" a="1"/>
  <c r="B94" i="8" s="1"/>
  <c r="B250" i="39"/>
  <c r="F276" i="39"/>
  <c r="I80" i="39"/>
  <c r="H82" i="39"/>
  <c r="F77" i="39"/>
  <c r="L139" i="40"/>
  <c r="G252" i="39"/>
  <c r="C251" i="39"/>
  <c r="E251" i="39"/>
  <c r="I273" i="39"/>
  <c r="C94" i="38" a="1"/>
  <c r="C98" i="38" s="1"/>
  <c r="G135" i="40"/>
  <c r="G277" i="39"/>
  <c r="J25" i="37"/>
  <c r="H26" i="37"/>
  <c r="B63" i="37"/>
  <c r="E140" i="40"/>
  <c r="E247" i="39"/>
  <c r="J279" i="39"/>
  <c r="K273" i="39"/>
  <c r="G279" i="39"/>
  <c r="E272" i="39"/>
  <c r="K274" i="39"/>
  <c r="J53" i="39"/>
  <c r="E54" i="39"/>
  <c r="E40" i="37"/>
  <c r="B25" i="37"/>
  <c r="G27" i="37"/>
  <c r="G56" i="60"/>
  <c r="C60" i="37"/>
  <c r="E79" i="39"/>
  <c r="D250" i="39"/>
  <c r="D60" i="37"/>
  <c r="K108" i="35"/>
  <c r="C55" i="60"/>
  <c r="C51" i="60"/>
  <c r="H28" i="37"/>
  <c r="F90" i="37"/>
  <c r="B94" i="38" a="1"/>
  <c r="B97" i="38" s="1"/>
  <c r="C26" i="37"/>
  <c r="G245" i="39"/>
  <c r="B62" i="39"/>
  <c r="H48" i="60"/>
  <c r="F56" i="60"/>
  <c r="G23" i="37"/>
  <c r="D251" i="39"/>
  <c r="C60" i="39"/>
  <c r="E60" i="37"/>
  <c r="H30" i="7"/>
  <c r="B30" i="7"/>
  <c r="E30" i="7"/>
  <c r="G30" i="7"/>
  <c r="C22" i="37"/>
  <c r="J30" i="7"/>
  <c r="C25" i="37"/>
  <c r="D52" i="60"/>
  <c r="I52" i="60"/>
  <c r="J49" i="60"/>
  <c r="C245" i="39"/>
  <c r="E90" i="37"/>
  <c r="D71" i="39"/>
  <c r="F68" i="39"/>
  <c r="K71" i="39"/>
  <c r="F52" i="60"/>
  <c r="H90" i="37"/>
  <c r="C109" i="35"/>
  <c r="B29" i="37"/>
  <c r="E26" i="37"/>
  <c r="G24" i="37"/>
  <c r="D90" i="37"/>
  <c r="H60" i="37"/>
  <c r="D53" i="39"/>
  <c r="C51" i="39"/>
  <c r="I56" i="39"/>
  <c r="H56" i="60"/>
  <c r="G60" i="37"/>
  <c r="I51" i="60"/>
  <c r="D25" i="37"/>
  <c r="C94" i="8" a="1"/>
  <c r="H96" i="8" s="1"/>
  <c r="K60" i="37"/>
  <c r="E50" i="39"/>
  <c r="G50" i="39"/>
  <c r="H107" i="35"/>
  <c r="D440" i="34"/>
  <c r="E55" i="60"/>
  <c r="L48" i="60"/>
  <c r="B68" i="39"/>
  <c r="B42" i="7" a="1"/>
  <c r="F46" i="7" s="1"/>
  <c r="E56" i="60"/>
  <c r="G83" i="39"/>
  <c r="B78" i="39"/>
  <c r="F40" i="37"/>
  <c r="B274" i="39"/>
  <c r="B279" i="39"/>
  <c r="G273" i="39"/>
  <c r="G275" i="39"/>
  <c r="K103" i="35"/>
  <c r="K49" i="60"/>
  <c r="D49" i="60"/>
  <c r="J50" i="60"/>
  <c r="J27" i="37"/>
  <c r="B24" i="37"/>
  <c r="E250" i="39"/>
  <c r="G40" i="37"/>
  <c r="E274" i="39"/>
  <c r="J104" i="35"/>
  <c r="F30" i="7"/>
  <c r="D30" i="7"/>
  <c r="K51" i="60"/>
  <c r="G52" i="60"/>
  <c r="I68" i="39"/>
  <c r="H77" i="39"/>
  <c r="C82" i="39"/>
  <c r="D80" i="39"/>
  <c r="D100" i="37"/>
  <c r="J29" i="37"/>
  <c r="D50" i="60"/>
  <c r="H51" i="60"/>
  <c r="I78" i="39"/>
  <c r="D78" i="39"/>
  <c r="K23" i="37"/>
  <c r="F30" i="35"/>
  <c r="F29" i="37"/>
  <c r="E22" i="37"/>
  <c r="D23" i="37"/>
  <c r="K63" i="37"/>
  <c r="F68" i="37"/>
  <c r="D69" i="37"/>
  <c r="I68" i="37"/>
  <c r="H69" i="37"/>
  <c r="I267" i="39"/>
  <c r="H264" i="39"/>
  <c r="K270" i="39"/>
  <c r="H40" i="37"/>
  <c r="F247" i="39"/>
  <c r="J259" i="39"/>
  <c r="G260" i="39"/>
  <c r="I55" i="39"/>
  <c r="C53" i="39"/>
  <c r="I52" i="39"/>
  <c r="J48" i="60"/>
  <c r="D56" i="60"/>
  <c r="G134" i="40"/>
  <c r="L140" i="40"/>
  <c r="I76" i="39"/>
  <c r="H140" i="40"/>
  <c r="B249" i="39"/>
  <c r="K80" i="39"/>
  <c r="C83" i="39"/>
  <c r="J81" i="39"/>
  <c r="J78" i="39"/>
  <c r="I77" i="39"/>
  <c r="K26" i="37"/>
  <c r="I26" i="37"/>
  <c r="J23" i="37"/>
  <c r="H23" i="37"/>
  <c r="H27" i="37"/>
  <c r="J140" i="40"/>
  <c r="H136" i="40"/>
  <c r="D108" i="35"/>
  <c r="C30" i="7"/>
  <c r="K100" i="37"/>
  <c r="L137" i="40"/>
  <c r="K259" i="39"/>
  <c r="D83" i="39"/>
  <c r="H76" i="39"/>
  <c r="K29" i="37"/>
  <c r="E24" i="37"/>
  <c r="E27" i="37"/>
  <c r="C64" i="37"/>
  <c r="F64" i="37"/>
  <c r="G66" i="37"/>
  <c r="G63" i="37"/>
  <c r="F66" i="37"/>
  <c r="C63" i="37"/>
  <c r="F134" i="40"/>
  <c r="D136" i="40"/>
  <c r="J137" i="40"/>
  <c r="H49" i="39"/>
  <c r="J50" i="39"/>
  <c r="F55" i="39"/>
  <c r="H53" i="39"/>
  <c r="E56" i="39"/>
  <c r="K56" i="39"/>
  <c r="B104" i="35"/>
  <c r="D260" i="39"/>
  <c r="D82" i="39"/>
  <c r="K78" i="39"/>
  <c r="C81" i="39"/>
  <c r="J76" i="39"/>
  <c r="K76" i="39"/>
  <c r="J79" i="39"/>
  <c r="F83" i="39"/>
  <c r="C27" i="37"/>
  <c r="B23" i="37"/>
  <c r="J24" i="37"/>
  <c r="J265" i="39"/>
  <c r="C268" i="39"/>
  <c r="C265" i="39"/>
  <c r="F264" i="39"/>
  <c r="F265" i="39"/>
  <c r="J60" i="37"/>
  <c r="F137" i="40"/>
  <c r="F254" i="39"/>
  <c r="K254" i="39"/>
  <c r="D259" i="39"/>
  <c r="D258" i="39"/>
  <c r="F50" i="39"/>
  <c r="D49" i="39"/>
  <c r="B108" i="35"/>
  <c r="C106" i="35"/>
  <c r="I90" i="37"/>
  <c r="C258" i="39"/>
  <c r="G80" i="39"/>
  <c r="F60" i="37"/>
  <c r="G26" i="37"/>
  <c r="J90" i="37"/>
  <c r="I100" i="37"/>
  <c r="F26" i="37"/>
  <c r="B22" i="37"/>
  <c r="B60" i="37"/>
  <c r="G90" i="37"/>
  <c r="I140" i="40"/>
  <c r="I136" i="40"/>
  <c r="D138" i="40"/>
  <c r="I250" i="39"/>
  <c r="J56" i="39"/>
  <c r="H54" i="39"/>
  <c r="I83" i="39"/>
  <c r="D273" i="39"/>
  <c r="J258" i="39"/>
  <c r="G256" i="39"/>
  <c r="K90" i="37"/>
  <c r="F79" i="39"/>
  <c r="G77" i="39"/>
  <c r="J77" i="39"/>
  <c r="G76" i="39"/>
  <c r="C266" i="39"/>
  <c r="G269" i="39"/>
  <c r="I40" i="37"/>
  <c r="K109" i="35"/>
  <c r="K64" i="37"/>
  <c r="K264" i="39"/>
  <c r="H70" i="35"/>
  <c r="E265" i="39"/>
  <c r="K263" i="39"/>
  <c r="G264" i="39"/>
  <c r="D266" i="39"/>
  <c r="B270" i="39"/>
  <c r="K137" i="40"/>
  <c r="F135" i="40"/>
  <c r="I277" i="39"/>
  <c r="J256" i="39"/>
  <c r="I259" i="39"/>
  <c r="G257" i="39"/>
  <c r="D257" i="39"/>
  <c r="E254" i="39"/>
  <c r="H55" i="39"/>
  <c r="I51" i="39"/>
  <c r="I50" i="39"/>
  <c r="K51" i="39"/>
  <c r="E105" i="35"/>
  <c r="G107" i="35"/>
  <c r="H104" i="35"/>
  <c r="C108" i="35"/>
  <c r="F103" i="35"/>
  <c r="E108" i="35"/>
  <c r="I106" i="35"/>
  <c r="G102" i="35"/>
  <c r="K104" i="35"/>
  <c r="J105" i="35"/>
  <c r="D127" i="4"/>
  <c r="D126" i="40"/>
  <c r="F114" i="29"/>
  <c r="G111" i="29"/>
  <c r="G113" i="29" s="1"/>
  <c r="M440" i="30"/>
  <c r="D58" i="59"/>
  <c r="C58" i="60"/>
  <c r="J267" i="39"/>
  <c r="G278" i="39"/>
  <c r="J107" i="35"/>
  <c r="E104" i="35"/>
  <c r="D109" i="35"/>
  <c r="C104" i="35"/>
  <c r="J108" i="35"/>
  <c r="H103" i="35"/>
  <c r="J106" i="35"/>
  <c r="J102" i="35"/>
  <c r="D65" i="59"/>
  <c r="C65" i="60"/>
  <c r="F65" i="37"/>
  <c r="H65" i="37"/>
  <c r="B69" i="37"/>
  <c r="J69" i="37"/>
  <c r="D140" i="40"/>
  <c r="I138" i="40"/>
  <c r="M139" i="40"/>
  <c r="B69" i="39"/>
  <c r="E70" i="39"/>
  <c r="H68" i="39"/>
  <c r="B71" i="39"/>
  <c r="J69" i="39"/>
  <c r="F72" i="39"/>
  <c r="G69" i="39"/>
  <c r="G70" i="39"/>
  <c r="C69" i="39"/>
  <c r="E72" i="39"/>
  <c r="F22" i="37"/>
  <c r="C187" i="40"/>
  <c r="B54" i="39"/>
  <c r="D54" i="39"/>
  <c r="J51" i="39"/>
  <c r="K52" i="39"/>
  <c r="F105" i="35"/>
  <c r="F106" i="35"/>
  <c r="G103" i="35"/>
  <c r="H105" i="35"/>
  <c r="I104" i="35"/>
  <c r="G106" i="35"/>
  <c r="B103" i="35"/>
  <c r="I109" i="35"/>
  <c r="K102" i="35"/>
  <c r="C107" i="35"/>
  <c r="E127" i="6"/>
  <c r="D127" i="34"/>
  <c r="I73" i="4"/>
  <c r="H73" i="40"/>
  <c r="D59" i="59"/>
  <c r="C59" i="60"/>
  <c r="D64" i="59"/>
  <c r="C64" i="60"/>
  <c r="F69" i="37"/>
  <c r="J268" i="39"/>
  <c r="I270" i="39"/>
  <c r="H102" i="35"/>
  <c r="I103" i="35"/>
  <c r="H81" i="39"/>
  <c r="E264" i="39"/>
  <c r="D265" i="39"/>
  <c r="G270" i="39"/>
  <c r="H265" i="39"/>
  <c r="H137" i="40"/>
  <c r="B90" i="37"/>
  <c r="H71" i="39"/>
  <c r="E73" i="39"/>
  <c r="D68" i="39"/>
  <c r="F70" i="39"/>
  <c r="K69" i="39"/>
  <c r="G72" i="39"/>
  <c r="C70" i="39"/>
  <c r="H69" i="39"/>
  <c r="K55" i="39"/>
  <c r="E53" i="39"/>
  <c r="I105" i="35"/>
  <c r="K106" i="35"/>
  <c r="D104" i="35"/>
  <c r="D105" i="35"/>
  <c r="H109" i="35"/>
  <c r="C105" i="35"/>
  <c r="C103" i="35"/>
  <c r="E106" i="35"/>
  <c r="B109" i="35"/>
  <c r="E102" i="35"/>
  <c r="D61" i="59"/>
  <c r="C61" i="60"/>
  <c r="E263" i="39"/>
  <c r="K255" i="39"/>
  <c r="C77" i="39"/>
  <c r="E82" i="39"/>
  <c r="H78" i="39"/>
  <c r="J82" i="39"/>
  <c r="D65" i="37"/>
  <c r="B67" i="37"/>
  <c r="I64" i="37"/>
  <c r="I67" i="37"/>
  <c r="H67" i="37"/>
  <c r="K269" i="39"/>
  <c r="H270" i="39"/>
  <c r="K265" i="39"/>
  <c r="K266" i="39"/>
  <c r="B269" i="39"/>
  <c r="F51" i="29"/>
  <c r="F52" i="29" s="1"/>
  <c r="C185" i="40"/>
  <c r="D56" i="39"/>
  <c r="G56" i="39"/>
  <c r="D106" i="35"/>
  <c r="G105" i="35"/>
  <c r="E109" i="35"/>
  <c r="D103" i="35"/>
  <c r="B106" i="35"/>
  <c r="F109" i="35"/>
  <c r="G108" i="35"/>
  <c r="E107" i="35"/>
  <c r="K105" i="35"/>
  <c r="D107" i="35"/>
  <c r="D60" i="59"/>
  <c r="C60" i="60"/>
  <c r="E119" i="29"/>
  <c r="J68" i="37"/>
  <c r="I79" i="39"/>
  <c r="B275" i="39"/>
  <c r="C272" i="39"/>
  <c r="J277" i="39"/>
  <c r="J71" i="39"/>
  <c r="H73" i="39"/>
  <c r="K257" i="39"/>
  <c r="E257" i="39"/>
  <c r="J109" i="35"/>
  <c r="B105" i="35"/>
  <c r="C102" i="35"/>
  <c r="I102" i="35"/>
  <c r="F108" i="35"/>
  <c r="K107" i="35"/>
  <c r="D102" i="35"/>
  <c r="G104" i="35"/>
  <c r="H108" i="35"/>
  <c r="J103" i="35"/>
  <c r="D63" i="59"/>
  <c r="C63" i="60"/>
  <c r="H100" i="37"/>
  <c r="B82" i="39"/>
  <c r="G82" i="39"/>
  <c r="K138" i="40"/>
  <c r="E136" i="40"/>
  <c r="K278" i="39"/>
  <c r="C274" i="39"/>
  <c r="D275" i="39"/>
  <c r="B70" i="39"/>
  <c r="E68" i="39"/>
  <c r="J74" i="39"/>
  <c r="G71" i="39"/>
  <c r="G68" i="39"/>
  <c r="J261" i="39"/>
  <c r="K260" i="39"/>
  <c r="C261" i="39"/>
  <c r="C260" i="39"/>
  <c r="F255" i="39"/>
  <c r="J255" i="39"/>
  <c r="J49" i="39"/>
  <c r="I54" i="39"/>
  <c r="F104" i="35"/>
  <c r="G109" i="35"/>
  <c r="F107" i="35"/>
  <c r="I108" i="35"/>
  <c r="F102" i="35"/>
  <c r="E103" i="35"/>
  <c r="H106" i="35"/>
  <c r="B102" i="35"/>
  <c r="I107" i="35"/>
  <c r="D62" i="59"/>
  <c r="C62" i="60"/>
  <c r="F61" i="29"/>
  <c r="F64" i="29"/>
  <c r="F62" i="29"/>
  <c r="G60" i="29"/>
  <c r="D52" i="4"/>
  <c r="D51" i="40"/>
  <c r="D43" i="40"/>
  <c r="D44" i="4"/>
  <c r="D45" i="4"/>
  <c r="E93" i="34"/>
  <c r="E153" i="6"/>
  <c r="K67" i="37"/>
  <c r="B62" i="37"/>
  <c r="B72" i="7" a="1"/>
  <c r="B70" i="7"/>
  <c r="E119" i="4"/>
  <c r="E115" i="40"/>
  <c r="G209" i="34"/>
  <c r="G218" i="6"/>
  <c r="C206" i="34"/>
  <c r="C215" i="6"/>
  <c r="F63" i="58"/>
  <c r="I133" i="40"/>
  <c r="I141" i="4" a="1"/>
  <c r="I141" i="4" s="1"/>
  <c r="D203" i="34"/>
  <c r="D212" i="6"/>
  <c r="H279" i="39"/>
  <c r="B308" i="38" a="1"/>
  <c r="B272" i="39"/>
  <c r="B308" i="8" a="1"/>
  <c r="D70" i="39"/>
  <c r="C203" i="34"/>
  <c r="C212" i="6"/>
  <c r="G141" i="29" a="1"/>
  <c r="G141" i="29" s="1"/>
  <c r="I207" i="34"/>
  <c r="I216" i="6"/>
  <c r="C50" i="39"/>
  <c r="K54" i="39"/>
  <c r="G51" i="39"/>
  <c r="F49" i="39"/>
  <c r="L203" i="34"/>
  <c r="L212" i="6"/>
  <c r="H66" i="37"/>
  <c r="D67" i="37"/>
  <c r="H267" i="39"/>
  <c r="D205" i="34"/>
  <c r="D214" i="6"/>
  <c r="J135" i="40"/>
  <c r="M141" i="4" a="1"/>
  <c r="M141" i="4" s="1"/>
  <c r="M133" i="40"/>
  <c r="K211" i="6"/>
  <c r="K202" i="34"/>
  <c r="E51" i="4"/>
  <c r="F51" i="4" s="1"/>
  <c r="G259" i="39"/>
  <c r="F51" i="39"/>
  <c r="E80" i="39"/>
  <c r="F350" i="34"/>
  <c r="L349" i="34"/>
  <c r="G351" i="34"/>
  <c r="F352" i="34"/>
  <c r="J348" i="34"/>
  <c r="F346" i="34"/>
  <c r="L346" i="34"/>
  <c r="G349" i="34"/>
  <c r="K353" i="34"/>
  <c r="E346" i="34"/>
  <c r="L211" i="6"/>
  <c r="L202" i="34"/>
  <c r="E92" i="34"/>
  <c r="E152" i="6"/>
  <c r="I205" i="34"/>
  <c r="I214" i="6"/>
  <c r="C66" i="37"/>
  <c r="H68" i="37"/>
  <c r="I69" i="37"/>
  <c r="J62" i="37"/>
  <c r="J70" i="7"/>
  <c r="G67" i="37"/>
  <c r="J64" i="37"/>
  <c r="D68" i="37"/>
  <c r="J66" i="37"/>
  <c r="H62" i="37"/>
  <c r="H70" i="7"/>
  <c r="G64" i="37"/>
  <c r="E208" i="34"/>
  <c r="E217" i="6"/>
  <c r="F62" i="58"/>
  <c r="F58" i="58"/>
  <c r="I264" i="39"/>
  <c r="H269" i="39"/>
  <c r="G263" i="39"/>
  <c r="E266" i="39"/>
  <c r="B263" i="39"/>
  <c r="B299" i="38" a="1"/>
  <c r="B299" i="8" a="1"/>
  <c r="B267" i="39"/>
  <c r="G265" i="39"/>
  <c r="G267" i="39"/>
  <c r="G266" i="39"/>
  <c r="F266" i="39"/>
  <c r="F60" i="58"/>
  <c r="J136" i="40"/>
  <c r="I139" i="40"/>
  <c r="K140" i="40"/>
  <c r="G137" i="40"/>
  <c r="J133" i="40"/>
  <c r="J141" i="4" a="1"/>
  <c r="J141" i="4" s="1"/>
  <c r="G111" i="4"/>
  <c r="F113" i="40"/>
  <c r="F114" i="4"/>
  <c r="K40" i="37"/>
  <c r="I203" i="34"/>
  <c r="I212" i="6"/>
  <c r="J275" i="39"/>
  <c r="H276" i="39"/>
  <c r="E277" i="39"/>
  <c r="J274" i="39"/>
  <c r="I73" i="39"/>
  <c r="I71" i="39"/>
  <c r="B74" i="39"/>
  <c r="C73" i="39"/>
  <c r="K70" i="39"/>
  <c r="C103" i="38" a="1"/>
  <c r="C67" i="39"/>
  <c r="C103" i="8" a="1"/>
  <c r="K73" i="39"/>
  <c r="J67" i="39"/>
  <c r="K72" i="39"/>
  <c r="F73" i="39"/>
  <c r="F64" i="58"/>
  <c r="E205" i="34"/>
  <c r="E214" i="6"/>
  <c r="F141" i="29" a="1"/>
  <c r="F141" i="29" s="1"/>
  <c r="D14" i="4"/>
  <c r="C76" i="40"/>
  <c r="H261" i="39"/>
  <c r="F257" i="39"/>
  <c r="K258" i="39"/>
  <c r="C259" i="39"/>
  <c r="E256" i="39"/>
  <c r="E260" i="39"/>
  <c r="I257" i="39"/>
  <c r="J254" i="39"/>
  <c r="B258" i="39"/>
  <c r="K261" i="39"/>
  <c r="L209" i="34"/>
  <c r="L218" i="6"/>
  <c r="E49" i="39"/>
  <c r="I53" i="39"/>
  <c r="J55" i="39"/>
  <c r="B56" i="39"/>
  <c r="F209" i="34"/>
  <c r="F218" i="6"/>
  <c r="F78" i="39"/>
  <c r="F82" i="39"/>
  <c r="I211" i="6"/>
  <c r="I202" i="34"/>
  <c r="E43" i="4"/>
  <c r="F43" i="4" s="1"/>
  <c r="G43" i="4" s="1"/>
  <c r="G204" i="34"/>
  <c r="G213" i="6"/>
  <c r="C70" i="7"/>
  <c r="C62" i="37"/>
  <c r="K70" i="7"/>
  <c r="K62" i="37"/>
  <c r="E267" i="39"/>
  <c r="I265" i="39"/>
  <c r="H266" i="39"/>
  <c r="L138" i="40"/>
  <c r="D133" i="40"/>
  <c r="D151" i="4" a="1"/>
  <c r="D141" i="4" a="1"/>
  <c r="D141" i="4" s="1"/>
  <c r="J208" i="34"/>
  <c r="J217" i="6"/>
  <c r="I74" i="39"/>
  <c r="L207" i="34"/>
  <c r="L216" i="6"/>
  <c r="C209" i="34"/>
  <c r="C218" i="6"/>
  <c r="E88" i="34"/>
  <c r="E148" i="6"/>
  <c r="G207" i="34"/>
  <c r="G216" i="6"/>
  <c r="E65" i="37"/>
  <c r="E69" i="37"/>
  <c r="F267" i="39"/>
  <c r="D270" i="39"/>
  <c r="H263" i="39"/>
  <c r="F268" i="39"/>
  <c r="F263" i="39"/>
  <c r="G141" i="4" a="1"/>
  <c r="G141" i="4" s="1"/>
  <c r="G133" i="40"/>
  <c r="H206" i="34"/>
  <c r="H215" i="6"/>
  <c r="D278" i="39"/>
  <c r="F205" i="34"/>
  <c r="F214" i="6"/>
  <c r="M141" i="29" a="1"/>
  <c r="M141" i="29" s="1"/>
  <c r="D254" i="39"/>
  <c r="H79" i="39"/>
  <c r="K79" i="39"/>
  <c r="F80" i="39"/>
  <c r="G81" i="39"/>
  <c r="F76" i="39"/>
  <c r="C78" i="39"/>
  <c r="I81" i="39"/>
  <c r="J203" i="34"/>
  <c r="J212" i="6"/>
  <c r="G211" i="6"/>
  <c r="G202" i="34"/>
  <c r="H207" i="34"/>
  <c r="H216" i="6"/>
  <c r="G352" i="34"/>
  <c r="C352" i="34"/>
  <c r="K351" i="34"/>
  <c r="F348" i="34"/>
  <c r="I349" i="34"/>
  <c r="H351" i="34"/>
  <c r="E347" i="34"/>
  <c r="K350" i="34"/>
  <c r="H350" i="34"/>
  <c r="L351" i="34"/>
  <c r="K205" i="34"/>
  <c r="K214" i="6"/>
  <c r="E91" i="34"/>
  <c r="E151" i="6"/>
  <c r="J40" i="37"/>
  <c r="D206" i="34"/>
  <c r="D215" i="6"/>
  <c r="B30" i="35"/>
  <c r="B42" i="35" a="1"/>
  <c r="I62" i="37"/>
  <c r="I70" i="7"/>
  <c r="B66" i="37"/>
  <c r="F67" i="37"/>
  <c r="G68" i="37"/>
  <c r="B65" i="37"/>
  <c r="H63" i="37"/>
  <c r="K69" i="37"/>
  <c r="B68" i="37"/>
  <c r="D66" i="37"/>
  <c r="G62" i="37"/>
  <c r="G70" i="7"/>
  <c r="D148" i="34"/>
  <c r="J209" i="34"/>
  <c r="J218" i="6"/>
  <c r="D268" i="39"/>
  <c r="D263" i="39"/>
  <c r="C269" i="39"/>
  <c r="J269" i="39"/>
  <c r="F270" i="39"/>
  <c r="B266" i="39"/>
  <c r="E270" i="39"/>
  <c r="J263" i="39"/>
  <c r="D267" i="39"/>
  <c r="D264" i="39"/>
  <c r="E204" i="34"/>
  <c r="E213" i="6"/>
  <c r="J138" i="40"/>
  <c r="E141" i="4" a="1"/>
  <c r="E141" i="4" s="1"/>
  <c r="E133" i="40"/>
  <c r="M136" i="40"/>
  <c r="G138" i="40"/>
  <c r="M134" i="40"/>
  <c r="L141" i="4" a="1"/>
  <c r="L141" i="4" s="1"/>
  <c r="L133" i="40"/>
  <c r="H141" i="4" a="1"/>
  <c r="H141" i="4" s="1"/>
  <c r="H133" i="40"/>
  <c r="E134" i="40"/>
  <c r="K207" i="34"/>
  <c r="K216" i="6"/>
  <c r="C208" i="34"/>
  <c r="C217" i="6"/>
  <c r="F272" i="39"/>
  <c r="I274" i="39"/>
  <c r="K275" i="39"/>
  <c r="C273" i="39"/>
  <c r="J278" i="39"/>
  <c r="G274" i="39"/>
  <c r="E279" i="39"/>
  <c r="E273" i="39"/>
  <c r="I72" i="39"/>
  <c r="I69" i="39"/>
  <c r="F69" i="39"/>
  <c r="C72" i="39"/>
  <c r="H72" i="39"/>
  <c r="H70" i="39"/>
  <c r="I67" i="39"/>
  <c r="K67" i="39"/>
  <c r="J68" i="39"/>
  <c r="J72" i="39"/>
  <c r="G206" i="34"/>
  <c r="G215" i="6"/>
  <c r="F100" i="37"/>
  <c r="I141" i="29" a="1"/>
  <c r="I141" i="29" s="1"/>
  <c r="C255" i="39"/>
  <c r="B255" i="39"/>
  <c r="H255" i="39"/>
  <c r="G261" i="39"/>
  <c r="H260" i="39"/>
  <c r="I256" i="39"/>
  <c r="F256" i="39"/>
  <c r="E255" i="39"/>
  <c r="K256" i="39"/>
  <c r="I255" i="39"/>
  <c r="B51" i="39"/>
  <c r="H56" i="39"/>
  <c r="J52" i="39"/>
  <c r="D50" i="39"/>
  <c r="F53" i="39"/>
  <c r="B55" i="39"/>
  <c r="G53" i="39"/>
  <c r="E55" i="39"/>
  <c r="F204" i="34"/>
  <c r="F213" i="6"/>
  <c r="J204" i="34"/>
  <c r="J213" i="6"/>
  <c r="H208" i="34"/>
  <c r="H217" i="6"/>
  <c r="F207" i="34"/>
  <c r="F216" i="6"/>
  <c r="F70" i="7"/>
  <c r="F62" i="37"/>
  <c r="G205" i="34"/>
  <c r="G214" i="6"/>
  <c r="E44" i="29"/>
  <c r="E45" i="29"/>
  <c r="B72" i="35" a="1"/>
  <c r="B70" i="35"/>
  <c r="J70" i="35"/>
  <c r="F203" i="34"/>
  <c r="F212" i="6"/>
  <c r="E352" i="34"/>
  <c r="E353" i="34"/>
  <c r="H346" i="34"/>
  <c r="I352" i="34"/>
  <c r="L348" i="34"/>
  <c r="L352" i="34"/>
  <c r="D351" i="34"/>
  <c r="I351" i="34"/>
  <c r="E348" i="34"/>
  <c r="C347" i="34"/>
  <c r="E94" i="34"/>
  <c r="E154" i="6"/>
  <c r="I60" i="37"/>
  <c r="D209" i="34"/>
  <c r="D218" i="6"/>
  <c r="G208" i="34"/>
  <c r="G217" i="6"/>
  <c r="J30" i="35"/>
  <c r="E64" i="37"/>
  <c r="B64" i="37"/>
  <c r="E68" i="37"/>
  <c r="K65" i="37"/>
  <c r="G139" i="40"/>
  <c r="D204" i="34"/>
  <c r="D213" i="6"/>
  <c r="D67" i="39"/>
  <c r="D85" i="29"/>
  <c r="D83" i="29"/>
  <c r="D82" i="29"/>
  <c r="D84" i="29"/>
  <c r="B13" i="29"/>
  <c r="B14" i="29" s="1"/>
  <c r="I261" i="39"/>
  <c r="D256" i="39"/>
  <c r="F259" i="39"/>
  <c r="H257" i="39"/>
  <c r="D81" i="39"/>
  <c r="K83" i="39"/>
  <c r="D76" i="39"/>
  <c r="K206" i="34"/>
  <c r="K215" i="6"/>
  <c r="G70" i="35"/>
  <c r="J202" i="34"/>
  <c r="J211" i="6"/>
  <c r="F61" i="58"/>
  <c r="L204" i="34"/>
  <c r="L213" i="6"/>
  <c r="C346" i="34"/>
  <c r="G348" i="34"/>
  <c r="K346" i="34"/>
  <c r="G347" i="34"/>
  <c r="F353" i="34"/>
  <c r="H349" i="34"/>
  <c r="C353" i="34"/>
  <c r="J350" i="34"/>
  <c r="L347" i="34"/>
  <c r="D350" i="34"/>
  <c r="I135" i="40"/>
  <c r="H204" i="34"/>
  <c r="H213" i="6"/>
  <c r="H277" i="39"/>
  <c r="I276" i="39"/>
  <c r="F279" i="39"/>
  <c r="I279" i="39"/>
  <c r="H74" i="39"/>
  <c r="B72" i="39"/>
  <c r="F74" i="39"/>
  <c r="J70" i="39"/>
  <c r="E71" i="39"/>
  <c r="C100" i="37"/>
  <c r="K141" i="29" a="1"/>
  <c r="K141" i="29" s="1"/>
  <c r="J257" i="39"/>
  <c r="G255" i="39"/>
  <c r="D255" i="39"/>
  <c r="C112" i="38" a="1"/>
  <c r="C112" i="8" a="1"/>
  <c r="C76" i="39"/>
  <c r="B80" i="39"/>
  <c r="L205" i="34"/>
  <c r="L214" i="6"/>
  <c r="E70" i="35"/>
  <c r="D70" i="35"/>
  <c r="F70" i="35"/>
  <c r="C40" i="37"/>
  <c r="E81" i="39"/>
  <c r="I82" i="39"/>
  <c r="K77" i="39"/>
  <c r="G78" i="39"/>
  <c r="E76" i="39"/>
  <c r="I209" i="34"/>
  <c r="I218" i="6"/>
  <c r="K348" i="34"/>
  <c r="J347" i="34"/>
  <c r="D348" i="34"/>
  <c r="J351" i="34"/>
  <c r="C349" i="34"/>
  <c r="F349" i="34"/>
  <c r="E350" i="34"/>
  <c r="K352" i="34"/>
  <c r="J349" i="34"/>
  <c r="E351" i="34"/>
  <c r="H211" i="6"/>
  <c r="H202" i="34"/>
  <c r="E89" i="34"/>
  <c r="E149" i="6"/>
  <c r="H191" i="4"/>
  <c r="G191" i="40"/>
  <c r="F88" i="6"/>
  <c r="F94" i="6"/>
  <c r="F95" i="6"/>
  <c r="F91" i="6"/>
  <c r="F93" i="6"/>
  <c r="F89" i="6"/>
  <c r="F92" i="6"/>
  <c r="F90" i="6"/>
  <c r="E209" i="34"/>
  <c r="E218" i="6"/>
  <c r="G203" i="34"/>
  <c r="G212" i="6"/>
  <c r="C30" i="35"/>
  <c r="G30" i="35"/>
  <c r="F65" i="58"/>
  <c r="D211" i="6"/>
  <c r="D202" i="34"/>
  <c r="K66" i="37"/>
  <c r="H64" i="37"/>
  <c r="D63" i="37"/>
  <c r="K68" i="37"/>
  <c r="I63" i="37"/>
  <c r="E67" i="37"/>
  <c r="G65" i="37"/>
  <c r="G69" i="37"/>
  <c r="C68" i="37"/>
  <c r="C67" i="37"/>
  <c r="L208" i="34"/>
  <c r="L217" i="6"/>
  <c r="B103" i="7"/>
  <c r="J105" i="7"/>
  <c r="K104" i="7"/>
  <c r="J106" i="7"/>
  <c r="E106" i="7"/>
  <c r="H103" i="7"/>
  <c r="K106" i="7"/>
  <c r="J103" i="7"/>
  <c r="B102" i="7"/>
  <c r="F107" i="7"/>
  <c r="D104" i="7"/>
  <c r="I107" i="7"/>
  <c r="D109" i="7"/>
  <c r="H102" i="7"/>
  <c r="F109" i="7"/>
  <c r="J104" i="7"/>
  <c r="H104" i="7"/>
  <c r="B108" i="7"/>
  <c r="G102" i="7"/>
  <c r="E102" i="7"/>
  <c r="K109" i="7"/>
  <c r="B109" i="7"/>
  <c r="D102" i="7"/>
  <c r="H108" i="7"/>
  <c r="C108" i="7"/>
  <c r="I109" i="7"/>
  <c r="C103" i="7"/>
  <c r="K107" i="7"/>
  <c r="E103" i="7"/>
  <c r="F102" i="7"/>
  <c r="K103" i="7"/>
  <c r="K108" i="7"/>
  <c r="D107" i="7"/>
  <c r="F105" i="7"/>
  <c r="E104" i="7"/>
  <c r="G109" i="7"/>
  <c r="E107" i="7"/>
  <c r="C106" i="7"/>
  <c r="D103" i="7"/>
  <c r="H107" i="7"/>
  <c r="C104" i="7"/>
  <c r="I102" i="7"/>
  <c r="K102" i="7"/>
  <c r="C109" i="7"/>
  <c r="F106" i="7"/>
  <c r="C102" i="7"/>
  <c r="D108" i="7"/>
  <c r="E109" i="7"/>
  <c r="C107" i="7"/>
  <c r="I106" i="7"/>
  <c r="J108" i="7"/>
  <c r="E105" i="7"/>
  <c r="G106" i="7"/>
  <c r="D106" i="7"/>
  <c r="F103" i="7"/>
  <c r="K105" i="7"/>
  <c r="J109" i="7"/>
  <c r="B107" i="7"/>
  <c r="B107" i="37" s="1"/>
  <c r="B106" i="7"/>
  <c r="B104" i="7"/>
  <c r="G108" i="7"/>
  <c r="C105" i="7"/>
  <c r="H109" i="7"/>
  <c r="B105" i="7"/>
  <c r="G103" i="7"/>
  <c r="I104" i="7"/>
  <c r="F108" i="7"/>
  <c r="J107" i="7"/>
  <c r="I105" i="7"/>
  <c r="H106" i="7"/>
  <c r="D105" i="7"/>
  <c r="G105" i="7"/>
  <c r="I108" i="7"/>
  <c r="F104" i="7"/>
  <c r="H105" i="7"/>
  <c r="G104" i="7"/>
  <c r="J102" i="7"/>
  <c r="E108" i="7"/>
  <c r="G107" i="7"/>
  <c r="I103" i="7"/>
  <c r="K208" i="34"/>
  <c r="K217" i="6"/>
  <c r="H268" i="39"/>
  <c r="D269" i="39"/>
  <c r="C270" i="39"/>
  <c r="C264" i="39"/>
  <c r="I268" i="39"/>
  <c r="J270" i="39"/>
  <c r="G268" i="39"/>
  <c r="B265" i="39"/>
  <c r="F269" i="39"/>
  <c r="C267" i="39"/>
  <c r="I137" i="40"/>
  <c r="K133" i="40"/>
  <c r="K141" i="4" a="1"/>
  <c r="K141" i="4" s="1"/>
  <c r="D137" i="40"/>
  <c r="K136" i="40"/>
  <c r="M137" i="40"/>
  <c r="H209" i="34"/>
  <c r="H218" i="6"/>
  <c r="J100" i="37"/>
  <c r="J206" i="34"/>
  <c r="J215" i="6"/>
  <c r="F126" i="40"/>
  <c r="F127" i="29"/>
  <c r="E276" i="39"/>
  <c r="H275" i="39"/>
  <c r="F278" i="39"/>
  <c r="K279" i="39"/>
  <c r="F275" i="39"/>
  <c r="H274" i="39"/>
  <c r="J272" i="39"/>
  <c r="K276" i="39"/>
  <c r="K68" i="39"/>
  <c r="F71" i="39"/>
  <c r="F67" i="39"/>
  <c r="H67" i="39"/>
  <c r="D74" i="39"/>
  <c r="G67" i="39"/>
  <c r="I70" i="39"/>
  <c r="E74" i="39"/>
  <c r="K74" i="39"/>
  <c r="C68" i="39"/>
  <c r="C207" i="34"/>
  <c r="C216" i="6"/>
  <c r="I204" i="34"/>
  <c r="I213" i="6"/>
  <c r="H205" i="34"/>
  <c r="H214" i="6"/>
  <c r="J141" i="29" a="1"/>
  <c r="J141" i="29" s="1"/>
  <c r="F261" i="39"/>
  <c r="C256" i="39"/>
  <c r="H258" i="39"/>
  <c r="J260" i="39"/>
  <c r="E258" i="39"/>
  <c r="F260" i="39"/>
  <c r="B254" i="39"/>
  <c r="B290" i="38" a="1"/>
  <c r="B290" i="8" a="1"/>
  <c r="C254" i="39"/>
  <c r="G258" i="39"/>
  <c r="D261" i="39"/>
  <c r="F54" i="39"/>
  <c r="K50" i="39"/>
  <c r="G54" i="39"/>
  <c r="E52" i="39"/>
  <c r="B52" i="39"/>
  <c r="D55" i="39"/>
  <c r="B50" i="39"/>
  <c r="G52" i="39"/>
  <c r="H203" i="34"/>
  <c r="H212" i="6"/>
  <c r="I208" i="34"/>
  <c r="I217" i="6"/>
  <c r="F351" i="34"/>
  <c r="I346" i="34"/>
  <c r="I350" i="34"/>
  <c r="K349" i="34"/>
  <c r="C351" i="34"/>
  <c r="E349" i="34"/>
  <c r="G350" i="34"/>
  <c r="G353" i="34"/>
  <c r="I353" i="34"/>
  <c r="K347" i="34"/>
  <c r="E206" i="34"/>
  <c r="E215" i="6"/>
  <c r="J207" i="34"/>
  <c r="J216" i="6"/>
  <c r="E60" i="40"/>
  <c r="E61" i="4"/>
  <c r="E64" i="4"/>
  <c r="B261" i="39"/>
  <c r="I260" i="39"/>
  <c r="B256" i="39"/>
  <c r="H254" i="39"/>
  <c r="C85" i="38" a="1"/>
  <c r="C49" i="39"/>
  <c r="C85" i="8" a="1"/>
  <c r="J205" i="34"/>
  <c r="J214" i="6"/>
  <c r="C204" i="34"/>
  <c r="C213" i="6"/>
  <c r="E207" i="34"/>
  <c r="E216" i="6"/>
  <c r="B76" i="39"/>
  <c r="B112" i="38" a="1"/>
  <c r="B112" i="8" a="1"/>
  <c r="E77" i="39"/>
  <c r="E101" i="29"/>
  <c r="D104" i="29"/>
  <c r="K70" i="35"/>
  <c r="F59" i="58"/>
  <c r="C348" i="34"/>
  <c r="D353" i="34"/>
  <c r="D349" i="34"/>
  <c r="G346" i="34"/>
  <c r="D346" i="34"/>
  <c r="F347" i="34"/>
  <c r="J353" i="34"/>
  <c r="D352" i="34"/>
  <c r="J352" i="34"/>
  <c r="H347" i="34"/>
  <c r="E95" i="34"/>
  <c r="E155" i="6"/>
  <c r="K209" i="34"/>
  <c r="K218" i="6"/>
  <c r="E64" i="29"/>
  <c r="E70" i="29" s="1"/>
  <c r="E98" i="29" s="1"/>
  <c r="E99" i="29" s="1"/>
  <c r="E102" i="29" s="1"/>
  <c r="E61" i="29"/>
  <c r="E62" i="29"/>
  <c r="D153" i="34"/>
  <c r="D30" i="35"/>
  <c r="I65" i="37"/>
  <c r="D62" i="37"/>
  <c r="D70" i="7"/>
  <c r="E63" i="37"/>
  <c r="D207" i="34"/>
  <c r="D216" i="6"/>
  <c r="K267" i="39"/>
  <c r="J264" i="39"/>
  <c r="K135" i="40"/>
  <c r="F138" i="40"/>
  <c r="G140" i="40"/>
  <c r="F141" i="4" a="1"/>
  <c r="F141" i="4" s="1"/>
  <c r="F133" i="40"/>
  <c r="I278" i="39"/>
  <c r="J273" i="39"/>
  <c r="C71" i="39"/>
  <c r="G74" i="39"/>
  <c r="D60" i="40"/>
  <c r="D64" i="4"/>
  <c r="D64" i="40" s="1"/>
  <c r="D61" i="4"/>
  <c r="D61" i="40" s="1"/>
  <c r="D62" i="4"/>
  <c r="D62" i="40" s="1"/>
  <c r="I206" i="34"/>
  <c r="I215" i="6"/>
  <c r="D151" i="29" a="1"/>
  <c r="D141" i="29" a="1"/>
  <c r="D141" i="29" s="1"/>
  <c r="H141" i="29" a="1"/>
  <c r="H141" i="29" s="1"/>
  <c r="C211" i="6"/>
  <c r="C202" i="34"/>
  <c r="I254" i="39"/>
  <c r="G254" i="39"/>
  <c r="B257" i="39"/>
  <c r="B259" i="39"/>
  <c r="C55" i="39"/>
  <c r="C79" i="39"/>
  <c r="E83" i="39"/>
  <c r="H83" i="39"/>
  <c r="K81" i="39"/>
  <c r="K204" i="34"/>
  <c r="K213" i="6"/>
  <c r="D208" i="34"/>
  <c r="D217" i="6"/>
  <c r="F43" i="29"/>
  <c r="C70" i="35"/>
  <c r="I70" i="35"/>
  <c r="F211" i="6"/>
  <c r="F202" i="34"/>
  <c r="J346" i="34"/>
  <c r="L350" i="34"/>
  <c r="I347" i="34"/>
  <c r="L353" i="34"/>
  <c r="C350" i="34"/>
  <c r="H348" i="34"/>
  <c r="H352" i="34"/>
  <c r="I348" i="34"/>
  <c r="D347" i="34"/>
  <c r="H353" i="34"/>
  <c r="E90" i="34"/>
  <c r="E150" i="6"/>
  <c r="E203" i="34"/>
  <c r="E212" i="6"/>
  <c r="E62" i="4"/>
  <c r="I30" i="35"/>
  <c r="K30" i="35"/>
  <c r="E30" i="35"/>
  <c r="H30" i="35"/>
  <c r="C161" i="29"/>
  <c r="C161" i="40" s="1"/>
  <c r="D164" i="4"/>
  <c r="D164" i="29"/>
  <c r="D64" i="37"/>
  <c r="I66" i="37"/>
  <c r="E70" i="7"/>
  <c r="E62" i="37"/>
  <c r="C69" i="37"/>
  <c r="J65" i="37"/>
  <c r="C65" i="37"/>
  <c r="J67" i="37"/>
  <c r="E66" i="37"/>
  <c r="J63" i="37"/>
  <c r="F63" i="37"/>
  <c r="F206" i="34"/>
  <c r="F215" i="6"/>
  <c r="E211" i="6"/>
  <c r="E202" i="34"/>
  <c r="K22" i="37"/>
  <c r="I266" i="39"/>
  <c r="I263" i="39"/>
  <c r="I269" i="39"/>
  <c r="C263" i="39"/>
  <c r="E269" i="39"/>
  <c r="B264" i="39"/>
  <c r="K268" i="39"/>
  <c r="B268" i="39"/>
  <c r="J266" i="39"/>
  <c r="E268" i="39"/>
  <c r="I134" i="40"/>
  <c r="H139" i="40"/>
  <c r="H135" i="40"/>
  <c r="G136" i="40"/>
  <c r="F140" i="40"/>
  <c r="J139" i="40"/>
  <c r="K139" i="40"/>
  <c r="B245" i="39"/>
  <c r="B281" i="8" a="1"/>
  <c r="B281" i="38" a="1"/>
  <c r="L206" i="34"/>
  <c r="L215" i="6"/>
  <c r="G22" i="37"/>
  <c r="D277" i="39"/>
  <c r="E275" i="39"/>
  <c r="G272" i="39"/>
  <c r="C275" i="39"/>
  <c r="E278" i="39"/>
  <c r="E67" i="39"/>
  <c r="B73" i="39"/>
  <c r="B103" i="38" a="1"/>
  <c r="B67" i="39"/>
  <c r="B103" i="8" a="1"/>
  <c r="D72" i="39"/>
  <c r="C74" i="39"/>
  <c r="D73" i="39"/>
  <c r="E69" i="39"/>
  <c r="D69" i="39"/>
  <c r="J73" i="39"/>
  <c r="G73" i="39"/>
  <c r="C205" i="34"/>
  <c r="C214" i="6"/>
  <c r="K203" i="34"/>
  <c r="K212" i="6"/>
  <c r="E141" i="29" a="1"/>
  <c r="E141" i="29" s="1"/>
  <c r="L141" i="29" a="1"/>
  <c r="L141" i="29" s="1"/>
  <c r="F60" i="4"/>
  <c r="F62" i="4" s="1"/>
  <c r="E261" i="39"/>
  <c r="H256" i="39"/>
  <c r="H259" i="39"/>
  <c r="C257" i="39"/>
  <c r="B260" i="39"/>
  <c r="I258" i="39"/>
  <c r="F208" i="34"/>
  <c r="F217" i="6"/>
  <c r="H52" i="39"/>
  <c r="B85" i="38" a="1"/>
  <c r="B49" i="39"/>
  <c r="B85" i="8" a="1"/>
  <c r="K49" i="39"/>
  <c r="H51" i="39"/>
  <c r="R191" i="4"/>
  <c r="G73" i="57"/>
  <c r="H60" i="57"/>
  <c r="K141" i="40" l="1"/>
  <c r="D105" i="37"/>
  <c r="D103" i="37"/>
  <c r="J43" i="7"/>
  <c r="J108" i="37"/>
  <c r="H105" i="37"/>
  <c r="F70" i="29"/>
  <c r="F98" i="29" s="1"/>
  <c r="F99" i="29" s="1"/>
  <c r="F102" i="29" s="1"/>
  <c r="M440" i="34"/>
  <c r="K107" i="37"/>
  <c r="I99" i="8"/>
  <c r="F62" i="40"/>
  <c r="D30" i="37"/>
  <c r="F108" i="37"/>
  <c r="D104" i="37"/>
  <c r="I30" i="37"/>
  <c r="I108" i="37"/>
  <c r="G30" i="37"/>
  <c r="J30" i="37"/>
  <c r="I96" i="8"/>
  <c r="I104" i="37"/>
  <c r="D48" i="7"/>
  <c r="E94" i="8"/>
  <c r="J42" i="7"/>
  <c r="J46" i="7"/>
  <c r="I47" i="7"/>
  <c r="F47" i="7"/>
  <c r="K44" i="7"/>
  <c r="E49" i="7"/>
  <c r="B98" i="8"/>
  <c r="K43" i="7"/>
  <c r="C109" i="37"/>
  <c r="B44" i="7"/>
  <c r="F30" i="37"/>
  <c r="D101" i="8"/>
  <c r="I95" i="8"/>
  <c r="K95" i="8"/>
  <c r="K94" i="8"/>
  <c r="C99" i="8"/>
  <c r="C98" i="8"/>
  <c r="C98" i="39" s="1"/>
  <c r="J95" i="8"/>
  <c r="H98" i="8"/>
  <c r="H108" i="37"/>
  <c r="E47" i="7"/>
  <c r="C46" i="7"/>
  <c r="F45" i="7"/>
  <c r="K30" i="37"/>
  <c r="B97" i="8"/>
  <c r="B97" i="39" s="1"/>
  <c r="G51" i="29"/>
  <c r="H51" i="29" s="1"/>
  <c r="I100" i="8"/>
  <c r="J98" i="8"/>
  <c r="G96" i="8"/>
  <c r="G107" i="37"/>
  <c r="H109" i="37"/>
  <c r="D108" i="37"/>
  <c r="F109" i="37"/>
  <c r="G45" i="7"/>
  <c r="J48" i="7"/>
  <c r="I42" i="7"/>
  <c r="I44" i="7"/>
  <c r="F44" i="7"/>
  <c r="B42" i="7"/>
  <c r="D46" i="7"/>
  <c r="B46" i="7"/>
  <c r="I48" i="7"/>
  <c r="B49" i="7"/>
  <c r="H48" i="7"/>
  <c r="E46" i="7"/>
  <c r="B99" i="8"/>
  <c r="G100" i="8"/>
  <c r="G44" i="7"/>
  <c r="B101" i="8"/>
  <c r="E97" i="8"/>
  <c r="K100" i="8"/>
  <c r="J96" i="8"/>
  <c r="H103" i="37"/>
  <c r="D43" i="7"/>
  <c r="C43" i="7"/>
  <c r="E43" i="7"/>
  <c r="E42" i="7"/>
  <c r="I43" i="7"/>
  <c r="F48" i="7"/>
  <c r="F43" i="7"/>
  <c r="H47" i="7"/>
  <c r="J49" i="7"/>
  <c r="D49" i="7"/>
  <c r="B100" i="8"/>
  <c r="E44" i="7"/>
  <c r="C47" i="7"/>
  <c r="I45" i="7"/>
  <c r="G43" i="7"/>
  <c r="H45" i="7"/>
  <c r="K46" i="7"/>
  <c r="B95" i="8"/>
  <c r="H100" i="8"/>
  <c r="K101" i="8"/>
  <c r="E96" i="8"/>
  <c r="G46" i="7"/>
  <c r="B45" i="7"/>
  <c r="K49" i="7"/>
  <c r="D45" i="7"/>
  <c r="B43" i="7"/>
  <c r="H43" i="7"/>
  <c r="J45" i="7"/>
  <c r="H44" i="7"/>
  <c r="C48" i="7"/>
  <c r="C45" i="7"/>
  <c r="E119" i="40"/>
  <c r="C49" i="7"/>
  <c r="D47" i="7"/>
  <c r="E48" i="7"/>
  <c r="H42" i="7"/>
  <c r="G42" i="7"/>
  <c r="K48" i="7"/>
  <c r="E45" i="7"/>
  <c r="I46" i="7"/>
  <c r="B96" i="8"/>
  <c r="J99" i="8"/>
  <c r="I101" i="8"/>
  <c r="H94" i="8"/>
  <c r="E105" i="37"/>
  <c r="I49" i="7"/>
  <c r="H46" i="7"/>
  <c r="J44" i="7"/>
  <c r="F49" i="7"/>
  <c r="D44" i="7"/>
  <c r="C42" i="7"/>
  <c r="D42" i="7"/>
  <c r="B47" i="7"/>
  <c r="G47" i="7"/>
  <c r="K42" i="7"/>
  <c r="D94" i="8"/>
  <c r="J97" i="8"/>
  <c r="K98" i="8"/>
  <c r="B106" i="37"/>
  <c r="K104" i="37"/>
  <c r="J47" i="7"/>
  <c r="K47" i="7"/>
  <c r="G49" i="7"/>
  <c r="B48" i="7"/>
  <c r="H49" i="7"/>
  <c r="G48" i="7"/>
  <c r="F42" i="7"/>
  <c r="C44" i="7"/>
  <c r="K45" i="7"/>
  <c r="J101" i="38"/>
  <c r="E94" i="38"/>
  <c r="H97" i="38"/>
  <c r="D97" i="38"/>
  <c r="F94" i="38"/>
  <c r="D96" i="38"/>
  <c r="I101" i="38"/>
  <c r="K95" i="38"/>
  <c r="B108" i="37"/>
  <c r="G94" i="38"/>
  <c r="C97" i="38"/>
  <c r="H94" i="38"/>
  <c r="F97" i="38"/>
  <c r="D99" i="38"/>
  <c r="H96" i="38"/>
  <c r="H96" i="39" s="1"/>
  <c r="D100" i="38"/>
  <c r="F101" i="38"/>
  <c r="G101" i="38"/>
  <c r="B30" i="37"/>
  <c r="G97" i="38"/>
  <c r="C108" i="37"/>
  <c r="D98" i="38"/>
  <c r="K99" i="38"/>
  <c r="G98" i="38"/>
  <c r="H100" i="38"/>
  <c r="C95" i="38"/>
  <c r="E98" i="38"/>
  <c r="K96" i="38"/>
  <c r="F99" i="38"/>
  <c r="D101" i="38"/>
  <c r="F98" i="38"/>
  <c r="I97" i="38"/>
  <c r="C100" i="38"/>
  <c r="E97" i="38"/>
  <c r="H99" i="38"/>
  <c r="K108" i="37"/>
  <c r="H95" i="38"/>
  <c r="K97" i="38"/>
  <c r="J98" i="38"/>
  <c r="D95" i="38"/>
  <c r="G95" i="38"/>
  <c r="I96" i="38"/>
  <c r="G96" i="38"/>
  <c r="K98" i="38"/>
  <c r="I100" i="38"/>
  <c r="I95" i="38"/>
  <c r="E100" i="38"/>
  <c r="K94" i="38"/>
  <c r="J97" i="38"/>
  <c r="J95" i="38"/>
  <c r="K103" i="37"/>
  <c r="C96" i="38"/>
  <c r="I98" i="38"/>
  <c r="K101" i="38"/>
  <c r="J99" i="38"/>
  <c r="F95" i="38"/>
  <c r="J100" i="38"/>
  <c r="C94" i="38"/>
  <c r="H98" i="38"/>
  <c r="F96" i="38"/>
  <c r="E99" i="38"/>
  <c r="E95" i="38"/>
  <c r="I94" i="38"/>
  <c r="F100" i="38"/>
  <c r="I99" i="38"/>
  <c r="E101" i="38"/>
  <c r="H101" i="38"/>
  <c r="D94" i="38"/>
  <c r="J94" i="38"/>
  <c r="K100" i="38"/>
  <c r="C99" i="38"/>
  <c r="C101" i="38"/>
  <c r="G100" i="38"/>
  <c r="J96" i="38"/>
  <c r="J96" i="39" s="1"/>
  <c r="G99" i="38"/>
  <c r="E96" i="38"/>
  <c r="H30" i="37"/>
  <c r="H99" i="8"/>
  <c r="D96" i="8"/>
  <c r="I97" i="8"/>
  <c r="C96" i="8"/>
  <c r="G98" i="8"/>
  <c r="F95" i="8"/>
  <c r="G99" i="8"/>
  <c r="D99" i="8"/>
  <c r="E95" i="8"/>
  <c r="C105" i="37"/>
  <c r="E30" i="37"/>
  <c r="F97" i="8"/>
  <c r="C101" i="8"/>
  <c r="E100" i="8"/>
  <c r="F99" i="8"/>
  <c r="H97" i="8"/>
  <c r="G101" i="8"/>
  <c r="K96" i="8"/>
  <c r="C97" i="8"/>
  <c r="C95" i="8"/>
  <c r="K109" i="37"/>
  <c r="B99" i="38"/>
  <c r="B100" i="38"/>
  <c r="C100" i="8"/>
  <c r="I94" i="8"/>
  <c r="D100" i="8"/>
  <c r="G97" i="8"/>
  <c r="D97" i="8"/>
  <c r="E99" i="8"/>
  <c r="G95" i="8"/>
  <c r="F101" i="8"/>
  <c r="E98" i="8"/>
  <c r="B96" i="38"/>
  <c r="B101" i="38"/>
  <c r="I110" i="35"/>
  <c r="G110" i="35"/>
  <c r="E110" i="35"/>
  <c r="G94" i="8"/>
  <c r="D95" i="8"/>
  <c r="J94" i="8"/>
  <c r="J100" i="8"/>
  <c r="C94" i="8"/>
  <c r="F100" i="8"/>
  <c r="J101" i="8"/>
  <c r="F98" i="8"/>
  <c r="F94" i="8"/>
  <c r="F104" i="37"/>
  <c r="I109" i="37"/>
  <c r="B94" i="38"/>
  <c r="B94" i="39" s="1"/>
  <c r="H95" i="8"/>
  <c r="F96" i="8"/>
  <c r="D98" i="8"/>
  <c r="I98" i="8"/>
  <c r="K97" i="8"/>
  <c r="E101" i="8"/>
  <c r="K99" i="8"/>
  <c r="H101" i="8"/>
  <c r="C30" i="37"/>
  <c r="B95" i="38"/>
  <c r="B98" i="38"/>
  <c r="C110" i="35"/>
  <c r="J107" i="37"/>
  <c r="I107" i="37"/>
  <c r="G105" i="37"/>
  <c r="B105" i="37"/>
  <c r="K105" i="37"/>
  <c r="H107" i="37"/>
  <c r="J104" i="37"/>
  <c r="J103" i="37"/>
  <c r="F103" i="37"/>
  <c r="E107" i="37"/>
  <c r="E106" i="37"/>
  <c r="K106" i="37"/>
  <c r="J110" i="35"/>
  <c r="H110" i="35"/>
  <c r="F105" i="37"/>
  <c r="F110" i="35"/>
  <c r="G60" i="4"/>
  <c r="G62" i="4" s="1"/>
  <c r="F141" i="40"/>
  <c r="J109" i="37"/>
  <c r="C107" i="37"/>
  <c r="D107" i="37"/>
  <c r="E108" i="37"/>
  <c r="D106" i="37"/>
  <c r="C106" i="37"/>
  <c r="B109" i="37"/>
  <c r="F106" i="37"/>
  <c r="B110" i="35"/>
  <c r="B104" i="37"/>
  <c r="G109" i="37"/>
  <c r="I105" i="37"/>
  <c r="D109" i="37"/>
  <c r="E104" i="37"/>
  <c r="H70" i="37"/>
  <c r="D110" i="35"/>
  <c r="H106" i="37"/>
  <c r="G108" i="37"/>
  <c r="G106" i="37"/>
  <c r="E103" i="37"/>
  <c r="J73" i="4"/>
  <c r="I73" i="40"/>
  <c r="E59" i="59"/>
  <c r="D59" i="60"/>
  <c r="E125" i="4"/>
  <c r="D127" i="40"/>
  <c r="D128" i="4"/>
  <c r="E64" i="40"/>
  <c r="G104" i="37"/>
  <c r="J106" i="37"/>
  <c r="C70" i="37"/>
  <c r="J70" i="37"/>
  <c r="I141" i="40"/>
  <c r="E58" i="59"/>
  <c r="D58" i="60"/>
  <c r="E60" i="59"/>
  <c r="D60" i="60"/>
  <c r="E61" i="59"/>
  <c r="D61" i="60"/>
  <c r="E127" i="34"/>
  <c r="F127" i="6"/>
  <c r="I106" i="37"/>
  <c r="F107" i="37"/>
  <c r="J105" i="37"/>
  <c r="B70" i="37"/>
  <c r="E62" i="59"/>
  <c r="D62" i="60"/>
  <c r="E63" i="59"/>
  <c r="D63" i="60"/>
  <c r="G114" i="29"/>
  <c r="H111" i="29"/>
  <c r="H113" i="29" s="1"/>
  <c r="C103" i="37"/>
  <c r="E64" i="59"/>
  <c r="D64" i="60"/>
  <c r="K110" i="35"/>
  <c r="F115" i="29"/>
  <c r="F117" i="29"/>
  <c r="E70" i="37"/>
  <c r="G103" i="37"/>
  <c r="C104" i="37"/>
  <c r="H104" i="37"/>
  <c r="B103" i="37"/>
  <c r="E62" i="40"/>
  <c r="I103" i="37"/>
  <c r="E109" i="37"/>
  <c r="E68" i="29"/>
  <c r="E76" i="29" s="1"/>
  <c r="E85" i="29" s="1"/>
  <c r="E65" i="59"/>
  <c r="D65" i="60"/>
  <c r="G44" i="4"/>
  <c r="G45" i="4"/>
  <c r="H43" i="4"/>
  <c r="F52" i="4"/>
  <c r="F51" i="40"/>
  <c r="K110" i="7"/>
  <c r="K102" i="37"/>
  <c r="G110" i="7"/>
  <c r="G102" i="37"/>
  <c r="D211" i="34"/>
  <c r="D229" i="6"/>
  <c r="E218" i="34"/>
  <c r="E236" i="6"/>
  <c r="H229" i="6"/>
  <c r="H211" i="34"/>
  <c r="D236" i="6"/>
  <c r="D218" i="34"/>
  <c r="G232" i="6"/>
  <c r="G214" i="34"/>
  <c r="J231" i="6"/>
  <c r="J213" i="34"/>
  <c r="E231" i="6"/>
  <c r="E213" i="34"/>
  <c r="L236" i="6"/>
  <c r="L218" i="34"/>
  <c r="E152" i="34"/>
  <c r="B113" i="8"/>
  <c r="B119" i="8"/>
  <c r="B115" i="8"/>
  <c r="B112" i="8"/>
  <c r="B114" i="8"/>
  <c r="B118" i="8"/>
  <c r="B117" i="8"/>
  <c r="B116" i="8"/>
  <c r="H232" i="6"/>
  <c r="H214" i="34"/>
  <c r="L141" i="40"/>
  <c r="B313" i="8"/>
  <c r="J309" i="8"/>
  <c r="B314" i="8"/>
  <c r="G315" i="8"/>
  <c r="E311" i="8"/>
  <c r="D315" i="8"/>
  <c r="D308" i="8"/>
  <c r="I308" i="8"/>
  <c r="I309" i="8"/>
  <c r="J308" i="8"/>
  <c r="J311" i="8"/>
  <c r="B311" i="8"/>
  <c r="E315" i="8"/>
  <c r="B315" i="8"/>
  <c r="K311" i="8"/>
  <c r="G308" i="8"/>
  <c r="H308" i="8"/>
  <c r="I315" i="8"/>
  <c r="G310" i="8"/>
  <c r="D313" i="8"/>
  <c r="D309" i="8"/>
  <c r="C312" i="8"/>
  <c r="H313" i="8"/>
  <c r="F315" i="8"/>
  <c r="D311" i="8"/>
  <c r="E312" i="8"/>
  <c r="F313" i="8"/>
  <c r="B308" i="8"/>
  <c r="H312" i="8"/>
  <c r="I314" i="8"/>
  <c r="D312" i="8"/>
  <c r="E308" i="8"/>
  <c r="F312" i="8"/>
  <c r="K314" i="8"/>
  <c r="G312" i="8"/>
  <c r="E309" i="8"/>
  <c r="C311" i="8"/>
  <c r="C310" i="8"/>
  <c r="K308" i="8"/>
  <c r="G311" i="8"/>
  <c r="K315" i="8"/>
  <c r="H314" i="8"/>
  <c r="D310" i="8"/>
  <c r="G309" i="8"/>
  <c r="B310" i="8"/>
  <c r="G313" i="8"/>
  <c r="F314" i="8"/>
  <c r="J310" i="8"/>
  <c r="J312" i="8"/>
  <c r="I310" i="8"/>
  <c r="K310" i="8"/>
  <c r="E310" i="8"/>
  <c r="B309" i="8"/>
  <c r="H311" i="8"/>
  <c r="K312" i="8"/>
  <c r="J315" i="8"/>
  <c r="I311" i="8"/>
  <c r="H310" i="8"/>
  <c r="H315" i="8"/>
  <c r="I313" i="8"/>
  <c r="J313" i="8"/>
  <c r="G314" i="8"/>
  <c r="C308" i="8"/>
  <c r="H309" i="8"/>
  <c r="E314" i="8"/>
  <c r="K309" i="8"/>
  <c r="B312" i="8"/>
  <c r="I312" i="8"/>
  <c r="K313" i="8"/>
  <c r="C315" i="8"/>
  <c r="F311" i="8"/>
  <c r="J314" i="8"/>
  <c r="F310" i="8"/>
  <c r="C314" i="8"/>
  <c r="C313" i="8"/>
  <c r="F308" i="8"/>
  <c r="F309" i="8"/>
  <c r="C309" i="8"/>
  <c r="D314" i="8"/>
  <c r="E313" i="8"/>
  <c r="D234" i="6"/>
  <c r="D216" i="34"/>
  <c r="B115" i="38"/>
  <c r="B118" i="38"/>
  <c r="B116" i="38"/>
  <c r="B114" i="38"/>
  <c r="B117" i="38"/>
  <c r="B113" i="38"/>
  <c r="B119" i="38"/>
  <c r="B112" i="38"/>
  <c r="G86" i="8"/>
  <c r="H85" i="8"/>
  <c r="C85" i="8"/>
  <c r="E91" i="8"/>
  <c r="E85" i="8"/>
  <c r="K89" i="8"/>
  <c r="E92" i="8"/>
  <c r="E87" i="8"/>
  <c r="G90" i="8"/>
  <c r="D89" i="8"/>
  <c r="C89" i="8"/>
  <c r="G85" i="8"/>
  <c r="J86" i="8"/>
  <c r="D86" i="8"/>
  <c r="H91" i="8"/>
  <c r="I86" i="8"/>
  <c r="C90" i="8"/>
  <c r="F88" i="8"/>
  <c r="D90" i="8"/>
  <c r="I90" i="8"/>
  <c r="J89" i="8"/>
  <c r="J91" i="8"/>
  <c r="F85" i="8"/>
  <c r="J85" i="8"/>
  <c r="J88" i="8"/>
  <c r="F90" i="8"/>
  <c r="I89" i="8"/>
  <c r="H92" i="8"/>
  <c r="F89" i="8"/>
  <c r="I92" i="8"/>
  <c r="C88" i="8"/>
  <c r="G89" i="8"/>
  <c r="D92" i="8"/>
  <c r="I85" i="8"/>
  <c r="I88" i="8"/>
  <c r="E88" i="8"/>
  <c r="C91" i="8"/>
  <c r="I87" i="8"/>
  <c r="K88" i="8"/>
  <c r="G87" i="8"/>
  <c r="I91" i="8"/>
  <c r="D88" i="8"/>
  <c r="F86" i="8"/>
  <c r="E89" i="8"/>
  <c r="K87" i="8"/>
  <c r="K91" i="8"/>
  <c r="E86" i="8"/>
  <c r="C87" i="8"/>
  <c r="G88" i="8"/>
  <c r="F91" i="8"/>
  <c r="K92" i="8"/>
  <c r="K85" i="8"/>
  <c r="H89" i="8"/>
  <c r="E90" i="8"/>
  <c r="C92" i="8"/>
  <c r="D91" i="8"/>
  <c r="F92" i="8"/>
  <c r="D87" i="8"/>
  <c r="C86" i="8"/>
  <c r="J87" i="8"/>
  <c r="J90" i="8"/>
  <c r="K86" i="8"/>
  <c r="G92" i="8"/>
  <c r="H86" i="8"/>
  <c r="F87" i="8"/>
  <c r="J92" i="8"/>
  <c r="H90" i="8"/>
  <c r="G91" i="8"/>
  <c r="D85" i="8"/>
  <c r="H88" i="8"/>
  <c r="K90" i="8"/>
  <c r="H87" i="8"/>
  <c r="E61" i="40"/>
  <c r="F128" i="29"/>
  <c r="F129" i="29" s="1"/>
  <c r="G125" i="29"/>
  <c r="G127" i="29" s="1"/>
  <c r="B102" i="37"/>
  <c r="B110" i="7"/>
  <c r="G65" i="58"/>
  <c r="F90" i="34"/>
  <c r="F150" i="6"/>
  <c r="K233" i="6"/>
  <c r="K215" i="34"/>
  <c r="C81" i="29"/>
  <c r="D80" i="29" a="1"/>
  <c r="D79" i="29" a="1"/>
  <c r="C78" i="29"/>
  <c r="C79" i="29"/>
  <c r="C80" i="29"/>
  <c r="D78" i="29" a="1"/>
  <c r="D81" i="29" a="1"/>
  <c r="E151" i="34"/>
  <c r="G229" i="6"/>
  <c r="G211" i="34"/>
  <c r="H233" i="6"/>
  <c r="H215" i="34"/>
  <c r="C236" i="6"/>
  <c r="C218" i="34"/>
  <c r="F236" i="6"/>
  <c r="F218" i="34"/>
  <c r="I234" i="6"/>
  <c r="I216" i="34"/>
  <c r="G63" i="58"/>
  <c r="D45" i="40"/>
  <c r="D68" i="4"/>
  <c r="D70" i="4"/>
  <c r="D52" i="40"/>
  <c r="B108" i="38"/>
  <c r="B103" i="38"/>
  <c r="B106" i="38"/>
  <c r="B104" i="38"/>
  <c r="B107" i="38"/>
  <c r="B105" i="38"/>
  <c r="B109" i="38"/>
  <c r="B110" i="38"/>
  <c r="D166" i="29"/>
  <c r="F44" i="29"/>
  <c r="F67" i="29" s="1"/>
  <c r="F75" i="29" s="1"/>
  <c r="F45" i="29"/>
  <c r="F68" i="29" s="1"/>
  <c r="F76" i="29" s="1"/>
  <c r="G43" i="29"/>
  <c r="C211" i="34"/>
  <c r="C229" i="6"/>
  <c r="L217" i="34"/>
  <c r="L235" i="6"/>
  <c r="F92" i="34"/>
  <c r="F152" i="6"/>
  <c r="I191" i="4"/>
  <c r="H191" i="40"/>
  <c r="G92" i="6"/>
  <c r="G95" i="6"/>
  <c r="G94" i="6"/>
  <c r="G89" i="6"/>
  <c r="G90" i="6"/>
  <c r="G91" i="6"/>
  <c r="G88" i="6"/>
  <c r="G93" i="6"/>
  <c r="L214" i="34"/>
  <c r="L232" i="6"/>
  <c r="L231" i="6"/>
  <c r="L213" i="34"/>
  <c r="E154" i="34"/>
  <c r="F70" i="37"/>
  <c r="G215" i="34"/>
  <c r="G233" i="6"/>
  <c r="K216" i="34"/>
  <c r="K234" i="6"/>
  <c r="I70" i="37"/>
  <c r="J230" i="6"/>
  <c r="J212" i="34"/>
  <c r="J217" i="34"/>
  <c r="J235" i="6"/>
  <c r="E43" i="40"/>
  <c r="E44" i="4"/>
  <c r="G58" i="58"/>
  <c r="K211" i="34"/>
  <c r="K229" i="6"/>
  <c r="K308" i="38"/>
  <c r="H309" i="38"/>
  <c r="G310" i="38"/>
  <c r="B310" i="38"/>
  <c r="G314" i="38"/>
  <c r="C312" i="38"/>
  <c r="F308" i="38"/>
  <c r="E309" i="38"/>
  <c r="E310" i="38"/>
  <c r="C308" i="38"/>
  <c r="E314" i="38"/>
  <c r="F309" i="38"/>
  <c r="H315" i="38"/>
  <c r="K312" i="38"/>
  <c r="E311" i="38"/>
  <c r="J309" i="38"/>
  <c r="E308" i="38"/>
  <c r="G315" i="38"/>
  <c r="G309" i="38"/>
  <c r="K315" i="38"/>
  <c r="J312" i="38"/>
  <c r="D314" i="38"/>
  <c r="F314" i="38"/>
  <c r="D313" i="38"/>
  <c r="G312" i="38"/>
  <c r="B314" i="38"/>
  <c r="J314" i="38"/>
  <c r="B309" i="38"/>
  <c r="B315" i="38"/>
  <c r="G308" i="38"/>
  <c r="K309" i="38"/>
  <c r="F315" i="38"/>
  <c r="C313" i="38"/>
  <c r="D309" i="38"/>
  <c r="K311" i="38"/>
  <c r="D315" i="38"/>
  <c r="J315" i="38"/>
  <c r="J311" i="38"/>
  <c r="E313" i="38"/>
  <c r="H308" i="38"/>
  <c r="E312" i="38"/>
  <c r="G311" i="38"/>
  <c r="B308" i="38"/>
  <c r="D311" i="38"/>
  <c r="C315" i="38"/>
  <c r="C309" i="38"/>
  <c r="B312" i="38"/>
  <c r="H311" i="38"/>
  <c r="B313" i="38"/>
  <c r="J313" i="38"/>
  <c r="B311" i="38"/>
  <c r="I312" i="38"/>
  <c r="E315" i="38"/>
  <c r="K313" i="38"/>
  <c r="I311" i="38"/>
  <c r="J308" i="38"/>
  <c r="F311" i="38"/>
  <c r="I313" i="38"/>
  <c r="K310" i="38"/>
  <c r="C310" i="38"/>
  <c r="I310" i="38"/>
  <c r="C314" i="38"/>
  <c r="J310" i="38"/>
  <c r="H312" i="38"/>
  <c r="H314" i="38"/>
  <c r="I309" i="38"/>
  <c r="D308" i="38"/>
  <c r="F310" i="38"/>
  <c r="I308" i="38"/>
  <c r="F313" i="38"/>
  <c r="I314" i="38"/>
  <c r="F312" i="38"/>
  <c r="I315" i="38"/>
  <c r="H310" i="38"/>
  <c r="D310" i="38"/>
  <c r="G313" i="38"/>
  <c r="H313" i="38"/>
  <c r="C311" i="38"/>
  <c r="D312" i="38"/>
  <c r="K314" i="38"/>
  <c r="G77" i="7"/>
  <c r="H79" i="7"/>
  <c r="I74" i="7"/>
  <c r="E74" i="7"/>
  <c r="K74" i="7"/>
  <c r="J73" i="7"/>
  <c r="B74" i="7"/>
  <c r="F72" i="7"/>
  <c r="K79" i="7"/>
  <c r="D79" i="7"/>
  <c r="E76" i="7"/>
  <c r="J74" i="7"/>
  <c r="G79" i="7"/>
  <c r="F74" i="7"/>
  <c r="J72" i="7"/>
  <c r="H77" i="7"/>
  <c r="J76" i="7"/>
  <c r="C77" i="7"/>
  <c r="E73" i="7"/>
  <c r="H74" i="7"/>
  <c r="C72" i="7"/>
  <c r="D74" i="7"/>
  <c r="D75" i="7"/>
  <c r="I73" i="7"/>
  <c r="E72" i="7"/>
  <c r="K73" i="7"/>
  <c r="B79" i="7"/>
  <c r="H72" i="7"/>
  <c r="K76" i="7"/>
  <c r="D78" i="7"/>
  <c r="C73" i="7"/>
  <c r="B77" i="7"/>
  <c r="B78" i="7"/>
  <c r="E77" i="7"/>
  <c r="J78" i="7"/>
  <c r="F77" i="7"/>
  <c r="D77" i="7"/>
  <c r="C75" i="7"/>
  <c r="H73" i="7"/>
  <c r="E78" i="7"/>
  <c r="I76" i="7"/>
  <c r="I77" i="7"/>
  <c r="C76" i="7"/>
  <c r="I75" i="7"/>
  <c r="C78" i="7"/>
  <c r="B73" i="7"/>
  <c r="B75" i="7"/>
  <c r="D73" i="7"/>
  <c r="G78" i="7"/>
  <c r="I78" i="7"/>
  <c r="H76" i="7"/>
  <c r="K78" i="7"/>
  <c r="K77" i="7"/>
  <c r="G74" i="7"/>
  <c r="F76" i="7"/>
  <c r="G72" i="7"/>
  <c r="F79" i="7"/>
  <c r="D72" i="7"/>
  <c r="I72" i="7"/>
  <c r="I79" i="7"/>
  <c r="E79" i="7"/>
  <c r="K72" i="7"/>
  <c r="F78" i="7"/>
  <c r="K75" i="7"/>
  <c r="D76" i="7"/>
  <c r="B76" i="7"/>
  <c r="C74" i="7"/>
  <c r="J77" i="7"/>
  <c r="J79" i="7"/>
  <c r="G73" i="7"/>
  <c r="C79" i="7"/>
  <c r="F75" i="7"/>
  <c r="H78" i="7"/>
  <c r="B72" i="7"/>
  <c r="F73" i="7"/>
  <c r="H75" i="7"/>
  <c r="G75" i="7"/>
  <c r="G76" i="7"/>
  <c r="J75" i="7"/>
  <c r="E75" i="7"/>
  <c r="E45" i="4"/>
  <c r="F43" i="40"/>
  <c r="F44" i="4"/>
  <c r="C119" i="38"/>
  <c r="G118" i="38"/>
  <c r="J117" i="38"/>
  <c r="J115" i="38"/>
  <c r="C113" i="38"/>
  <c r="H117" i="38"/>
  <c r="G112" i="38"/>
  <c r="F113" i="38"/>
  <c r="K116" i="38"/>
  <c r="F114" i="38"/>
  <c r="K114" i="38"/>
  <c r="E115" i="38"/>
  <c r="E112" i="38"/>
  <c r="I118" i="38"/>
  <c r="I113" i="38"/>
  <c r="G115" i="38"/>
  <c r="D115" i="38"/>
  <c r="D117" i="38"/>
  <c r="D113" i="38"/>
  <c r="I114" i="38"/>
  <c r="I112" i="38"/>
  <c r="C112" i="38"/>
  <c r="I117" i="38"/>
  <c r="F119" i="38"/>
  <c r="J119" i="38"/>
  <c r="E117" i="38"/>
  <c r="J116" i="38"/>
  <c r="J112" i="38"/>
  <c r="H115" i="38"/>
  <c r="G117" i="38"/>
  <c r="E114" i="38"/>
  <c r="K119" i="38"/>
  <c r="G113" i="38"/>
  <c r="C118" i="38"/>
  <c r="H112" i="38"/>
  <c r="I116" i="38"/>
  <c r="C116" i="38"/>
  <c r="H113" i="38"/>
  <c r="K112" i="38"/>
  <c r="H119" i="38"/>
  <c r="F117" i="38"/>
  <c r="K115" i="38"/>
  <c r="H114" i="38"/>
  <c r="D116" i="38"/>
  <c r="C115" i="38"/>
  <c r="C117" i="38"/>
  <c r="D114" i="38"/>
  <c r="H118" i="38"/>
  <c r="J113" i="38"/>
  <c r="G114" i="38"/>
  <c r="J114" i="38"/>
  <c r="K113" i="38"/>
  <c r="F112" i="38"/>
  <c r="G119" i="38"/>
  <c r="I115" i="38"/>
  <c r="E113" i="38"/>
  <c r="I119" i="38"/>
  <c r="K117" i="38"/>
  <c r="C114" i="38"/>
  <c r="E118" i="38"/>
  <c r="J118" i="38"/>
  <c r="E116" i="38"/>
  <c r="F118" i="38"/>
  <c r="K118" i="38"/>
  <c r="D118" i="38"/>
  <c r="D112" i="38"/>
  <c r="H116" i="38"/>
  <c r="G116" i="38"/>
  <c r="F116" i="38"/>
  <c r="F115" i="38"/>
  <c r="D119" i="38"/>
  <c r="E119" i="38"/>
  <c r="F45" i="4"/>
  <c r="B109" i="8"/>
  <c r="B105" i="8"/>
  <c r="B104" i="8"/>
  <c r="B106" i="8"/>
  <c r="B110" i="8"/>
  <c r="B107" i="8"/>
  <c r="B103" i="8"/>
  <c r="B108" i="8"/>
  <c r="F148" i="6"/>
  <c r="F88" i="34"/>
  <c r="G213" i="34"/>
  <c r="G231" i="6"/>
  <c r="D78" i="4" a="1"/>
  <c r="C79" i="4"/>
  <c r="C78" i="4"/>
  <c r="D80" i="4" a="1"/>
  <c r="D79" i="4" a="1"/>
  <c r="C81" i="4"/>
  <c r="D81" i="4" a="1"/>
  <c r="C80" i="4"/>
  <c r="B87" i="38"/>
  <c r="B88" i="38"/>
  <c r="B92" i="38"/>
  <c r="B86" i="38"/>
  <c r="B85" i="38"/>
  <c r="B91" i="38"/>
  <c r="B89" i="38"/>
  <c r="B90" i="38"/>
  <c r="L215" i="34"/>
  <c r="L233" i="6"/>
  <c r="E212" i="34"/>
  <c r="E230" i="6"/>
  <c r="D217" i="34"/>
  <c r="D235" i="6"/>
  <c r="D116" i="29"/>
  <c r="D105" i="29"/>
  <c r="F89" i="34"/>
  <c r="F149" i="6"/>
  <c r="G75" i="35"/>
  <c r="D72" i="35"/>
  <c r="J77" i="35"/>
  <c r="K74" i="35"/>
  <c r="K72" i="35"/>
  <c r="B75" i="35"/>
  <c r="E75" i="35"/>
  <c r="J74" i="35"/>
  <c r="F74" i="35"/>
  <c r="J79" i="35"/>
  <c r="K73" i="35"/>
  <c r="B72" i="35"/>
  <c r="C78" i="35"/>
  <c r="F72" i="35"/>
  <c r="J76" i="35"/>
  <c r="J75" i="35"/>
  <c r="B73" i="35"/>
  <c r="I77" i="35"/>
  <c r="E73" i="35"/>
  <c r="H78" i="35"/>
  <c r="I79" i="35"/>
  <c r="I78" i="35"/>
  <c r="D79" i="35"/>
  <c r="K77" i="35"/>
  <c r="K78" i="35"/>
  <c r="G72" i="35"/>
  <c r="H77" i="35"/>
  <c r="E79" i="35"/>
  <c r="D75" i="35"/>
  <c r="G73" i="35"/>
  <c r="E77" i="35"/>
  <c r="K76" i="35"/>
  <c r="C74" i="35"/>
  <c r="C72" i="35"/>
  <c r="E78" i="35"/>
  <c r="J73" i="35"/>
  <c r="J78" i="35"/>
  <c r="H79" i="35"/>
  <c r="I75" i="35"/>
  <c r="H74" i="35"/>
  <c r="K75" i="35"/>
  <c r="D74" i="35"/>
  <c r="I72" i="35"/>
  <c r="F76" i="35"/>
  <c r="H72" i="35"/>
  <c r="E76" i="35"/>
  <c r="G76" i="35"/>
  <c r="G79" i="35"/>
  <c r="H76" i="35"/>
  <c r="I76" i="35"/>
  <c r="E74" i="35"/>
  <c r="B78" i="35"/>
  <c r="B77" i="35"/>
  <c r="C77" i="35"/>
  <c r="J72" i="35"/>
  <c r="F73" i="35"/>
  <c r="D76" i="35"/>
  <c r="F75" i="35"/>
  <c r="C79" i="35"/>
  <c r="G74" i="35"/>
  <c r="E72" i="35"/>
  <c r="B79" i="35"/>
  <c r="D73" i="35"/>
  <c r="G78" i="35"/>
  <c r="D78" i="35"/>
  <c r="F77" i="35"/>
  <c r="H75" i="35"/>
  <c r="I73" i="35"/>
  <c r="C73" i="35"/>
  <c r="I74" i="35"/>
  <c r="C75" i="35"/>
  <c r="F78" i="35"/>
  <c r="K79" i="35"/>
  <c r="D77" i="35"/>
  <c r="B74" i="35"/>
  <c r="H73" i="35"/>
  <c r="B76" i="35"/>
  <c r="G77" i="35"/>
  <c r="C76" i="35"/>
  <c r="F79" i="35"/>
  <c r="F213" i="34"/>
  <c r="F231" i="6"/>
  <c r="G61" i="29"/>
  <c r="G64" i="29"/>
  <c r="G62" i="29"/>
  <c r="H60" i="29"/>
  <c r="E103" i="29"/>
  <c r="F93" i="34"/>
  <c r="F153" i="6"/>
  <c r="D231" i="6"/>
  <c r="D213" i="34"/>
  <c r="J236" i="6"/>
  <c r="J218" i="34"/>
  <c r="B44" i="35"/>
  <c r="F42" i="35"/>
  <c r="F46" i="35"/>
  <c r="F46" i="37" s="1"/>
  <c r="I42" i="35"/>
  <c r="G45" i="35"/>
  <c r="H46" i="35"/>
  <c r="J44" i="35"/>
  <c r="K48" i="35"/>
  <c r="E43" i="35"/>
  <c r="J47" i="35"/>
  <c r="H42" i="35"/>
  <c r="J46" i="35"/>
  <c r="D46" i="35"/>
  <c r="J42" i="35"/>
  <c r="K43" i="35"/>
  <c r="H45" i="35"/>
  <c r="I48" i="35"/>
  <c r="J43" i="35"/>
  <c r="I44" i="35"/>
  <c r="G44" i="35"/>
  <c r="F49" i="35"/>
  <c r="J49" i="35"/>
  <c r="C49" i="35"/>
  <c r="I46" i="35"/>
  <c r="G48" i="35"/>
  <c r="E45" i="35"/>
  <c r="E44" i="35"/>
  <c r="G46" i="35"/>
  <c r="I47" i="35"/>
  <c r="D44" i="35"/>
  <c r="D43" i="35"/>
  <c r="E48" i="35"/>
  <c r="D49" i="35"/>
  <c r="I49" i="35"/>
  <c r="H44" i="35"/>
  <c r="K49" i="35"/>
  <c r="H49" i="35"/>
  <c r="F47" i="35"/>
  <c r="B42" i="35"/>
  <c r="B49" i="35"/>
  <c r="B46" i="35"/>
  <c r="B48" i="35"/>
  <c r="C45" i="35"/>
  <c r="E49" i="35"/>
  <c r="C47" i="35"/>
  <c r="G43" i="35"/>
  <c r="G47" i="35"/>
  <c r="G42" i="35"/>
  <c r="I45" i="35"/>
  <c r="F44" i="35"/>
  <c r="G49" i="35"/>
  <c r="K44" i="35"/>
  <c r="B43" i="35"/>
  <c r="D42" i="35"/>
  <c r="C43" i="35"/>
  <c r="F45" i="35"/>
  <c r="E46" i="35"/>
  <c r="F48" i="35"/>
  <c r="K42" i="35"/>
  <c r="C46" i="35"/>
  <c r="K45" i="35"/>
  <c r="D47" i="35"/>
  <c r="H48" i="35"/>
  <c r="F43" i="35"/>
  <c r="C42" i="35"/>
  <c r="C44" i="35"/>
  <c r="J45" i="35"/>
  <c r="K46" i="35"/>
  <c r="H43" i="35"/>
  <c r="B45" i="35"/>
  <c r="D45" i="35"/>
  <c r="C48" i="35"/>
  <c r="B47" i="35"/>
  <c r="I43" i="35"/>
  <c r="K47" i="35"/>
  <c r="D48" i="35"/>
  <c r="J48" i="35"/>
  <c r="E47" i="35"/>
  <c r="H47" i="35"/>
  <c r="E42" i="35"/>
  <c r="G141" i="40"/>
  <c r="D141" i="40"/>
  <c r="I110" i="8"/>
  <c r="F103" i="8"/>
  <c r="E105" i="8"/>
  <c r="E103" i="8"/>
  <c r="G110" i="8"/>
  <c r="H109" i="8"/>
  <c r="F110" i="8"/>
  <c r="J109" i="8"/>
  <c r="K109" i="8"/>
  <c r="C107" i="8"/>
  <c r="H103" i="8"/>
  <c r="I107" i="8"/>
  <c r="D107" i="8"/>
  <c r="D110" i="8"/>
  <c r="J110" i="8"/>
  <c r="E109" i="8"/>
  <c r="K104" i="8"/>
  <c r="C103" i="8"/>
  <c r="K110" i="8"/>
  <c r="J104" i="8"/>
  <c r="I105" i="8"/>
  <c r="E104" i="8"/>
  <c r="I103" i="8"/>
  <c r="J107" i="8"/>
  <c r="G107" i="8"/>
  <c r="F107" i="8"/>
  <c r="K108" i="8"/>
  <c r="G103" i="8"/>
  <c r="I108" i="8"/>
  <c r="K106" i="8"/>
  <c r="H105" i="8"/>
  <c r="H110" i="8"/>
  <c r="D108" i="8"/>
  <c r="F108" i="8"/>
  <c r="E108" i="8"/>
  <c r="J103" i="8"/>
  <c r="F106" i="8"/>
  <c r="K107" i="8"/>
  <c r="H108" i="8"/>
  <c r="F109" i="8"/>
  <c r="C105" i="8"/>
  <c r="H106" i="8"/>
  <c r="I104" i="8"/>
  <c r="F105" i="8"/>
  <c r="H104" i="8"/>
  <c r="E106" i="8"/>
  <c r="C108" i="8"/>
  <c r="G104" i="8"/>
  <c r="G109" i="8"/>
  <c r="I109" i="8"/>
  <c r="J106" i="8"/>
  <c r="D109" i="8"/>
  <c r="J108" i="8"/>
  <c r="K103" i="8"/>
  <c r="G108" i="8"/>
  <c r="J105" i="8"/>
  <c r="E107" i="8"/>
  <c r="F104" i="8"/>
  <c r="E110" i="8"/>
  <c r="G105" i="8"/>
  <c r="D103" i="8"/>
  <c r="C106" i="8"/>
  <c r="H107" i="8"/>
  <c r="D106" i="8"/>
  <c r="D105" i="8"/>
  <c r="C110" i="8"/>
  <c r="I106" i="8"/>
  <c r="D104" i="8"/>
  <c r="C104" i="8"/>
  <c r="G106" i="8"/>
  <c r="C109" i="8"/>
  <c r="K105" i="8"/>
  <c r="B306" i="38"/>
  <c r="J305" i="38"/>
  <c r="D306" i="38"/>
  <c r="K299" i="38"/>
  <c r="I301" i="38"/>
  <c r="H300" i="38"/>
  <c r="D299" i="38"/>
  <c r="I306" i="38"/>
  <c r="I303" i="38"/>
  <c r="B304" i="38"/>
  <c r="C299" i="38"/>
  <c r="H302" i="38"/>
  <c r="G305" i="38"/>
  <c r="E302" i="38"/>
  <c r="H303" i="38"/>
  <c r="C304" i="38"/>
  <c r="I299" i="38"/>
  <c r="F301" i="38"/>
  <c r="E304" i="38"/>
  <c r="G300" i="38"/>
  <c r="I305" i="38"/>
  <c r="G303" i="38"/>
  <c r="F299" i="38"/>
  <c r="C302" i="38"/>
  <c r="C303" i="38"/>
  <c r="I302" i="38"/>
  <c r="K304" i="38"/>
  <c r="H305" i="38"/>
  <c r="K303" i="38"/>
  <c r="K302" i="38"/>
  <c r="J304" i="38"/>
  <c r="C305" i="38"/>
  <c r="F300" i="38"/>
  <c r="J299" i="38"/>
  <c r="I300" i="38"/>
  <c r="B305" i="38"/>
  <c r="C300" i="38"/>
  <c r="E303" i="38"/>
  <c r="F303" i="38"/>
  <c r="F305" i="38"/>
  <c r="D301" i="38"/>
  <c r="D302" i="38"/>
  <c r="J301" i="38"/>
  <c r="K306" i="38"/>
  <c r="F304" i="38"/>
  <c r="G301" i="38"/>
  <c r="G306" i="38"/>
  <c r="D300" i="38"/>
  <c r="C301" i="38"/>
  <c r="G302" i="38"/>
  <c r="I304" i="38"/>
  <c r="J300" i="38"/>
  <c r="B299" i="38"/>
  <c r="H304" i="38"/>
  <c r="K301" i="38"/>
  <c r="G299" i="38"/>
  <c r="J303" i="38"/>
  <c r="J302" i="38"/>
  <c r="G304" i="38"/>
  <c r="E305" i="38"/>
  <c r="D304" i="38"/>
  <c r="K300" i="38"/>
  <c r="B301" i="38"/>
  <c r="J306" i="38"/>
  <c r="B303" i="38"/>
  <c r="E301" i="38"/>
  <c r="H299" i="38"/>
  <c r="F306" i="38"/>
  <c r="H306" i="38"/>
  <c r="C306" i="38"/>
  <c r="B302" i="38"/>
  <c r="E300" i="38"/>
  <c r="E299" i="38"/>
  <c r="E306" i="38"/>
  <c r="B300" i="38"/>
  <c r="D305" i="38"/>
  <c r="D303" i="38"/>
  <c r="K305" i="38"/>
  <c r="H301" i="38"/>
  <c r="F302" i="38"/>
  <c r="G62" i="58"/>
  <c r="M141" i="40"/>
  <c r="G51" i="4"/>
  <c r="J214" i="34"/>
  <c r="J232" i="6"/>
  <c r="F94" i="34"/>
  <c r="F154" i="6"/>
  <c r="H213" i="34"/>
  <c r="H231" i="6"/>
  <c r="E52" i="4"/>
  <c r="E51" i="40"/>
  <c r="E234" i="6"/>
  <c r="E216" i="34"/>
  <c r="F234" i="6"/>
  <c r="F216" i="34"/>
  <c r="I301" i="8"/>
  <c r="B300" i="8"/>
  <c r="D306" i="8"/>
  <c r="B306" i="8"/>
  <c r="C302" i="8"/>
  <c r="D300" i="8"/>
  <c r="B302" i="8"/>
  <c r="K299" i="8"/>
  <c r="B305" i="8"/>
  <c r="E306" i="8"/>
  <c r="F300" i="8"/>
  <c r="C303" i="8"/>
  <c r="D301" i="8"/>
  <c r="C304" i="8"/>
  <c r="J301" i="8"/>
  <c r="D303" i="8"/>
  <c r="K303" i="8"/>
  <c r="E300" i="8"/>
  <c r="H299" i="8"/>
  <c r="B303" i="8"/>
  <c r="I304" i="8"/>
  <c r="K305" i="8"/>
  <c r="H303" i="8"/>
  <c r="I300" i="8"/>
  <c r="F299" i="8"/>
  <c r="F305" i="8"/>
  <c r="G303" i="8"/>
  <c r="J299" i="8"/>
  <c r="D304" i="8"/>
  <c r="G306" i="8"/>
  <c r="F304" i="8"/>
  <c r="F303" i="8"/>
  <c r="E304" i="8"/>
  <c r="H300" i="8"/>
  <c r="E305" i="8"/>
  <c r="G305" i="8"/>
  <c r="C305" i="8"/>
  <c r="J305" i="8"/>
  <c r="C299" i="8"/>
  <c r="D302" i="8"/>
  <c r="I303" i="8"/>
  <c r="J304" i="8"/>
  <c r="J302" i="8"/>
  <c r="B299" i="8"/>
  <c r="E301" i="8"/>
  <c r="F301" i="8"/>
  <c r="J306" i="8"/>
  <c r="E302" i="8"/>
  <c r="I302" i="8"/>
  <c r="I305" i="8"/>
  <c r="H302" i="8"/>
  <c r="G299" i="8"/>
  <c r="K304" i="8"/>
  <c r="C306" i="8"/>
  <c r="C301" i="8"/>
  <c r="C300" i="8"/>
  <c r="J300" i="8"/>
  <c r="I306" i="8"/>
  <c r="K306" i="8"/>
  <c r="K302" i="8"/>
  <c r="G302" i="8"/>
  <c r="K300" i="8"/>
  <c r="G304" i="8"/>
  <c r="H301" i="8"/>
  <c r="J303" i="8"/>
  <c r="G301" i="8"/>
  <c r="H304" i="8"/>
  <c r="D305" i="8"/>
  <c r="G300" i="8"/>
  <c r="E299" i="8"/>
  <c r="E303" i="8"/>
  <c r="K301" i="8"/>
  <c r="H306" i="8"/>
  <c r="F306" i="8"/>
  <c r="I299" i="8"/>
  <c r="H305" i="8"/>
  <c r="B304" i="8"/>
  <c r="D299" i="8"/>
  <c r="B301" i="8"/>
  <c r="F302" i="8"/>
  <c r="L211" i="34"/>
  <c r="L229" i="6"/>
  <c r="L230" i="6"/>
  <c r="L212" i="34"/>
  <c r="C102" i="37"/>
  <c r="C110" i="7"/>
  <c r="F110" i="7"/>
  <c r="F102" i="37"/>
  <c r="H110" i="7"/>
  <c r="H102" i="37"/>
  <c r="F217" i="34"/>
  <c r="F235" i="6"/>
  <c r="F282" i="38"/>
  <c r="E282" i="38"/>
  <c r="J288" i="38"/>
  <c r="G288" i="38"/>
  <c r="B287" i="38"/>
  <c r="K286" i="38"/>
  <c r="I287" i="38"/>
  <c r="K283" i="38"/>
  <c r="G284" i="38"/>
  <c r="I288" i="38"/>
  <c r="B285" i="38"/>
  <c r="I285" i="38"/>
  <c r="F287" i="38"/>
  <c r="D284" i="38"/>
  <c r="D287" i="38"/>
  <c r="B281" i="38"/>
  <c r="H282" i="38"/>
  <c r="F281" i="38"/>
  <c r="F288" i="38"/>
  <c r="B286" i="38"/>
  <c r="C284" i="38"/>
  <c r="K288" i="38"/>
  <c r="C288" i="38"/>
  <c r="E283" i="38"/>
  <c r="C282" i="38"/>
  <c r="B284" i="38"/>
  <c r="E286" i="38"/>
  <c r="H286" i="38"/>
  <c r="G285" i="38"/>
  <c r="J286" i="38"/>
  <c r="B283" i="38"/>
  <c r="G282" i="38"/>
  <c r="G283" i="38"/>
  <c r="C286" i="38"/>
  <c r="H284" i="38"/>
  <c r="G286" i="38"/>
  <c r="D286" i="38"/>
  <c r="E285" i="38"/>
  <c r="H283" i="38"/>
  <c r="E288" i="38"/>
  <c r="E287" i="38"/>
  <c r="J281" i="38"/>
  <c r="F286" i="38"/>
  <c r="H287" i="38"/>
  <c r="I283" i="38"/>
  <c r="C287" i="38"/>
  <c r="D282" i="38"/>
  <c r="E281" i="38"/>
  <c r="K287" i="38"/>
  <c r="F285" i="38"/>
  <c r="F283" i="38"/>
  <c r="C283" i="38"/>
  <c r="J282" i="38"/>
  <c r="B282" i="38"/>
  <c r="C285" i="38"/>
  <c r="B288" i="38"/>
  <c r="K281" i="38"/>
  <c r="D285" i="38"/>
  <c r="J283" i="38"/>
  <c r="H288" i="38"/>
  <c r="I286" i="38"/>
  <c r="D283" i="38"/>
  <c r="G281" i="38"/>
  <c r="K284" i="38"/>
  <c r="K282" i="38"/>
  <c r="H285" i="38"/>
  <c r="F284" i="38"/>
  <c r="H281" i="38"/>
  <c r="I282" i="38"/>
  <c r="I281" i="38"/>
  <c r="J285" i="38"/>
  <c r="K285" i="38"/>
  <c r="D288" i="38"/>
  <c r="J287" i="38"/>
  <c r="D281" i="38"/>
  <c r="J284" i="38"/>
  <c r="I284" i="38"/>
  <c r="E284" i="38"/>
  <c r="C281" i="38"/>
  <c r="G287" i="38"/>
  <c r="F233" i="6"/>
  <c r="F215" i="34"/>
  <c r="E150" i="34"/>
  <c r="K213" i="34"/>
  <c r="K231" i="6"/>
  <c r="K218" i="34"/>
  <c r="K236" i="6"/>
  <c r="C213" i="34"/>
  <c r="C231" i="6"/>
  <c r="E215" i="34"/>
  <c r="E233" i="6"/>
  <c r="C216" i="34"/>
  <c r="C234" i="6"/>
  <c r="J102" i="37"/>
  <c r="J110" i="7"/>
  <c r="G230" i="6"/>
  <c r="G212" i="34"/>
  <c r="F91" i="34"/>
  <c r="F151" i="6"/>
  <c r="G61" i="58"/>
  <c r="G217" i="34"/>
  <c r="G235" i="6"/>
  <c r="F212" i="34"/>
  <c r="F230" i="6"/>
  <c r="E67" i="29"/>
  <c r="E75" i="29" s="1"/>
  <c r="E210" i="29" s="1"/>
  <c r="E211" i="29" s="1"/>
  <c r="H235" i="6"/>
  <c r="H217" i="34"/>
  <c r="E141" i="40"/>
  <c r="G216" i="34"/>
  <c r="G234" i="6"/>
  <c r="L234" i="6"/>
  <c r="L216" i="34"/>
  <c r="I153" i="4"/>
  <c r="M158" i="4"/>
  <c r="I157" i="4"/>
  <c r="L154" i="4"/>
  <c r="F157" i="4"/>
  <c r="D155" i="4"/>
  <c r="H153" i="4"/>
  <c r="D154" i="4"/>
  <c r="K157" i="4"/>
  <c r="I155" i="4"/>
  <c r="G154" i="4"/>
  <c r="G151" i="4"/>
  <c r="J153" i="4"/>
  <c r="F152" i="4"/>
  <c r="F158" i="4"/>
  <c r="L151" i="4"/>
  <c r="G158" i="4"/>
  <c r="E154" i="4"/>
  <c r="G156" i="4"/>
  <c r="J156" i="4"/>
  <c r="J155" i="4"/>
  <c r="K155" i="4"/>
  <c r="H158" i="4"/>
  <c r="K153" i="4"/>
  <c r="K152" i="4"/>
  <c r="E155" i="4"/>
  <c r="F156" i="4"/>
  <c r="D151" i="4"/>
  <c r="E151" i="4"/>
  <c r="F153" i="4"/>
  <c r="H152" i="4"/>
  <c r="H155" i="4"/>
  <c r="F155" i="4"/>
  <c r="G152" i="4"/>
  <c r="E157" i="4"/>
  <c r="M154" i="4"/>
  <c r="M157" i="4"/>
  <c r="D156" i="4"/>
  <c r="L155" i="4"/>
  <c r="G153" i="4"/>
  <c r="L152" i="4"/>
  <c r="L153" i="4"/>
  <c r="H151" i="4"/>
  <c r="H157" i="4"/>
  <c r="M153" i="4"/>
  <c r="J157" i="4"/>
  <c r="L158" i="4"/>
  <c r="D158" i="4"/>
  <c r="I151" i="4"/>
  <c r="E153" i="4"/>
  <c r="E152" i="4"/>
  <c r="F154" i="4"/>
  <c r="K151" i="4"/>
  <c r="K154" i="4"/>
  <c r="M152" i="4"/>
  <c r="E156" i="4"/>
  <c r="J151" i="4"/>
  <c r="J154" i="4"/>
  <c r="J158" i="4"/>
  <c r="E158" i="4"/>
  <c r="I158" i="4"/>
  <c r="G155" i="4"/>
  <c r="J152" i="4"/>
  <c r="K158" i="4"/>
  <c r="I152" i="4"/>
  <c r="I154" i="4"/>
  <c r="K156" i="4"/>
  <c r="M155" i="4"/>
  <c r="F151" i="4"/>
  <c r="G157" i="4"/>
  <c r="H154" i="4"/>
  <c r="D157" i="4"/>
  <c r="M156" i="4"/>
  <c r="D153" i="4"/>
  <c r="D152" i="4"/>
  <c r="I156" i="4"/>
  <c r="L156" i="4"/>
  <c r="H156" i="4"/>
  <c r="L157" i="4"/>
  <c r="M151" i="4"/>
  <c r="K70" i="37"/>
  <c r="I211" i="34"/>
  <c r="I229" i="6"/>
  <c r="G111" i="40"/>
  <c r="G113" i="4"/>
  <c r="G60" i="58"/>
  <c r="I214" i="34"/>
  <c r="I232" i="6"/>
  <c r="C212" i="34"/>
  <c r="C230" i="6"/>
  <c r="D212" i="34"/>
  <c r="D230" i="6"/>
  <c r="G236" i="6"/>
  <c r="G218" i="34"/>
  <c r="E153" i="34"/>
  <c r="F229" i="6"/>
  <c r="F211" i="34"/>
  <c r="E155" i="34"/>
  <c r="D295" i="38"/>
  <c r="D293" i="38"/>
  <c r="I290" i="38"/>
  <c r="I294" i="38"/>
  <c r="C293" i="38"/>
  <c r="F294" i="38"/>
  <c r="K290" i="38"/>
  <c r="J294" i="38"/>
  <c r="J291" i="38"/>
  <c r="D297" i="38"/>
  <c r="H293" i="38"/>
  <c r="H290" i="38"/>
  <c r="J296" i="38"/>
  <c r="H296" i="38"/>
  <c r="J293" i="38"/>
  <c r="D290" i="38"/>
  <c r="E294" i="38"/>
  <c r="C294" i="38"/>
  <c r="K297" i="38"/>
  <c r="K296" i="38"/>
  <c r="J297" i="38"/>
  <c r="G290" i="38"/>
  <c r="G292" i="38"/>
  <c r="B295" i="38"/>
  <c r="B296" i="38"/>
  <c r="J295" i="38"/>
  <c r="C297" i="38"/>
  <c r="D294" i="38"/>
  <c r="C290" i="38"/>
  <c r="H294" i="38"/>
  <c r="K291" i="38"/>
  <c r="C291" i="38"/>
  <c r="E295" i="38"/>
  <c r="G295" i="38"/>
  <c r="E290" i="38"/>
  <c r="I291" i="38"/>
  <c r="J292" i="38"/>
  <c r="K293" i="38"/>
  <c r="C295" i="38"/>
  <c r="F296" i="38"/>
  <c r="C296" i="38"/>
  <c r="K295" i="38"/>
  <c r="H297" i="38"/>
  <c r="E297" i="38"/>
  <c r="B294" i="38"/>
  <c r="H292" i="38"/>
  <c r="D292" i="38"/>
  <c r="K294" i="38"/>
  <c r="F297" i="38"/>
  <c r="B297" i="38"/>
  <c r="D296" i="38"/>
  <c r="H291" i="38"/>
  <c r="E291" i="38"/>
  <c r="I296" i="38"/>
  <c r="G293" i="38"/>
  <c r="G294" i="38"/>
  <c r="G297" i="38"/>
  <c r="F290" i="38"/>
  <c r="F295" i="38"/>
  <c r="I292" i="38"/>
  <c r="E293" i="38"/>
  <c r="F292" i="38"/>
  <c r="B290" i="38"/>
  <c r="C292" i="38"/>
  <c r="K292" i="38"/>
  <c r="E292" i="38"/>
  <c r="E296" i="38"/>
  <c r="J290" i="38"/>
  <c r="D291" i="38"/>
  <c r="F293" i="38"/>
  <c r="G296" i="38"/>
  <c r="B291" i="38"/>
  <c r="H295" i="38"/>
  <c r="I295" i="38"/>
  <c r="F291" i="38"/>
  <c r="I293" i="38"/>
  <c r="I297" i="38"/>
  <c r="G291" i="38"/>
  <c r="B292" i="38"/>
  <c r="B293" i="38"/>
  <c r="E148" i="34"/>
  <c r="E235" i="6"/>
  <c r="E217" i="34"/>
  <c r="G59" i="58"/>
  <c r="H212" i="34"/>
  <c r="H230" i="6"/>
  <c r="K217" i="34"/>
  <c r="K235" i="6"/>
  <c r="I102" i="37"/>
  <c r="I110" i="7"/>
  <c r="C235" i="6"/>
  <c r="C217" i="34"/>
  <c r="G70" i="37"/>
  <c r="I230" i="6"/>
  <c r="I212" i="34"/>
  <c r="B88" i="8"/>
  <c r="B89" i="8"/>
  <c r="B90" i="8"/>
  <c r="B86" i="8"/>
  <c r="B91" i="8"/>
  <c r="B85" i="8"/>
  <c r="B87" i="8"/>
  <c r="B92" i="8"/>
  <c r="K230" i="6"/>
  <c r="K212" i="34"/>
  <c r="I215" i="34"/>
  <c r="I233" i="6"/>
  <c r="D166" i="4"/>
  <c r="D201" i="4"/>
  <c r="D164" i="40"/>
  <c r="H91" i="38"/>
  <c r="J89" i="38"/>
  <c r="J91" i="38"/>
  <c r="H85" i="38"/>
  <c r="C90" i="38"/>
  <c r="E88" i="38"/>
  <c r="K92" i="38"/>
  <c r="G88" i="38"/>
  <c r="F86" i="38"/>
  <c r="F91" i="38"/>
  <c r="J85" i="38"/>
  <c r="C89" i="38"/>
  <c r="K86" i="38"/>
  <c r="D90" i="38"/>
  <c r="K87" i="38"/>
  <c r="J90" i="38"/>
  <c r="D85" i="38"/>
  <c r="J87" i="38"/>
  <c r="J88" i="38"/>
  <c r="D91" i="38"/>
  <c r="E92" i="38"/>
  <c r="G87" i="38"/>
  <c r="K89" i="38"/>
  <c r="C85" i="38"/>
  <c r="I86" i="38"/>
  <c r="I87" i="38"/>
  <c r="H90" i="38"/>
  <c r="E91" i="38"/>
  <c r="D87" i="38"/>
  <c r="H88" i="38"/>
  <c r="D89" i="38"/>
  <c r="D86" i="38"/>
  <c r="F89" i="38"/>
  <c r="K88" i="38"/>
  <c r="I88" i="38"/>
  <c r="F88" i="38"/>
  <c r="G89" i="38"/>
  <c r="C86" i="38"/>
  <c r="F92" i="38"/>
  <c r="F87" i="38"/>
  <c r="G90" i="38"/>
  <c r="F85" i="38"/>
  <c r="G86" i="38"/>
  <c r="C87" i="38"/>
  <c r="G85" i="38"/>
  <c r="J86" i="38"/>
  <c r="H89" i="38"/>
  <c r="I90" i="38"/>
  <c r="C92" i="38"/>
  <c r="G91" i="38"/>
  <c r="E86" i="38"/>
  <c r="K90" i="38"/>
  <c r="I91" i="38"/>
  <c r="F90" i="38"/>
  <c r="E90" i="38"/>
  <c r="D92" i="38"/>
  <c r="H87" i="38"/>
  <c r="E87" i="38"/>
  <c r="K91" i="38"/>
  <c r="E89" i="38"/>
  <c r="I85" i="38"/>
  <c r="K85" i="38"/>
  <c r="J92" i="38"/>
  <c r="D88" i="38"/>
  <c r="H92" i="38"/>
  <c r="I92" i="38"/>
  <c r="G92" i="38"/>
  <c r="E85" i="38"/>
  <c r="I89" i="38"/>
  <c r="C88" i="38"/>
  <c r="H86" i="38"/>
  <c r="C91" i="38"/>
  <c r="J216" i="34"/>
  <c r="J234" i="6"/>
  <c r="I231" i="6"/>
  <c r="I213" i="34"/>
  <c r="J233" i="6"/>
  <c r="J215" i="34"/>
  <c r="D110" i="7"/>
  <c r="D102" i="37"/>
  <c r="E149" i="34"/>
  <c r="E214" i="34"/>
  <c r="E232" i="6"/>
  <c r="F117" i="4"/>
  <c r="F114" i="40"/>
  <c r="F115" i="4"/>
  <c r="C215" i="34"/>
  <c r="C233" i="6"/>
  <c r="E229" i="6"/>
  <c r="E211" i="34"/>
  <c r="D70" i="37"/>
  <c r="F61" i="4"/>
  <c r="F61" i="40" s="1"/>
  <c r="F60" i="40"/>
  <c r="F64" i="4"/>
  <c r="F64" i="40" s="1"/>
  <c r="C232" i="6"/>
  <c r="C214" i="34"/>
  <c r="E288" i="8"/>
  <c r="I286" i="8"/>
  <c r="B288" i="8"/>
  <c r="G286" i="8"/>
  <c r="E286" i="8"/>
  <c r="B282" i="8"/>
  <c r="K285" i="8"/>
  <c r="F283" i="8"/>
  <c r="G284" i="8"/>
  <c r="K286" i="8"/>
  <c r="H287" i="8"/>
  <c r="J284" i="8"/>
  <c r="D281" i="8"/>
  <c r="E281" i="8"/>
  <c r="G288" i="8"/>
  <c r="H288" i="8"/>
  <c r="C288" i="8"/>
  <c r="E282" i="8"/>
  <c r="D288" i="8"/>
  <c r="E287" i="8"/>
  <c r="F284" i="8"/>
  <c r="K288" i="8"/>
  <c r="C281" i="8"/>
  <c r="C284" i="8"/>
  <c r="D284" i="8"/>
  <c r="B281" i="8"/>
  <c r="J286" i="8"/>
  <c r="I281" i="8"/>
  <c r="G285" i="8"/>
  <c r="F287" i="8"/>
  <c r="F288" i="8"/>
  <c r="J285" i="8"/>
  <c r="B287" i="8"/>
  <c r="D287" i="8"/>
  <c r="F285" i="8"/>
  <c r="D286" i="8"/>
  <c r="I284" i="8"/>
  <c r="H282" i="8"/>
  <c r="G283" i="8"/>
  <c r="C283" i="8"/>
  <c r="K283" i="8"/>
  <c r="F281" i="8"/>
  <c r="C282" i="8"/>
  <c r="I287" i="8"/>
  <c r="H285" i="8"/>
  <c r="K287" i="8"/>
  <c r="G282" i="8"/>
  <c r="B283" i="8"/>
  <c r="B286" i="8"/>
  <c r="I288" i="8"/>
  <c r="C286" i="8"/>
  <c r="I285" i="8"/>
  <c r="I283" i="8"/>
  <c r="D282" i="8"/>
  <c r="K281" i="8"/>
  <c r="G281" i="8"/>
  <c r="I282" i="8"/>
  <c r="H281" i="8"/>
  <c r="F286" i="8"/>
  <c r="J283" i="8"/>
  <c r="B285" i="8"/>
  <c r="D285" i="8"/>
  <c r="C287" i="8"/>
  <c r="J281" i="8"/>
  <c r="H286" i="8"/>
  <c r="E285" i="8"/>
  <c r="G287" i="8"/>
  <c r="H284" i="8"/>
  <c r="J288" i="8"/>
  <c r="B284" i="8"/>
  <c r="J282" i="8"/>
  <c r="C285" i="8"/>
  <c r="J287" i="8"/>
  <c r="E284" i="8"/>
  <c r="D283" i="8"/>
  <c r="H283" i="8"/>
  <c r="K284" i="8"/>
  <c r="K282" i="8"/>
  <c r="E283" i="8"/>
  <c r="F282" i="8"/>
  <c r="D152" i="29"/>
  <c r="L153" i="29"/>
  <c r="G156" i="29"/>
  <c r="M156" i="29"/>
  <c r="J151" i="29"/>
  <c r="L152" i="29"/>
  <c r="M152" i="29"/>
  <c r="D157" i="29"/>
  <c r="H152" i="29"/>
  <c r="F152" i="29"/>
  <c r="I153" i="29"/>
  <c r="K156" i="29"/>
  <c r="D158" i="29"/>
  <c r="H151" i="29"/>
  <c r="H157" i="29"/>
  <c r="L154" i="29"/>
  <c r="F153" i="29"/>
  <c r="G151" i="29"/>
  <c r="D151" i="29"/>
  <c r="K157" i="29"/>
  <c r="K154" i="29"/>
  <c r="I155" i="29"/>
  <c r="H158" i="29"/>
  <c r="I158" i="29"/>
  <c r="I151" i="29"/>
  <c r="F157" i="29"/>
  <c r="J157" i="29"/>
  <c r="G158" i="29"/>
  <c r="I156" i="29"/>
  <c r="E156" i="29"/>
  <c r="E155" i="29"/>
  <c r="J155" i="29"/>
  <c r="H155" i="29"/>
  <c r="G153" i="29"/>
  <c r="I154" i="29"/>
  <c r="F155" i="29"/>
  <c r="E154" i="29"/>
  <c r="K152" i="29"/>
  <c r="D154" i="29"/>
  <c r="L151" i="29"/>
  <c r="L156" i="29"/>
  <c r="M158" i="29"/>
  <c r="K151" i="29"/>
  <c r="M154" i="29"/>
  <c r="L155" i="29"/>
  <c r="M151" i="29"/>
  <c r="I152" i="29"/>
  <c r="K158" i="29"/>
  <c r="H153" i="29"/>
  <c r="E152" i="29"/>
  <c r="D156" i="29"/>
  <c r="E151" i="29"/>
  <c r="F154" i="29"/>
  <c r="H154" i="29"/>
  <c r="J152" i="29"/>
  <c r="D153" i="29"/>
  <c r="F151" i="29"/>
  <c r="I157" i="29"/>
  <c r="M157" i="29"/>
  <c r="L157" i="29"/>
  <c r="J158" i="29"/>
  <c r="L158" i="29"/>
  <c r="J156" i="29"/>
  <c r="G155" i="29"/>
  <c r="M153" i="29"/>
  <c r="E153" i="29"/>
  <c r="F156" i="29"/>
  <c r="K153" i="29"/>
  <c r="J153" i="29"/>
  <c r="M155" i="29"/>
  <c r="G154" i="29"/>
  <c r="G152" i="29"/>
  <c r="J154" i="29"/>
  <c r="H156" i="29"/>
  <c r="K155" i="29"/>
  <c r="D155" i="29"/>
  <c r="E158" i="29"/>
  <c r="E157" i="29"/>
  <c r="G157" i="29"/>
  <c r="F158" i="29"/>
  <c r="I217" i="34"/>
  <c r="I235" i="6"/>
  <c r="G295" i="8"/>
  <c r="J297" i="8"/>
  <c r="D291" i="8"/>
  <c r="E296" i="8"/>
  <c r="K297" i="8"/>
  <c r="F291" i="8"/>
  <c r="G294" i="8"/>
  <c r="H294" i="8"/>
  <c r="K293" i="8"/>
  <c r="H297" i="8"/>
  <c r="G291" i="8"/>
  <c r="F297" i="8"/>
  <c r="D296" i="8"/>
  <c r="D290" i="8"/>
  <c r="G293" i="8"/>
  <c r="J290" i="8"/>
  <c r="F294" i="8"/>
  <c r="F295" i="8"/>
  <c r="J293" i="8"/>
  <c r="B293" i="8"/>
  <c r="C295" i="8"/>
  <c r="K292" i="8"/>
  <c r="I291" i="8"/>
  <c r="H292" i="8"/>
  <c r="I292" i="8"/>
  <c r="C294" i="8"/>
  <c r="D297" i="8"/>
  <c r="J295" i="8"/>
  <c r="J296" i="8"/>
  <c r="I296" i="8"/>
  <c r="G296" i="8"/>
  <c r="K296" i="8"/>
  <c r="D293" i="8"/>
  <c r="B290" i="8"/>
  <c r="I293" i="8"/>
  <c r="C292" i="8"/>
  <c r="B294" i="8"/>
  <c r="E294" i="8"/>
  <c r="C293" i="8"/>
  <c r="B292" i="8"/>
  <c r="D292" i="8"/>
  <c r="E290" i="8"/>
  <c r="D295" i="8"/>
  <c r="H291" i="8"/>
  <c r="G290" i="8"/>
  <c r="F292" i="8"/>
  <c r="F296" i="8"/>
  <c r="E292" i="8"/>
  <c r="D294" i="8"/>
  <c r="C290" i="8"/>
  <c r="H290" i="8"/>
  <c r="C291" i="8"/>
  <c r="E297" i="8"/>
  <c r="H295" i="8"/>
  <c r="J291" i="8"/>
  <c r="K295" i="8"/>
  <c r="I295" i="8"/>
  <c r="B296" i="8"/>
  <c r="K290" i="8"/>
  <c r="B295" i="8"/>
  <c r="G297" i="8"/>
  <c r="C296" i="8"/>
  <c r="B291" i="8"/>
  <c r="E293" i="8"/>
  <c r="F290" i="8"/>
  <c r="J294" i="8"/>
  <c r="I290" i="8"/>
  <c r="J292" i="8"/>
  <c r="E295" i="8"/>
  <c r="H293" i="8"/>
  <c r="I294" i="8"/>
  <c r="E291" i="8"/>
  <c r="K294" i="8"/>
  <c r="I297" i="8"/>
  <c r="B297" i="8"/>
  <c r="K291" i="8"/>
  <c r="G292" i="8"/>
  <c r="H296" i="8"/>
  <c r="F293" i="8"/>
  <c r="C297" i="8"/>
  <c r="H236" i="6"/>
  <c r="H218" i="34"/>
  <c r="E102" i="37"/>
  <c r="E110" i="7"/>
  <c r="F95" i="34"/>
  <c r="F155" i="6"/>
  <c r="I218" i="34"/>
  <c r="I236" i="6"/>
  <c r="G118" i="8"/>
  <c r="H115" i="8"/>
  <c r="H116" i="8"/>
  <c r="E117" i="8"/>
  <c r="D118" i="8"/>
  <c r="I113" i="8"/>
  <c r="F114" i="8"/>
  <c r="K116" i="8"/>
  <c r="F118" i="8"/>
  <c r="I112" i="8"/>
  <c r="J113" i="8"/>
  <c r="K118" i="8"/>
  <c r="E114" i="8"/>
  <c r="C118" i="8"/>
  <c r="C112" i="8"/>
  <c r="G115" i="8"/>
  <c r="F115" i="8"/>
  <c r="C119" i="8"/>
  <c r="K115" i="8"/>
  <c r="F119" i="8"/>
  <c r="H112" i="8"/>
  <c r="C117" i="8"/>
  <c r="I118" i="8"/>
  <c r="E113" i="8"/>
  <c r="F113" i="8"/>
  <c r="F117" i="8"/>
  <c r="J112" i="8"/>
  <c r="D119" i="8"/>
  <c r="D114" i="8"/>
  <c r="J114" i="8"/>
  <c r="E119" i="8"/>
  <c r="E116" i="8"/>
  <c r="D112" i="8"/>
  <c r="J116" i="8"/>
  <c r="C114" i="8"/>
  <c r="C115" i="8"/>
  <c r="H114" i="8"/>
  <c r="G117" i="8"/>
  <c r="C113" i="8"/>
  <c r="F112" i="8"/>
  <c r="H117" i="8"/>
  <c r="J118" i="8"/>
  <c r="G116" i="8"/>
  <c r="D113" i="8"/>
  <c r="I119" i="8"/>
  <c r="J117" i="8"/>
  <c r="I117" i="8"/>
  <c r="D117" i="8"/>
  <c r="D115" i="8"/>
  <c r="G112" i="8"/>
  <c r="H113" i="8"/>
  <c r="C116" i="8"/>
  <c r="G113" i="8"/>
  <c r="K113" i="8"/>
  <c r="D116" i="8"/>
  <c r="I114" i="8"/>
  <c r="G114" i="8"/>
  <c r="K117" i="8"/>
  <c r="J115" i="8"/>
  <c r="E112" i="8"/>
  <c r="E115" i="8"/>
  <c r="E118" i="8"/>
  <c r="I116" i="8"/>
  <c r="K119" i="8"/>
  <c r="K112" i="8"/>
  <c r="H119" i="8"/>
  <c r="I115" i="8"/>
  <c r="K114" i="8"/>
  <c r="H118" i="8"/>
  <c r="J119" i="8"/>
  <c r="G119" i="8"/>
  <c r="F116" i="8"/>
  <c r="J211" i="34"/>
  <c r="J229" i="6"/>
  <c r="H141" i="40"/>
  <c r="D215" i="34"/>
  <c r="D233" i="6"/>
  <c r="K214" i="34"/>
  <c r="K232" i="6"/>
  <c r="H216" i="34"/>
  <c r="H234" i="6"/>
  <c r="F214" i="34"/>
  <c r="F232" i="6"/>
  <c r="G64" i="58"/>
  <c r="E109" i="38"/>
  <c r="E110" i="38"/>
  <c r="I103" i="38"/>
  <c r="G103" i="38"/>
  <c r="I108" i="38"/>
  <c r="F104" i="38"/>
  <c r="K104" i="38"/>
  <c r="J106" i="38"/>
  <c r="I104" i="38"/>
  <c r="F109" i="38"/>
  <c r="E104" i="38"/>
  <c r="H104" i="38"/>
  <c r="J109" i="38"/>
  <c r="I105" i="38"/>
  <c r="H106" i="38"/>
  <c r="J110" i="38"/>
  <c r="E108" i="38"/>
  <c r="K103" i="38"/>
  <c r="J107" i="38"/>
  <c r="C109" i="38"/>
  <c r="E107" i="38"/>
  <c r="K107" i="38"/>
  <c r="F106" i="38"/>
  <c r="D110" i="38"/>
  <c r="I106" i="38"/>
  <c r="G107" i="38"/>
  <c r="J105" i="38"/>
  <c r="F103" i="38"/>
  <c r="E105" i="38"/>
  <c r="H110" i="38"/>
  <c r="K110" i="38"/>
  <c r="I110" i="38"/>
  <c r="K109" i="38"/>
  <c r="D104" i="38"/>
  <c r="D108" i="38"/>
  <c r="J104" i="38"/>
  <c r="C110" i="38"/>
  <c r="G106" i="38"/>
  <c r="F108" i="38"/>
  <c r="H109" i="38"/>
  <c r="C103" i="38"/>
  <c r="I107" i="38"/>
  <c r="J108" i="38"/>
  <c r="F110" i="38"/>
  <c r="C105" i="38"/>
  <c r="G109" i="38"/>
  <c r="I109" i="38"/>
  <c r="H105" i="38"/>
  <c r="D103" i="38"/>
  <c r="G110" i="38"/>
  <c r="G105" i="38"/>
  <c r="D105" i="38"/>
  <c r="D106" i="38"/>
  <c r="F107" i="38"/>
  <c r="D109" i="38"/>
  <c r="D107" i="38"/>
  <c r="J103" i="38"/>
  <c r="G104" i="38"/>
  <c r="F105" i="38"/>
  <c r="E103" i="38"/>
  <c r="K108" i="38"/>
  <c r="C107" i="38"/>
  <c r="K105" i="38"/>
  <c r="C108" i="38"/>
  <c r="C106" i="38"/>
  <c r="E106" i="38"/>
  <c r="C104" i="38"/>
  <c r="K106" i="38"/>
  <c r="H108" i="38"/>
  <c r="G108" i="38"/>
  <c r="H103" i="38"/>
  <c r="H107" i="38"/>
  <c r="J141" i="40"/>
  <c r="D214" i="34"/>
  <c r="D232" i="6"/>
  <c r="D44" i="40"/>
  <c r="D67" i="4"/>
  <c r="S191" i="4"/>
  <c r="C127" i="57"/>
  <c r="C124" i="57"/>
  <c r="C123" i="57"/>
  <c r="C126" i="57"/>
  <c r="C125" i="57"/>
  <c r="C130" i="57"/>
  <c r="C129" i="57"/>
  <c r="C117" i="57"/>
  <c r="C120" i="57"/>
  <c r="C119" i="57"/>
  <c r="C116" i="57"/>
  <c r="C115" i="57"/>
  <c r="C114" i="57"/>
  <c r="C113" i="57"/>
  <c r="I60" i="57"/>
  <c r="B30" i="57"/>
  <c r="H73" i="57"/>
  <c r="B26" i="57"/>
  <c r="B28" i="57"/>
  <c r="B25" i="57"/>
  <c r="B27" i="57"/>
  <c r="B24" i="57"/>
  <c r="C134" i="57"/>
  <c r="C135" i="57"/>
  <c r="C133" i="57"/>
  <c r="C82" i="57"/>
  <c r="C137" i="57"/>
  <c r="C136" i="57"/>
  <c r="J94" i="39" l="1"/>
  <c r="J101" i="39"/>
  <c r="E95" i="39"/>
  <c r="J43" i="37"/>
  <c r="K44" i="37"/>
  <c r="B45" i="37"/>
  <c r="G43" i="37"/>
  <c r="F47" i="37"/>
  <c r="H46" i="37"/>
  <c r="G94" i="39"/>
  <c r="I99" i="39"/>
  <c r="D300" i="39"/>
  <c r="F43" i="37"/>
  <c r="E97" i="39"/>
  <c r="C304" i="39"/>
  <c r="J98" i="39"/>
  <c r="D48" i="37"/>
  <c r="G60" i="40"/>
  <c r="H47" i="37"/>
  <c r="J44" i="37"/>
  <c r="E47" i="37"/>
  <c r="I95" i="39"/>
  <c r="I96" i="39"/>
  <c r="G64" i="4"/>
  <c r="G64" i="40" s="1"/>
  <c r="J49" i="37"/>
  <c r="D96" i="39"/>
  <c r="C99" i="39"/>
  <c r="I94" i="39"/>
  <c r="E49" i="37"/>
  <c r="D45" i="37"/>
  <c r="D43" i="37"/>
  <c r="C49" i="37"/>
  <c r="K95" i="39"/>
  <c r="G44" i="37"/>
  <c r="E94" i="39"/>
  <c r="H48" i="37"/>
  <c r="C95" i="39"/>
  <c r="E42" i="37"/>
  <c r="I42" i="37"/>
  <c r="G101" i="39"/>
  <c r="D101" i="39"/>
  <c r="K42" i="37"/>
  <c r="G49" i="37"/>
  <c r="C45" i="37"/>
  <c r="E45" i="37"/>
  <c r="J48" i="37"/>
  <c r="J46" i="37"/>
  <c r="D117" i="39"/>
  <c r="I47" i="37"/>
  <c r="C42" i="37"/>
  <c r="B100" i="39"/>
  <c r="D110" i="37"/>
  <c r="E48" i="37"/>
  <c r="F94" i="39"/>
  <c r="E43" i="37"/>
  <c r="C43" i="37"/>
  <c r="B42" i="37"/>
  <c r="K43" i="37"/>
  <c r="C81" i="40"/>
  <c r="B98" i="39"/>
  <c r="H100" i="39"/>
  <c r="F113" i="39"/>
  <c r="H43" i="37"/>
  <c r="D46" i="37"/>
  <c r="K94" i="39"/>
  <c r="D100" i="39"/>
  <c r="G46" i="37"/>
  <c r="J50" i="7"/>
  <c r="B101" i="39"/>
  <c r="F48" i="37"/>
  <c r="I49" i="37"/>
  <c r="K100" i="39"/>
  <c r="B47" i="37"/>
  <c r="I45" i="37"/>
  <c r="B46" i="37"/>
  <c r="I48" i="37"/>
  <c r="B44" i="37"/>
  <c r="C100" i="39"/>
  <c r="I100" i="39"/>
  <c r="C48" i="37"/>
  <c r="B49" i="37"/>
  <c r="K48" i="37"/>
  <c r="B104" i="39"/>
  <c r="F101" i="39"/>
  <c r="G47" i="37"/>
  <c r="G95" i="39"/>
  <c r="H98" i="39"/>
  <c r="K47" i="37"/>
  <c r="I98" i="39"/>
  <c r="G52" i="29"/>
  <c r="G70" i="29" s="1"/>
  <c r="G98" i="29" s="1"/>
  <c r="G99" i="29" s="1"/>
  <c r="G102" i="29" s="1"/>
  <c r="I43" i="37"/>
  <c r="C44" i="37"/>
  <c r="J47" i="37"/>
  <c r="F293" i="39"/>
  <c r="K101" i="39"/>
  <c r="D99" i="39"/>
  <c r="D42" i="37"/>
  <c r="F97" i="39"/>
  <c r="G50" i="7"/>
  <c r="J99" i="39"/>
  <c r="C50" i="7"/>
  <c r="G100" i="39"/>
  <c r="B50" i="7"/>
  <c r="C113" i="39"/>
  <c r="K45" i="37"/>
  <c r="C47" i="37"/>
  <c r="G45" i="37"/>
  <c r="C96" i="39"/>
  <c r="H94" i="39"/>
  <c r="D97" i="39"/>
  <c r="B96" i="39"/>
  <c r="K50" i="7"/>
  <c r="D50" i="7"/>
  <c r="B99" i="39"/>
  <c r="F50" i="7"/>
  <c r="G42" i="37"/>
  <c r="H97" i="39"/>
  <c r="H50" i="7"/>
  <c r="E50" i="7"/>
  <c r="I50" i="7"/>
  <c r="G96" i="39"/>
  <c r="J45" i="37"/>
  <c r="H44" i="37"/>
  <c r="E44" i="37"/>
  <c r="H42" i="37"/>
  <c r="G98" i="39"/>
  <c r="E101" i="39"/>
  <c r="J95" i="39"/>
  <c r="E84" i="29"/>
  <c r="F84" i="29" s="1"/>
  <c r="G114" i="39"/>
  <c r="D112" i="39"/>
  <c r="G118" i="39"/>
  <c r="F45" i="37"/>
  <c r="I46" i="37"/>
  <c r="H45" i="37"/>
  <c r="G110" i="37"/>
  <c r="D95" i="39"/>
  <c r="G99" i="39"/>
  <c r="E96" i="39"/>
  <c r="D94" i="39"/>
  <c r="H49" i="37"/>
  <c r="K46" i="37"/>
  <c r="C46" i="37"/>
  <c r="K49" i="37"/>
  <c r="H95" i="39"/>
  <c r="G97" i="39"/>
  <c r="C97" i="39"/>
  <c r="I97" i="39"/>
  <c r="C101" i="39"/>
  <c r="B95" i="39"/>
  <c r="E110" i="37"/>
  <c r="I44" i="37"/>
  <c r="C94" i="39"/>
  <c r="K96" i="39"/>
  <c r="J97" i="39"/>
  <c r="F49" i="37"/>
  <c r="D47" i="37"/>
  <c r="D44" i="37"/>
  <c r="K98" i="39"/>
  <c r="B43" i="37"/>
  <c r="F44" i="37"/>
  <c r="B48" i="37"/>
  <c r="B88" i="39"/>
  <c r="M155" i="40"/>
  <c r="E46" i="37"/>
  <c r="D49" i="37"/>
  <c r="G48" i="37"/>
  <c r="H60" i="4"/>
  <c r="H62" i="4" s="1"/>
  <c r="F98" i="39"/>
  <c r="I101" i="39"/>
  <c r="D98" i="39"/>
  <c r="E99" i="39"/>
  <c r="F99" i="39"/>
  <c r="K97" i="39"/>
  <c r="I288" i="39"/>
  <c r="F281" i="39"/>
  <c r="E282" i="39"/>
  <c r="K117" i="39"/>
  <c r="J118" i="39"/>
  <c r="I112" i="39"/>
  <c r="H115" i="39"/>
  <c r="F96" i="39"/>
  <c r="H101" i="39"/>
  <c r="F100" i="39"/>
  <c r="K99" i="39"/>
  <c r="J100" i="39"/>
  <c r="H99" i="39"/>
  <c r="H290" i="39"/>
  <c r="I293" i="39"/>
  <c r="F114" i="39"/>
  <c r="E283" i="39"/>
  <c r="G282" i="39"/>
  <c r="K285" i="39"/>
  <c r="E98" i="39"/>
  <c r="L154" i="40"/>
  <c r="C118" i="39"/>
  <c r="E100" i="39"/>
  <c r="F95" i="39"/>
  <c r="B130" i="38" a="1"/>
  <c r="H131" i="38" s="1"/>
  <c r="J287" i="39"/>
  <c r="J281" i="39"/>
  <c r="K114" i="39"/>
  <c r="D113" i="39"/>
  <c r="E117" i="39"/>
  <c r="K115" i="39"/>
  <c r="J110" i="37"/>
  <c r="I156" i="40"/>
  <c r="E158" i="40"/>
  <c r="F154" i="40"/>
  <c r="J156" i="40"/>
  <c r="B130" i="8" a="1"/>
  <c r="C133" i="8" s="1"/>
  <c r="C114" i="39"/>
  <c r="H116" i="39"/>
  <c r="J294" i="39"/>
  <c r="E85" i="39"/>
  <c r="B313" i="39"/>
  <c r="K110" i="37"/>
  <c r="F85" i="29"/>
  <c r="F119" i="29"/>
  <c r="H117" i="39"/>
  <c r="F115" i="39"/>
  <c r="E116" i="39"/>
  <c r="B291" i="39"/>
  <c r="F296" i="39"/>
  <c r="G294" i="39"/>
  <c r="F117" i="40"/>
  <c r="G61" i="4"/>
  <c r="G61" i="40" s="1"/>
  <c r="G62" i="40"/>
  <c r="F75" i="37"/>
  <c r="B90" i="39"/>
  <c r="I110" i="37"/>
  <c r="J303" i="39"/>
  <c r="I302" i="39"/>
  <c r="I303" i="39"/>
  <c r="C110" i="37"/>
  <c r="B296" i="39"/>
  <c r="J86" i="39"/>
  <c r="I311" i="39"/>
  <c r="K294" i="39"/>
  <c r="E281" i="39"/>
  <c r="B87" i="39"/>
  <c r="G119" i="39"/>
  <c r="I118" i="39"/>
  <c r="C112" i="39"/>
  <c r="D290" i="39"/>
  <c r="B86" i="39"/>
  <c r="E297" i="39"/>
  <c r="H304" i="39"/>
  <c r="K306" i="39"/>
  <c r="H302" i="39"/>
  <c r="E305" i="39"/>
  <c r="G303" i="39"/>
  <c r="B295" i="39"/>
  <c r="C291" i="39"/>
  <c r="C292" i="39"/>
  <c r="B293" i="39"/>
  <c r="E296" i="39"/>
  <c r="K283" i="39"/>
  <c r="E288" i="39"/>
  <c r="F306" i="39"/>
  <c r="C78" i="40"/>
  <c r="D295" i="39"/>
  <c r="J300" i="39"/>
  <c r="B305" i="39"/>
  <c r="G305" i="39"/>
  <c r="F127" i="34"/>
  <c r="G127" i="6"/>
  <c r="E112" i="39"/>
  <c r="C116" i="39"/>
  <c r="C115" i="39"/>
  <c r="B297" i="39"/>
  <c r="D297" i="39"/>
  <c r="F282" i="39"/>
  <c r="C283" i="39"/>
  <c r="H288" i="39"/>
  <c r="H299" i="39"/>
  <c r="D306" i="39"/>
  <c r="B110" i="39"/>
  <c r="E77" i="37"/>
  <c r="D79" i="37"/>
  <c r="J113" i="39"/>
  <c r="K281" i="39"/>
  <c r="G283" i="39"/>
  <c r="H110" i="37"/>
  <c r="I306" i="39"/>
  <c r="I305" i="39"/>
  <c r="F305" i="39"/>
  <c r="E300" i="39"/>
  <c r="B300" i="39"/>
  <c r="J90" i="39"/>
  <c r="C91" i="39"/>
  <c r="J312" i="39"/>
  <c r="K112" i="39"/>
  <c r="D115" i="39"/>
  <c r="F118" i="39"/>
  <c r="C297" i="39"/>
  <c r="E291" i="39"/>
  <c r="E293" i="39"/>
  <c r="B292" i="39"/>
  <c r="K296" i="39"/>
  <c r="H292" i="39"/>
  <c r="J290" i="39"/>
  <c r="H294" i="39"/>
  <c r="K284" i="39"/>
  <c r="I283" i="39"/>
  <c r="H285" i="39"/>
  <c r="I284" i="39"/>
  <c r="G285" i="39"/>
  <c r="H156" i="40"/>
  <c r="G155" i="40"/>
  <c r="K154" i="40"/>
  <c r="J157" i="40"/>
  <c r="D156" i="40"/>
  <c r="K155" i="40"/>
  <c r="F152" i="40"/>
  <c r="F110" i="37"/>
  <c r="F302" i="39"/>
  <c r="I300" i="39"/>
  <c r="K299" i="39"/>
  <c r="C109" i="39"/>
  <c r="H107" i="39"/>
  <c r="C108" i="39"/>
  <c r="H105" i="39"/>
  <c r="J110" i="39"/>
  <c r="F110" i="39"/>
  <c r="B75" i="37"/>
  <c r="E75" i="37"/>
  <c r="D73" i="37"/>
  <c r="F116" i="39"/>
  <c r="F112" i="39"/>
  <c r="C293" i="39"/>
  <c r="D286" i="39"/>
  <c r="F157" i="40"/>
  <c r="J306" i="39"/>
  <c r="J158" i="40"/>
  <c r="C305" i="39"/>
  <c r="C302" i="39"/>
  <c r="I75" i="37"/>
  <c r="B110" i="37"/>
  <c r="E83" i="29"/>
  <c r="F83" i="29" s="1"/>
  <c r="I111" i="29"/>
  <c r="I113" i="29" s="1"/>
  <c r="H114" i="29"/>
  <c r="J116" i="39"/>
  <c r="F117" i="39"/>
  <c r="C119" i="39"/>
  <c r="K282" i="39"/>
  <c r="K287" i="39"/>
  <c r="H282" i="39"/>
  <c r="J154" i="40"/>
  <c r="E155" i="40"/>
  <c r="E154" i="40"/>
  <c r="I155" i="40"/>
  <c r="C301" i="39"/>
  <c r="G73" i="37"/>
  <c r="E82" i="29"/>
  <c r="F82" i="29" s="1"/>
  <c r="G117" i="29"/>
  <c r="G115" i="29"/>
  <c r="E127" i="4"/>
  <c r="E125" i="40"/>
  <c r="D129" i="4"/>
  <c r="D129" i="40" s="1"/>
  <c r="D128" i="40"/>
  <c r="E292" i="39"/>
  <c r="E159" i="29" a="1"/>
  <c r="E159" i="29" s="1"/>
  <c r="B285" i="39"/>
  <c r="E286" i="39"/>
  <c r="L152" i="40"/>
  <c r="H108" i="39"/>
  <c r="K116" i="39"/>
  <c r="I294" i="39"/>
  <c r="J291" i="39"/>
  <c r="I291" i="39"/>
  <c r="H284" i="39"/>
  <c r="J283" i="39"/>
  <c r="I285" i="39"/>
  <c r="I281" i="39"/>
  <c r="E287" i="39"/>
  <c r="J284" i="39"/>
  <c r="D158" i="40"/>
  <c r="C106" i="39"/>
  <c r="K103" i="39"/>
  <c r="E106" i="39"/>
  <c r="K106" i="39"/>
  <c r="E104" i="39"/>
  <c r="D110" i="39"/>
  <c r="H109" i="39"/>
  <c r="C79" i="40"/>
  <c r="H75" i="37"/>
  <c r="J77" i="37"/>
  <c r="K78" i="37"/>
  <c r="F77" i="37"/>
  <c r="H74" i="37"/>
  <c r="J74" i="37"/>
  <c r="E74" i="37"/>
  <c r="F87" i="39"/>
  <c r="F92" i="39"/>
  <c r="G88" i="39"/>
  <c r="I91" i="39"/>
  <c r="D92" i="39"/>
  <c r="C90" i="39"/>
  <c r="G90" i="39"/>
  <c r="K313" i="39"/>
  <c r="J313" i="39"/>
  <c r="C311" i="39"/>
  <c r="H312" i="39"/>
  <c r="D309" i="39"/>
  <c r="E315" i="39"/>
  <c r="E311" i="39"/>
  <c r="F63" i="59"/>
  <c r="E63" i="60"/>
  <c r="F59" i="59"/>
  <c r="E59" i="60"/>
  <c r="F284" i="39"/>
  <c r="F61" i="59"/>
  <c r="E61" i="60"/>
  <c r="I114" i="39"/>
  <c r="G286" i="39"/>
  <c r="I116" i="39"/>
  <c r="D116" i="39"/>
  <c r="H293" i="39"/>
  <c r="C296" i="39"/>
  <c r="H295" i="39"/>
  <c r="E294" i="39"/>
  <c r="K292" i="39"/>
  <c r="F291" i="39"/>
  <c r="G287" i="39"/>
  <c r="F286" i="39"/>
  <c r="C286" i="39"/>
  <c r="C282" i="39"/>
  <c r="F285" i="39"/>
  <c r="D288" i="39"/>
  <c r="H287" i="39"/>
  <c r="B288" i="39"/>
  <c r="H305" i="39"/>
  <c r="D305" i="39"/>
  <c r="K302" i="39"/>
  <c r="G299" i="39"/>
  <c r="J299" i="39"/>
  <c r="B303" i="39"/>
  <c r="C303" i="39"/>
  <c r="B306" i="39"/>
  <c r="C104" i="39"/>
  <c r="D103" i="39"/>
  <c r="J108" i="39"/>
  <c r="F106" i="39"/>
  <c r="D107" i="39"/>
  <c r="G110" i="39"/>
  <c r="B107" i="39"/>
  <c r="F73" i="37"/>
  <c r="C74" i="37"/>
  <c r="H76" i="37"/>
  <c r="C76" i="37"/>
  <c r="B79" i="37"/>
  <c r="E73" i="37"/>
  <c r="E76" i="37"/>
  <c r="I74" i="37"/>
  <c r="H87" i="39"/>
  <c r="H86" i="39"/>
  <c r="D91" i="39"/>
  <c r="C87" i="39"/>
  <c r="G87" i="39"/>
  <c r="G89" i="39"/>
  <c r="I86" i="39"/>
  <c r="F308" i="39"/>
  <c r="I313" i="39"/>
  <c r="E310" i="39"/>
  <c r="E309" i="39"/>
  <c r="D313" i="39"/>
  <c r="G315" i="39"/>
  <c r="F60" i="59"/>
  <c r="E60" i="60"/>
  <c r="E299" i="39"/>
  <c r="I103" i="39"/>
  <c r="E295" i="39"/>
  <c r="G297" i="39"/>
  <c r="F153" i="40"/>
  <c r="I299" i="39"/>
  <c r="J302" i="39"/>
  <c r="F300" i="39"/>
  <c r="I78" i="37"/>
  <c r="I77" i="37"/>
  <c r="C77" i="37"/>
  <c r="H79" i="37"/>
  <c r="K90" i="39"/>
  <c r="C88" i="39"/>
  <c r="E92" i="39"/>
  <c r="C313" i="39"/>
  <c r="B312" i="39"/>
  <c r="H315" i="39"/>
  <c r="G312" i="39"/>
  <c r="F313" i="39"/>
  <c r="J311" i="39"/>
  <c r="B118" i="39"/>
  <c r="F64" i="59"/>
  <c r="E64" i="60"/>
  <c r="F62" i="59"/>
  <c r="E62" i="60"/>
  <c r="K73" i="4"/>
  <c r="J73" i="40"/>
  <c r="H157" i="40"/>
  <c r="F65" i="59"/>
  <c r="E65" i="60"/>
  <c r="G288" i="39"/>
  <c r="D302" i="39"/>
  <c r="B105" i="39"/>
  <c r="K295" i="39"/>
  <c r="J288" i="39"/>
  <c r="D281" i="39"/>
  <c r="J119" i="39"/>
  <c r="J117" i="39"/>
  <c r="J114" i="39"/>
  <c r="H281" i="39"/>
  <c r="G157" i="40"/>
  <c r="E115" i="39"/>
  <c r="G113" i="39"/>
  <c r="I119" i="39"/>
  <c r="H114" i="39"/>
  <c r="H112" i="39"/>
  <c r="D118" i="39"/>
  <c r="H291" i="39"/>
  <c r="J295" i="39"/>
  <c r="F297" i="39"/>
  <c r="H286" i="39"/>
  <c r="B286" i="39"/>
  <c r="G284" i="39"/>
  <c r="L156" i="40"/>
  <c r="I158" i="40"/>
  <c r="M153" i="40"/>
  <c r="J155" i="40"/>
  <c r="J153" i="40"/>
  <c r="E306" i="39"/>
  <c r="I106" i="39"/>
  <c r="J106" i="39"/>
  <c r="I104" i="39"/>
  <c r="E108" i="39"/>
  <c r="K110" i="39"/>
  <c r="H103" i="39"/>
  <c r="E80" i="35"/>
  <c r="H80" i="35"/>
  <c r="K80" i="35"/>
  <c r="B114" i="39"/>
  <c r="F58" i="59"/>
  <c r="E58" i="60"/>
  <c r="I235" i="34"/>
  <c r="G234" i="34"/>
  <c r="G108" i="39"/>
  <c r="J236" i="34"/>
  <c r="J81" i="4"/>
  <c r="E81" i="4"/>
  <c r="L81" i="4"/>
  <c r="K81" i="4"/>
  <c r="M81" i="4"/>
  <c r="F81" i="4"/>
  <c r="H81" i="4"/>
  <c r="G81" i="4"/>
  <c r="I81" i="4"/>
  <c r="D81" i="4"/>
  <c r="E80" i="29"/>
  <c r="G80" i="29"/>
  <c r="L80" i="29"/>
  <c r="M80" i="29"/>
  <c r="F80" i="29"/>
  <c r="I80" i="29"/>
  <c r="D80" i="29"/>
  <c r="J80" i="29"/>
  <c r="H80" i="29"/>
  <c r="K80" i="29"/>
  <c r="J88" i="39"/>
  <c r="G86" i="39"/>
  <c r="B309" i="39"/>
  <c r="I236" i="34"/>
  <c r="K159" i="29" a="1"/>
  <c r="K159" i="29" s="1"/>
  <c r="H230" i="34"/>
  <c r="I229" i="34"/>
  <c r="M157" i="40"/>
  <c r="G230" i="34"/>
  <c r="L230" i="34"/>
  <c r="J50" i="35"/>
  <c r="I80" i="7"/>
  <c r="I72" i="37"/>
  <c r="J78" i="37"/>
  <c r="E44" i="40"/>
  <c r="E67" i="4"/>
  <c r="J230" i="34"/>
  <c r="F152" i="34"/>
  <c r="B148" i="38" a="1"/>
  <c r="G309" i="39"/>
  <c r="L236" i="34"/>
  <c r="E236" i="34"/>
  <c r="H296" i="39"/>
  <c r="D283" i="39"/>
  <c r="B121" i="38" a="1"/>
  <c r="L79" i="4"/>
  <c r="J79" i="4"/>
  <c r="M79" i="4"/>
  <c r="F79" i="4"/>
  <c r="G79" i="4"/>
  <c r="K79" i="4"/>
  <c r="E79" i="4"/>
  <c r="D79" i="4"/>
  <c r="H79" i="4"/>
  <c r="I79" i="4"/>
  <c r="B106" i="39"/>
  <c r="B72" i="37"/>
  <c r="B80" i="7"/>
  <c r="B76" i="37"/>
  <c r="D80" i="7"/>
  <c r="D72" i="37"/>
  <c r="K73" i="37"/>
  <c r="G90" i="34"/>
  <c r="G150" i="6"/>
  <c r="D168" i="29"/>
  <c r="D167" i="29"/>
  <c r="I234" i="34"/>
  <c r="M81" i="29"/>
  <c r="L81" i="29"/>
  <c r="G81" i="29"/>
  <c r="F81" i="29"/>
  <c r="E81" i="29"/>
  <c r="K81" i="29"/>
  <c r="H81" i="29"/>
  <c r="J81" i="29"/>
  <c r="D81" i="29"/>
  <c r="I81" i="29"/>
  <c r="G92" i="39"/>
  <c r="C92" i="39"/>
  <c r="E86" i="39"/>
  <c r="K88" i="39"/>
  <c r="F85" i="39"/>
  <c r="H91" i="39"/>
  <c r="D234" i="34"/>
  <c r="K310" i="39"/>
  <c r="D310" i="39"/>
  <c r="G310" i="39"/>
  <c r="B314" i="39"/>
  <c r="B112" i="39"/>
  <c r="B148" i="8" a="1"/>
  <c r="F52" i="40"/>
  <c r="F70" i="4"/>
  <c r="D232" i="34"/>
  <c r="D233" i="34"/>
  <c r="E118" i="39"/>
  <c r="K113" i="39"/>
  <c r="G117" i="39"/>
  <c r="C117" i="39"/>
  <c r="I113" i="39"/>
  <c r="F155" i="34"/>
  <c r="G292" i="39"/>
  <c r="G290" i="39"/>
  <c r="B294" i="39"/>
  <c r="J296" i="39"/>
  <c r="C295" i="39"/>
  <c r="D296" i="39"/>
  <c r="K297" i="39"/>
  <c r="F159" i="29" a="1"/>
  <c r="F159" i="29" s="1"/>
  <c r="I159" i="29" a="1"/>
  <c r="I159" i="29" s="1"/>
  <c r="E284" i="39"/>
  <c r="E285" i="39"/>
  <c r="D287" i="39"/>
  <c r="B389" i="8" a="1"/>
  <c r="B281" i="39"/>
  <c r="B389" i="38" a="1"/>
  <c r="B317" i="8" a="1"/>
  <c r="B317" i="38" a="1"/>
  <c r="K286" i="39"/>
  <c r="I286" i="39"/>
  <c r="B92" i="39"/>
  <c r="I232" i="34"/>
  <c r="D152" i="40"/>
  <c r="K156" i="40"/>
  <c r="E152" i="40"/>
  <c r="H151" i="40"/>
  <c r="H159" i="4" a="1"/>
  <c r="H159" i="4" s="1"/>
  <c r="E157" i="40"/>
  <c r="F156" i="40"/>
  <c r="G156" i="40"/>
  <c r="G154" i="40"/>
  <c r="I157" i="40"/>
  <c r="E233" i="34"/>
  <c r="H306" i="39"/>
  <c r="E304" i="39"/>
  <c r="F299" i="39"/>
  <c r="K303" i="39"/>
  <c r="I301" i="39"/>
  <c r="G52" i="4"/>
  <c r="G51" i="40"/>
  <c r="H51" i="4"/>
  <c r="D104" i="39"/>
  <c r="G105" i="39"/>
  <c r="D109" i="39"/>
  <c r="F105" i="39"/>
  <c r="J103" i="39"/>
  <c r="G103" i="39"/>
  <c r="J104" i="39"/>
  <c r="I107" i="39"/>
  <c r="E103" i="39"/>
  <c r="I50" i="35"/>
  <c r="F231" i="34"/>
  <c r="C80" i="35"/>
  <c r="G80" i="35"/>
  <c r="D80" i="35"/>
  <c r="E230" i="34"/>
  <c r="G80" i="4"/>
  <c r="L80" i="4"/>
  <c r="K80" i="4"/>
  <c r="M80" i="4"/>
  <c r="I80" i="4"/>
  <c r="J80" i="4"/>
  <c r="F80" i="4"/>
  <c r="H80" i="4"/>
  <c r="D80" i="4"/>
  <c r="E80" i="4"/>
  <c r="E45" i="40"/>
  <c r="E68" i="4"/>
  <c r="H78" i="37"/>
  <c r="D76" i="37"/>
  <c r="F79" i="37"/>
  <c r="G78" i="37"/>
  <c r="I76" i="37"/>
  <c r="B78" i="37"/>
  <c r="E80" i="7"/>
  <c r="E72" i="37"/>
  <c r="J76" i="37"/>
  <c r="K79" i="37"/>
  <c r="G77" i="37"/>
  <c r="K234" i="34"/>
  <c r="G89" i="34"/>
  <c r="G149" i="6"/>
  <c r="L235" i="34"/>
  <c r="C229" i="34"/>
  <c r="C236" i="34"/>
  <c r="M78" i="29"/>
  <c r="D78" i="29"/>
  <c r="G78" i="29"/>
  <c r="I78" i="29"/>
  <c r="L78" i="29"/>
  <c r="E78" i="29"/>
  <c r="J78" i="29"/>
  <c r="F78" i="29"/>
  <c r="H78" i="29"/>
  <c r="K78" i="29"/>
  <c r="K233" i="34"/>
  <c r="H88" i="39"/>
  <c r="K86" i="39"/>
  <c r="E90" i="39"/>
  <c r="K91" i="39"/>
  <c r="I87" i="39"/>
  <c r="I92" i="39"/>
  <c r="J91" i="39"/>
  <c r="D86" i="39"/>
  <c r="K89" i="39"/>
  <c r="C314" i="39"/>
  <c r="K309" i="39"/>
  <c r="H310" i="39"/>
  <c r="I310" i="39"/>
  <c r="H314" i="39"/>
  <c r="K314" i="39"/>
  <c r="E312" i="39"/>
  <c r="I315" i="39"/>
  <c r="J308" i="39"/>
  <c r="J309" i="39"/>
  <c r="B115" i="39"/>
  <c r="G232" i="34"/>
  <c r="D229" i="34"/>
  <c r="F230" i="34"/>
  <c r="F309" i="39"/>
  <c r="B310" i="39"/>
  <c r="G115" i="39"/>
  <c r="G296" i="39"/>
  <c r="G293" i="39"/>
  <c r="J234" i="34"/>
  <c r="F159" i="4" a="1"/>
  <c r="F159" i="4" s="1"/>
  <c r="F151" i="40"/>
  <c r="K151" i="40"/>
  <c r="K159" i="4" a="1"/>
  <c r="K159" i="4" s="1"/>
  <c r="C234" i="34"/>
  <c r="J232" i="34"/>
  <c r="H52" i="29"/>
  <c r="I51" i="29"/>
  <c r="D151" i="40"/>
  <c r="D159" i="4" a="1"/>
  <c r="D159" i="4" s="1"/>
  <c r="G159" i="4" a="1"/>
  <c r="G159" i="4" s="1"/>
  <c r="G151" i="40"/>
  <c r="L229" i="34"/>
  <c r="H231" i="34"/>
  <c r="H104" i="39"/>
  <c r="I108" i="39"/>
  <c r="E104" i="29"/>
  <c r="F101" i="29"/>
  <c r="F103" i="29" s="1"/>
  <c r="I80" i="35"/>
  <c r="L159" i="29" a="1"/>
  <c r="L159" i="29" s="1"/>
  <c r="D284" i="39"/>
  <c r="H59" i="58"/>
  <c r="D153" i="40"/>
  <c r="G152" i="40"/>
  <c r="M158" i="40"/>
  <c r="C300" i="39"/>
  <c r="F303" i="39"/>
  <c r="H44" i="4"/>
  <c r="I43" i="4"/>
  <c r="H45" i="4"/>
  <c r="D119" i="39"/>
  <c r="K118" i="39"/>
  <c r="D291" i="39"/>
  <c r="C284" i="39"/>
  <c r="F283" i="39"/>
  <c r="C233" i="34"/>
  <c r="B121" i="8" a="1"/>
  <c r="B85" i="39"/>
  <c r="H60" i="58"/>
  <c r="M156" i="40"/>
  <c r="I152" i="40"/>
  <c r="J151" i="40"/>
  <c r="J159" i="4" a="1"/>
  <c r="J159" i="4" s="1"/>
  <c r="I159" i="4" a="1"/>
  <c r="I159" i="4" s="1"/>
  <c r="I151" i="40"/>
  <c r="F155" i="40"/>
  <c r="K152" i="40"/>
  <c r="G158" i="40"/>
  <c r="K157" i="40"/>
  <c r="I153" i="40"/>
  <c r="C231" i="34"/>
  <c r="B301" i="39"/>
  <c r="E303" i="39"/>
  <c r="G304" i="39"/>
  <c r="C299" i="39"/>
  <c r="F304" i="39"/>
  <c r="H303" i="39"/>
  <c r="J301" i="39"/>
  <c r="B302" i="39"/>
  <c r="J42" i="37"/>
  <c r="H62" i="58"/>
  <c r="C110" i="39"/>
  <c r="F104" i="39"/>
  <c r="I109" i="39"/>
  <c r="H106" i="39"/>
  <c r="F108" i="39"/>
  <c r="F107" i="39"/>
  <c r="C103" i="39"/>
  <c r="C107" i="39"/>
  <c r="F103" i="39"/>
  <c r="F50" i="35"/>
  <c r="F153" i="34"/>
  <c r="F149" i="34"/>
  <c r="L233" i="34"/>
  <c r="F148" i="34"/>
  <c r="B109" i="39"/>
  <c r="J75" i="37"/>
  <c r="C79" i="37"/>
  <c r="F78" i="37"/>
  <c r="F76" i="37"/>
  <c r="H73" i="37"/>
  <c r="C73" i="37"/>
  <c r="D75" i="37"/>
  <c r="J80" i="7"/>
  <c r="J72" i="37"/>
  <c r="B74" i="37"/>
  <c r="G233" i="34"/>
  <c r="L232" i="34"/>
  <c r="G95" i="34"/>
  <c r="G155" i="6"/>
  <c r="G44" i="29"/>
  <c r="G67" i="29" s="1"/>
  <c r="G75" i="29" s="1"/>
  <c r="G210" i="29" s="1"/>
  <c r="G211" i="29" s="1"/>
  <c r="H43" i="29"/>
  <c r="H43" i="40" s="1"/>
  <c r="G45" i="29"/>
  <c r="G68" i="29" s="1"/>
  <c r="G76" i="29" s="1"/>
  <c r="D76" i="4"/>
  <c r="D68" i="40"/>
  <c r="H233" i="34"/>
  <c r="G91" i="39"/>
  <c r="J87" i="39"/>
  <c r="K85" i="39"/>
  <c r="E89" i="39"/>
  <c r="E88" i="39"/>
  <c r="H92" i="39"/>
  <c r="I90" i="39"/>
  <c r="G85" i="39"/>
  <c r="E91" i="39"/>
  <c r="E313" i="39"/>
  <c r="J314" i="39"/>
  <c r="H309" i="39"/>
  <c r="J315" i="39"/>
  <c r="J310" i="39"/>
  <c r="G311" i="39"/>
  <c r="E308" i="39"/>
  <c r="F315" i="39"/>
  <c r="G308" i="39"/>
  <c r="I308" i="39"/>
  <c r="H232" i="34"/>
  <c r="B113" i="39"/>
  <c r="D236" i="34"/>
  <c r="G68" i="4"/>
  <c r="H236" i="34"/>
  <c r="I231" i="34"/>
  <c r="F44" i="40"/>
  <c r="F67" i="4"/>
  <c r="I79" i="37"/>
  <c r="H72" i="37"/>
  <c r="H80" i="7"/>
  <c r="J191" i="4"/>
  <c r="I191" i="40"/>
  <c r="H92" i="6"/>
  <c r="H95" i="6"/>
  <c r="H89" i="6"/>
  <c r="H91" i="6"/>
  <c r="H88" i="6"/>
  <c r="H90" i="6"/>
  <c r="H93" i="6"/>
  <c r="H94" i="6"/>
  <c r="E206" i="4"/>
  <c r="D75" i="4"/>
  <c r="D67" i="40"/>
  <c r="K232" i="34"/>
  <c r="E151" i="40"/>
  <c r="E159" i="4" a="1"/>
  <c r="E159" i="4" s="1"/>
  <c r="E70" i="4"/>
  <c r="E52" i="40"/>
  <c r="G106" i="39"/>
  <c r="G91" i="34"/>
  <c r="G151" i="6"/>
  <c r="J231" i="34"/>
  <c r="F292" i="39"/>
  <c r="I296" i="39"/>
  <c r="J286" i="39"/>
  <c r="E232" i="34"/>
  <c r="K230" i="34"/>
  <c r="M154" i="40"/>
  <c r="F234" i="34"/>
  <c r="I105" i="39"/>
  <c r="H61" i="29"/>
  <c r="H64" i="29"/>
  <c r="H62" i="29"/>
  <c r="I60" i="29"/>
  <c r="K75" i="37"/>
  <c r="E78" i="37"/>
  <c r="B77" i="37"/>
  <c r="I73" i="37"/>
  <c r="H77" i="37"/>
  <c r="F72" i="37"/>
  <c r="F80" i="7"/>
  <c r="K229" i="34"/>
  <c r="L231" i="34"/>
  <c r="D98" i="4"/>
  <c r="D70" i="40"/>
  <c r="B112" i="7" a="1"/>
  <c r="F119" i="39"/>
  <c r="K290" i="39"/>
  <c r="G291" i="39"/>
  <c r="G281" i="39"/>
  <c r="J285" i="39"/>
  <c r="J115" i="39"/>
  <c r="J112" i="39"/>
  <c r="I297" i="39"/>
  <c r="C290" i="39"/>
  <c r="B398" i="8" a="1"/>
  <c r="B398" i="38" a="1"/>
  <c r="B290" i="39"/>
  <c r="B326" i="8" a="1"/>
  <c r="B326" i="38" a="1"/>
  <c r="J297" i="39"/>
  <c r="D166" i="40"/>
  <c r="D167" i="4"/>
  <c r="D168" i="4"/>
  <c r="B91" i="39"/>
  <c r="G236" i="34"/>
  <c r="M159" i="4" a="1"/>
  <c r="M159" i="4" s="1"/>
  <c r="M151" i="40"/>
  <c r="D157" i="40"/>
  <c r="K158" i="40"/>
  <c r="E156" i="40"/>
  <c r="G153" i="40"/>
  <c r="H155" i="40"/>
  <c r="K153" i="40"/>
  <c r="L151" i="40"/>
  <c r="L159" i="4" a="1"/>
  <c r="L159" i="4" s="1"/>
  <c r="D154" i="40"/>
  <c r="H235" i="34"/>
  <c r="F151" i="34"/>
  <c r="F233" i="34"/>
  <c r="D299" i="39"/>
  <c r="K300" i="39"/>
  <c r="C306" i="39"/>
  <c r="F301" i="39"/>
  <c r="J305" i="39"/>
  <c r="G306" i="39"/>
  <c r="K305" i="39"/>
  <c r="D105" i="39"/>
  <c r="E107" i="39"/>
  <c r="G109" i="39"/>
  <c r="C105" i="39"/>
  <c r="D108" i="39"/>
  <c r="G107" i="39"/>
  <c r="K104" i="39"/>
  <c r="K109" i="39"/>
  <c r="I110" i="39"/>
  <c r="C50" i="35"/>
  <c r="J80" i="35"/>
  <c r="E78" i="4"/>
  <c r="D78" i="4"/>
  <c r="M78" i="4"/>
  <c r="F78" i="4"/>
  <c r="G78" i="4"/>
  <c r="H78" i="4"/>
  <c r="L78" i="4"/>
  <c r="J78" i="4"/>
  <c r="K78" i="4"/>
  <c r="I78" i="4"/>
  <c r="B108" i="39"/>
  <c r="G76" i="37"/>
  <c r="K80" i="7"/>
  <c r="K72" i="37"/>
  <c r="G74" i="37"/>
  <c r="B73" i="37"/>
  <c r="C75" i="37"/>
  <c r="D78" i="37"/>
  <c r="D74" i="37"/>
  <c r="F74" i="37"/>
  <c r="J73" i="37"/>
  <c r="F42" i="37"/>
  <c r="J235" i="34"/>
  <c r="G92" i="34"/>
  <c r="G152" i="6"/>
  <c r="H125" i="29"/>
  <c r="H127" i="29" s="1"/>
  <c r="G128" i="29"/>
  <c r="G129" i="29" s="1"/>
  <c r="H90" i="39"/>
  <c r="C86" i="39"/>
  <c r="K92" i="39"/>
  <c r="F86" i="39"/>
  <c r="I88" i="39"/>
  <c r="I89" i="39"/>
  <c r="D90" i="39"/>
  <c r="C89" i="39"/>
  <c r="C85" i="39"/>
  <c r="D314" i="39"/>
  <c r="F311" i="39"/>
  <c r="C308" i="39"/>
  <c r="K312" i="39"/>
  <c r="F314" i="39"/>
  <c r="K308" i="39"/>
  <c r="D312" i="39"/>
  <c r="H313" i="39"/>
  <c r="K311" i="39"/>
  <c r="D308" i="39"/>
  <c r="B116" i="39"/>
  <c r="G43" i="40"/>
  <c r="D155" i="40"/>
  <c r="B407" i="8" a="1"/>
  <c r="B299" i="39"/>
  <c r="B407" i="38" a="1"/>
  <c r="B335" i="38" a="1"/>
  <c r="B335" i="8" a="1"/>
  <c r="B112" i="35" a="1"/>
  <c r="B50" i="35"/>
  <c r="G148" i="6"/>
  <c r="G88" i="34"/>
  <c r="H63" i="58"/>
  <c r="H229" i="34"/>
  <c r="K119" i="39"/>
  <c r="E113" i="39"/>
  <c r="D159" i="29" a="1"/>
  <c r="D159" i="29" s="1"/>
  <c r="H283" i="39"/>
  <c r="I287" i="39"/>
  <c r="B89" i="39"/>
  <c r="C230" i="34"/>
  <c r="K231" i="34"/>
  <c r="K107" i="39"/>
  <c r="D50" i="35"/>
  <c r="B80" i="35"/>
  <c r="D235" i="34"/>
  <c r="B139" i="38" a="1"/>
  <c r="J85" i="39"/>
  <c r="E87" i="39"/>
  <c r="I312" i="39"/>
  <c r="B416" i="8" a="1"/>
  <c r="B416" i="38" a="1"/>
  <c r="B308" i="39"/>
  <c r="B344" i="38" a="1"/>
  <c r="B344" i="8" a="1"/>
  <c r="B311" i="39"/>
  <c r="I117" i="39"/>
  <c r="E119" i="39"/>
  <c r="G159" i="29" a="1"/>
  <c r="G159" i="29" s="1"/>
  <c r="F229" i="34"/>
  <c r="G235" i="34"/>
  <c r="G301" i="39"/>
  <c r="J304" i="39"/>
  <c r="H300" i="39"/>
  <c r="H118" i="39"/>
  <c r="D114" i="39"/>
  <c r="E114" i="39"/>
  <c r="K291" i="39"/>
  <c r="J292" i="39"/>
  <c r="I282" i="39"/>
  <c r="B287" i="39"/>
  <c r="C288" i="39"/>
  <c r="E229" i="34"/>
  <c r="J233" i="34"/>
  <c r="I230" i="34"/>
  <c r="C235" i="34"/>
  <c r="I154" i="40"/>
  <c r="E153" i="40"/>
  <c r="L153" i="40"/>
  <c r="H61" i="58"/>
  <c r="K301" i="39"/>
  <c r="H301" i="39"/>
  <c r="E302" i="39"/>
  <c r="D303" i="39"/>
  <c r="E234" i="34"/>
  <c r="E110" i="39"/>
  <c r="K108" i="39"/>
  <c r="E105" i="39"/>
  <c r="K50" i="35"/>
  <c r="H50" i="35"/>
  <c r="D231" i="34"/>
  <c r="G80" i="7"/>
  <c r="G72" i="37"/>
  <c r="G94" i="34"/>
  <c r="G154" i="6"/>
  <c r="F236" i="34"/>
  <c r="F150" i="34"/>
  <c r="D85" i="39"/>
  <c r="H89" i="39"/>
  <c r="K87" i="39"/>
  <c r="F89" i="39"/>
  <c r="J89" i="39"/>
  <c r="F310" i="39"/>
  <c r="E314" i="39"/>
  <c r="K315" i="39"/>
  <c r="F312" i="39"/>
  <c r="D311" i="39"/>
  <c r="H308" i="39"/>
  <c r="I309" i="39"/>
  <c r="B119" i="39"/>
  <c r="F232" i="34"/>
  <c r="I290" i="39"/>
  <c r="J293" i="39"/>
  <c r="C285" i="39"/>
  <c r="B283" i="39"/>
  <c r="I115" i="39"/>
  <c r="H113" i="39"/>
  <c r="G116" i="39"/>
  <c r="E290" i="39"/>
  <c r="C294" i="39"/>
  <c r="F295" i="39"/>
  <c r="H297" i="39"/>
  <c r="M159" i="29" a="1"/>
  <c r="M159" i="29" s="1"/>
  <c r="H159" i="29" a="1"/>
  <c r="H159" i="29" s="1"/>
  <c r="J282" i="39"/>
  <c r="C287" i="39"/>
  <c r="F288" i="39"/>
  <c r="C281" i="39"/>
  <c r="C232" i="34"/>
  <c r="E235" i="34"/>
  <c r="H64" i="58"/>
  <c r="H234" i="34"/>
  <c r="J229" i="34"/>
  <c r="H119" i="39"/>
  <c r="G112" i="39"/>
  <c r="F290" i="39"/>
  <c r="I295" i="39"/>
  <c r="D294" i="39"/>
  <c r="D292" i="39"/>
  <c r="D293" i="39"/>
  <c r="I292" i="39"/>
  <c r="F294" i="39"/>
  <c r="K293" i="39"/>
  <c r="G295" i="39"/>
  <c r="J159" i="29" a="1"/>
  <c r="J159" i="29" s="1"/>
  <c r="B284" i="39"/>
  <c r="D285" i="39"/>
  <c r="D282" i="39"/>
  <c r="F287" i="39"/>
  <c r="K288" i="39"/>
  <c r="B282" i="39"/>
  <c r="F119" i="4"/>
  <c r="F115" i="40"/>
  <c r="I233" i="34"/>
  <c r="K235" i="34"/>
  <c r="D230" i="34"/>
  <c r="H111" i="4"/>
  <c r="G113" i="40"/>
  <c r="G114" i="4"/>
  <c r="L157" i="40"/>
  <c r="H154" i="40"/>
  <c r="J152" i="40"/>
  <c r="M152" i="40"/>
  <c r="L158" i="40"/>
  <c r="L155" i="40"/>
  <c r="H152" i="40"/>
  <c r="H158" i="40"/>
  <c r="F158" i="40"/>
  <c r="H153" i="40"/>
  <c r="L234" i="34"/>
  <c r="K236" i="34"/>
  <c r="F235" i="34"/>
  <c r="B304" i="39"/>
  <c r="G300" i="39"/>
  <c r="G302" i="39"/>
  <c r="K304" i="39"/>
  <c r="E301" i="39"/>
  <c r="D304" i="39"/>
  <c r="I304" i="39"/>
  <c r="D301" i="39"/>
  <c r="F154" i="34"/>
  <c r="K105" i="39"/>
  <c r="D106" i="39"/>
  <c r="J105" i="39"/>
  <c r="G104" i="39"/>
  <c r="F109" i="39"/>
  <c r="H110" i="39"/>
  <c r="J107" i="39"/>
  <c r="E109" i="39"/>
  <c r="J109" i="39"/>
  <c r="E50" i="35"/>
  <c r="G50" i="35"/>
  <c r="F80" i="35"/>
  <c r="D118" i="29"/>
  <c r="C80" i="40"/>
  <c r="G231" i="34"/>
  <c r="B139" i="8" a="1"/>
  <c r="B103" i="39"/>
  <c r="F68" i="4"/>
  <c r="F45" i="40"/>
  <c r="G75" i="37"/>
  <c r="J79" i="37"/>
  <c r="E79" i="37"/>
  <c r="K77" i="37"/>
  <c r="C78" i="37"/>
  <c r="D77" i="37"/>
  <c r="K76" i="37"/>
  <c r="C72" i="37"/>
  <c r="C80" i="7"/>
  <c r="G79" i="37"/>
  <c r="K74" i="37"/>
  <c r="H58" i="58"/>
  <c r="G93" i="34"/>
  <c r="G153" i="6"/>
  <c r="F210" i="29"/>
  <c r="F211" i="29" s="1"/>
  <c r="G229" i="34"/>
  <c r="G79" i="29"/>
  <c r="M79" i="29"/>
  <c r="J79" i="29"/>
  <c r="L79" i="29"/>
  <c r="H79" i="29"/>
  <c r="D79" i="29"/>
  <c r="I79" i="29"/>
  <c r="E79" i="29"/>
  <c r="K79" i="29"/>
  <c r="F79" i="29"/>
  <c r="H65" i="58"/>
  <c r="J92" i="39"/>
  <c r="D87" i="39"/>
  <c r="F91" i="39"/>
  <c r="D88" i="39"/>
  <c r="I85" i="39"/>
  <c r="F90" i="39"/>
  <c r="F88" i="39"/>
  <c r="D89" i="39"/>
  <c r="H85" i="39"/>
  <c r="C309" i="39"/>
  <c r="C315" i="39"/>
  <c r="G314" i="39"/>
  <c r="H311" i="39"/>
  <c r="G313" i="39"/>
  <c r="C310" i="39"/>
  <c r="I314" i="39"/>
  <c r="C312" i="39"/>
  <c r="B315" i="39"/>
  <c r="D315" i="39"/>
  <c r="B117" i="39"/>
  <c r="E231" i="34"/>
  <c r="J60" i="57"/>
  <c r="C200" i="57"/>
  <c r="I73" i="57"/>
  <c r="D130" i="57"/>
  <c r="D126" i="57"/>
  <c r="D125" i="57"/>
  <c r="D124" i="57"/>
  <c r="D129" i="57"/>
  <c r="D127" i="57"/>
  <c r="D123" i="57"/>
  <c r="D24" i="57"/>
  <c r="D28" i="57"/>
  <c r="D25" i="57"/>
  <c r="D27" i="57"/>
  <c r="D26" i="57"/>
  <c r="D30" i="57"/>
  <c r="D75" i="57"/>
  <c r="T191" i="4"/>
  <c r="E115" i="57"/>
  <c r="E117" i="57"/>
  <c r="E116" i="57"/>
  <c r="E114" i="57"/>
  <c r="E113" i="57"/>
  <c r="E120" i="57"/>
  <c r="E119" i="57"/>
  <c r="D116" i="57"/>
  <c r="D119" i="57"/>
  <c r="D117" i="57"/>
  <c r="D115" i="57"/>
  <c r="D113" i="57"/>
  <c r="D120" i="57"/>
  <c r="D114" i="57"/>
  <c r="E125" i="57"/>
  <c r="E127" i="57"/>
  <c r="E126" i="57"/>
  <c r="E129" i="57"/>
  <c r="E124" i="57"/>
  <c r="E123" i="57"/>
  <c r="E130" i="57"/>
  <c r="C81" i="57"/>
  <c r="C154" i="57"/>
  <c r="C153" i="57"/>
  <c r="C152" i="57"/>
  <c r="C151" i="57"/>
  <c r="C150" i="57"/>
  <c r="F30" i="57" l="1"/>
  <c r="C50" i="37"/>
  <c r="J137" i="8"/>
  <c r="D135" i="8"/>
  <c r="D130" i="8"/>
  <c r="F132" i="8"/>
  <c r="K135" i="8"/>
  <c r="H131" i="8"/>
  <c r="H131" i="39" s="1"/>
  <c r="B132" i="8"/>
  <c r="C169" i="8" s="1"/>
  <c r="H136" i="8"/>
  <c r="E131" i="8"/>
  <c r="F136" i="8"/>
  <c r="E132" i="8"/>
  <c r="B133" i="8"/>
  <c r="C170" i="8" s="1"/>
  <c r="D132" i="8"/>
  <c r="I137" i="8"/>
  <c r="B131" i="8"/>
  <c r="C168" i="8" s="1"/>
  <c r="K131" i="8"/>
  <c r="C130" i="8"/>
  <c r="F134" i="8"/>
  <c r="I135" i="8"/>
  <c r="G130" i="8"/>
  <c r="J50" i="37"/>
  <c r="H50" i="37"/>
  <c r="K134" i="38"/>
  <c r="I131" i="38"/>
  <c r="F80" i="40"/>
  <c r="G131" i="8"/>
  <c r="E133" i="8"/>
  <c r="G134" i="8"/>
  <c r="J136" i="8"/>
  <c r="H134" i="8"/>
  <c r="G137" i="8"/>
  <c r="B137" i="8"/>
  <c r="C174" i="8" s="1"/>
  <c r="J132" i="8"/>
  <c r="H132" i="8"/>
  <c r="I131" i="8"/>
  <c r="G50" i="37"/>
  <c r="F137" i="8"/>
  <c r="H137" i="8"/>
  <c r="H133" i="8"/>
  <c r="I134" i="8"/>
  <c r="E134" i="8"/>
  <c r="B134" i="8"/>
  <c r="C171" i="8" s="1"/>
  <c r="J134" i="8"/>
  <c r="E135" i="8"/>
  <c r="I132" i="8"/>
  <c r="I130" i="8"/>
  <c r="F119" i="40"/>
  <c r="H135" i="8"/>
  <c r="I136" i="8"/>
  <c r="G133" i="8"/>
  <c r="B136" i="8"/>
  <c r="C173" i="8" s="1"/>
  <c r="D137" i="8"/>
  <c r="C135" i="8"/>
  <c r="C137" i="8"/>
  <c r="C132" i="8"/>
  <c r="D131" i="8"/>
  <c r="K137" i="8"/>
  <c r="J135" i="8"/>
  <c r="K130" i="8"/>
  <c r="C134" i="8"/>
  <c r="E130" i="8"/>
  <c r="D136" i="8"/>
  <c r="D134" i="8"/>
  <c r="C136" i="8"/>
  <c r="B130" i="8"/>
  <c r="C167" i="8" s="1"/>
  <c r="D133" i="8"/>
  <c r="K133" i="8"/>
  <c r="G67" i="4"/>
  <c r="J130" i="8"/>
  <c r="G135" i="8"/>
  <c r="F133" i="8"/>
  <c r="E136" i="8"/>
  <c r="G132" i="8"/>
  <c r="C131" i="8"/>
  <c r="F130" i="8"/>
  <c r="J133" i="8"/>
  <c r="F131" i="8"/>
  <c r="B135" i="8"/>
  <c r="C172" i="8" s="1"/>
  <c r="F50" i="37"/>
  <c r="I133" i="8"/>
  <c r="J131" i="8"/>
  <c r="K134" i="8"/>
  <c r="F135" i="8"/>
  <c r="H130" i="8"/>
  <c r="K132" i="8"/>
  <c r="G136" i="8"/>
  <c r="E137" i="8"/>
  <c r="K136" i="8"/>
  <c r="D50" i="37"/>
  <c r="K50" i="37"/>
  <c r="K133" i="38"/>
  <c r="B133" i="38"/>
  <c r="C170" i="38" s="1"/>
  <c r="E50" i="37"/>
  <c r="B50" i="37"/>
  <c r="F132" i="38"/>
  <c r="G130" i="38"/>
  <c r="D137" i="38"/>
  <c r="I50" i="37"/>
  <c r="G84" i="29"/>
  <c r="F137" i="38"/>
  <c r="H61" i="4"/>
  <c r="H67" i="4" s="1"/>
  <c r="F131" i="38"/>
  <c r="G137" i="38"/>
  <c r="H64" i="4"/>
  <c r="H64" i="40" s="1"/>
  <c r="C137" i="38"/>
  <c r="C130" i="38"/>
  <c r="D131" i="38"/>
  <c r="B131" i="38"/>
  <c r="C168" i="38" s="1"/>
  <c r="E134" i="38"/>
  <c r="D136" i="38"/>
  <c r="E131" i="38"/>
  <c r="E136" i="38"/>
  <c r="F130" i="38"/>
  <c r="K137" i="38"/>
  <c r="J134" i="38"/>
  <c r="C131" i="38"/>
  <c r="E137" i="38"/>
  <c r="I133" i="38"/>
  <c r="J131" i="38"/>
  <c r="I60" i="4"/>
  <c r="I64" i="4" s="1"/>
  <c r="H60" i="40"/>
  <c r="D134" i="38"/>
  <c r="K131" i="38"/>
  <c r="F133" i="38"/>
  <c r="J130" i="38"/>
  <c r="G134" i="38"/>
  <c r="E132" i="38"/>
  <c r="K132" i="38"/>
  <c r="H134" i="38"/>
  <c r="C132" i="38"/>
  <c r="I135" i="38"/>
  <c r="G136" i="38"/>
  <c r="F136" i="38"/>
  <c r="C133" i="38"/>
  <c r="B134" i="38"/>
  <c r="C171" i="38" s="1"/>
  <c r="I130" i="38"/>
  <c r="H136" i="38"/>
  <c r="J133" i="38"/>
  <c r="J135" i="38"/>
  <c r="I134" i="38"/>
  <c r="E130" i="38"/>
  <c r="D130" i="38"/>
  <c r="G132" i="38"/>
  <c r="B135" i="38"/>
  <c r="C172" i="38" s="1"/>
  <c r="B137" i="38"/>
  <c r="C174" i="38" s="1"/>
  <c r="F135" i="38"/>
  <c r="E135" i="38"/>
  <c r="G131" i="38"/>
  <c r="K135" i="38"/>
  <c r="C135" i="38"/>
  <c r="J132" i="38"/>
  <c r="I132" i="38"/>
  <c r="D135" i="38"/>
  <c r="H137" i="38"/>
  <c r="H135" i="38"/>
  <c r="K136" i="38"/>
  <c r="C134" i="38"/>
  <c r="B132" i="38"/>
  <c r="C169" i="38" s="1"/>
  <c r="H130" i="38"/>
  <c r="K130" i="38"/>
  <c r="D133" i="38"/>
  <c r="C136" i="38"/>
  <c r="J137" i="38"/>
  <c r="I137" i="38"/>
  <c r="H133" i="38"/>
  <c r="F134" i="38"/>
  <c r="H132" i="38"/>
  <c r="J136" i="38"/>
  <c r="B136" i="38"/>
  <c r="C173" i="38" s="1"/>
  <c r="G135" i="38"/>
  <c r="G133" i="38"/>
  <c r="B130" i="38"/>
  <c r="E133" i="38"/>
  <c r="D132" i="38"/>
  <c r="I136" i="38"/>
  <c r="E80" i="40"/>
  <c r="H80" i="40"/>
  <c r="G127" i="34"/>
  <c r="H127" i="6"/>
  <c r="H80" i="37"/>
  <c r="D79" i="40"/>
  <c r="F81" i="40"/>
  <c r="K80" i="40"/>
  <c r="G83" i="29"/>
  <c r="G80" i="40"/>
  <c r="K159" i="40"/>
  <c r="G80" i="37"/>
  <c r="E159" i="40"/>
  <c r="M79" i="40"/>
  <c r="I80" i="37"/>
  <c r="G45" i="40"/>
  <c r="K80" i="37"/>
  <c r="M81" i="40"/>
  <c r="G82" i="29"/>
  <c r="E80" i="37"/>
  <c r="G85" i="29"/>
  <c r="G63" i="59"/>
  <c r="F63" i="60"/>
  <c r="G59" i="59"/>
  <c r="F59" i="60"/>
  <c r="C80" i="37"/>
  <c r="K73" i="40"/>
  <c r="L73" i="4"/>
  <c r="L80" i="40"/>
  <c r="G62" i="59"/>
  <c r="F62" i="60"/>
  <c r="F125" i="4"/>
  <c r="E128" i="4"/>
  <c r="E127" i="40"/>
  <c r="F80" i="37"/>
  <c r="F159" i="40"/>
  <c r="I81" i="40"/>
  <c r="J81" i="40"/>
  <c r="G58" i="59"/>
  <c r="F58" i="60"/>
  <c r="G64" i="59"/>
  <c r="F64" i="60"/>
  <c r="G60" i="59"/>
  <c r="F60" i="60"/>
  <c r="G61" i="59"/>
  <c r="F61" i="60"/>
  <c r="G119" i="29"/>
  <c r="H115" i="29"/>
  <c r="H117" i="29"/>
  <c r="I114" i="29"/>
  <c r="J111" i="29"/>
  <c r="J113" i="29" s="1"/>
  <c r="G65" i="59"/>
  <c r="F65" i="60"/>
  <c r="H70" i="29"/>
  <c r="H98" i="29" s="1"/>
  <c r="H99" i="29" s="1"/>
  <c r="H102" i="29" s="1"/>
  <c r="J80" i="40"/>
  <c r="H81" i="40"/>
  <c r="G419" i="8"/>
  <c r="D423" i="8"/>
  <c r="E416" i="8"/>
  <c r="K419" i="8"/>
  <c r="D422" i="8"/>
  <c r="G420" i="8"/>
  <c r="B423" i="8"/>
  <c r="H420" i="8"/>
  <c r="C420" i="8"/>
  <c r="F422" i="8"/>
  <c r="D417" i="8"/>
  <c r="I420" i="8"/>
  <c r="B417" i="8"/>
  <c r="G417" i="8"/>
  <c r="H423" i="8"/>
  <c r="C423" i="8"/>
  <c r="E423" i="8"/>
  <c r="I422" i="8"/>
  <c r="G423" i="8"/>
  <c r="J422" i="8"/>
  <c r="F421" i="8"/>
  <c r="D418" i="8"/>
  <c r="K423" i="8"/>
  <c r="E418" i="8"/>
  <c r="I419" i="8"/>
  <c r="B421" i="8"/>
  <c r="K421" i="8"/>
  <c r="H418" i="8"/>
  <c r="C416" i="8"/>
  <c r="B422" i="8"/>
  <c r="H417" i="8"/>
  <c r="H421" i="8"/>
  <c r="J418" i="8"/>
  <c r="C417" i="8"/>
  <c r="G422" i="8"/>
  <c r="D421" i="8"/>
  <c r="J417" i="8"/>
  <c r="J421" i="8"/>
  <c r="D419" i="8"/>
  <c r="H416" i="8"/>
  <c r="E421" i="8"/>
  <c r="G418" i="8"/>
  <c r="I423" i="8"/>
  <c r="F417" i="8"/>
  <c r="B416" i="8"/>
  <c r="B420" i="8"/>
  <c r="J419" i="8"/>
  <c r="I418" i="8"/>
  <c r="F419" i="8"/>
  <c r="G421" i="8"/>
  <c r="H419" i="8"/>
  <c r="C421" i="8"/>
  <c r="J420" i="8"/>
  <c r="G416" i="8"/>
  <c r="F416" i="8"/>
  <c r="D416" i="8"/>
  <c r="B418" i="8"/>
  <c r="J416" i="8"/>
  <c r="D420" i="8"/>
  <c r="C422" i="8"/>
  <c r="J423" i="8"/>
  <c r="K422" i="8"/>
  <c r="I417" i="8"/>
  <c r="E419" i="8"/>
  <c r="K417" i="8"/>
  <c r="E422" i="8"/>
  <c r="C419" i="8"/>
  <c r="K416" i="8"/>
  <c r="C418" i="8"/>
  <c r="F420" i="8"/>
  <c r="I416" i="8"/>
  <c r="B419" i="8"/>
  <c r="E420" i="8"/>
  <c r="E417" i="8"/>
  <c r="K418" i="8"/>
  <c r="H422" i="8"/>
  <c r="K420" i="8"/>
  <c r="F418" i="8"/>
  <c r="F423" i="8"/>
  <c r="I421" i="8"/>
  <c r="I63" i="58"/>
  <c r="H90" i="34"/>
  <c r="H150" i="6"/>
  <c r="G148" i="34"/>
  <c r="H89" i="34"/>
  <c r="H149" i="6"/>
  <c r="F104" i="29"/>
  <c r="G101" i="29"/>
  <c r="G103" i="29" s="1"/>
  <c r="E98" i="4"/>
  <c r="E70" i="40"/>
  <c r="F323" i="38"/>
  <c r="K322" i="38"/>
  <c r="K323" i="38"/>
  <c r="H317" i="38"/>
  <c r="C321" i="38"/>
  <c r="E320" i="38"/>
  <c r="H318" i="38"/>
  <c r="G317" i="38"/>
  <c r="I321" i="38"/>
  <c r="C322" i="38"/>
  <c r="I317" i="38"/>
  <c r="B324" i="38"/>
  <c r="J323" i="38"/>
  <c r="B318" i="38"/>
  <c r="D323" i="38"/>
  <c r="J318" i="38"/>
  <c r="K321" i="38"/>
  <c r="I319" i="38"/>
  <c r="G318" i="38"/>
  <c r="C317" i="38"/>
  <c r="E318" i="38"/>
  <c r="I322" i="38"/>
  <c r="J321" i="38"/>
  <c r="D324" i="38"/>
  <c r="F317" i="38"/>
  <c r="D322" i="38"/>
  <c r="I320" i="38"/>
  <c r="E321" i="38"/>
  <c r="F322" i="38"/>
  <c r="J320" i="38"/>
  <c r="J317" i="38"/>
  <c r="D320" i="38"/>
  <c r="F318" i="38"/>
  <c r="B317" i="38"/>
  <c r="G324" i="38"/>
  <c r="D319" i="38"/>
  <c r="D317" i="38"/>
  <c r="D318" i="38"/>
  <c r="J319" i="38"/>
  <c r="E317" i="38"/>
  <c r="B319" i="38"/>
  <c r="D321" i="38"/>
  <c r="H323" i="38"/>
  <c r="B321" i="38"/>
  <c r="C320" i="38"/>
  <c r="H322" i="38"/>
  <c r="I324" i="38"/>
  <c r="K319" i="38"/>
  <c r="F324" i="38"/>
  <c r="F320" i="38"/>
  <c r="C318" i="38"/>
  <c r="B320" i="38"/>
  <c r="B322" i="38"/>
  <c r="H321" i="38"/>
  <c r="K317" i="38"/>
  <c r="G323" i="38"/>
  <c r="F319" i="38"/>
  <c r="C323" i="38"/>
  <c r="G321" i="38"/>
  <c r="K320" i="38"/>
  <c r="I323" i="38"/>
  <c r="G320" i="38"/>
  <c r="I318" i="38"/>
  <c r="E319" i="38"/>
  <c r="E324" i="38"/>
  <c r="G319" i="38"/>
  <c r="H324" i="38"/>
  <c r="C324" i="38"/>
  <c r="E322" i="38"/>
  <c r="E323" i="38"/>
  <c r="K318" i="38"/>
  <c r="H319" i="38"/>
  <c r="G322" i="38"/>
  <c r="C319" i="38"/>
  <c r="F321" i="38"/>
  <c r="J324" i="38"/>
  <c r="B323" i="38"/>
  <c r="H320" i="38"/>
  <c r="J322" i="38"/>
  <c r="K324" i="38"/>
  <c r="G154" i="34"/>
  <c r="E143" i="38"/>
  <c r="D145" i="38"/>
  <c r="I141" i="38"/>
  <c r="D142" i="38"/>
  <c r="D141" i="38"/>
  <c r="E144" i="38"/>
  <c r="E145" i="38"/>
  <c r="B140" i="38"/>
  <c r="C178" i="38" s="1"/>
  <c r="K142" i="38"/>
  <c r="K144" i="38"/>
  <c r="K139" i="38"/>
  <c r="H144" i="38"/>
  <c r="C145" i="38"/>
  <c r="I139" i="38"/>
  <c r="I146" i="38"/>
  <c r="D139" i="38"/>
  <c r="D146" i="38"/>
  <c r="B145" i="38"/>
  <c r="C183" i="38" s="1"/>
  <c r="H139" i="38"/>
  <c r="D144" i="38"/>
  <c r="C140" i="38"/>
  <c r="J141" i="38"/>
  <c r="E146" i="38"/>
  <c r="J144" i="38"/>
  <c r="B146" i="38"/>
  <c r="C184" i="38" s="1"/>
  <c r="H141" i="38"/>
  <c r="H145" i="38"/>
  <c r="H143" i="38"/>
  <c r="C144" i="38"/>
  <c r="G146" i="38"/>
  <c r="I145" i="38"/>
  <c r="F146" i="38"/>
  <c r="G140" i="38"/>
  <c r="K145" i="38"/>
  <c r="F141" i="38"/>
  <c r="C143" i="38"/>
  <c r="F145" i="38"/>
  <c r="H146" i="38"/>
  <c r="J139" i="38"/>
  <c r="K141" i="38"/>
  <c r="G143" i="38"/>
  <c r="I140" i="38"/>
  <c r="H140" i="38"/>
  <c r="D140" i="38"/>
  <c r="G141" i="38"/>
  <c r="F144" i="38"/>
  <c r="K140" i="38"/>
  <c r="C141" i="38"/>
  <c r="E142" i="38"/>
  <c r="G142" i="38"/>
  <c r="F142" i="38"/>
  <c r="J145" i="38"/>
  <c r="K143" i="38"/>
  <c r="B143" i="38"/>
  <c r="C181" i="38" s="1"/>
  <c r="H142" i="38"/>
  <c r="E141" i="38"/>
  <c r="I142" i="38"/>
  <c r="G145" i="38"/>
  <c r="J140" i="38"/>
  <c r="G139" i="38"/>
  <c r="D143" i="38"/>
  <c r="B142" i="38"/>
  <c r="C180" i="38" s="1"/>
  <c r="J143" i="38"/>
  <c r="B141" i="38"/>
  <c r="C179" i="38" s="1"/>
  <c r="I144" i="38"/>
  <c r="K146" i="38"/>
  <c r="C139" i="38"/>
  <c r="C142" i="38"/>
  <c r="J142" i="38"/>
  <c r="F139" i="38"/>
  <c r="J146" i="38"/>
  <c r="C146" i="38"/>
  <c r="B144" i="38"/>
  <c r="C182" i="38" s="1"/>
  <c r="E140" i="38"/>
  <c r="G144" i="38"/>
  <c r="E139" i="38"/>
  <c r="F140" i="38"/>
  <c r="F143" i="38"/>
  <c r="B139" i="38"/>
  <c r="I143" i="38"/>
  <c r="F118" i="35"/>
  <c r="K119" i="35"/>
  <c r="G117" i="35"/>
  <c r="B118" i="35"/>
  <c r="I119" i="35"/>
  <c r="I114" i="35"/>
  <c r="K113" i="35"/>
  <c r="J115" i="35"/>
  <c r="H114" i="35"/>
  <c r="E115" i="35"/>
  <c r="B114" i="35"/>
  <c r="F117" i="35"/>
  <c r="B115" i="35"/>
  <c r="C112" i="35"/>
  <c r="E118" i="35"/>
  <c r="C119" i="35"/>
  <c r="B119" i="35"/>
  <c r="C115" i="35"/>
  <c r="J114" i="35"/>
  <c r="G114" i="35"/>
  <c r="D114" i="35"/>
  <c r="D116" i="35"/>
  <c r="H113" i="35"/>
  <c r="I118" i="35"/>
  <c r="G115" i="35"/>
  <c r="E117" i="35"/>
  <c r="I115" i="35"/>
  <c r="K116" i="35"/>
  <c r="D115" i="35"/>
  <c r="F112" i="35"/>
  <c r="D112" i="35"/>
  <c r="J116" i="35"/>
  <c r="B116" i="35"/>
  <c r="F113" i="35"/>
  <c r="E116" i="35"/>
  <c r="E112" i="35"/>
  <c r="E114" i="35"/>
  <c r="H112" i="35"/>
  <c r="G116" i="35"/>
  <c r="C117" i="35"/>
  <c r="E119" i="35"/>
  <c r="I112" i="35"/>
  <c r="K117" i="35"/>
  <c r="K118" i="35"/>
  <c r="C113" i="35"/>
  <c r="G119" i="35"/>
  <c r="F114" i="35"/>
  <c r="I116" i="35"/>
  <c r="J117" i="35"/>
  <c r="H118" i="35"/>
  <c r="H117" i="35"/>
  <c r="I113" i="35"/>
  <c r="B117" i="35"/>
  <c r="B113" i="35"/>
  <c r="J119" i="35"/>
  <c r="F115" i="35"/>
  <c r="K115" i="35"/>
  <c r="D119" i="35"/>
  <c r="H119" i="35"/>
  <c r="D118" i="35"/>
  <c r="K114" i="35"/>
  <c r="B112" i="35"/>
  <c r="F116" i="35"/>
  <c r="F119" i="35"/>
  <c r="H116" i="35"/>
  <c r="C116" i="35"/>
  <c r="C114" i="35"/>
  <c r="K112" i="35"/>
  <c r="H115" i="35"/>
  <c r="C118" i="35"/>
  <c r="J118" i="35"/>
  <c r="J112" i="35"/>
  <c r="E113" i="35"/>
  <c r="J113" i="35"/>
  <c r="D117" i="35"/>
  <c r="G118" i="35"/>
  <c r="I117" i="35"/>
  <c r="G112" i="35"/>
  <c r="G113" i="35"/>
  <c r="D113" i="35"/>
  <c r="G78" i="40"/>
  <c r="L159" i="40"/>
  <c r="B403" i="38"/>
  <c r="B398" i="38"/>
  <c r="J400" i="38"/>
  <c r="B399" i="38"/>
  <c r="C402" i="38"/>
  <c r="H399" i="38"/>
  <c r="C401" i="38"/>
  <c r="F401" i="38"/>
  <c r="G403" i="38"/>
  <c r="D400" i="38"/>
  <c r="E404" i="38"/>
  <c r="I399" i="38"/>
  <c r="C405" i="38"/>
  <c r="D399" i="38"/>
  <c r="I405" i="38"/>
  <c r="E405" i="38"/>
  <c r="G405" i="38"/>
  <c r="F398" i="38"/>
  <c r="J405" i="38"/>
  <c r="I400" i="38"/>
  <c r="K405" i="38"/>
  <c r="E403" i="38"/>
  <c r="F405" i="38"/>
  <c r="K403" i="38"/>
  <c r="K398" i="38"/>
  <c r="E400" i="38"/>
  <c r="G398" i="38"/>
  <c r="J402" i="38"/>
  <c r="J404" i="38"/>
  <c r="C403" i="38"/>
  <c r="F402" i="38"/>
  <c r="I403" i="38"/>
  <c r="C399" i="38"/>
  <c r="D398" i="38"/>
  <c r="J403" i="38"/>
  <c r="E399" i="38"/>
  <c r="I401" i="38"/>
  <c r="B400" i="38"/>
  <c r="G404" i="38"/>
  <c r="B404" i="38"/>
  <c r="H403" i="38"/>
  <c r="K404" i="38"/>
  <c r="G402" i="38"/>
  <c r="H404" i="38"/>
  <c r="I404" i="38"/>
  <c r="B401" i="38"/>
  <c r="K402" i="38"/>
  <c r="G401" i="38"/>
  <c r="F400" i="38"/>
  <c r="B402" i="38"/>
  <c r="D404" i="38"/>
  <c r="B405" i="38"/>
  <c r="H402" i="38"/>
  <c r="E398" i="38"/>
  <c r="H401" i="38"/>
  <c r="C404" i="38"/>
  <c r="J401" i="38"/>
  <c r="F399" i="38"/>
  <c r="J398" i="38"/>
  <c r="C398" i="38"/>
  <c r="J399" i="38"/>
  <c r="D405" i="38"/>
  <c r="E401" i="38"/>
  <c r="D401" i="38"/>
  <c r="H405" i="38"/>
  <c r="F403" i="38"/>
  <c r="H398" i="38"/>
  <c r="G400" i="38"/>
  <c r="K399" i="38"/>
  <c r="D403" i="38"/>
  <c r="D402" i="38"/>
  <c r="K400" i="38"/>
  <c r="G399" i="38"/>
  <c r="K401" i="38"/>
  <c r="C400" i="38"/>
  <c r="F404" i="38"/>
  <c r="H400" i="38"/>
  <c r="I398" i="38"/>
  <c r="E402" i="38"/>
  <c r="I402" i="38"/>
  <c r="H92" i="34"/>
  <c r="H152" i="6"/>
  <c r="I159" i="40"/>
  <c r="F125" i="8"/>
  <c r="H125" i="8"/>
  <c r="F122" i="8"/>
  <c r="B127" i="8"/>
  <c r="J122" i="8"/>
  <c r="E123" i="8"/>
  <c r="B125" i="8"/>
  <c r="I127" i="8"/>
  <c r="J123" i="8"/>
  <c r="H124" i="8"/>
  <c r="B123" i="8"/>
  <c r="G126" i="8"/>
  <c r="I125" i="8"/>
  <c r="G122" i="8"/>
  <c r="D125" i="8"/>
  <c r="F121" i="8"/>
  <c r="F128" i="8"/>
  <c r="K127" i="8"/>
  <c r="F126" i="8"/>
  <c r="C121" i="8"/>
  <c r="C125" i="8"/>
  <c r="H121" i="8"/>
  <c r="B124" i="8"/>
  <c r="G121" i="8"/>
  <c r="K121" i="8"/>
  <c r="E127" i="8"/>
  <c r="D126" i="8"/>
  <c r="H122" i="8"/>
  <c r="B126" i="8"/>
  <c r="C127" i="8"/>
  <c r="K128" i="8"/>
  <c r="J126" i="8"/>
  <c r="E126" i="8"/>
  <c r="I124" i="8"/>
  <c r="G128" i="8"/>
  <c r="K125" i="8"/>
  <c r="D123" i="8"/>
  <c r="J128" i="8"/>
  <c r="H126" i="8"/>
  <c r="E125" i="8"/>
  <c r="H128" i="8"/>
  <c r="H123" i="8"/>
  <c r="E122" i="8"/>
  <c r="J127" i="8"/>
  <c r="I126" i="8"/>
  <c r="C128" i="8"/>
  <c r="K122" i="8"/>
  <c r="D127" i="8"/>
  <c r="C122" i="8"/>
  <c r="F127" i="8"/>
  <c r="D128" i="8"/>
  <c r="I122" i="8"/>
  <c r="I128" i="8"/>
  <c r="F123" i="8"/>
  <c r="E121" i="8"/>
  <c r="G123" i="8"/>
  <c r="J121" i="8"/>
  <c r="E124" i="8"/>
  <c r="J124" i="8"/>
  <c r="K126" i="8"/>
  <c r="D122" i="8"/>
  <c r="K124" i="8"/>
  <c r="C126" i="8"/>
  <c r="C123" i="8"/>
  <c r="D124" i="8"/>
  <c r="G124" i="8"/>
  <c r="I123" i="8"/>
  <c r="B121" i="8"/>
  <c r="G125" i="8"/>
  <c r="C124" i="8"/>
  <c r="J125" i="8"/>
  <c r="F124" i="8"/>
  <c r="G127" i="8"/>
  <c r="B128" i="8"/>
  <c r="E128" i="8"/>
  <c r="H127" i="8"/>
  <c r="K123" i="8"/>
  <c r="I121" i="8"/>
  <c r="B122" i="8"/>
  <c r="D121" i="8"/>
  <c r="H68" i="4"/>
  <c r="D159" i="40"/>
  <c r="I80" i="40"/>
  <c r="G70" i="4"/>
  <c r="G52" i="40"/>
  <c r="C323" i="8"/>
  <c r="F324" i="8"/>
  <c r="E321" i="8"/>
  <c r="B319" i="8"/>
  <c r="C321" i="8"/>
  <c r="J321" i="8"/>
  <c r="K318" i="8"/>
  <c r="E318" i="8"/>
  <c r="K322" i="8"/>
  <c r="F319" i="8"/>
  <c r="I320" i="8"/>
  <c r="C318" i="8"/>
  <c r="H317" i="8"/>
  <c r="K324" i="8"/>
  <c r="F318" i="8"/>
  <c r="J322" i="8"/>
  <c r="C320" i="8"/>
  <c r="I324" i="8"/>
  <c r="J318" i="8"/>
  <c r="G324" i="8"/>
  <c r="E320" i="8"/>
  <c r="B321" i="8"/>
  <c r="K320" i="8"/>
  <c r="G323" i="8"/>
  <c r="H324" i="8"/>
  <c r="D318" i="8"/>
  <c r="H320" i="8"/>
  <c r="G322" i="8"/>
  <c r="I319" i="8"/>
  <c r="D324" i="8"/>
  <c r="B322" i="8"/>
  <c r="D317" i="8"/>
  <c r="D319" i="8"/>
  <c r="J317" i="8"/>
  <c r="F321" i="8"/>
  <c r="J324" i="8"/>
  <c r="D321" i="8"/>
  <c r="E319" i="8"/>
  <c r="C317" i="8"/>
  <c r="H321" i="8"/>
  <c r="F322" i="8"/>
  <c r="C322" i="8"/>
  <c r="C319" i="8"/>
  <c r="J319" i="8"/>
  <c r="F317" i="8"/>
  <c r="E322" i="8"/>
  <c r="I317" i="8"/>
  <c r="B320" i="8"/>
  <c r="K321" i="8"/>
  <c r="F320" i="8"/>
  <c r="B324" i="8"/>
  <c r="G319" i="8"/>
  <c r="G321" i="8"/>
  <c r="D322" i="8"/>
  <c r="H322" i="8"/>
  <c r="D320" i="8"/>
  <c r="E317" i="8"/>
  <c r="H318" i="8"/>
  <c r="E323" i="8"/>
  <c r="K319" i="8"/>
  <c r="G320" i="8"/>
  <c r="B318" i="8"/>
  <c r="G317" i="8"/>
  <c r="E324" i="8"/>
  <c r="B323" i="8"/>
  <c r="K323" i="8"/>
  <c r="F323" i="8"/>
  <c r="I322" i="8"/>
  <c r="I318" i="8"/>
  <c r="J320" i="8"/>
  <c r="H319" i="8"/>
  <c r="D323" i="8"/>
  <c r="C324" i="8"/>
  <c r="J323" i="8"/>
  <c r="G318" i="8"/>
  <c r="I323" i="8"/>
  <c r="K317" i="8"/>
  <c r="H323" i="8"/>
  <c r="B317" i="8"/>
  <c r="I321" i="8"/>
  <c r="K79" i="40"/>
  <c r="K81" i="40"/>
  <c r="E348" i="8"/>
  <c r="K346" i="8"/>
  <c r="E346" i="8"/>
  <c r="K349" i="8"/>
  <c r="D348" i="8"/>
  <c r="D351" i="8"/>
  <c r="K347" i="8"/>
  <c r="H348" i="8"/>
  <c r="D344" i="8"/>
  <c r="E344" i="8"/>
  <c r="E347" i="8"/>
  <c r="F350" i="8"/>
  <c r="J350" i="8"/>
  <c r="I345" i="8"/>
  <c r="F349" i="8"/>
  <c r="B346" i="8"/>
  <c r="F348" i="8"/>
  <c r="D347" i="8"/>
  <c r="B348" i="8"/>
  <c r="G347" i="8"/>
  <c r="E349" i="8"/>
  <c r="H350" i="8"/>
  <c r="G351" i="8"/>
  <c r="I348" i="8"/>
  <c r="H347" i="8"/>
  <c r="K351" i="8"/>
  <c r="D345" i="8"/>
  <c r="G345" i="8"/>
  <c r="J344" i="8"/>
  <c r="H351" i="8"/>
  <c r="K350" i="8"/>
  <c r="G348" i="8"/>
  <c r="C350" i="8"/>
  <c r="I351" i="8"/>
  <c r="C344" i="8"/>
  <c r="F345" i="8"/>
  <c r="D350" i="8"/>
  <c r="C347" i="8"/>
  <c r="C346" i="8"/>
  <c r="C345" i="8"/>
  <c r="H349" i="8"/>
  <c r="K344" i="8"/>
  <c r="E345" i="8"/>
  <c r="J345" i="8"/>
  <c r="B344" i="8"/>
  <c r="C348" i="8"/>
  <c r="F351" i="8"/>
  <c r="J349" i="8"/>
  <c r="D349" i="8"/>
  <c r="I347" i="8"/>
  <c r="H346" i="8"/>
  <c r="E351" i="8"/>
  <c r="I350" i="8"/>
  <c r="I346" i="8"/>
  <c r="H345" i="8"/>
  <c r="E350" i="8"/>
  <c r="D346" i="8"/>
  <c r="J347" i="8"/>
  <c r="I344" i="8"/>
  <c r="G349" i="8"/>
  <c r="B347" i="8"/>
  <c r="F347" i="8"/>
  <c r="I349" i="8"/>
  <c r="C351" i="8"/>
  <c r="J351" i="8"/>
  <c r="K345" i="8"/>
  <c r="H344" i="8"/>
  <c r="G346" i="8"/>
  <c r="B349" i="8"/>
  <c r="G350" i="8"/>
  <c r="J346" i="8"/>
  <c r="B350" i="8"/>
  <c r="F346" i="8"/>
  <c r="C349" i="8"/>
  <c r="B351" i="8"/>
  <c r="G344" i="8"/>
  <c r="K348" i="8"/>
  <c r="B345" i="8"/>
  <c r="F344" i="8"/>
  <c r="J348" i="8"/>
  <c r="G151" i="34"/>
  <c r="H52" i="4"/>
  <c r="H51" i="40"/>
  <c r="I51" i="4"/>
  <c r="G152" i="38"/>
  <c r="B150" i="38"/>
  <c r="C189" i="38" s="1"/>
  <c r="H149" i="38"/>
  <c r="D154" i="38"/>
  <c r="F148" i="38"/>
  <c r="I149" i="38"/>
  <c r="C152" i="38"/>
  <c r="F152" i="38"/>
  <c r="E154" i="38"/>
  <c r="F151" i="38"/>
  <c r="B148" i="38"/>
  <c r="J154" i="38"/>
  <c r="K151" i="38"/>
  <c r="C155" i="38"/>
  <c r="I154" i="38"/>
  <c r="C151" i="38"/>
  <c r="E148" i="38"/>
  <c r="E155" i="38"/>
  <c r="B154" i="38"/>
  <c r="C193" i="38" s="1"/>
  <c r="E152" i="38"/>
  <c r="C150" i="38"/>
  <c r="B149" i="38"/>
  <c r="C188" i="38" s="1"/>
  <c r="C148" i="38"/>
  <c r="H155" i="38"/>
  <c r="J155" i="38"/>
  <c r="G155" i="38"/>
  <c r="I152" i="38"/>
  <c r="J149" i="38"/>
  <c r="K155" i="38"/>
  <c r="K154" i="38"/>
  <c r="F153" i="38"/>
  <c r="H151" i="38"/>
  <c r="D153" i="38"/>
  <c r="K152" i="38"/>
  <c r="D151" i="38"/>
  <c r="K153" i="38"/>
  <c r="B155" i="38"/>
  <c r="C194" i="38" s="1"/>
  <c r="D155" i="38"/>
  <c r="I155" i="38"/>
  <c r="C149" i="38"/>
  <c r="J151" i="38"/>
  <c r="H148" i="38"/>
  <c r="D152" i="38"/>
  <c r="I150" i="38"/>
  <c r="I148" i="38"/>
  <c r="H152" i="38"/>
  <c r="F155" i="38"/>
  <c r="D148" i="38"/>
  <c r="H150" i="38"/>
  <c r="B151" i="38"/>
  <c r="C190" i="38" s="1"/>
  <c r="F149" i="38"/>
  <c r="D150" i="38"/>
  <c r="K149" i="38"/>
  <c r="E150" i="38"/>
  <c r="B153" i="38"/>
  <c r="C192" i="38" s="1"/>
  <c r="G153" i="38"/>
  <c r="G148" i="38"/>
  <c r="J153" i="38"/>
  <c r="I153" i="38"/>
  <c r="E151" i="38"/>
  <c r="C153" i="38"/>
  <c r="E153" i="38"/>
  <c r="E149" i="38"/>
  <c r="F154" i="38"/>
  <c r="I151" i="38"/>
  <c r="J148" i="38"/>
  <c r="G154" i="38"/>
  <c r="K150" i="38"/>
  <c r="B152" i="38"/>
  <c r="C191" i="38" s="1"/>
  <c r="K148" i="38"/>
  <c r="G151" i="38"/>
  <c r="G149" i="38"/>
  <c r="J152" i="38"/>
  <c r="F150" i="38"/>
  <c r="H154" i="38"/>
  <c r="C154" i="38"/>
  <c r="H153" i="38"/>
  <c r="D149" i="38"/>
  <c r="J150" i="38"/>
  <c r="G150" i="38"/>
  <c r="F76" i="4"/>
  <c r="F76" i="40" s="1"/>
  <c r="F68" i="40"/>
  <c r="H95" i="34"/>
  <c r="H155" i="6"/>
  <c r="E116" i="29"/>
  <c r="E105" i="29"/>
  <c r="H62" i="40"/>
  <c r="H414" i="8"/>
  <c r="B408" i="8"/>
  <c r="I410" i="8"/>
  <c r="J409" i="8"/>
  <c r="D409" i="8"/>
  <c r="D407" i="8"/>
  <c r="F408" i="8"/>
  <c r="G410" i="8"/>
  <c r="H407" i="8"/>
  <c r="D413" i="8"/>
  <c r="K410" i="8"/>
  <c r="J407" i="8"/>
  <c r="F407" i="8"/>
  <c r="D411" i="8"/>
  <c r="K412" i="8"/>
  <c r="C407" i="8"/>
  <c r="E411" i="8"/>
  <c r="C409" i="8"/>
  <c r="D408" i="8"/>
  <c r="B413" i="8"/>
  <c r="K408" i="8"/>
  <c r="K413" i="8"/>
  <c r="J408" i="8"/>
  <c r="G414" i="8"/>
  <c r="I409" i="8"/>
  <c r="E412" i="8"/>
  <c r="F409" i="8"/>
  <c r="K407" i="8"/>
  <c r="H413" i="8"/>
  <c r="E413" i="8"/>
  <c r="E408" i="8"/>
  <c r="D410" i="8"/>
  <c r="F414" i="8"/>
  <c r="H410" i="8"/>
  <c r="H412" i="8"/>
  <c r="I407" i="8"/>
  <c r="H408" i="8"/>
  <c r="C413" i="8"/>
  <c r="G409" i="8"/>
  <c r="F411" i="8"/>
  <c r="K411" i="8"/>
  <c r="E407" i="8"/>
  <c r="E414" i="8"/>
  <c r="I414" i="8"/>
  <c r="J414" i="8"/>
  <c r="C414" i="8"/>
  <c r="B412" i="8"/>
  <c r="C408" i="8"/>
  <c r="F410" i="8"/>
  <c r="H411" i="8"/>
  <c r="J413" i="8"/>
  <c r="C410" i="8"/>
  <c r="B411" i="8"/>
  <c r="I413" i="8"/>
  <c r="D414" i="8"/>
  <c r="K414" i="8"/>
  <c r="C411" i="8"/>
  <c r="E409" i="8"/>
  <c r="G408" i="8"/>
  <c r="G407" i="8"/>
  <c r="F412" i="8"/>
  <c r="I411" i="8"/>
  <c r="D412" i="8"/>
  <c r="J410" i="8"/>
  <c r="G411" i="8"/>
  <c r="B409" i="8"/>
  <c r="B414" i="8"/>
  <c r="J412" i="8"/>
  <c r="C412" i="8"/>
  <c r="B407" i="8"/>
  <c r="B410" i="8"/>
  <c r="I408" i="8"/>
  <c r="G413" i="8"/>
  <c r="E410" i="8"/>
  <c r="K409" i="8"/>
  <c r="J411" i="8"/>
  <c r="F413" i="8"/>
  <c r="G412" i="8"/>
  <c r="I412" i="8"/>
  <c r="H409" i="8"/>
  <c r="H128" i="29"/>
  <c r="H129" i="29" s="1"/>
  <c r="I125" i="29"/>
  <c r="I127" i="29" s="1"/>
  <c r="F78" i="40"/>
  <c r="M159" i="40"/>
  <c r="I329" i="38"/>
  <c r="G326" i="38"/>
  <c r="F330" i="38"/>
  <c r="J333" i="38"/>
  <c r="D330" i="38"/>
  <c r="F328" i="38"/>
  <c r="B332" i="38"/>
  <c r="H326" i="38"/>
  <c r="G327" i="38"/>
  <c r="D331" i="38"/>
  <c r="E329" i="38"/>
  <c r="H331" i="38"/>
  <c r="G328" i="38"/>
  <c r="B333" i="38"/>
  <c r="D333" i="38"/>
  <c r="E331" i="38"/>
  <c r="J331" i="38"/>
  <c r="I333" i="38"/>
  <c r="C330" i="38"/>
  <c r="I330" i="38"/>
  <c r="D328" i="38"/>
  <c r="E332" i="38"/>
  <c r="H327" i="38"/>
  <c r="G331" i="38"/>
  <c r="E326" i="38"/>
  <c r="F331" i="38"/>
  <c r="D332" i="38"/>
  <c r="G330" i="38"/>
  <c r="F333" i="38"/>
  <c r="B326" i="38"/>
  <c r="J328" i="38"/>
  <c r="C331" i="38"/>
  <c r="I326" i="38"/>
  <c r="F332" i="38"/>
  <c r="K332" i="38"/>
  <c r="K328" i="38"/>
  <c r="I332" i="38"/>
  <c r="I328" i="38"/>
  <c r="D326" i="38"/>
  <c r="E333" i="38"/>
  <c r="C328" i="38"/>
  <c r="J330" i="38"/>
  <c r="K331" i="38"/>
  <c r="E330" i="38"/>
  <c r="G332" i="38"/>
  <c r="E327" i="38"/>
  <c r="C333" i="38"/>
  <c r="K333" i="38"/>
  <c r="H332" i="38"/>
  <c r="G329" i="38"/>
  <c r="I327" i="38"/>
  <c r="K329" i="38"/>
  <c r="C327" i="38"/>
  <c r="K326" i="38"/>
  <c r="B327" i="38"/>
  <c r="D329" i="38"/>
  <c r="D327" i="38"/>
  <c r="B331" i="38"/>
  <c r="F327" i="38"/>
  <c r="K327" i="38"/>
  <c r="H329" i="38"/>
  <c r="J326" i="38"/>
  <c r="F329" i="38"/>
  <c r="E328" i="38"/>
  <c r="B328" i="38"/>
  <c r="C329" i="38"/>
  <c r="B329" i="38"/>
  <c r="H328" i="38"/>
  <c r="B330" i="38"/>
  <c r="I331" i="38"/>
  <c r="J332" i="38"/>
  <c r="K330" i="38"/>
  <c r="J327" i="38"/>
  <c r="J329" i="38"/>
  <c r="H330" i="38"/>
  <c r="C326" i="38"/>
  <c r="H333" i="38"/>
  <c r="G333" i="38"/>
  <c r="F326" i="38"/>
  <c r="C332" i="38"/>
  <c r="C399" i="8"/>
  <c r="C405" i="8"/>
  <c r="E404" i="8"/>
  <c r="I404" i="8"/>
  <c r="H404" i="8"/>
  <c r="C400" i="8"/>
  <c r="B400" i="8"/>
  <c r="G403" i="8"/>
  <c r="E401" i="8"/>
  <c r="I405" i="8"/>
  <c r="E398" i="8"/>
  <c r="J399" i="8"/>
  <c r="D402" i="8"/>
  <c r="J403" i="8"/>
  <c r="E402" i="8"/>
  <c r="H401" i="8"/>
  <c r="K401" i="8"/>
  <c r="C401" i="8"/>
  <c r="G400" i="8"/>
  <c r="C404" i="8"/>
  <c r="B404" i="8"/>
  <c r="K404" i="8"/>
  <c r="K398" i="8"/>
  <c r="J398" i="8"/>
  <c r="E400" i="8"/>
  <c r="J400" i="8"/>
  <c r="D404" i="8"/>
  <c r="C398" i="8"/>
  <c r="G401" i="8"/>
  <c r="H398" i="8"/>
  <c r="J402" i="8"/>
  <c r="D403" i="8"/>
  <c r="C402" i="8"/>
  <c r="F405" i="8"/>
  <c r="D405" i="8"/>
  <c r="D399" i="8"/>
  <c r="I402" i="8"/>
  <c r="B403" i="8"/>
  <c r="I398" i="8"/>
  <c r="I403" i="8"/>
  <c r="K399" i="8"/>
  <c r="G402" i="8"/>
  <c r="H403" i="8"/>
  <c r="F398" i="8"/>
  <c r="H400" i="8"/>
  <c r="K405" i="8"/>
  <c r="C403" i="8"/>
  <c r="I399" i="8"/>
  <c r="B401" i="8"/>
  <c r="J404" i="8"/>
  <c r="J405" i="8"/>
  <c r="H405" i="8"/>
  <c r="K402" i="8"/>
  <c r="H399" i="8"/>
  <c r="D400" i="8"/>
  <c r="E399" i="8"/>
  <c r="F402" i="8"/>
  <c r="G399" i="8"/>
  <c r="E405" i="8"/>
  <c r="F399" i="8"/>
  <c r="B398" i="8"/>
  <c r="J401" i="8"/>
  <c r="D398" i="8"/>
  <c r="D401" i="8"/>
  <c r="G404" i="8"/>
  <c r="K403" i="8"/>
  <c r="I401" i="8"/>
  <c r="F401" i="8"/>
  <c r="F404" i="8"/>
  <c r="E403" i="8"/>
  <c r="F403" i="8"/>
  <c r="G405" i="8"/>
  <c r="F400" i="8"/>
  <c r="G398" i="8"/>
  <c r="H402" i="8"/>
  <c r="K400" i="8"/>
  <c r="B405" i="8"/>
  <c r="B399" i="8"/>
  <c r="I400" i="8"/>
  <c r="B402" i="8"/>
  <c r="H94" i="34"/>
  <c r="H154" i="6"/>
  <c r="D76" i="40"/>
  <c r="D82" i="4"/>
  <c r="D84" i="4"/>
  <c r="D85" i="4"/>
  <c r="D83" i="4"/>
  <c r="J159" i="40"/>
  <c r="I44" i="4"/>
  <c r="I45" i="4"/>
  <c r="J43" i="4"/>
  <c r="D87" i="29"/>
  <c r="E76" i="4"/>
  <c r="E76" i="40" s="1"/>
  <c r="E68" i="40"/>
  <c r="M80" i="40"/>
  <c r="J149" i="8"/>
  <c r="K151" i="8"/>
  <c r="I151" i="8"/>
  <c r="K152" i="8"/>
  <c r="C155" i="8"/>
  <c r="D152" i="8"/>
  <c r="C153" i="8"/>
  <c r="K150" i="8"/>
  <c r="C152" i="8"/>
  <c r="E150" i="8"/>
  <c r="G151" i="8"/>
  <c r="H152" i="8"/>
  <c r="B150" i="8"/>
  <c r="G155" i="8"/>
  <c r="D151" i="8"/>
  <c r="B148" i="8"/>
  <c r="I149" i="8"/>
  <c r="K155" i="8"/>
  <c r="B153" i="8"/>
  <c r="I154" i="8"/>
  <c r="F154" i="8"/>
  <c r="B152" i="8"/>
  <c r="H154" i="8"/>
  <c r="I148" i="8"/>
  <c r="D153" i="8"/>
  <c r="G153" i="8"/>
  <c r="G150" i="8"/>
  <c r="E152" i="8"/>
  <c r="I153" i="8"/>
  <c r="K153" i="8"/>
  <c r="H150" i="8"/>
  <c r="G152" i="8"/>
  <c r="G154" i="8"/>
  <c r="C149" i="8"/>
  <c r="J151" i="8"/>
  <c r="K149" i="8"/>
  <c r="F149" i="8"/>
  <c r="C148" i="8"/>
  <c r="D148" i="8"/>
  <c r="J154" i="8"/>
  <c r="H151" i="8"/>
  <c r="F151" i="8"/>
  <c r="B149" i="8"/>
  <c r="K148" i="8"/>
  <c r="E148" i="8"/>
  <c r="G149" i="8"/>
  <c r="B155" i="8"/>
  <c r="F152" i="8"/>
  <c r="J153" i="8"/>
  <c r="C150" i="8"/>
  <c r="J148" i="8"/>
  <c r="D150" i="8"/>
  <c r="H149" i="8"/>
  <c r="F148" i="8"/>
  <c r="E151" i="8"/>
  <c r="F155" i="8"/>
  <c r="B151" i="8"/>
  <c r="F150" i="8"/>
  <c r="E149" i="8"/>
  <c r="H153" i="8"/>
  <c r="E154" i="8"/>
  <c r="D154" i="8"/>
  <c r="J155" i="8"/>
  <c r="C154" i="8"/>
  <c r="F153" i="8"/>
  <c r="E153" i="8"/>
  <c r="H148" i="8"/>
  <c r="K154" i="8"/>
  <c r="E155" i="8"/>
  <c r="C151" i="8"/>
  <c r="I152" i="8"/>
  <c r="J150" i="8"/>
  <c r="G148" i="8"/>
  <c r="D149" i="8"/>
  <c r="D155" i="8"/>
  <c r="H155" i="8"/>
  <c r="I155" i="8"/>
  <c r="B154" i="8"/>
  <c r="I150" i="8"/>
  <c r="J152" i="8"/>
  <c r="G79" i="40"/>
  <c r="L81" i="40"/>
  <c r="G152" i="34"/>
  <c r="I78" i="40"/>
  <c r="D78" i="40"/>
  <c r="G153" i="34"/>
  <c r="H113" i="4"/>
  <c r="H111" i="40"/>
  <c r="L78" i="40"/>
  <c r="D170" i="4"/>
  <c r="D169" i="4"/>
  <c r="D167" i="40"/>
  <c r="D98" i="40"/>
  <c r="D99" i="4"/>
  <c r="F75" i="4"/>
  <c r="F67" i="40"/>
  <c r="G206" i="4"/>
  <c r="C122" i="38"/>
  <c r="B124" i="38"/>
  <c r="C160" i="38" s="1"/>
  <c r="H127" i="38"/>
  <c r="B128" i="38"/>
  <c r="C164" i="38" s="1"/>
  <c r="D121" i="38"/>
  <c r="F124" i="38"/>
  <c r="C124" i="38"/>
  <c r="J121" i="38"/>
  <c r="J126" i="38"/>
  <c r="E122" i="38"/>
  <c r="B121" i="38"/>
  <c r="F121" i="38"/>
  <c r="G126" i="38"/>
  <c r="I124" i="38"/>
  <c r="J124" i="38"/>
  <c r="F126" i="38"/>
  <c r="C121" i="38"/>
  <c r="D128" i="38"/>
  <c r="K128" i="38"/>
  <c r="D125" i="38"/>
  <c r="C125" i="38"/>
  <c r="G128" i="38"/>
  <c r="B122" i="38"/>
  <c r="C158" i="38" s="1"/>
  <c r="B127" i="38"/>
  <c r="C163" i="38" s="1"/>
  <c r="B123" i="38"/>
  <c r="C159" i="38" s="1"/>
  <c r="K123" i="38"/>
  <c r="K125" i="38"/>
  <c r="E126" i="38"/>
  <c r="G123" i="38"/>
  <c r="I128" i="38"/>
  <c r="G122" i="38"/>
  <c r="G124" i="38"/>
  <c r="D124" i="38"/>
  <c r="H121" i="38"/>
  <c r="I125" i="38"/>
  <c r="J127" i="38"/>
  <c r="J123" i="38"/>
  <c r="F125" i="38"/>
  <c r="K121" i="38"/>
  <c r="F127" i="38"/>
  <c r="I126" i="38"/>
  <c r="J128" i="38"/>
  <c r="J122" i="38"/>
  <c r="H125" i="38"/>
  <c r="H124" i="38"/>
  <c r="F123" i="38"/>
  <c r="C127" i="38"/>
  <c r="D122" i="38"/>
  <c r="E128" i="38"/>
  <c r="F122" i="38"/>
  <c r="I121" i="38"/>
  <c r="K127" i="38"/>
  <c r="D123" i="38"/>
  <c r="I122" i="38"/>
  <c r="F128" i="38"/>
  <c r="C126" i="38"/>
  <c r="E121" i="38"/>
  <c r="I127" i="38"/>
  <c r="B125" i="38"/>
  <c r="C161" i="38" s="1"/>
  <c r="G127" i="38"/>
  <c r="H123" i="38"/>
  <c r="E124" i="38"/>
  <c r="H122" i="38"/>
  <c r="I123" i="38"/>
  <c r="E123" i="38"/>
  <c r="B126" i="38"/>
  <c r="C162" i="38" s="1"/>
  <c r="D126" i="38"/>
  <c r="K124" i="38"/>
  <c r="H128" i="38"/>
  <c r="G121" i="38"/>
  <c r="D127" i="38"/>
  <c r="K126" i="38"/>
  <c r="H126" i="38"/>
  <c r="E125" i="38"/>
  <c r="C128" i="38"/>
  <c r="J125" i="38"/>
  <c r="G125" i="38"/>
  <c r="E127" i="38"/>
  <c r="C123" i="38"/>
  <c r="K122" i="38"/>
  <c r="I65" i="58"/>
  <c r="H412" i="38"/>
  <c r="E411" i="38"/>
  <c r="C414" i="38"/>
  <c r="J410" i="38"/>
  <c r="C409" i="38"/>
  <c r="B408" i="38"/>
  <c r="J413" i="38"/>
  <c r="B407" i="38"/>
  <c r="K407" i="38"/>
  <c r="H408" i="38"/>
  <c r="H413" i="38"/>
  <c r="D409" i="38"/>
  <c r="K414" i="38"/>
  <c r="H407" i="38"/>
  <c r="F410" i="38"/>
  <c r="G412" i="38"/>
  <c r="H410" i="38"/>
  <c r="C411" i="38"/>
  <c r="J409" i="38"/>
  <c r="I414" i="38"/>
  <c r="B410" i="38"/>
  <c r="I413" i="38"/>
  <c r="F414" i="38"/>
  <c r="B414" i="38"/>
  <c r="C410" i="38"/>
  <c r="K411" i="38"/>
  <c r="D412" i="38"/>
  <c r="J414" i="38"/>
  <c r="D407" i="38"/>
  <c r="G408" i="38"/>
  <c r="F408" i="38"/>
  <c r="J412" i="38"/>
  <c r="K408" i="38"/>
  <c r="K412" i="38"/>
  <c r="C408" i="38"/>
  <c r="H414" i="38"/>
  <c r="I409" i="38"/>
  <c r="D413" i="38"/>
  <c r="E413" i="38"/>
  <c r="G411" i="38"/>
  <c r="E412" i="38"/>
  <c r="F413" i="38"/>
  <c r="G410" i="38"/>
  <c r="E409" i="38"/>
  <c r="K409" i="38"/>
  <c r="I408" i="38"/>
  <c r="F407" i="38"/>
  <c r="J411" i="38"/>
  <c r="I410" i="38"/>
  <c r="I411" i="38"/>
  <c r="H411" i="38"/>
  <c r="C412" i="38"/>
  <c r="J408" i="38"/>
  <c r="C413" i="38"/>
  <c r="E407" i="38"/>
  <c r="G414" i="38"/>
  <c r="G413" i="38"/>
  <c r="G407" i="38"/>
  <c r="E408" i="38"/>
  <c r="D414" i="38"/>
  <c r="D408" i="38"/>
  <c r="I412" i="38"/>
  <c r="B412" i="38"/>
  <c r="F412" i="38"/>
  <c r="B413" i="38"/>
  <c r="B411" i="38"/>
  <c r="E410" i="38"/>
  <c r="K410" i="38"/>
  <c r="G409" i="38"/>
  <c r="E414" i="38"/>
  <c r="B409" i="38"/>
  <c r="H409" i="38"/>
  <c r="K413" i="38"/>
  <c r="D410" i="38"/>
  <c r="D411" i="38"/>
  <c r="I407" i="38"/>
  <c r="J407" i="38"/>
  <c r="F409" i="38"/>
  <c r="C407" i="38"/>
  <c r="F411" i="38"/>
  <c r="H78" i="40"/>
  <c r="D75" i="40"/>
  <c r="D210" i="4"/>
  <c r="G159" i="40"/>
  <c r="H394" i="8"/>
  <c r="D395" i="8"/>
  <c r="H396" i="8"/>
  <c r="C389" i="8"/>
  <c r="E389" i="8"/>
  <c r="J394" i="8"/>
  <c r="J395" i="8"/>
  <c r="H390" i="8"/>
  <c r="C390" i="8"/>
  <c r="H395" i="8"/>
  <c r="F393" i="8"/>
  <c r="F389" i="8"/>
  <c r="B394" i="8"/>
  <c r="D396" i="8"/>
  <c r="F396" i="8"/>
  <c r="D392" i="8"/>
  <c r="E393" i="8"/>
  <c r="F391" i="8"/>
  <c r="J390" i="8"/>
  <c r="G391" i="8"/>
  <c r="B393" i="8"/>
  <c r="I395" i="8"/>
  <c r="E395" i="8"/>
  <c r="K389" i="8"/>
  <c r="H392" i="8"/>
  <c r="E391" i="8"/>
  <c r="F394" i="8"/>
  <c r="H393" i="8"/>
  <c r="G395" i="8"/>
  <c r="C396" i="8"/>
  <c r="K391" i="8"/>
  <c r="J396" i="8"/>
  <c r="I394" i="8"/>
  <c r="K393" i="8"/>
  <c r="F390" i="8"/>
  <c r="K394" i="8"/>
  <c r="E396" i="8"/>
  <c r="J389" i="8"/>
  <c r="B392" i="8"/>
  <c r="H391" i="8"/>
  <c r="I391" i="8"/>
  <c r="B395" i="8"/>
  <c r="J392" i="8"/>
  <c r="C393" i="8"/>
  <c r="G394" i="8"/>
  <c r="D390" i="8"/>
  <c r="F395" i="8"/>
  <c r="C394" i="8"/>
  <c r="C391" i="8"/>
  <c r="C395" i="8"/>
  <c r="B389" i="8"/>
  <c r="G389" i="8"/>
  <c r="I390" i="8"/>
  <c r="H389" i="8"/>
  <c r="G390" i="8"/>
  <c r="K396" i="8"/>
  <c r="D393" i="8"/>
  <c r="I393" i="8"/>
  <c r="B390" i="8"/>
  <c r="G392" i="8"/>
  <c r="I389" i="8"/>
  <c r="C392" i="8"/>
  <c r="I396" i="8"/>
  <c r="D394" i="8"/>
  <c r="I392" i="8"/>
  <c r="E394" i="8"/>
  <c r="G393" i="8"/>
  <c r="E390" i="8"/>
  <c r="B396" i="8"/>
  <c r="K390" i="8"/>
  <c r="K392" i="8"/>
  <c r="K395" i="8"/>
  <c r="F392" i="8"/>
  <c r="D389" i="8"/>
  <c r="D391" i="8"/>
  <c r="E392" i="8"/>
  <c r="J391" i="8"/>
  <c r="G396" i="8"/>
  <c r="B391" i="8"/>
  <c r="J393" i="8"/>
  <c r="F70" i="40"/>
  <c r="F98" i="4"/>
  <c r="E79" i="40"/>
  <c r="G44" i="40"/>
  <c r="D141" i="8"/>
  <c r="K139" i="8"/>
  <c r="B143" i="8"/>
  <c r="H145" i="8"/>
  <c r="G139" i="8"/>
  <c r="F139" i="8"/>
  <c r="E142" i="8"/>
  <c r="I146" i="8"/>
  <c r="G140" i="8"/>
  <c r="C141" i="8"/>
  <c r="C139" i="8"/>
  <c r="I145" i="8"/>
  <c r="E143" i="8"/>
  <c r="B145" i="8"/>
  <c r="F143" i="8"/>
  <c r="D143" i="8"/>
  <c r="D142" i="8"/>
  <c r="B141" i="8"/>
  <c r="I141" i="8"/>
  <c r="E144" i="8"/>
  <c r="I139" i="8"/>
  <c r="E145" i="8"/>
  <c r="G141" i="8"/>
  <c r="K144" i="8"/>
  <c r="D146" i="8"/>
  <c r="F144" i="8"/>
  <c r="G146" i="8"/>
  <c r="E139" i="8"/>
  <c r="H146" i="8"/>
  <c r="H139" i="8"/>
  <c r="C143" i="8"/>
  <c r="J144" i="8"/>
  <c r="F141" i="8"/>
  <c r="D144" i="8"/>
  <c r="J146" i="8"/>
  <c r="B140" i="8"/>
  <c r="K142" i="8"/>
  <c r="I144" i="8"/>
  <c r="G142" i="8"/>
  <c r="B139" i="8"/>
  <c r="G144" i="8"/>
  <c r="F140" i="8"/>
  <c r="D145" i="8"/>
  <c r="J141" i="8"/>
  <c r="H142" i="8"/>
  <c r="F142" i="8"/>
  <c r="K140" i="8"/>
  <c r="I143" i="8"/>
  <c r="G145" i="8"/>
  <c r="C145" i="8"/>
  <c r="J145" i="8"/>
  <c r="I142" i="8"/>
  <c r="H144" i="8"/>
  <c r="K141" i="8"/>
  <c r="E141" i="8"/>
  <c r="K146" i="8"/>
  <c r="G143" i="8"/>
  <c r="C140" i="8"/>
  <c r="I140" i="8"/>
  <c r="H143" i="8"/>
  <c r="B144" i="8"/>
  <c r="H141" i="8"/>
  <c r="E146" i="8"/>
  <c r="E140" i="8"/>
  <c r="H140" i="8"/>
  <c r="K143" i="8"/>
  <c r="F145" i="8"/>
  <c r="B142" i="8"/>
  <c r="B146" i="8"/>
  <c r="C144" i="8"/>
  <c r="J142" i="8"/>
  <c r="J143" i="8"/>
  <c r="J140" i="8"/>
  <c r="D140" i="8"/>
  <c r="C142" i="8"/>
  <c r="C146" i="8"/>
  <c r="K145" i="8"/>
  <c r="J139" i="8"/>
  <c r="F146" i="8"/>
  <c r="D139" i="8"/>
  <c r="D342" i="8"/>
  <c r="G340" i="8"/>
  <c r="H336" i="8"/>
  <c r="I337" i="8"/>
  <c r="H339" i="8"/>
  <c r="B338" i="8"/>
  <c r="H335" i="8"/>
  <c r="H341" i="8"/>
  <c r="K340" i="8"/>
  <c r="K337" i="8"/>
  <c r="K338" i="8"/>
  <c r="H340" i="8"/>
  <c r="B342" i="8"/>
  <c r="J337" i="8"/>
  <c r="G339" i="8"/>
  <c r="D340" i="8"/>
  <c r="C340" i="8"/>
  <c r="C339" i="8"/>
  <c r="I335" i="8"/>
  <c r="K342" i="8"/>
  <c r="J339" i="8"/>
  <c r="C341" i="8"/>
  <c r="D341" i="8"/>
  <c r="E337" i="8"/>
  <c r="D338" i="8"/>
  <c r="C338" i="8"/>
  <c r="G338" i="8"/>
  <c r="D336" i="8"/>
  <c r="F337" i="8"/>
  <c r="F339" i="8"/>
  <c r="I338" i="8"/>
  <c r="H338" i="8"/>
  <c r="E340" i="8"/>
  <c r="F338" i="8"/>
  <c r="J341" i="8"/>
  <c r="D337" i="8"/>
  <c r="D335" i="8"/>
  <c r="C335" i="8"/>
  <c r="F340" i="8"/>
  <c r="B336" i="8"/>
  <c r="J336" i="8"/>
  <c r="B337" i="8"/>
  <c r="K341" i="8"/>
  <c r="E342" i="8"/>
  <c r="F335" i="8"/>
  <c r="J342" i="8"/>
  <c r="G337" i="8"/>
  <c r="E338" i="8"/>
  <c r="D339" i="8"/>
  <c r="J338" i="8"/>
  <c r="F342" i="8"/>
  <c r="B335" i="8"/>
  <c r="I340" i="8"/>
  <c r="F336" i="8"/>
  <c r="H342" i="8"/>
  <c r="I336" i="8"/>
  <c r="J335" i="8"/>
  <c r="C336" i="8"/>
  <c r="J340" i="8"/>
  <c r="F341" i="8"/>
  <c r="B339" i="8"/>
  <c r="I341" i="8"/>
  <c r="E335" i="8"/>
  <c r="G336" i="8"/>
  <c r="K336" i="8"/>
  <c r="K335" i="8"/>
  <c r="K339" i="8"/>
  <c r="B341" i="8"/>
  <c r="G342" i="8"/>
  <c r="G341" i="8"/>
  <c r="C342" i="8"/>
  <c r="I342" i="8"/>
  <c r="I339" i="8"/>
  <c r="B340" i="8"/>
  <c r="H337" i="8"/>
  <c r="G335" i="8"/>
  <c r="E336" i="8"/>
  <c r="C337" i="8"/>
  <c r="E339" i="8"/>
  <c r="E341" i="8"/>
  <c r="I58" i="58"/>
  <c r="C418" i="38"/>
  <c r="C421" i="38"/>
  <c r="D423" i="38"/>
  <c r="H420" i="38"/>
  <c r="B423" i="38"/>
  <c r="D420" i="38"/>
  <c r="K423" i="38"/>
  <c r="F420" i="38"/>
  <c r="C420" i="38"/>
  <c r="H416" i="38"/>
  <c r="D422" i="38"/>
  <c r="G421" i="38"/>
  <c r="B416" i="38"/>
  <c r="I423" i="38"/>
  <c r="B418" i="38"/>
  <c r="K418" i="38"/>
  <c r="J418" i="38"/>
  <c r="D419" i="38"/>
  <c r="J420" i="38"/>
  <c r="I421" i="38"/>
  <c r="K420" i="38"/>
  <c r="H417" i="38"/>
  <c r="B420" i="38"/>
  <c r="E419" i="38"/>
  <c r="C422" i="38"/>
  <c r="F423" i="38"/>
  <c r="C416" i="38"/>
  <c r="F418" i="38"/>
  <c r="C419" i="38"/>
  <c r="K421" i="38"/>
  <c r="E422" i="38"/>
  <c r="K416" i="38"/>
  <c r="G422" i="38"/>
  <c r="E421" i="38"/>
  <c r="B421" i="38"/>
  <c r="B417" i="38"/>
  <c r="J417" i="38"/>
  <c r="J419" i="38"/>
  <c r="G417" i="38"/>
  <c r="I420" i="38"/>
  <c r="J423" i="38"/>
  <c r="I418" i="38"/>
  <c r="E418" i="38"/>
  <c r="F417" i="38"/>
  <c r="E416" i="38"/>
  <c r="K422" i="38"/>
  <c r="G418" i="38"/>
  <c r="C417" i="38"/>
  <c r="D421" i="38"/>
  <c r="G419" i="38"/>
  <c r="E423" i="38"/>
  <c r="I417" i="38"/>
  <c r="D417" i="38"/>
  <c r="F422" i="38"/>
  <c r="H422" i="38"/>
  <c r="D418" i="38"/>
  <c r="I422" i="38"/>
  <c r="F421" i="38"/>
  <c r="H419" i="38"/>
  <c r="J416" i="38"/>
  <c r="D416" i="38"/>
  <c r="F416" i="38"/>
  <c r="K417" i="38"/>
  <c r="C423" i="38"/>
  <c r="E420" i="38"/>
  <c r="J422" i="38"/>
  <c r="K419" i="38"/>
  <c r="I416" i="38"/>
  <c r="H421" i="38"/>
  <c r="F419" i="38"/>
  <c r="H423" i="38"/>
  <c r="I419" i="38"/>
  <c r="G416" i="38"/>
  <c r="J421" i="38"/>
  <c r="B419" i="38"/>
  <c r="B422" i="38"/>
  <c r="G423" i="38"/>
  <c r="E417" i="38"/>
  <c r="H418" i="38"/>
  <c r="G420" i="38"/>
  <c r="D338" i="38"/>
  <c r="F337" i="38"/>
  <c r="J339" i="38"/>
  <c r="B338" i="38"/>
  <c r="I340" i="38"/>
  <c r="H341" i="38"/>
  <c r="H338" i="38"/>
  <c r="I339" i="38"/>
  <c r="D340" i="38"/>
  <c r="K338" i="38"/>
  <c r="B340" i="38"/>
  <c r="D341" i="38"/>
  <c r="J342" i="38"/>
  <c r="H336" i="38"/>
  <c r="G341" i="38"/>
  <c r="J340" i="38"/>
  <c r="B341" i="38"/>
  <c r="D339" i="38"/>
  <c r="E340" i="38"/>
  <c r="D342" i="38"/>
  <c r="D336" i="38"/>
  <c r="C339" i="38"/>
  <c r="G340" i="38"/>
  <c r="E342" i="38"/>
  <c r="C342" i="38"/>
  <c r="B342" i="38"/>
  <c r="H337" i="38"/>
  <c r="I337" i="38"/>
  <c r="J341" i="38"/>
  <c r="G342" i="38"/>
  <c r="F339" i="38"/>
  <c r="C341" i="38"/>
  <c r="F340" i="38"/>
  <c r="E337" i="38"/>
  <c r="H340" i="38"/>
  <c r="D337" i="38"/>
  <c r="C335" i="38"/>
  <c r="K337" i="38"/>
  <c r="I338" i="38"/>
  <c r="H342" i="38"/>
  <c r="E335" i="38"/>
  <c r="G339" i="38"/>
  <c r="J336" i="38"/>
  <c r="C336" i="38"/>
  <c r="F336" i="38"/>
  <c r="F342" i="38"/>
  <c r="K340" i="38"/>
  <c r="K341" i="38"/>
  <c r="C338" i="38"/>
  <c r="H335" i="38"/>
  <c r="E341" i="38"/>
  <c r="G337" i="38"/>
  <c r="I335" i="38"/>
  <c r="B335" i="38"/>
  <c r="D335" i="38"/>
  <c r="F341" i="38"/>
  <c r="J335" i="38"/>
  <c r="F338" i="38"/>
  <c r="I341" i="38"/>
  <c r="K335" i="38"/>
  <c r="I336" i="38"/>
  <c r="B337" i="38"/>
  <c r="B336" i="38"/>
  <c r="C337" i="38"/>
  <c r="K336" i="38"/>
  <c r="J337" i="38"/>
  <c r="G335" i="38"/>
  <c r="H339" i="38"/>
  <c r="F335" i="38"/>
  <c r="G336" i="38"/>
  <c r="G338" i="38"/>
  <c r="K342" i="38"/>
  <c r="E338" i="38"/>
  <c r="K339" i="38"/>
  <c r="E336" i="38"/>
  <c r="E339" i="38"/>
  <c r="I342" i="38"/>
  <c r="C340" i="38"/>
  <c r="B339" i="38"/>
  <c r="J338" i="38"/>
  <c r="M78" i="40"/>
  <c r="F328" i="8"/>
  <c r="J332" i="8"/>
  <c r="K327" i="8"/>
  <c r="E331" i="8"/>
  <c r="F327" i="8"/>
  <c r="F333" i="8"/>
  <c r="J333" i="8"/>
  <c r="B332" i="8"/>
  <c r="D332" i="8"/>
  <c r="H329" i="8"/>
  <c r="K333" i="8"/>
  <c r="I332" i="8"/>
  <c r="I330" i="8"/>
  <c r="C328" i="8"/>
  <c r="G332" i="8"/>
  <c r="J331" i="8"/>
  <c r="G327" i="8"/>
  <c r="E326" i="8"/>
  <c r="F331" i="8"/>
  <c r="D327" i="8"/>
  <c r="H333" i="8"/>
  <c r="G333" i="8"/>
  <c r="B329" i="8"/>
  <c r="D326" i="8"/>
  <c r="B331" i="8"/>
  <c r="K328" i="8"/>
  <c r="H331" i="8"/>
  <c r="K329" i="8"/>
  <c r="J326" i="8"/>
  <c r="E330" i="8"/>
  <c r="E333" i="8"/>
  <c r="I333" i="8"/>
  <c r="C331" i="8"/>
  <c r="B326" i="8"/>
  <c r="I326" i="8"/>
  <c r="G326" i="8"/>
  <c r="D328" i="8"/>
  <c r="E327" i="8"/>
  <c r="F330" i="8"/>
  <c r="F332" i="8"/>
  <c r="I327" i="8"/>
  <c r="J327" i="8"/>
  <c r="G330" i="8"/>
  <c r="K331" i="8"/>
  <c r="C330" i="8"/>
  <c r="J330" i="8"/>
  <c r="B328" i="8"/>
  <c r="H328" i="8"/>
  <c r="B333" i="8"/>
  <c r="C326" i="8"/>
  <c r="B327" i="8"/>
  <c r="G329" i="8"/>
  <c r="G331" i="8"/>
  <c r="K326" i="8"/>
  <c r="B330" i="8"/>
  <c r="E328" i="8"/>
  <c r="I329" i="8"/>
  <c r="H327" i="8"/>
  <c r="J329" i="8"/>
  <c r="C333" i="8"/>
  <c r="H330" i="8"/>
  <c r="C327" i="8"/>
  <c r="J328" i="8"/>
  <c r="I331" i="8"/>
  <c r="F326" i="8"/>
  <c r="D330" i="8"/>
  <c r="K332" i="8"/>
  <c r="E329" i="8"/>
  <c r="K330" i="8"/>
  <c r="F329" i="8"/>
  <c r="D331" i="8"/>
  <c r="D329" i="8"/>
  <c r="H326" i="8"/>
  <c r="E332" i="8"/>
  <c r="H332" i="8"/>
  <c r="D333" i="8"/>
  <c r="C332" i="8"/>
  <c r="C329" i="8"/>
  <c r="G328" i="8"/>
  <c r="I328" i="8"/>
  <c r="I61" i="29"/>
  <c r="I64" i="29"/>
  <c r="I62" i="29"/>
  <c r="J60" i="29"/>
  <c r="H93" i="34"/>
  <c r="H153" i="6"/>
  <c r="J191" i="40"/>
  <c r="K191" i="4"/>
  <c r="I94" i="6"/>
  <c r="I93" i="6"/>
  <c r="I92" i="6"/>
  <c r="I88" i="6"/>
  <c r="I95" i="6"/>
  <c r="I89" i="6"/>
  <c r="I91" i="6"/>
  <c r="I90" i="6"/>
  <c r="I59" i="58"/>
  <c r="I52" i="29"/>
  <c r="J51" i="29"/>
  <c r="G149" i="34"/>
  <c r="D80" i="37"/>
  <c r="F79" i="40"/>
  <c r="D81" i="40"/>
  <c r="E81" i="40"/>
  <c r="I61" i="58"/>
  <c r="H44" i="29"/>
  <c r="H67" i="29" s="1"/>
  <c r="H75" i="29" s="1"/>
  <c r="H210" i="29" s="1"/>
  <c r="H211" i="29" s="1"/>
  <c r="I43" i="29"/>
  <c r="I43" i="40" s="1"/>
  <c r="H45" i="29"/>
  <c r="H68" i="29" s="1"/>
  <c r="H76" i="29" s="1"/>
  <c r="I62" i="58"/>
  <c r="F87" i="29"/>
  <c r="C389" i="38"/>
  <c r="K391" i="38"/>
  <c r="B396" i="38"/>
  <c r="I396" i="38"/>
  <c r="H392" i="38"/>
  <c r="H393" i="38"/>
  <c r="E389" i="38"/>
  <c r="E393" i="38"/>
  <c r="J392" i="38"/>
  <c r="D396" i="38"/>
  <c r="D391" i="38"/>
  <c r="K389" i="38"/>
  <c r="H389" i="38"/>
  <c r="D395" i="38"/>
  <c r="F396" i="38"/>
  <c r="H395" i="38"/>
  <c r="D389" i="38"/>
  <c r="K396" i="38"/>
  <c r="E391" i="38"/>
  <c r="G393" i="38"/>
  <c r="B395" i="38"/>
  <c r="K395" i="38"/>
  <c r="I393" i="38"/>
  <c r="J390" i="38"/>
  <c r="H394" i="38"/>
  <c r="H391" i="38"/>
  <c r="G390" i="38"/>
  <c r="G392" i="38"/>
  <c r="J391" i="38"/>
  <c r="D392" i="38"/>
  <c r="C396" i="38"/>
  <c r="E396" i="38"/>
  <c r="C392" i="38"/>
  <c r="K393" i="38"/>
  <c r="B390" i="38"/>
  <c r="J395" i="38"/>
  <c r="F394" i="38"/>
  <c r="B391" i="38"/>
  <c r="G394" i="38"/>
  <c r="E390" i="38"/>
  <c r="C393" i="38"/>
  <c r="C395" i="38"/>
  <c r="I394" i="38"/>
  <c r="F395" i="38"/>
  <c r="J393" i="38"/>
  <c r="G389" i="38"/>
  <c r="I390" i="38"/>
  <c r="C394" i="38"/>
  <c r="K392" i="38"/>
  <c r="J389" i="38"/>
  <c r="E392" i="38"/>
  <c r="G395" i="38"/>
  <c r="I389" i="38"/>
  <c r="D393" i="38"/>
  <c r="F390" i="38"/>
  <c r="G391" i="38"/>
  <c r="F393" i="38"/>
  <c r="I395" i="38"/>
  <c r="H396" i="38"/>
  <c r="J394" i="38"/>
  <c r="B393" i="38"/>
  <c r="D394" i="38"/>
  <c r="B389" i="38"/>
  <c r="D390" i="38"/>
  <c r="F392" i="38"/>
  <c r="K390" i="38"/>
  <c r="I392" i="38"/>
  <c r="C391" i="38"/>
  <c r="F389" i="38"/>
  <c r="G396" i="38"/>
  <c r="J396" i="38"/>
  <c r="E394" i="38"/>
  <c r="B394" i="38"/>
  <c r="F391" i="38"/>
  <c r="K394" i="38"/>
  <c r="C390" i="38"/>
  <c r="E395" i="38"/>
  <c r="I391" i="38"/>
  <c r="B392" i="38"/>
  <c r="H390" i="38"/>
  <c r="D169" i="29"/>
  <c r="D170" i="29"/>
  <c r="E67" i="40"/>
  <c r="E75" i="4"/>
  <c r="F206" i="4"/>
  <c r="G115" i="4"/>
  <c r="G117" i="4"/>
  <c r="G117" i="40" s="1"/>
  <c r="G114" i="40"/>
  <c r="K349" i="38"/>
  <c r="I351" i="38"/>
  <c r="B349" i="38"/>
  <c r="K345" i="38"/>
  <c r="H344" i="38"/>
  <c r="G345" i="38"/>
  <c r="F351" i="38"/>
  <c r="I345" i="38"/>
  <c r="B348" i="38"/>
  <c r="C350" i="38"/>
  <c r="G346" i="38"/>
  <c r="B345" i="38"/>
  <c r="J348" i="38"/>
  <c r="J345" i="38"/>
  <c r="E351" i="38"/>
  <c r="K348" i="38"/>
  <c r="H348" i="38"/>
  <c r="B346" i="38"/>
  <c r="J346" i="38"/>
  <c r="F349" i="38"/>
  <c r="D344" i="38"/>
  <c r="J350" i="38"/>
  <c r="C345" i="38"/>
  <c r="D351" i="38"/>
  <c r="D346" i="38"/>
  <c r="F345" i="38"/>
  <c r="H350" i="38"/>
  <c r="D345" i="38"/>
  <c r="G344" i="38"/>
  <c r="G347" i="38"/>
  <c r="D350" i="38"/>
  <c r="F350" i="38"/>
  <c r="H351" i="38"/>
  <c r="H346" i="38"/>
  <c r="D348" i="38"/>
  <c r="H349" i="38"/>
  <c r="B344" i="38"/>
  <c r="I349" i="38"/>
  <c r="I348" i="38"/>
  <c r="F346" i="38"/>
  <c r="E344" i="38"/>
  <c r="E350" i="38"/>
  <c r="H347" i="38"/>
  <c r="E346" i="38"/>
  <c r="H345" i="38"/>
  <c r="F347" i="38"/>
  <c r="B350" i="38"/>
  <c r="C349" i="38"/>
  <c r="I346" i="38"/>
  <c r="D347" i="38"/>
  <c r="D349" i="38"/>
  <c r="E347" i="38"/>
  <c r="I344" i="38"/>
  <c r="C351" i="38"/>
  <c r="G349" i="38"/>
  <c r="K351" i="38"/>
  <c r="I347" i="38"/>
  <c r="G350" i="38"/>
  <c r="K344" i="38"/>
  <c r="I350" i="38"/>
  <c r="E345" i="38"/>
  <c r="J351" i="38"/>
  <c r="E348" i="38"/>
  <c r="B351" i="38"/>
  <c r="F344" i="38"/>
  <c r="G348" i="38"/>
  <c r="E349" i="38"/>
  <c r="K350" i="38"/>
  <c r="K347" i="38"/>
  <c r="F348" i="38"/>
  <c r="C346" i="38"/>
  <c r="B347" i="38"/>
  <c r="C348" i="38"/>
  <c r="G351" i="38"/>
  <c r="J344" i="38"/>
  <c r="J349" i="38"/>
  <c r="C347" i="38"/>
  <c r="J347" i="38"/>
  <c r="C344" i="38"/>
  <c r="K346" i="38"/>
  <c r="K78" i="40"/>
  <c r="E78" i="40"/>
  <c r="B113" i="7"/>
  <c r="J115" i="7"/>
  <c r="H115" i="7"/>
  <c r="B114" i="7"/>
  <c r="D118" i="7"/>
  <c r="B115" i="7"/>
  <c r="I119" i="7"/>
  <c r="H118" i="7"/>
  <c r="G118" i="7"/>
  <c r="C115" i="7"/>
  <c r="F115" i="7"/>
  <c r="C112" i="7"/>
  <c r="G113" i="7"/>
  <c r="B118" i="7"/>
  <c r="I117" i="7"/>
  <c r="G114" i="7"/>
  <c r="I118" i="7"/>
  <c r="F119" i="7"/>
  <c r="C117" i="7"/>
  <c r="E114" i="7"/>
  <c r="D117" i="7"/>
  <c r="I113" i="7"/>
  <c r="K113" i="7"/>
  <c r="E116" i="7"/>
  <c r="G117" i="7"/>
  <c r="F116" i="7"/>
  <c r="D119" i="7"/>
  <c r="J119" i="7"/>
  <c r="J116" i="7"/>
  <c r="I112" i="7"/>
  <c r="B116" i="7"/>
  <c r="H119" i="7"/>
  <c r="I116" i="7"/>
  <c r="D114" i="7"/>
  <c r="D112" i="7"/>
  <c r="B117" i="7"/>
  <c r="B119" i="7"/>
  <c r="C118" i="7"/>
  <c r="F113" i="7"/>
  <c r="H113" i="7"/>
  <c r="G112" i="7"/>
  <c r="H114" i="7"/>
  <c r="K119" i="7"/>
  <c r="K117" i="7"/>
  <c r="K112" i="7"/>
  <c r="D113" i="7"/>
  <c r="D115" i="7"/>
  <c r="K118" i="7"/>
  <c r="F117" i="7"/>
  <c r="J112" i="7"/>
  <c r="G116" i="7"/>
  <c r="E113" i="7"/>
  <c r="H116" i="7"/>
  <c r="J113" i="7"/>
  <c r="F114" i="7"/>
  <c r="K114" i="7"/>
  <c r="J118" i="7"/>
  <c r="K115" i="7"/>
  <c r="I114" i="7"/>
  <c r="C119" i="7"/>
  <c r="G115" i="7"/>
  <c r="E115" i="7"/>
  <c r="E119" i="7"/>
  <c r="D116" i="7"/>
  <c r="F112" i="7"/>
  <c r="E118" i="7"/>
  <c r="B112" i="7"/>
  <c r="H117" i="7"/>
  <c r="G119" i="7"/>
  <c r="I115" i="7"/>
  <c r="C114" i="7"/>
  <c r="J117" i="7"/>
  <c r="K116" i="7"/>
  <c r="C116" i="7"/>
  <c r="C113" i="7"/>
  <c r="E112" i="7"/>
  <c r="H112" i="7"/>
  <c r="J114" i="7"/>
  <c r="E117" i="7"/>
  <c r="F118" i="7"/>
  <c r="H88" i="34"/>
  <c r="H148" i="6"/>
  <c r="D80" i="40"/>
  <c r="B80" i="37"/>
  <c r="I79" i="40"/>
  <c r="J79" i="40"/>
  <c r="G81" i="40"/>
  <c r="I64" i="58"/>
  <c r="J78" i="40"/>
  <c r="D168" i="40"/>
  <c r="H91" i="34"/>
  <c r="H151" i="6"/>
  <c r="G68" i="40"/>
  <c r="G76" i="4"/>
  <c r="G76" i="40" s="1"/>
  <c r="G155" i="34"/>
  <c r="J80" i="37"/>
  <c r="I60" i="58"/>
  <c r="E87" i="29"/>
  <c r="H159" i="40"/>
  <c r="G150" i="34"/>
  <c r="H79" i="40"/>
  <c r="L79" i="40"/>
  <c r="J73" i="57"/>
  <c r="E75" i="57"/>
  <c r="U191" i="4"/>
  <c r="K60" i="57"/>
  <c r="F124" i="57"/>
  <c r="F125" i="57"/>
  <c r="F123" i="57"/>
  <c r="F129" i="57"/>
  <c r="F127" i="57"/>
  <c r="F126" i="57"/>
  <c r="F130" i="57"/>
  <c r="D200" i="57"/>
  <c r="F114" i="57"/>
  <c r="F116" i="57"/>
  <c r="F115" i="57"/>
  <c r="F120" i="57"/>
  <c r="F119" i="57"/>
  <c r="F117" i="57"/>
  <c r="F113" i="57"/>
  <c r="E200" i="57"/>
  <c r="G117" i="57"/>
  <c r="G120" i="57"/>
  <c r="G116" i="57"/>
  <c r="G113" i="57"/>
  <c r="G115" i="57"/>
  <c r="G114" i="57"/>
  <c r="G119" i="57"/>
  <c r="F75" i="57"/>
  <c r="F200" i="57"/>
  <c r="G75" i="4" l="1"/>
  <c r="D174" i="38"/>
  <c r="E174" i="38" s="1"/>
  <c r="F174" i="38" s="1"/>
  <c r="G174" i="38" s="1"/>
  <c r="H174" i="38" s="1"/>
  <c r="I174" i="38" s="1"/>
  <c r="J174" i="38" s="1"/>
  <c r="K174" i="38" s="1"/>
  <c r="E136" i="39"/>
  <c r="G133" i="39"/>
  <c r="J135" i="39"/>
  <c r="J137" i="39"/>
  <c r="E131" i="39"/>
  <c r="I135" i="39"/>
  <c r="D135" i="39"/>
  <c r="C130" i="39"/>
  <c r="D130" i="39"/>
  <c r="K134" i="39"/>
  <c r="F132" i="39"/>
  <c r="D132" i="39"/>
  <c r="K135" i="39"/>
  <c r="I133" i="39"/>
  <c r="I137" i="39"/>
  <c r="K131" i="39"/>
  <c r="I131" i="39"/>
  <c r="H136" i="39"/>
  <c r="G130" i="39"/>
  <c r="G131" i="39"/>
  <c r="C131" i="39"/>
  <c r="D133" i="39"/>
  <c r="H132" i="39"/>
  <c r="E132" i="39"/>
  <c r="F134" i="39"/>
  <c r="F136" i="39"/>
  <c r="D179" i="38"/>
  <c r="E179" i="38" s="1"/>
  <c r="F179" i="38" s="1"/>
  <c r="G179" i="38" s="1"/>
  <c r="H179" i="38" s="1"/>
  <c r="I179" i="38" s="1"/>
  <c r="J179" i="38" s="1"/>
  <c r="K179" i="38" s="1"/>
  <c r="J130" i="39"/>
  <c r="E130" i="39"/>
  <c r="F137" i="39"/>
  <c r="H61" i="40"/>
  <c r="J136" i="39"/>
  <c r="I132" i="39"/>
  <c r="K132" i="39"/>
  <c r="D170" i="38"/>
  <c r="E170" i="38" s="1"/>
  <c r="F170" i="38" s="1"/>
  <c r="G170" i="38" s="1"/>
  <c r="H170" i="38" s="1"/>
  <c r="I170" i="38" s="1"/>
  <c r="J170" i="38" s="1"/>
  <c r="K170" i="38" s="1"/>
  <c r="G134" i="39"/>
  <c r="F131" i="39"/>
  <c r="K115" i="37"/>
  <c r="H206" i="4"/>
  <c r="H114" i="37"/>
  <c r="G67" i="40"/>
  <c r="E135" i="39"/>
  <c r="K133" i="39"/>
  <c r="D137" i="39"/>
  <c r="B133" i="39"/>
  <c r="D136" i="39"/>
  <c r="E133" i="39"/>
  <c r="J134" i="39"/>
  <c r="F135" i="39"/>
  <c r="H405" i="39"/>
  <c r="B321" i="39"/>
  <c r="F130" i="39"/>
  <c r="K130" i="39"/>
  <c r="H130" i="39"/>
  <c r="I130" i="39"/>
  <c r="G137" i="39"/>
  <c r="G136" i="39"/>
  <c r="G135" i="39"/>
  <c r="H137" i="39"/>
  <c r="J133" i="39"/>
  <c r="H134" i="39"/>
  <c r="C137" i="39"/>
  <c r="I136" i="39"/>
  <c r="J132" i="39"/>
  <c r="G132" i="39"/>
  <c r="J131" i="39"/>
  <c r="H133" i="39"/>
  <c r="E137" i="39"/>
  <c r="E134" i="39"/>
  <c r="B130" i="39"/>
  <c r="K136" i="39"/>
  <c r="I134" i="39"/>
  <c r="F133" i="39"/>
  <c r="H135" i="39"/>
  <c r="D131" i="39"/>
  <c r="C136" i="39"/>
  <c r="C132" i="39"/>
  <c r="D134" i="39"/>
  <c r="K137" i="39"/>
  <c r="D155" i="39"/>
  <c r="D173" i="38"/>
  <c r="E173" i="38" s="1"/>
  <c r="F173" i="38" s="1"/>
  <c r="G173" i="38" s="1"/>
  <c r="H173" i="38" s="1"/>
  <c r="I173" i="38" s="1"/>
  <c r="J173" i="38" s="1"/>
  <c r="K173" i="38" s="1"/>
  <c r="K333" i="39"/>
  <c r="H142" i="39"/>
  <c r="E400" i="39"/>
  <c r="K401" i="39"/>
  <c r="B134" i="39"/>
  <c r="B137" i="39"/>
  <c r="I60" i="40"/>
  <c r="I400" i="39"/>
  <c r="J402" i="39"/>
  <c r="J141" i="39"/>
  <c r="E144" i="39"/>
  <c r="J60" i="4"/>
  <c r="J64" i="4" s="1"/>
  <c r="B135" i="39"/>
  <c r="I62" i="4"/>
  <c r="I62" i="40" s="1"/>
  <c r="D168" i="38"/>
  <c r="E168" i="38" s="1"/>
  <c r="F168" i="38" s="1"/>
  <c r="G168" i="38" s="1"/>
  <c r="H168" i="38" s="1"/>
  <c r="I168" i="38" s="1"/>
  <c r="J168" i="38" s="1"/>
  <c r="K168" i="38" s="1"/>
  <c r="B136" i="39"/>
  <c r="I61" i="4"/>
  <c r="I67" i="4" s="1"/>
  <c r="E119" i="37"/>
  <c r="B116" i="37"/>
  <c r="F154" i="39"/>
  <c r="F323" i="39"/>
  <c r="F121" i="39"/>
  <c r="B131" i="39"/>
  <c r="I154" i="39"/>
  <c r="B401" i="39"/>
  <c r="D169" i="38"/>
  <c r="E169" i="38" s="1"/>
  <c r="F169" i="38" s="1"/>
  <c r="G169" i="38" s="1"/>
  <c r="H169" i="38" s="1"/>
  <c r="I169" i="38" s="1"/>
  <c r="J169" i="38" s="1"/>
  <c r="K169" i="38" s="1"/>
  <c r="D172" i="38"/>
  <c r="E172" i="38" s="1"/>
  <c r="F172" i="38" s="1"/>
  <c r="G172" i="38" s="1"/>
  <c r="H172" i="38" s="1"/>
  <c r="I172" i="38" s="1"/>
  <c r="J172" i="38" s="1"/>
  <c r="K172" i="38" s="1"/>
  <c r="D171" i="38"/>
  <c r="E171" i="38" s="1"/>
  <c r="F171" i="38" s="1"/>
  <c r="G171" i="38" s="1"/>
  <c r="H171" i="38" s="1"/>
  <c r="I171" i="38" s="1"/>
  <c r="J171" i="38" s="1"/>
  <c r="K171" i="38" s="1"/>
  <c r="C133" i="39"/>
  <c r="C135" i="39"/>
  <c r="C134" i="39"/>
  <c r="C167" i="38"/>
  <c r="D167" i="38" s="1"/>
  <c r="B132" i="39"/>
  <c r="I332" i="39"/>
  <c r="E331" i="39"/>
  <c r="D163" i="38"/>
  <c r="E163" i="38" s="1"/>
  <c r="F163" i="38" s="1"/>
  <c r="G163" i="38" s="1"/>
  <c r="H163" i="38" s="1"/>
  <c r="I163" i="38" s="1"/>
  <c r="J163" i="38" s="1"/>
  <c r="K163" i="38" s="1"/>
  <c r="G154" i="39"/>
  <c r="I149" i="39"/>
  <c r="G318" i="39"/>
  <c r="F321" i="39"/>
  <c r="J318" i="39"/>
  <c r="I320" i="39"/>
  <c r="H326" i="39"/>
  <c r="C331" i="39"/>
  <c r="D320" i="39"/>
  <c r="G323" i="39"/>
  <c r="D329" i="39"/>
  <c r="E328" i="39"/>
  <c r="H149" i="39"/>
  <c r="F149" i="39"/>
  <c r="I153" i="39"/>
  <c r="J119" i="37"/>
  <c r="E333" i="39"/>
  <c r="D342" i="39"/>
  <c r="J399" i="39"/>
  <c r="I404" i="39"/>
  <c r="E319" i="39"/>
  <c r="D324" i="39"/>
  <c r="K324" i="39"/>
  <c r="D160" i="38"/>
  <c r="E160" i="38" s="1"/>
  <c r="F160" i="38" s="1"/>
  <c r="G160" i="38" s="1"/>
  <c r="H160" i="38" s="1"/>
  <c r="I160" i="38" s="1"/>
  <c r="J160" i="38" s="1"/>
  <c r="K160" i="38" s="1"/>
  <c r="E118" i="37"/>
  <c r="F116" i="37"/>
  <c r="C332" i="39"/>
  <c r="K330" i="39"/>
  <c r="G331" i="39"/>
  <c r="F143" i="39"/>
  <c r="F150" i="39"/>
  <c r="F151" i="39"/>
  <c r="K319" i="39"/>
  <c r="J319" i="39"/>
  <c r="I327" i="39"/>
  <c r="D332" i="39"/>
  <c r="J341" i="39"/>
  <c r="I335" i="39"/>
  <c r="C148" i="39"/>
  <c r="E403" i="39"/>
  <c r="J401" i="39"/>
  <c r="H399" i="39"/>
  <c r="B403" i="39"/>
  <c r="I321" i="39"/>
  <c r="E324" i="39"/>
  <c r="J116" i="37"/>
  <c r="D117" i="37"/>
  <c r="E330" i="39"/>
  <c r="H403" i="39"/>
  <c r="H317" i="39"/>
  <c r="C116" i="37"/>
  <c r="C115" i="37"/>
  <c r="H330" i="39"/>
  <c r="C330" i="39"/>
  <c r="F327" i="39"/>
  <c r="D149" i="39"/>
  <c r="E153" i="39"/>
  <c r="E150" i="39"/>
  <c r="G399" i="39"/>
  <c r="D191" i="38"/>
  <c r="E191" i="38" s="1"/>
  <c r="F191" i="38" s="1"/>
  <c r="G191" i="38" s="1"/>
  <c r="H191" i="38" s="1"/>
  <c r="I191" i="38" s="1"/>
  <c r="J191" i="38" s="1"/>
  <c r="K191" i="38" s="1"/>
  <c r="D194" i="38"/>
  <c r="E194" i="38" s="1"/>
  <c r="F194" i="38" s="1"/>
  <c r="G194" i="38" s="1"/>
  <c r="H194" i="38" s="1"/>
  <c r="I194" i="38" s="1"/>
  <c r="J194" i="38" s="1"/>
  <c r="K194" i="38" s="1"/>
  <c r="J324" i="39"/>
  <c r="F153" i="39"/>
  <c r="C152" i="39"/>
  <c r="F400" i="39"/>
  <c r="C399" i="39"/>
  <c r="H82" i="29"/>
  <c r="G405" i="39"/>
  <c r="G403" i="39"/>
  <c r="B324" i="39"/>
  <c r="E321" i="39"/>
  <c r="H127" i="34"/>
  <c r="I127" i="6"/>
  <c r="K398" i="39"/>
  <c r="C324" i="39"/>
  <c r="D319" i="39"/>
  <c r="I114" i="37"/>
  <c r="C329" i="39"/>
  <c r="J330" i="39"/>
  <c r="G400" i="39"/>
  <c r="K317" i="39"/>
  <c r="I318" i="39"/>
  <c r="F139" i="39"/>
  <c r="D344" i="39"/>
  <c r="C319" i="39"/>
  <c r="B113" i="37"/>
  <c r="F118" i="37"/>
  <c r="J117" i="37"/>
  <c r="D116" i="37"/>
  <c r="K145" i="39"/>
  <c r="K142" i="39"/>
  <c r="H146" i="39"/>
  <c r="I139" i="39"/>
  <c r="E143" i="39"/>
  <c r="H318" i="39"/>
  <c r="J317" i="39"/>
  <c r="I324" i="39"/>
  <c r="C118" i="37"/>
  <c r="F326" i="39"/>
  <c r="B399" i="39"/>
  <c r="D323" i="39"/>
  <c r="G119" i="37"/>
  <c r="F144" i="39"/>
  <c r="C141" i="39"/>
  <c r="E155" i="39"/>
  <c r="C155" i="39"/>
  <c r="F318" i="39"/>
  <c r="K318" i="39"/>
  <c r="G146" i="39"/>
  <c r="J322" i="39"/>
  <c r="E113" i="37"/>
  <c r="G143" i="39"/>
  <c r="G145" i="39"/>
  <c r="D146" i="39"/>
  <c r="G140" i="39"/>
  <c r="K154" i="39"/>
  <c r="K148" i="39"/>
  <c r="H152" i="39"/>
  <c r="C398" i="39"/>
  <c r="D322" i="39"/>
  <c r="J321" i="39"/>
  <c r="I328" i="39"/>
  <c r="C327" i="39"/>
  <c r="K326" i="39"/>
  <c r="E327" i="39"/>
  <c r="G333" i="39"/>
  <c r="C328" i="39"/>
  <c r="F333" i="39"/>
  <c r="I342" i="39"/>
  <c r="I336" i="39"/>
  <c r="E338" i="39"/>
  <c r="D340" i="39"/>
  <c r="E392" i="39"/>
  <c r="K394" i="39"/>
  <c r="G150" i="39"/>
  <c r="D405" i="39"/>
  <c r="E398" i="39"/>
  <c r="F317" i="39"/>
  <c r="G87" i="29"/>
  <c r="G212" i="29" s="1"/>
  <c r="I331" i="39"/>
  <c r="F119" i="37"/>
  <c r="J115" i="37"/>
  <c r="D328" i="39"/>
  <c r="H333" i="39"/>
  <c r="C149" i="39"/>
  <c r="G153" i="39"/>
  <c r="G398" i="39"/>
  <c r="G402" i="39"/>
  <c r="J400" i="39"/>
  <c r="G322" i="39"/>
  <c r="B319" i="39"/>
  <c r="H151" i="39"/>
  <c r="H347" i="39"/>
  <c r="K114" i="37"/>
  <c r="K118" i="37"/>
  <c r="G114" i="37"/>
  <c r="I340" i="39"/>
  <c r="F335" i="39"/>
  <c r="F337" i="39"/>
  <c r="B342" i="39"/>
  <c r="H339" i="39"/>
  <c r="H144" i="39"/>
  <c r="G139" i="39"/>
  <c r="I392" i="39"/>
  <c r="I394" i="39"/>
  <c r="H392" i="39"/>
  <c r="E393" i="39"/>
  <c r="F152" i="39"/>
  <c r="F319" i="39"/>
  <c r="F324" i="39"/>
  <c r="K127" i="39"/>
  <c r="H125" i="39"/>
  <c r="G148" i="39"/>
  <c r="D153" i="39"/>
  <c r="D349" i="39"/>
  <c r="E348" i="39"/>
  <c r="J327" i="39"/>
  <c r="E326" i="39"/>
  <c r="D336" i="39"/>
  <c r="C403" i="39"/>
  <c r="I398" i="39"/>
  <c r="B400" i="39"/>
  <c r="D190" i="38"/>
  <c r="E190" i="38" s="1"/>
  <c r="F190" i="38" s="1"/>
  <c r="G190" i="38" s="1"/>
  <c r="H190" i="38" s="1"/>
  <c r="I190" i="38" s="1"/>
  <c r="J190" i="38" s="1"/>
  <c r="K190" i="38" s="1"/>
  <c r="K321" i="39"/>
  <c r="E420" i="39"/>
  <c r="F419" i="39"/>
  <c r="J418" i="39"/>
  <c r="C420" i="39"/>
  <c r="C119" i="37"/>
  <c r="G328" i="39"/>
  <c r="B330" i="39"/>
  <c r="G332" i="39"/>
  <c r="K336" i="39"/>
  <c r="J335" i="39"/>
  <c r="D338" i="39"/>
  <c r="C340" i="39"/>
  <c r="D142" i="39"/>
  <c r="D141" i="39"/>
  <c r="B396" i="39"/>
  <c r="I390" i="39"/>
  <c r="G394" i="39"/>
  <c r="G395" i="39"/>
  <c r="E389" i="39"/>
  <c r="H155" i="39"/>
  <c r="D399" i="39"/>
  <c r="D410" i="39"/>
  <c r="C407" i="39"/>
  <c r="G344" i="39"/>
  <c r="G346" i="39"/>
  <c r="G349" i="39"/>
  <c r="E351" i="39"/>
  <c r="F350" i="39"/>
  <c r="H323" i="39"/>
  <c r="K124" i="39"/>
  <c r="E123" i="39"/>
  <c r="H119" i="29"/>
  <c r="H349" i="39"/>
  <c r="I117" i="29"/>
  <c r="I115" i="29"/>
  <c r="I113" i="37"/>
  <c r="B118" i="37"/>
  <c r="B115" i="37"/>
  <c r="G329" i="39"/>
  <c r="G326" i="39"/>
  <c r="D327" i="39"/>
  <c r="E339" i="39"/>
  <c r="G337" i="39"/>
  <c r="D341" i="39"/>
  <c r="J142" i="39"/>
  <c r="C143" i="39"/>
  <c r="G141" i="39"/>
  <c r="E142" i="39"/>
  <c r="J150" i="39"/>
  <c r="F155" i="39"/>
  <c r="B402" i="39"/>
  <c r="J398" i="39"/>
  <c r="J411" i="39"/>
  <c r="J412" i="39"/>
  <c r="G407" i="39"/>
  <c r="I414" i="39"/>
  <c r="I407" i="39"/>
  <c r="J407" i="39"/>
  <c r="J409" i="39"/>
  <c r="B350" i="39"/>
  <c r="E350" i="39"/>
  <c r="J349" i="39"/>
  <c r="C345" i="39"/>
  <c r="G348" i="39"/>
  <c r="I348" i="39"/>
  <c r="B346" i="39"/>
  <c r="F320" i="39"/>
  <c r="C322" i="39"/>
  <c r="F423" i="39"/>
  <c r="I416" i="39"/>
  <c r="I417" i="39"/>
  <c r="F416" i="39"/>
  <c r="J419" i="39"/>
  <c r="D419" i="39"/>
  <c r="H417" i="39"/>
  <c r="K423" i="39"/>
  <c r="H423" i="39"/>
  <c r="B423" i="39"/>
  <c r="H64" i="59"/>
  <c r="G64" i="60"/>
  <c r="F123" i="39"/>
  <c r="J114" i="29"/>
  <c r="K111" i="29"/>
  <c r="K113" i="29" s="1"/>
  <c r="H60" i="59"/>
  <c r="G60" i="60"/>
  <c r="I119" i="37"/>
  <c r="D143" i="39"/>
  <c r="C350" i="39"/>
  <c r="G115" i="37"/>
  <c r="H116" i="37"/>
  <c r="B119" i="37"/>
  <c r="G113" i="37"/>
  <c r="D118" i="37"/>
  <c r="I70" i="29"/>
  <c r="I98" i="29" s="1"/>
  <c r="I99" i="29" s="1"/>
  <c r="I102" i="29" s="1"/>
  <c r="H332" i="39"/>
  <c r="J329" i="39"/>
  <c r="I326" i="39"/>
  <c r="F331" i="39"/>
  <c r="C144" i="39"/>
  <c r="I144" i="39"/>
  <c r="D161" i="38"/>
  <c r="E161" i="38" s="1"/>
  <c r="F161" i="38" s="1"/>
  <c r="G161" i="38" s="1"/>
  <c r="H161" i="38" s="1"/>
  <c r="I161" i="38" s="1"/>
  <c r="J161" i="38" s="1"/>
  <c r="K161" i="38" s="1"/>
  <c r="F403" i="39"/>
  <c r="D398" i="39"/>
  <c r="D400" i="39"/>
  <c r="E402" i="39"/>
  <c r="K409" i="39"/>
  <c r="J413" i="39"/>
  <c r="D408" i="39"/>
  <c r="K410" i="39"/>
  <c r="E317" i="39"/>
  <c r="D183" i="38"/>
  <c r="E183" i="38" s="1"/>
  <c r="F183" i="38" s="1"/>
  <c r="G183" i="38" s="1"/>
  <c r="H183" i="38" s="1"/>
  <c r="I183" i="38" s="1"/>
  <c r="J183" i="38" s="1"/>
  <c r="K183" i="38" s="1"/>
  <c r="F418" i="39"/>
  <c r="K422" i="39"/>
  <c r="G416" i="39"/>
  <c r="B422" i="39"/>
  <c r="H59" i="59"/>
  <c r="G59" i="60"/>
  <c r="D115" i="37"/>
  <c r="I117" i="37"/>
  <c r="G342" i="39"/>
  <c r="B339" i="39"/>
  <c r="D335" i="39"/>
  <c r="D393" i="39"/>
  <c r="C391" i="39"/>
  <c r="I391" i="39"/>
  <c r="C390" i="39"/>
  <c r="D170" i="40"/>
  <c r="H398" i="39"/>
  <c r="K404" i="39"/>
  <c r="J403" i="39"/>
  <c r="C400" i="39"/>
  <c r="E410" i="39"/>
  <c r="H411" i="39"/>
  <c r="H45" i="40"/>
  <c r="G124" i="39"/>
  <c r="E124" i="39"/>
  <c r="F127" i="39"/>
  <c r="H123" i="39"/>
  <c r="I124" i="39"/>
  <c r="E127" i="39"/>
  <c r="H124" i="39"/>
  <c r="D182" i="38"/>
  <c r="E182" i="38" s="1"/>
  <c r="F182" i="38" s="1"/>
  <c r="G182" i="38" s="1"/>
  <c r="H182" i="38" s="1"/>
  <c r="I182" i="38" s="1"/>
  <c r="J182" i="38" s="1"/>
  <c r="K182" i="38" s="1"/>
  <c r="H58" i="59"/>
  <c r="G58" i="60"/>
  <c r="C113" i="37"/>
  <c r="H115" i="37"/>
  <c r="I329" i="39"/>
  <c r="B333" i="39"/>
  <c r="B331" i="39"/>
  <c r="G327" i="39"/>
  <c r="F328" i="39"/>
  <c r="B341" i="39"/>
  <c r="D337" i="39"/>
  <c r="I337" i="39"/>
  <c r="H143" i="39"/>
  <c r="I142" i="39"/>
  <c r="E139" i="39"/>
  <c r="I145" i="39"/>
  <c r="J393" i="39"/>
  <c r="K396" i="39"/>
  <c r="H391" i="39"/>
  <c r="J396" i="39"/>
  <c r="K389" i="39"/>
  <c r="I155" i="39"/>
  <c r="E154" i="39"/>
  <c r="E148" i="39"/>
  <c r="G411" i="39"/>
  <c r="C411" i="39"/>
  <c r="F410" i="39"/>
  <c r="K411" i="39"/>
  <c r="F414" i="39"/>
  <c r="I409" i="39"/>
  <c r="E411" i="39"/>
  <c r="H414" i="39"/>
  <c r="H319" i="39"/>
  <c r="G317" i="39"/>
  <c r="G127" i="39"/>
  <c r="D124" i="39"/>
  <c r="C122" i="39"/>
  <c r="H128" i="39"/>
  <c r="E126" i="39"/>
  <c r="J123" i="39"/>
  <c r="F125" i="39"/>
  <c r="D178" i="38"/>
  <c r="E178" i="38" s="1"/>
  <c r="F178" i="38" s="1"/>
  <c r="G178" i="38" s="1"/>
  <c r="H178" i="38" s="1"/>
  <c r="I178" i="38" s="1"/>
  <c r="J178" i="38" s="1"/>
  <c r="K178" i="38" s="1"/>
  <c r="E129" i="4"/>
  <c r="E129" i="40" s="1"/>
  <c r="E128" i="40"/>
  <c r="H63" i="59"/>
  <c r="G63" i="60"/>
  <c r="H62" i="59"/>
  <c r="G62" i="60"/>
  <c r="B117" i="37"/>
  <c r="E114" i="37"/>
  <c r="D114" i="37"/>
  <c r="F332" i="39"/>
  <c r="I333" i="39"/>
  <c r="J331" i="39"/>
  <c r="C142" i="39"/>
  <c r="F145" i="39"/>
  <c r="J145" i="39"/>
  <c r="K391" i="39"/>
  <c r="D150" i="39"/>
  <c r="E152" i="39"/>
  <c r="D87" i="4"/>
  <c r="D212" i="4" s="1"/>
  <c r="F399" i="39"/>
  <c r="F398" i="39"/>
  <c r="J410" i="39"/>
  <c r="C408" i="39"/>
  <c r="G410" i="39"/>
  <c r="F345" i="39"/>
  <c r="J320" i="39"/>
  <c r="B318" i="39"/>
  <c r="E322" i="39"/>
  <c r="H61" i="59"/>
  <c r="G61" i="60"/>
  <c r="F125" i="40"/>
  <c r="F127" i="4"/>
  <c r="K116" i="37"/>
  <c r="J118" i="37"/>
  <c r="F117" i="37"/>
  <c r="G118" i="37"/>
  <c r="D331" i="39"/>
  <c r="B328" i="39"/>
  <c r="K335" i="39"/>
  <c r="C336" i="39"/>
  <c r="B337" i="39"/>
  <c r="F338" i="39"/>
  <c r="C338" i="39"/>
  <c r="C339" i="39"/>
  <c r="K337" i="39"/>
  <c r="G340" i="39"/>
  <c r="D140" i="39"/>
  <c r="K143" i="39"/>
  <c r="C140" i="39"/>
  <c r="C145" i="39"/>
  <c r="F140" i="39"/>
  <c r="D144" i="39"/>
  <c r="K390" i="39"/>
  <c r="H389" i="39"/>
  <c r="D390" i="39"/>
  <c r="J389" i="39"/>
  <c r="C396" i="39"/>
  <c r="I395" i="39"/>
  <c r="D396" i="39"/>
  <c r="J394" i="39"/>
  <c r="D158" i="38"/>
  <c r="E158" i="38" s="1"/>
  <c r="F158" i="38" s="1"/>
  <c r="G158" i="38" s="1"/>
  <c r="H158" i="38" s="1"/>
  <c r="I158" i="38" s="1"/>
  <c r="J158" i="38" s="1"/>
  <c r="K158" i="38" s="1"/>
  <c r="E149" i="39"/>
  <c r="G151" i="39"/>
  <c r="J405" i="39"/>
  <c r="D404" i="39"/>
  <c r="E404" i="39"/>
  <c r="D412" i="39"/>
  <c r="E408" i="39"/>
  <c r="K412" i="39"/>
  <c r="H346" i="39"/>
  <c r="C344" i="39"/>
  <c r="D345" i="39"/>
  <c r="E347" i="39"/>
  <c r="E346" i="39"/>
  <c r="D321" i="39"/>
  <c r="I319" i="39"/>
  <c r="C321" i="39"/>
  <c r="J125" i="39"/>
  <c r="E121" i="39"/>
  <c r="H126" i="39"/>
  <c r="D125" i="39"/>
  <c r="D180" i="38"/>
  <c r="E180" i="38" s="1"/>
  <c r="F180" i="38" s="1"/>
  <c r="G180" i="38" s="1"/>
  <c r="H180" i="38" s="1"/>
  <c r="I180" i="38" s="1"/>
  <c r="J180" i="38" s="1"/>
  <c r="K180" i="38" s="1"/>
  <c r="D181" i="38"/>
  <c r="E181" i="38" s="1"/>
  <c r="F181" i="38" s="1"/>
  <c r="G181" i="38" s="1"/>
  <c r="H181" i="38" s="1"/>
  <c r="I181" i="38" s="1"/>
  <c r="J181" i="38" s="1"/>
  <c r="K181" i="38" s="1"/>
  <c r="E417" i="39"/>
  <c r="E422" i="39"/>
  <c r="J416" i="39"/>
  <c r="G421" i="39"/>
  <c r="G418" i="39"/>
  <c r="I422" i="39"/>
  <c r="F422" i="39"/>
  <c r="H65" i="59"/>
  <c r="G65" i="60"/>
  <c r="M73" i="4"/>
  <c r="L73" i="40"/>
  <c r="J62" i="58"/>
  <c r="J339" i="39"/>
  <c r="F392" i="39"/>
  <c r="C157" i="38"/>
  <c r="D88" i="29"/>
  <c r="D212" i="29"/>
  <c r="H148" i="34"/>
  <c r="J44" i="4"/>
  <c r="K43" i="4"/>
  <c r="J45" i="4"/>
  <c r="K400" i="39"/>
  <c r="F401" i="39"/>
  <c r="G413" i="39"/>
  <c r="H407" i="39"/>
  <c r="D173" i="8"/>
  <c r="C173" i="39"/>
  <c r="D189" i="38"/>
  <c r="E189" i="38" s="1"/>
  <c r="F189" i="38" s="1"/>
  <c r="G189" i="38" s="1"/>
  <c r="H189" i="38" s="1"/>
  <c r="I189" i="38" s="1"/>
  <c r="J189" i="38" s="1"/>
  <c r="K189" i="38" s="1"/>
  <c r="F346" i="39"/>
  <c r="D346" i="39"/>
  <c r="E323" i="39"/>
  <c r="H320" i="39"/>
  <c r="C158" i="8"/>
  <c r="B122" i="39"/>
  <c r="C126" i="39"/>
  <c r="K122" i="39"/>
  <c r="K128" i="39"/>
  <c r="J120" i="35"/>
  <c r="J130" i="35" s="1"/>
  <c r="C170" i="39"/>
  <c r="D170" i="8"/>
  <c r="G120" i="7"/>
  <c r="G112" i="37"/>
  <c r="G117" i="37"/>
  <c r="J61" i="58"/>
  <c r="I330" i="39"/>
  <c r="E340" i="39"/>
  <c r="K340" i="39"/>
  <c r="J140" i="39"/>
  <c r="F141" i="39"/>
  <c r="E396" i="39"/>
  <c r="B151" i="39"/>
  <c r="C190" i="8"/>
  <c r="J153" i="39"/>
  <c r="J149" i="39"/>
  <c r="E405" i="39"/>
  <c r="H409" i="39"/>
  <c r="J348" i="39"/>
  <c r="C351" i="39"/>
  <c r="J323" i="39"/>
  <c r="K323" i="39"/>
  <c r="D318" i="39"/>
  <c r="I121" i="39"/>
  <c r="C124" i="39"/>
  <c r="C128" i="39"/>
  <c r="J128" i="39"/>
  <c r="C127" i="39"/>
  <c r="H121" i="39"/>
  <c r="G122" i="39"/>
  <c r="D120" i="35"/>
  <c r="D130" i="35" s="1"/>
  <c r="C177" i="38"/>
  <c r="J421" i="39"/>
  <c r="D418" i="39"/>
  <c r="J52" i="29"/>
  <c r="K51" i="29"/>
  <c r="E329" i="39"/>
  <c r="H338" i="39"/>
  <c r="E337" i="39"/>
  <c r="H341" i="39"/>
  <c r="D139" i="39"/>
  <c r="J143" i="39"/>
  <c r="E140" i="39"/>
  <c r="K146" i="39"/>
  <c r="I143" i="39"/>
  <c r="B139" i="39"/>
  <c r="C177" i="8"/>
  <c r="K144" i="39"/>
  <c r="E390" i="39"/>
  <c r="G392" i="39"/>
  <c r="G389" i="39"/>
  <c r="C393" i="39"/>
  <c r="H393" i="39"/>
  <c r="G391" i="39"/>
  <c r="F389" i="39"/>
  <c r="C389" i="39"/>
  <c r="D210" i="40"/>
  <c r="D211" i="4"/>
  <c r="D211" i="40" s="1"/>
  <c r="F75" i="40"/>
  <c r="F210" i="4"/>
  <c r="J152" i="39"/>
  <c r="C154" i="39"/>
  <c r="J154" i="39"/>
  <c r="G152" i="39"/>
  <c r="I148" i="39"/>
  <c r="C187" i="8"/>
  <c r="B148" i="39"/>
  <c r="K150" i="39"/>
  <c r="H154" i="34"/>
  <c r="K403" i="39"/>
  <c r="J404" i="39"/>
  <c r="F405" i="39"/>
  <c r="C401" i="39"/>
  <c r="I405" i="39"/>
  <c r="C405" i="39"/>
  <c r="I412" i="39"/>
  <c r="B410" i="39"/>
  <c r="D414" i="39"/>
  <c r="B412" i="39"/>
  <c r="G409" i="39"/>
  <c r="J408" i="39"/>
  <c r="F408" i="39"/>
  <c r="I52" i="4"/>
  <c r="I51" i="40"/>
  <c r="J51" i="4"/>
  <c r="F344" i="39"/>
  <c r="J346" i="39"/>
  <c r="I349" i="39"/>
  <c r="H345" i="39"/>
  <c r="F351" i="39"/>
  <c r="C346" i="39"/>
  <c r="K350" i="39"/>
  <c r="G351" i="39"/>
  <c r="F349" i="39"/>
  <c r="K347" i="39"/>
  <c r="B323" i="39"/>
  <c r="F322" i="39"/>
  <c r="H324" i="39"/>
  <c r="C320" i="39"/>
  <c r="K322" i="39"/>
  <c r="C323" i="39"/>
  <c r="K123" i="39"/>
  <c r="G125" i="39"/>
  <c r="D122" i="39"/>
  <c r="I128" i="39"/>
  <c r="I126" i="39"/>
  <c r="D123" i="39"/>
  <c r="C162" i="8"/>
  <c r="B126" i="39"/>
  <c r="C125" i="39"/>
  <c r="I125" i="39"/>
  <c r="J122" i="39"/>
  <c r="G120" i="35"/>
  <c r="G130" i="35" s="1"/>
  <c r="B122" i="35" a="1"/>
  <c r="B120" i="35"/>
  <c r="B130" i="35" s="1"/>
  <c r="H120" i="35"/>
  <c r="H130" i="35" s="1"/>
  <c r="F120" i="35"/>
  <c r="F130" i="35" s="1"/>
  <c r="C120" i="35"/>
  <c r="C130" i="35" s="1"/>
  <c r="H85" i="29"/>
  <c r="K420" i="39"/>
  <c r="C418" i="39"/>
  <c r="J423" i="39"/>
  <c r="J420" i="39"/>
  <c r="B416" i="39"/>
  <c r="B452" i="38" a="1"/>
  <c r="B452" i="8" a="1"/>
  <c r="J417" i="39"/>
  <c r="C416" i="39"/>
  <c r="F421" i="39"/>
  <c r="B417" i="39"/>
  <c r="D422" i="39"/>
  <c r="K120" i="7"/>
  <c r="K112" i="37"/>
  <c r="J59" i="58"/>
  <c r="H153" i="34"/>
  <c r="B340" i="39"/>
  <c r="J338" i="39"/>
  <c r="K139" i="39"/>
  <c r="C392" i="39"/>
  <c r="K155" i="39"/>
  <c r="K151" i="39"/>
  <c r="D82" i="40"/>
  <c r="E82" i="4"/>
  <c r="C404" i="39"/>
  <c r="J351" i="39"/>
  <c r="F348" i="39"/>
  <c r="B124" i="39"/>
  <c r="C160" i="8"/>
  <c r="B125" i="39"/>
  <c r="C161" i="8"/>
  <c r="F120" i="7"/>
  <c r="F112" i="37"/>
  <c r="I116" i="37"/>
  <c r="I118" i="37"/>
  <c r="I339" i="39"/>
  <c r="D339" i="39"/>
  <c r="F420" i="39"/>
  <c r="B420" i="39"/>
  <c r="G417" i="39"/>
  <c r="H113" i="37"/>
  <c r="H119" i="37"/>
  <c r="E116" i="37"/>
  <c r="H118" i="37"/>
  <c r="I88" i="34"/>
  <c r="I148" i="6"/>
  <c r="D333" i="39"/>
  <c r="K331" i="39"/>
  <c r="K329" i="39"/>
  <c r="E341" i="39"/>
  <c r="G336" i="39"/>
  <c r="B336" i="39"/>
  <c r="J144" i="39"/>
  <c r="C114" i="37"/>
  <c r="I92" i="34"/>
  <c r="I152" i="6"/>
  <c r="K332" i="39"/>
  <c r="B327" i="39"/>
  <c r="G330" i="39"/>
  <c r="K327" i="39"/>
  <c r="C342" i="39"/>
  <c r="E335" i="39"/>
  <c r="H342" i="39"/>
  <c r="F340" i="39"/>
  <c r="I338" i="39"/>
  <c r="G339" i="39"/>
  <c r="H335" i="39"/>
  <c r="F146" i="39"/>
  <c r="E146" i="39"/>
  <c r="E141" i="39"/>
  <c r="K140" i="39"/>
  <c r="G142" i="39"/>
  <c r="D391" i="39"/>
  <c r="G393" i="39"/>
  <c r="B390" i="39"/>
  <c r="B389" i="39"/>
  <c r="B425" i="38" a="1"/>
  <c r="B425" i="8" a="1"/>
  <c r="J392" i="39"/>
  <c r="F390" i="39"/>
  <c r="F394" i="39"/>
  <c r="J390" i="39"/>
  <c r="F393" i="39"/>
  <c r="H396" i="39"/>
  <c r="D99" i="40"/>
  <c r="D102" i="4"/>
  <c r="H114" i="4"/>
  <c r="H113" i="40"/>
  <c r="I111" i="4"/>
  <c r="I150" i="39"/>
  <c r="I152" i="39"/>
  <c r="J155" i="39"/>
  <c r="E151" i="39"/>
  <c r="C194" i="8"/>
  <c r="B155" i="39"/>
  <c r="D148" i="39"/>
  <c r="H150" i="39"/>
  <c r="H154" i="39"/>
  <c r="D151" i="39"/>
  <c r="C153" i="39"/>
  <c r="G404" i="39"/>
  <c r="F402" i="39"/>
  <c r="K399" i="39"/>
  <c r="C402" i="39"/>
  <c r="E401" i="39"/>
  <c r="G412" i="39"/>
  <c r="B407" i="39"/>
  <c r="B443" i="8" a="1"/>
  <c r="B443" i="38" a="1"/>
  <c r="I411" i="39"/>
  <c r="I413" i="39"/>
  <c r="C414" i="39"/>
  <c r="C413" i="39"/>
  <c r="E413" i="39"/>
  <c r="K413" i="39"/>
  <c r="D411" i="39"/>
  <c r="D407" i="39"/>
  <c r="D192" i="38"/>
  <c r="E192" i="38" s="1"/>
  <c r="F192" i="38" s="1"/>
  <c r="G192" i="38" s="1"/>
  <c r="H192" i="38" s="1"/>
  <c r="I192" i="38" s="1"/>
  <c r="J192" i="38" s="1"/>
  <c r="K192" i="38" s="1"/>
  <c r="B345" i="39"/>
  <c r="G350" i="39"/>
  <c r="F347" i="39"/>
  <c r="I346" i="39"/>
  <c r="C348" i="39"/>
  <c r="C347" i="39"/>
  <c r="H351" i="39"/>
  <c r="H350" i="39"/>
  <c r="I345" i="39"/>
  <c r="D351" i="39"/>
  <c r="B320" i="39"/>
  <c r="H321" i="39"/>
  <c r="D317" i="39"/>
  <c r="E318" i="39"/>
  <c r="H127" i="39"/>
  <c r="B121" i="39"/>
  <c r="C157" i="8"/>
  <c r="K126" i="39"/>
  <c r="I122" i="39"/>
  <c r="J127" i="39"/>
  <c r="K125" i="39"/>
  <c r="H122" i="39"/>
  <c r="C121" i="39"/>
  <c r="G126" i="39"/>
  <c r="B127" i="39"/>
  <c r="C163" i="8"/>
  <c r="H152" i="34"/>
  <c r="I64" i="40"/>
  <c r="H150" i="34"/>
  <c r="H422" i="39"/>
  <c r="K416" i="39"/>
  <c r="C422" i="39"/>
  <c r="C421" i="39"/>
  <c r="F417" i="39"/>
  <c r="D421" i="39"/>
  <c r="H418" i="39"/>
  <c r="J422" i="39"/>
  <c r="I420" i="39"/>
  <c r="K419" i="39"/>
  <c r="I94" i="34"/>
  <c r="I154" i="6"/>
  <c r="B146" i="39"/>
  <c r="C184" i="8"/>
  <c r="C182" i="8"/>
  <c r="B144" i="39"/>
  <c r="H394" i="39"/>
  <c r="D171" i="8"/>
  <c r="C171" i="39"/>
  <c r="J64" i="58"/>
  <c r="J112" i="37"/>
  <c r="J120" i="7"/>
  <c r="G119" i="4"/>
  <c r="G119" i="40" s="1"/>
  <c r="G115" i="40"/>
  <c r="C174" i="39"/>
  <c r="D174" i="8"/>
  <c r="I89" i="34"/>
  <c r="I149" i="6"/>
  <c r="F329" i="39"/>
  <c r="J58" i="58"/>
  <c r="B141" i="39"/>
  <c r="C179" i="8"/>
  <c r="G396" i="39"/>
  <c r="C150" i="39"/>
  <c r="I95" i="34"/>
  <c r="I155" i="6"/>
  <c r="J326" i="39"/>
  <c r="J336" i="39"/>
  <c r="H140" i="39"/>
  <c r="G144" i="39"/>
  <c r="J391" i="39"/>
  <c r="I389" i="39"/>
  <c r="B393" i="39"/>
  <c r="B394" i="39"/>
  <c r="H402" i="39"/>
  <c r="I401" i="39"/>
  <c r="I408" i="39"/>
  <c r="K414" i="39"/>
  <c r="F411" i="39"/>
  <c r="G414" i="39"/>
  <c r="H84" i="29"/>
  <c r="H348" i="39"/>
  <c r="G420" i="39"/>
  <c r="E212" i="29"/>
  <c r="E88" i="29"/>
  <c r="E210" i="4"/>
  <c r="E75" i="40"/>
  <c r="J64" i="29"/>
  <c r="J61" i="29"/>
  <c r="J62" i="29"/>
  <c r="K60" i="29"/>
  <c r="C333" i="39"/>
  <c r="I146" i="39"/>
  <c r="H151" i="34"/>
  <c r="E117" i="37"/>
  <c r="F114" i="37"/>
  <c r="F113" i="37"/>
  <c r="K113" i="37"/>
  <c r="H83" i="29"/>
  <c r="H331" i="39"/>
  <c r="C172" i="39"/>
  <c r="D172" i="8"/>
  <c r="J60" i="58"/>
  <c r="J114" i="37"/>
  <c r="I115" i="37"/>
  <c r="E115" i="37"/>
  <c r="J113" i="37"/>
  <c r="D113" i="37"/>
  <c r="I112" i="37"/>
  <c r="I120" i="7"/>
  <c r="C168" i="39"/>
  <c r="D168" i="8"/>
  <c r="I93" i="34"/>
  <c r="I153" i="6"/>
  <c r="E332" i="39"/>
  <c r="D330" i="39"/>
  <c r="H327" i="39"/>
  <c r="C326" i="39"/>
  <c r="B326" i="39"/>
  <c r="B470" i="38" a="1"/>
  <c r="B470" i="8" a="1"/>
  <c r="K328" i="39"/>
  <c r="H329" i="39"/>
  <c r="J332" i="39"/>
  <c r="C337" i="39"/>
  <c r="G341" i="39"/>
  <c r="I341" i="39"/>
  <c r="F336" i="39"/>
  <c r="J342" i="39"/>
  <c r="C335" i="39"/>
  <c r="F339" i="39"/>
  <c r="C341" i="39"/>
  <c r="J337" i="39"/>
  <c r="B338" i="39"/>
  <c r="J139" i="39"/>
  <c r="H141" i="39"/>
  <c r="K141" i="39"/>
  <c r="F142" i="39"/>
  <c r="H139" i="39"/>
  <c r="E145" i="39"/>
  <c r="B145" i="39"/>
  <c r="C183" i="8"/>
  <c r="F99" i="4"/>
  <c r="F98" i="40"/>
  <c r="D389" i="39"/>
  <c r="E394" i="39"/>
  <c r="I393" i="39"/>
  <c r="C395" i="39"/>
  <c r="B395" i="39"/>
  <c r="K393" i="39"/>
  <c r="E391" i="39"/>
  <c r="F391" i="39"/>
  <c r="H395" i="39"/>
  <c r="D395" i="39"/>
  <c r="D164" i="38"/>
  <c r="E164" i="38" s="1"/>
  <c r="F164" i="38" s="1"/>
  <c r="G164" i="38" s="1"/>
  <c r="H164" i="38" s="1"/>
  <c r="I164" i="38" s="1"/>
  <c r="J164" i="38" s="1"/>
  <c r="K164" i="38" s="1"/>
  <c r="C193" i="8"/>
  <c r="B154" i="39"/>
  <c r="C151" i="39"/>
  <c r="D154" i="39"/>
  <c r="F148" i="39"/>
  <c r="G149" i="39"/>
  <c r="K153" i="39"/>
  <c r="B152" i="39"/>
  <c r="C191" i="8"/>
  <c r="G155" i="39"/>
  <c r="D152" i="39"/>
  <c r="D401" i="39"/>
  <c r="E399" i="39"/>
  <c r="I399" i="39"/>
  <c r="I403" i="39"/>
  <c r="D403" i="39"/>
  <c r="H401" i="39"/>
  <c r="F413" i="39"/>
  <c r="C412" i="39"/>
  <c r="F412" i="39"/>
  <c r="B411" i="39"/>
  <c r="J414" i="39"/>
  <c r="H408" i="39"/>
  <c r="H413" i="39"/>
  <c r="K408" i="39"/>
  <c r="F407" i="39"/>
  <c r="D409" i="39"/>
  <c r="E118" i="29"/>
  <c r="D188" i="38"/>
  <c r="E188" i="38" s="1"/>
  <c r="F188" i="38" s="1"/>
  <c r="G188" i="38" s="1"/>
  <c r="H188" i="38" s="1"/>
  <c r="I188" i="38" s="1"/>
  <c r="J188" i="38" s="1"/>
  <c r="K188" i="38" s="1"/>
  <c r="H52" i="40"/>
  <c r="H70" i="4"/>
  <c r="K348" i="39"/>
  <c r="B349" i="39"/>
  <c r="B347" i="39"/>
  <c r="I350" i="39"/>
  <c r="B344" i="39"/>
  <c r="B488" i="38" a="1"/>
  <c r="B488" i="8" a="1"/>
  <c r="D350" i="39"/>
  <c r="J344" i="39"/>
  <c r="E349" i="39"/>
  <c r="J350" i="39"/>
  <c r="D348" i="39"/>
  <c r="B461" i="38" a="1"/>
  <c r="B317" i="39"/>
  <c r="B461" i="8" a="1"/>
  <c r="H322" i="39"/>
  <c r="I317" i="39"/>
  <c r="C317" i="39"/>
  <c r="B322" i="39"/>
  <c r="K320" i="39"/>
  <c r="G98" i="4"/>
  <c r="G70" i="40"/>
  <c r="D167" i="8"/>
  <c r="C175" i="8"/>
  <c r="E128" i="39"/>
  <c r="I123" i="39"/>
  <c r="J124" i="39"/>
  <c r="D128" i="39"/>
  <c r="E122" i="39"/>
  <c r="G128" i="39"/>
  <c r="D126" i="39"/>
  <c r="F126" i="39"/>
  <c r="C159" i="8"/>
  <c r="B123" i="39"/>
  <c r="F122" i="39"/>
  <c r="K120" i="35"/>
  <c r="K130" i="35" s="1"/>
  <c r="E120" i="35"/>
  <c r="E130" i="35" s="1"/>
  <c r="E99" i="4"/>
  <c r="E98" i="40"/>
  <c r="K418" i="39"/>
  <c r="C419" i="39"/>
  <c r="D420" i="39"/>
  <c r="H419" i="39"/>
  <c r="I423" i="39"/>
  <c r="G422" i="39"/>
  <c r="K421" i="39"/>
  <c r="G423" i="39"/>
  <c r="D417" i="39"/>
  <c r="E416" i="39"/>
  <c r="H112" i="37"/>
  <c r="H120" i="7"/>
  <c r="E336" i="39"/>
  <c r="B150" i="39"/>
  <c r="C189" i="8"/>
  <c r="E83" i="4"/>
  <c r="D83" i="40"/>
  <c r="C410" i="39"/>
  <c r="K407" i="39"/>
  <c r="B413" i="39"/>
  <c r="H67" i="40"/>
  <c r="I206" i="4"/>
  <c r="H75" i="4"/>
  <c r="J345" i="39"/>
  <c r="G345" i="39"/>
  <c r="G347" i="39"/>
  <c r="K349" i="39"/>
  <c r="B128" i="39"/>
  <c r="C164" i="8"/>
  <c r="G104" i="29"/>
  <c r="H101" i="29"/>
  <c r="H103" i="29" s="1"/>
  <c r="C417" i="39"/>
  <c r="B421" i="39"/>
  <c r="D423" i="39"/>
  <c r="E112" i="37"/>
  <c r="E120" i="7"/>
  <c r="H117" i="37"/>
  <c r="K117" i="37"/>
  <c r="C112" i="37"/>
  <c r="C120" i="7"/>
  <c r="B114" i="37"/>
  <c r="F88" i="29"/>
  <c r="F212" i="29"/>
  <c r="D169" i="8"/>
  <c r="C169" i="39"/>
  <c r="I90" i="34"/>
  <c r="I150" i="6"/>
  <c r="K191" i="40"/>
  <c r="L191" i="4"/>
  <c r="J94" i="6"/>
  <c r="J90" i="6"/>
  <c r="J89" i="6"/>
  <c r="J93" i="6"/>
  <c r="J91" i="6"/>
  <c r="J95" i="6"/>
  <c r="J92" i="6"/>
  <c r="J88" i="6"/>
  <c r="H328" i="39"/>
  <c r="D326" i="39"/>
  <c r="B332" i="39"/>
  <c r="G335" i="39"/>
  <c r="F341" i="39"/>
  <c r="B335" i="39"/>
  <c r="B479" i="8" a="1"/>
  <c r="B479" i="38" a="1"/>
  <c r="E342" i="39"/>
  <c r="K342" i="39"/>
  <c r="H340" i="39"/>
  <c r="C146" i="39"/>
  <c r="B142" i="39"/>
  <c r="C180" i="8"/>
  <c r="B140" i="39"/>
  <c r="C178" i="8"/>
  <c r="H145" i="39"/>
  <c r="K395" i="39"/>
  <c r="D394" i="39"/>
  <c r="C394" i="39"/>
  <c r="D392" i="39"/>
  <c r="H390" i="39"/>
  <c r="D162" i="38"/>
  <c r="E162" i="38" s="1"/>
  <c r="F162" i="38" s="1"/>
  <c r="G162" i="38" s="1"/>
  <c r="H162" i="38" s="1"/>
  <c r="I162" i="38" s="1"/>
  <c r="J162" i="38" s="1"/>
  <c r="K162" i="38" s="1"/>
  <c r="D169" i="40"/>
  <c r="D202" i="4"/>
  <c r="H153" i="39"/>
  <c r="K149" i="39"/>
  <c r="K152" i="39"/>
  <c r="D85" i="40"/>
  <c r="E85" i="4"/>
  <c r="K405" i="39"/>
  <c r="B414" i="39"/>
  <c r="G408" i="39"/>
  <c r="E414" i="39"/>
  <c r="H412" i="39"/>
  <c r="F409" i="39"/>
  <c r="I410" i="39"/>
  <c r="H155" i="34"/>
  <c r="H44" i="40"/>
  <c r="B351" i="39"/>
  <c r="H344" i="39"/>
  <c r="I344" i="39"/>
  <c r="E345" i="39"/>
  <c r="B348" i="39"/>
  <c r="G320" i="39"/>
  <c r="G321" i="39"/>
  <c r="E320" i="39"/>
  <c r="H68" i="40"/>
  <c r="H76" i="4"/>
  <c r="H76" i="40" s="1"/>
  <c r="J121" i="39"/>
  <c r="K121" i="39"/>
  <c r="F128" i="39"/>
  <c r="I120" i="35"/>
  <c r="I130" i="35" s="1"/>
  <c r="F105" i="29"/>
  <c r="F116" i="29"/>
  <c r="J63" i="58"/>
  <c r="K417" i="39"/>
  <c r="B418" i="39"/>
  <c r="E421" i="39"/>
  <c r="I419" i="39"/>
  <c r="E423" i="39"/>
  <c r="G419" i="39"/>
  <c r="B120" i="7"/>
  <c r="B122" i="7" a="1"/>
  <c r="B112" i="37"/>
  <c r="G116" i="37"/>
  <c r="K119" i="37"/>
  <c r="D112" i="37"/>
  <c r="D120" i="7"/>
  <c r="D119" i="37"/>
  <c r="C117" i="37"/>
  <c r="F115" i="37"/>
  <c r="I44" i="29"/>
  <c r="I67" i="29" s="1"/>
  <c r="I75" i="29" s="1"/>
  <c r="I210" i="29" s="1"/>
  <c r="I211" i="29" s="1"/>
  <c r="I45" i="29"/>
  <c r="I68" i="29" s="1"/>
  <c r="I76" i="29" s="1"/>
  <c r="J43" i="29"/>
  <c r="J43" i="40" s="1"/>
  <c r="I91" i="34"/>
  <c r="I151" i="6"/>
  <c r="J328" i="39"/>
  <c r="F330" i="39"/>
  <c r="B329" i="39"/>
  <c r="J333" i="39"/>
  <c r="H337" i="39"/>
  <c r="K339" i="39"/>
  <c r="J340" i="39"/>
  <c r="F342" i="39"/>
  <c r="K341" i="39"/>
  <c r="G338" i="39"/>
  <c r="K338" i="39"/>
  <c r="H336" i="39"/>
  <c r="I140" i="39"/>
  <c r="D145" i="39"/>
  <c r="J146" i="39"/>
  <c r="I141" i="39"/>
  <c r="C139" i="39"/>
  <c r="C181" i="8"/>
  <c r="B143" i="39"/>
  <c r="B391" i="39"/>
  <c r="K392" i="39"/>
  <c r="I396" i="39"/>
  <c r="G390" i="39"/>
  <c r="F395" i="39"/>
  <c r="B392" i="39"/>
  <c r="E395" i="39"/>
  <c r="F396" i="39"/>
  <c r="J395" i="39"/>
  <c r="J65" i="58"/>
  <c r="D159" i="38"/>
  <c r="E159" i="38" s="1"/>
  <c r="F159" i="38" s="1"/>
  <c r="G159" i="38" s="1"/>
  <c r="H159" i="38" s="1"/>
  <c r="I159" i="38" s="1"/>
  <c r="J159" i="38" s="1"/>
  <c r="K159" i="38" s="1"/>
  <c r="H148" i="39"/>
  <c r="J148" i="39"/>
  <c r="C188" i="8"/>
  <c r="B149" i="39"/>
  <c r="J151" i="39"/>
  <c r="B153" i="39"/>
  <c r="C192" i="8"/>
  <c r="I151" i="39"/>
  <c r="E84" i="4"/>
  <c r="D84" i="40"/>
  <c r="B405" i="39"/>
  <c r="F404" i="39"/>
  <c r="B398" i="39"/>
  <c r="B434" i="8" a="1"/>
  <c r="B434" i="38" a="1"/>
  <c r="K402" i="39"/>
  <c r="H400" i="39"/>
  <c r="I402" i="39"/>
  <c r="G401" i="39"/>
  <c r="B404" i="39"/>
  <c r="D402" i="39"/>
  <c r="H404" i="39"/>
  <c r="I128" i="29"/>
  <c r="I129" i="29" s="1"/>
  <c r="J125" i="29"/>
  <c r="J127" i="29" s="1"/>
  <c r="B409" i="39"/>
  <c r="E409" i="39"/>
  <c r="E407" i="39"/>
  <c r="H410" i="39"/>
  <c r="E412" i="39"/>
  <c r="C409" i="39"/>
  <c r="D413" i="39"/>
  <c r="B408" i="39"/>
  <c r="D193" i="38"/>
  <c r="E193" i="38" s="1"/>
  <c r="F193" i="38" s="1"/>
  <c r="G193" i="38" s="1"/>
  <c r="H193" i="38" s="1"/>
  <c r="I193" i="38" s="1"/>
  <c r="J193" i="38" s="1"/>
  <c r="K193" i="38" s="1"/>
  <c r="C187" i="38"/>
  <c r="C349" i="39"/>
  <c r="K345" i="39"/>
  <c r="J347" i="39"/>
  <c r="I347" i="39"/>
  <c r="K344" i="39"/>
  <c r="I351" i="39"/>
  <c r="K351" i="39"/>
  <c r="D347" i="39"/>
  <c r="E344" i="39"/>
  <c r="K346" i="39"/>
  <c r="I323" i="39"/>
  <c r="I322" i="39"/>
  <c r="G319" i="39"/>
  <c r="G324" i="39"/>
  <c r="C318" i="39"/>
  <c r="D121" i="39"/>
  <c r="F124" i="39"/>
  <c r="C123" i="39"/>
  <c r="G123" i="39"/>
  <c r="D127" i="39"/>
  <c r="E125" i="39"/>
  <c r="J126" i="39"/>
  <c r="G121" i="39"/>
  <c r="I127" i="39"/>
  <c r="D184" i="38"/>
  <c r="E184" i="38" s="1"/>
  <c r="F184" i="38" s="1"/>
  <c r="G184" i="38" s="1"/>
  <c r="H184" i="38" s="1"/>
  <c r="I184" i="38" s="1"/>
  <c r="J184" i="38" s="1"/>
  <c r="K184" i="38" s="1"/>
  <c r="G210" i="4"/>
  <c r="G75" i="40"/>
  <c r="H149" i="34"/>
  <c r="I421" i="39"/>
  <c r="B419" i="39"/>
  <c r="E419" i="39"/>
  <c r="D416" i="39"/>
  <c r="I418" i="39"/>
  <c r="H416" i="39"/>
  <c r="H421" i="39"/>
  <c r="E418" i="39"/>
  <c r="C423" i="39"/>
  <c r="H420" i="39"/>
  <c r="V191" i="4"/>
  <c r="G75" i="57"/>
  <c r="H115" i="57"/>
  <c r="H117" i="57"/>
  <c r="H119" i="57"/>
  <c r="H114" i="57"/>
  <c r="H113" i="57"/>
  <c r="H116" i="57"/>
  <c r="H120" i="57"/>
  <c r="H75" i="57"/>
  <c r="L60" i="57"/>
  <c r="C83" i="57"/>
  <c r="G124" i="57"/>
  <c r="G123" i="57"/>
  <c r="G130" i="57"/>
  <c r="G129" i="57"/>
  <c r="G127" i="57"/>
  <c r="G126" i="57"/>
  <c r="G125" i="57"/>
  <c r="K73" i="57"/>
  <c r="G200" i="57"/>
  <c r="M73" i="40" l="1"/>
  <c r="J62" i="4"/>
  <c r="J62" i="40" s="1"/>
  <c r="K60" i="4"/>
  <c r="K64" i="4" s="1"/>
  <c r="I61" i="40"/>
  <c r="J60" i="40"/>
  <c r="J61" i="4"/>
  <c r="J61" i="40" s="1"/>
  <c r="I68" i="4"/>
  <c r="I68" i="40" s="1"/>
  <c r="C167" i="39"/>
  <c r="C175" i="38"/>
  <c r="C209" i="38" s="1"/>
  <c r="I82" i="29"/>
  <c r="J127" i="6"/>
  <c r="I127" i="34"/>
  <c r="G213" i="29"/>
  <c r="D212" i="40"/>
  <c r="G88" i="29"/>
  <c r="G90" i="29" s="1"/>
  <c r="G91" i="29" s="1"/>
  <c r="G92" i="29" s="1"/>
  <c r="E213" i="29"/>
  <c r="D213" i="29" s="1"/>
  <c r="H120" i="37"/>
  <c r="G120" i="37"/>
  <c r="I63" i="59"/>
  <c r="H63" i="60"/>
  <c r="I65" i="59"/>
  <c r="H65" i="60"/>
  <c r="I64" i="59"/>
  <c r="H64" i="60"/>
  <c r="F120" i="37"/>
  <c r="D87" i="40"/>
  <c r="I59" i="59"/>
  <c r="H59" i="60"/>
  <c r="D88" i="4"/>
  <c r="D90" i="4" s="1"/>
  <c r="G125" i="4"/>
  <c r="F128" i="4"/>
  <c r="F127" i="40"/>
  <c r="I60" i="59"/>
  <c r="H60" i="60"/>
  <c r="C120" i="37"/>
  <c r="I83" i="29"/>
  <c r="L111" i="29"/>
  <c r="L113" i="29" s="1"/>
  <c r="K114" i="29"/>
  <c r="I119" i="29"/>
  <c r="I62" i="59"/>
  <c r="H62" i="60"/>
  <c r="J115" i="29"/>
  <c r="J117" i="29"/>
  <c r="J64" i="40"/>
  <c r="I61" i="59"/>
  <c r="H61" i="60"/>
  <c r="I58" i="59"/>
  <c r="H58" i="60"/>
  <c r="K63" i="58"/>
  <c r="J458" i="38"/>
  <c r="E457" i="38"/>
  <c r="F454" i="38"/>
  <c r="D459" i="38"/>
  <c r="J452" i="38"/>
  <c r="H459" i="38"/>
  <c r="I456" i="38"/>
  <c r="C457" i="38"/>
  <c r="B459" i="38"/>
  <c r="G459" i="38"/>
  <c r="F459" i="38"/>
  <c r="I455" i="38"/>
  <c r="C452" i="38"/>
  <c r="K454" i="38"/>
  <c r="I454" i="38"/>
  <c r="B453" i="38"/>
  <c r="I452" i="38"/>
  <c r="C455" i="38"/>
  <c r="H456" i="38"/>
  <c r="F458" i="38"/>
  <c r="H458" i="38"/>
  <c r="E453" i="38"/>
  <c r="H455" i="38"/>
  <c r="C454" i="38"/>
  <c r="H457" i="38"/>
  <c r="B457" i="38"/>
  <c r="C456" i="38"/>
  <c r="K455" i="38"/>
  <c r="I459" i="38"/>
  <c r="H454" i="38"/>
  <c r="K457" i="38"/>
  <c r="E452" i="38"/>
  <c r="I458" i="38"/>
  <c r="D452" i="38"/>
  <c r="J459" i="38"/>
  <c r="G453" i="38"/>
  <c r="J453" i="38"/>
  <c r="H453" i="38"/>
  <c r="E458" i="38"/>
  <c r="K452" i="38"/>
  <c r="J455" i="38"/>
  <c r="G454" i="38"/>
  <c r="F453" i="38"/>
  <c r="C459" i="38"/>
  <c r="J456" i="38"/>
  <c r="J457" i="38"/>
  <c r="C453" i="38"/>
  <c r="B456" i="38"/>
  <c r="B454" i="38"/>
  <c r="E456" i="38"/>
  <c r="G452" i="38"/>
  <c r="D458" i="38"/>
  <c r="D457" i="38"/>
  <c r="G455" i="38"/>
  <c r="H452" i="38"/>
  <c r="B452" i="38"/>
  <c r="G456" i="38"/>
  <c r="D453" i="38"/>
  <c r="D454" i="38"/>
  <c r="I457" i="38"/>
  <c r="K459" i="38"/>
  <c r="F457" i="38"/>
  <c r="E459" i="38"/>
  <c r="K453" i="38"/>
  <c r="F452" i="38"/>
  <c r="K456" i="38"/>
  <c r="D456" i="38"/>
  <c r="G458" i="38"/>
  <c r="F455" i="38"/>
  <c r="G457" i="38"/>
  <c r="I453" i="38"/>
  <c r="K458" i="38"/>
  <c r="B455" i="38"/>
  <c r="E455" i="38"/>
  <c r="B458" i="38"/>
  <c r="J454" i="38"/>
  <c r="E454" i="38"/>
  <c r="D455" i="38"/>
  <c r="C458" i="38"/>
  <c r="F456" i="38"/>
  <c r="F462" i="8"/>
  <c r="E466" i="8"/>
  <c r="I462" i="8"/>
  <c r="D465" i="8"/>
  <c r="K468" i="8"/>
  <c r="F464" i="8"/>
  <c r="D467" i="8"/>
  <c r="H465" i="8"/>
  <c r="I463" i="8"/>
  <c r="J468" i="8"/>
  <c r="F463" i="8"/>
  <c r="H466" i="8"/>
  <c r="F468" i="8"/>
  <c r="F465" i="8"/>
  <c r="J463" i="8"/>
  <c r="I465" i="8"/>
  <c r="B466" i="8"/>
  <c r="J467" i="8"/>
  <c r="C464" i="8"/>
  <c r="D462" i="8"/>
  <c r="J465" i="8"/>
  <c r="H463" i="8"/>
  <c r="I464" i="8"/>
  <c r="I468" i="8"/>
  <c r="B463" i="8"/>
  <c r="E462" i="8"/>
  <c r="I461" i="8"/>
  <c r="K467" i="8"/>
  <c r="D464" i="8"/>
  <c r="G465" i="8"/>
  <c r="H462" i="8"/>
  <c r="I466" i="8"/>
  <c r="K462" i="8"/>
  <c r="D461" i="8"/>
  <c r="C463" i="8"/>
  <c r="B462" i="8"/>
  <c r="J466" i="8"/>
  <c r="G468" i="8"/>
  <c r="J462" i="8"/>
  <c r="G461" i="8"/>
  <c r="G464" i="8"/>
  <c r="E463" i="8"/>
  <c r="C467" i="8"/>
  <c r="C465" i="8"/>
  <c r="B465" i="8"/>
  <c r="E465" i="8"/>
  <c r="C461" i="8"/>
  <c r="H464" i="8"/>
  <c r="B468" i="8"/>
  <c r="G463" i="8"/>
  <c r="H461" i="8"/>
  <c r="E464" i="8"/>
  <c r="D468" i="8"/>
  <c r="B467" i="8"/>
  <c r="E468" i="8"/>
  <c r="D463" i="8"/>
  <c r="K464" i="8"/>
  <c r="B461" i="8"/>
  <c r="C462" i="8"/>
  <c r="K465" i="8"/>
  <c r="F466" i="8"/>
  <c r="E461" i="8"/>
  <c r="G467" i="8"/>
  <c r="G466" i="8"/>
  <c r="I467" i="8"/>
  <c r="E467" i="8"/>
  <c r="K466" i="8"/>
  <c r="F467" i="8"/>
  <c r="F461" i="8"/>
  <c r="J461" i="8"/>
  <c r="C468" i="8"/>
  <c r="D466" i="8"/>
  <c r="H468" i="8"/>
  <c r="H467" i="8"/>
  <c r="K461" i="8"/>
  <c r="B464" i="8"/>
  <c r="G462" i="8"/>
  <c r="J464" i="8"/>
  <c r="K463" i="8"/>
  <c r="C466" i="8"/>
  <c r="F470" i="8"/>
  <c r="E477" i="8"/>
  <c r="H473" i="8"/>
  <c r="E475" i="8"/>
  <c r="D476" i="8"/>
  <c r="F477" i="8"/>
  <c r="I475" i="8"/>
  <c r="E470" i="8"/>
  <c r="G476" i="8"/>
  <c r="F476" i="8"/>
  <c r="C475" i="8"/>
  <c r="B470" i="8"/>
  <c r="E471" i="8"/>
  <c r="B473" i="8"/>
  <c r="J475" i="8"/>
  <c r="J471" i="8"/>
  <c r="J474" i="8"/>
  <c r="C473" i="8"/>
  <c r="G470" i="8"/>
  <c r="E473" i="8"/>
  <c r="I473" i="8"/>
  <c r="G477" i="8"/>
  <c r="G472" i="8"/>
  <c r="E472" i="8"/>
  <c r="B471" i="8"/>
  <c r="D471" i="8"/>
  <c r="B474" i="8"/>
  <c r="K472" i="8"/>
  <c r="I471" i="8"/>
  <c r="E474" i="8"/>
  <c r="K471" i="8"/>
  <c r="C474" i="8"/>
  <c r="K477" i="8"/>
  <c r="G474" i="8"/>
  <c r="I470" i="8"/>
  <c r="F475" i="8"/>
  <c r="B477" i="8"/>
  <c r="F474" i="8"/>
  <c r="K475" i="8"/>
  <c r="B472" i="8"/>
  <c r="I476" i="8"/>
  <c r="D474" i="8"/>
  <c r="G475" i="8"/>
  <c r="G473" i="8"/>
  <c r="I472" i="8"/>
  <c r="D470" i="8"/>
  <c r="F472" i="8"/>
  <c r="J477" i="8"/>
  <c r="E476" i="8"/>
  <c r="K476" i="8"/>
  <c r="H477" i="8"/>
  <c r="H471" i="8"/>
  <c r="F473" i="8"/>
  <c r="C472" i="8"/>
  <c r="B475" i="8"/>
  <c r="G471" i="8"/>
  <c r="C477" i="8"/>
  <c r="H476" i="8"/>
  <c r="F471" i="8"/>
  <c r="D475" i="8"/>
  <c r="J472" i="8"/>
  <c r="K474" i="8"/>
  <c r="J476" i="8"/>
  <c r="H474" i="8"/>
  <c r="D477" i="8"/>
  <c r="C476" i="8"/>
  <c r="H472" i="8"/>
  <c r="K470" i="8"/>
  <c r="I477" i="8"/>
  <c r="H470" i="8"/>
  <c r="C470" i="8"/>
  <c r="J470" i="8"/>
  <c r="D473" i="8"/>
  <c r="B476" i="8"/>
  <c r="J473" i="8"/>
  <c r="H475" i="8"/>
  <c r="C471" i="8"/>
  <c r="I474" i="8"/>
  <c r="D472" i="8"/>
  <c r="K473" i="8"/>
  <c r="F429" i="38"/>
  <c r="I429" i="38"/>
  <c r="E429" i="38"/>
  <c r="E431" i="38"/>
  <c r="F426" i="38"/>
  <c r="G430" i="38"/>
  <c r="E427" i="38"/>
  <c r="I430" i="38"/>
  <c r="K428" i="38"/>
  <c r="J431" i="38"/>
  <c r="E428" i="38"/>
  <c r="J429" i="38"/>
  <c r="K430" i="38"/>
  <c r="H425" i="38"/>
  <c r="E426" i="38"/>
  <c r="D429" i="38"/>
  <c r="B432" i="38"/>
  <c r="I432" i="38"/>
  <c r="H430" i="38"/>
  <c r="K432" i="38"/>
  <c r="C429" i="38"/>
  <c r="C427" i="38"/>
  <c r="H426" i="38"/>
  <c r="J426" i="38"/>
  <c r="G425" i="38"/>
  <c r="D430" i="38"/>
  <c r="C430" i="38"/>
  <c r="D428" i="38"/>
  <c r="G427" i="38"/>
  <c r="H429" i="38"/>
  <c r="B425" i="38"/>
  <c r="I427" i="38"/>
  <c r="F425" i="38"/>
  <c r="C426" i="38"/>
  <c r="G428" i="38"/>
  <c r="H427" i="38"/>
  <c r="D426" i="38"/>
  <c r="I426" i="38"/>
  <c r="D431" i="38"/>
  <c r="B426" i="38"/>
  <c r="B431" i="38"/>
  <c r="F428" i="38"/>
  <c r="J430" i="38"/>
  <c r="K429" i="38"/>
  <c r="B429" i="38"/>
  <c r="I428" i="38"/>
  <c r="F430" i="38"/>
  <c r="J432" i="38"/>
  <c r="F427" i="38"/>
  <c r="D432" i="38"/>
  <c r="B428" i="38"/>
  <c r="E432" i="38"/>
  <c r="C425" i="38"/>
  <c r="G432" i="38"/>
  <c r="D425" i="38"/>
  <c r="I425" i="38"/>
  <c r="C431" i="38"/>
  <c r="D427" i="38"/>
  <c r="E430" i="38"/>
  <c r="K426" i="38"/>
  <c r="K427" i="38"/>
  <c r="G426" i="38"/>
  <c r="H428" i="38"/>
  <c r="G429" i="38"/>
  <c r="J427" i="38"/>
  <c r="B430" i="38"/>
  <c r="H432" i="38"/>
  <c r="B427" i="38"/>
  <c r="J425" i="38"/>
  <c r="C432" i="38"/>
  <c r="I431" i="38"/>
  <c r="K431" i="38"/>
  <c r="E425" i="38"/>
  <c r="C428" i="38"/>
  <c r="G431" i="38"/>
  <c r="K425" i="38"/>
  <c r="F432" i="38"/>
  <c r="F431" i="38"/>
  <c r="J428" i="38"/>
  <c r="H431" i="38"/>
  <c r="D161" i="8"/>
  <c r="C161" i="39"/>
  <c r="K120" i="37"/>
  <c r="C195" i="8"/>
  <c r="D187" i="8"/>
  <c r="C187" i="39"/>
  <c r="K52" i="29"/>
  <c r="L51" i="29"/>
  <c r="C190" i="39"/>
  <c r="D190" i="8"/>
  <c r="F84" i="4"/>
  <c r="E84" i="40"/>
  <c r="I151" i="34"/>
  <c r="D120" i="37"/>
  <c r="F118" i="29"/>
  <c r="J91" i="34"/>
  <c r="J151" i="6"/>
  <c r="G116" i="29"/>
  <c r="G105" i="29"/>
  <c r="J494" i="38"/>
  <c r="F494" i="38"/>
  <c r="B492" i="38"/>
  <c r="J489" i="38"/>
  <c r="B493" i="38"/>
  <c r="F495" i="38"/>
  <c r="K491" i="38"/>
  <c r="I488" i="38"/>
  <c r="G495" i="38"/>
  <c r="D495" i="38"/>
  <c r="H495" i="38"/>
  <c r="I492" i="38"/>
  <c r="E488" i="38"/>
  <c r="G494" i="38"/>
  <c r="C495" i="38"/>
  <c r="F491" i="38"/>
  <c r="F488" i="38"/>
  <c r="D488" i="38"/>
  <c r="D494" i="38"/>
  <c r="B489" i="38"/>
  <c r="K492" i="38"/>
  <c r="C489" i="38"/>
  <c r="F492" i="38"/>
  <c r="G490" i="38"/>
  <c r="B488" i="38"/>
  <c r="E493" i="38"/>
  <c r="D491" i="38"/>
  <c r="F493" i="38"/>
  <c r="K488" i="38"/>
  <c r="I489" i="38"/>
  <c r="G488" i="38"/>
  <c r="J488" i="38"/>
  <c r="H488" i="38"/>
  <c r="K494" i="38"/>
  <c r="J493" i="38"/>
  <c r="F490" i="38"/>
  <c r="E494" i="38"/>
  <c r="C494" i="38"/>
  <c r="H491" i="38"/>
  <c r="H490" i="38"/>
  <c r="I495" i="38"/>
  <c r="I491" i="38"/>
  <c r="H489" i="38"/>
  <c r="B491" i="38"/>
  <c r="H494" i="38"/>
  <c r="I494" i="38"/>
  <c r="E490" i="38"/>
  <c r="E491" i="38"/>
  <c r="H493" i="38"/>
  <c r="E492" i="38"/>
  <c r="D490" i="38"/>
  <c r="C491" i="38"/>
  <c r="J490" i="38"/>
  <c r="K493" i="38"/>
  <c r="G491" i="38"/>
  <c r="J492" i="38"/>
  <c r="C492" i="38"/>
  <c r="D493" i="38"/>
  <c r="B490" i="38"/>
  <c r="H492" i="38"/>
  <c r="G493" i="38"/>
  <c r="C490" i="38"/>
  <c r="K495" i="38"/>
  <c r="F489" i="38"/>
  <c r="B494" i="38"/>
  <c r="B495" i="38"/>
  <c r="G489" i="38"/>
  <c r="I493" i="38"/>
  <c r="G492" i="38"/>
  <c r="D489" i="38"/>
  <c r="J491" i="38"/>
  <c r="E495" i="38"/>
  <c r="J495" i="38"/>
  <c r="D492" i="38"/>
  <c r="C493" i="38"/>
  <c r="E489" i="38"/>
  <c r="C488" i="38"/>
  <c r="K490" i="38"/>
  <c r="K489" i="38"/>
  <c r="I490" i="38"/>
  <c r="D473" i="38"/>
  <c r="E474" i="38"/>
  <c r="K471" i="38"/>
  <c r="E472" i="38"/>
  <c r="I476" i="38"/>
  <c r="F476" i="38"/>
  <c r="H472" i="38"/>
  <c r="B476" i="38"/>
  <c r="I470" i="38"/>
  <c r="J477" i="38"/>
  <c r="F474" i="38"/>
  <c r="I471" i="38"/>
  <c r="B470" i="38"/>
  <c r="C475" i="38"/>
  <c r="D474" i="38"/>
  <c r="F470" i="38"/>
  <c r="G474" i="38"/>
  <c r="G470" i="38"/>
  <c r="G477" i="38"/>
  <c r="K472" i="38"/>
  <c r="C477" i="38"/>
  <c r="H476" i="38"/>
  <c r="F473" i="38"/>
  <c r="E470" i="38"/>
  <c r="B471" i="38"/>
  <c r="F471" i="38"/>
  <c r="G475" i="38"/>
  <c r="J476" i="38"/>
  <c r="C470" i="38"/>
  <c r="H470" i="38"/>
  <c r="D471" i="38"/>
  <c r="K477" i="38"/>
  <c r="H471" i="38"/>
  <c r="K474" i="38"/>
  <c r="H477" i="38"/>
  <c r="E476" i="38"/>
  <c r="H474" i="38"/>
  <c r="C473" i="38"/>
  <c r="I474" i="38"/>
  <c r="B473" i="38"/>
  <c r="J471" i="38"/>
  <c r="G476" i="38"/>
  <c r="K475" i="38"/>
  <c r="I472" i="38"/>
  <c r="D470" i="38"/>
  <c r="C471" i="38"/>
  <c r="F477" i="38"/>
  <c r="C476" i="38"/>
  <c r="G473" i="38"/>
  <c r="G472" i="38"/>
  <c r="B477" i="38"/>
  <c r="D472" i="38"/>
  <c r="D475" i="38"/>
  <c r="G471" i="38"/>
  <c r="I473" i="38"/>
  <c r="E477" i="38"/>
  <c r="J474" i="38"/>
  <c r="K476" i="38"/>
  <c r="D476" i="38"/>
  <c r="F472" i="38"/>
  <c r="B472" i="38"/>
  <c r="K470" i="38"/>
  <c r="H473" i="38"/>
  <c r="I477" i="38"/>
  <c r="J473" i="38"/>
  <c r="J475" i="38"/>
  <c r="E471" i="38"/>
  <c r="J472" i="38"/>
  <c r="C474" i="38"/>
  <c r="E475" i="38"/>
  <c r="I475" i="38"/>
  <c r="C472" i="38"/>
  <c r="F475" i="38"/>
  <c r="J470" i="38"/>
  <c r="E473" i="38"/>
  <c r="B474" i="38"/>
  <c r="B475" i="38"/>
  <c r="D477" i="38"/>
  <c r="H475" i="38"/>
  <c r="K473" i="38"/>
  <c r="D168" i="39"/>
  <c r="E168" i="8"/>
  <c r="C179" i="39"/>
  <c r="D179" i="8"/>
  <c r="D171" i="39"/>
  <c r="E171" i="8"/>
  <c r="J70" i="29"/>
  <c r="J98" i="29" s="1"/>
  <c r="J99" i="29" s="1"/>
  <c r="J102" i="29" s="1"/>
  <c r="K62" i="58"/>
  <c r="D188" i="8"/>
  <c r="C188" i="39"/>
  <c r="B120" i="37"/>
  <c r="B130" i="7" a="1"/>
  <c r="C484" i="8"/>
  <c r="I482" i="8"/>
  <c r="E485" i="8"/>
  <c r="H480" i="8"/>
  <c r="F484" i="8"/>
  <c r="I485" i="8"/>
  <c r="D486" i="8"/>
  <c r="J481" i="8"/>
  <c r="K485" i="8"/>
  <c r="I480" i="8"/>
  <c r="G479" i="8"/>
  <c r="D484" i="8"/>
  <c r="K479" i="8"/>
  <c r="D479" i="8"/>
  <c r="E481" i="8"/>
  <c r="B484" i="8"/>
  <c r="F481" i="8"/>
  <c r="D483" i="8"/>
  <c r="K483" i="8"/>
  <c r="E480" i="8"/>
  <c r="C485" i="8"/>
  <c r="G486" i="8"/>
  <c r="I479" i="8"/>
  <c r="K482" i="8"/>
  <c r="E482" i="8"/>
  <c r="J480" i="8"/>
  <c r="C483" i="8"/>
  <c r="J484" i="8"/>
  <c r="B483" i="8"/>
  <c r="J486" i="8"/>
  <c r="H486" i="8"/>
  <c r="F485" i="8"/>
  <c r="C482" i="8"/>
  <c r="J479" i="8"/>
  <c r="J483" i="8"/>
  <c r="K481" i="8"/>
  <c r="I481" i="8"/>
  <c r="F479" i="8"/>
  <c r="F483" i="8"/>
  <c r="C481" i="8"/>
  <c r="B486" i="8"/>
  <c r="I483" i="8"/>
  <c r="E479" i="8"/>
  <c r="F480" i="8"/>
  <c r="D481" i="8"/>
  <c r="D485" i="8"/>
  <c r="G480" i="8"/>
  <c r="K480" i="8"/>
  <c r="E486" i="8"/>
  <c r="K486" i="8"/>
  <c r="H482" i="8"/>
  <c r="G484" i="8"/>
  <c r="C480" i="8"/>
  <c r="D482" i="8"/>
  <c r="I486" i="8"/>
  <c r="J485" i="8"/>
  <c r="E484" i="8"/>
  <c r="J482" i="8"/>
  <c r="F482" i="8"/>
  <c r="B479" i="8"/>
  <c r="H483" i="8"/>
  <c r="H481" i="8"/>
  <c r="H484" i="8"/>
  <c r="B480" i="8"/>
  <c r="G483" i="8"/>
  <c r="E483" i="8"/>
  <c r="C486" i="8"/>
  <c r="H479" i="8"/>
  <c r="B481" i="8"/>
  <c r="F486" i="8"/>
  <c r="I484" i="8"/>
  <c r="G481" i="8"/>
  <c r="B485" i="8"/>
  <c r="H485" i="8"/>
  <c r="C479" i="8"/>
  <c r="G485" i="8"/>
  <c r="D480" i="8"/>
  <c r="G482" i="8"/>
  <c r="K484" i="8"/>
  <c r="B482" i="8"/>
  <c r="J92" i="34"/>
  <c r="J152" i="6"/>
  <c r="F83" i="4"/>
  <c r="E83" i="40"/>
  <c r="E167" i="8"/>
  <c r="D167" i="39"/>
  <c r="D175" i="8"/>
  <c r="H98" i="4"/>
  <c r="H70" i="40"/>
  <c r="I153" i="34"/>
  <c r="E90" i="29"/>
  <c r="E91" i="29" s="1"/>
  <c r="E92" i="29" s="1"/>
  <c r="E131" i="29" s="1"/>
  <c r="E161" i="29" s="1"/>
  <c r="K64" i="58"/>
  <c r="I154" i="34"/>
  <c r="I44" i="40"/>
  <c r="C194" i="39"/>
  <c r="D194" i="8"/>
  <c r="D102" i="40"/>
  <c r="D103" i="4"/>
  <c r="I148" i="34"/>
  <c r="F82" i="4"/>
  <c r="E82" i="40"/>
  <c r="E87" i="4"/>
  <c r="C158" i="39"/>
  <c r="D158" i="8"/>
  <c r="J95" i="34"/>
  <c r="J155" i="6"/>
  <c r="I150" i="34"/>
  <c r="H75" i="40"/>
  <c r="H210" i="4"/>
  <c r="D189" i="8"/>
  <c r="C189" i="39"/>
  <c r="E99" i="40"/>
  <c r="E102" i="4"/>
  <c r="E102" i="40" s="1"/>
  <c r="E491" i="8"/>
  <c r="I495" i="8"/>
  <c r="H489" i="8"/>
  <c r="I492" i="8"/>
  <c r="D492" i="8"/>
  <c r="D488" i="8"/>
  <c r="G488" i="8"/>
  <c r="I489" i="8"/>
  <c r="E492" i="8"/>
  <c r="H490" i="8"/>
  <c r="E493" i="8"/>
  <c r="K491" i="8"/>
  <c r="B493" i="8"/>
  <c r="D494" i="8"/>
  <c r="G491" i="8"/>
  <c r="K493" i="8"/>
  <c r="K490" i="8"/>
  <c r="K488" i="8"/>
  <c r="I490" i="8"/>
  <c r="C490" i="8"/>
  <c r="I493" i="8"/>
  <c r="D495" i="8"/>
  <c r="I494" i="8"/>
  <c r="C491" i="8"/>
  <c r="G494" i="8"/>
  <c r="D490" i="8"/>
  <c r="J495" i="8"/>
  <c r="F495" i="8"/>
  <c r="F490" i="8"/>
  <c r="J491" i="8"/>
  <c r="B491" i="8"/>
  <c r="F493" i="8"/>
  <c r="H494" i="8"/>
  <c r="F491" i="8"/>
  <c r="I488" i="8"/>
  <c r="F494" i="8"/>
  <c r="D493" i="8"/>
  <c r="J493" i="8"/>
  <c r="H492" i="8"/>
  <c r="G490" i="8"/>
  <c r="G493" i="8"/>
  <c r="K492" i="8"/>
  <c r="H493" i="8"/>
  <c r="B492" i="8"/>
  <c r="C494" i="8"/>
  <c r="H495" i="8"/>
  <c r="G492" i="8"/>
  <c r="B494" i="8"/>
  <c r="C489" i="8"/>
  <c r="G489" i="8"/>
  <c r="C488" i="8"/>
  <c r="E489" i="8"/>
  <c r="J488" i="8"/>
  <c r="F492" i="8"/>
  <c r="B488" i="8"/>
  <c r="F488" i="8"/>
  <c r="C492" i="8"/>
  <c r="G495" i="8"/>
  <c r="B495" i="8"/>
  <c r="C495" i="8"/>
  <c r="J490" i="8"/>
  <c r="E494" i="8"/>
  <c r="I491" i="8"/>
  <c r="E490" i="8"/>
  <c r="E495" i="8"/>
  <c r="F489" i="8"/>
  <c r="K494" i="8"/>
  <c r="K489" i="8"/>
  <c r="D491" i="8"/>
  <c r="K495" i="8"/>
  <c r="J494" i="8"/>
  <c r="E488" i="8"/>
  <c r="H491" i="8"/>
  <c r="H488" i="8"/>
  <c r="B490" i="8"/>
  <c r="D489" i="8"/>
  <c r="J492" i="8"/>
  <c r="J489" i="8"/>
  <c r="C493" i="8"/>
  <c r="B489" i="8"/>
  <c r="J128" i="29"/>
  <c r="J129" i="29" s="1"/>
  <c r="K125" i="29"/>
  <c r="K127" i="29" s="1"/>
  <c r="J93" i="34"/>
  <c r="J153" i="6"/>
  <c r="E461" i="38"/>
  <c r="G466" i="38"/>
  <c r="K463" i="38"/>
  <c r="I466" i="38"/>
  <c r="K462" i="38"/>
  <c r="F463" i="38"/>
  <c r="I463" i="38"/>
  <c r="J468" i="38"/>
  <c r="B468" i="38"/>
  <c r="F465" i="38"/>
  <c r="J467" i="38"/>
  <c r="B467" i="38"/>
  <c r="I461" i="38"/>
  <c r="K461" i="38"/>
  <c r="K468" i="38"/>
  <c r="D464" i="38"/>
  <c r="E467" i="38"/>
  <c r="G461" i="38"/>
  <c r="F464" i="38"/>
  <c r="K466" i="38"/>
  <c r="C464" i="38"/>
  <c r="B465" i="38"/>
  <c r="H467" i="38"/>
  <c r="F462" i="38"/>
  <c r="H462" i="38"/>
  <c r="D467" i="38"/>
  <c r="H463" i="38"/>
  <c r="C463" i="38"/>
  <c r="D465" i="38"/>
  <c r="F466" i="38"/>
  <c r="I465" i="38"/>
  <c r="G468" i="38"/>
  <c r="C468" i="38"/>
  <c r="H465" i="38"/>
  <c r="F468" i="38"/>
  <c r="F461" i="38"/>
  <c r="E468" i="38"/>
  <c r="I467" i="38"/>
  <c r="J464" i="38"/>
  <c r="J461" i="38"/>
  <c r="H461" i="38"/>
  <c r="B461" i="38"/>
  <c r="D468" i="38"/>
  <c r="C465" i="38"/>
  <c r="F467" i="38"/>
  <c r="G467" i="38"/>
  <c r="H468" i="38"/>
  <c r="J465" i="38"/>
  <c r="H466" i="38"/>
  <c r="G462" i="38"/>
  <c r="C462" i="38"/>
  <c r="G465" i="38"/>
  <c r="B463" i="38"/>
  <c r="E464" i="38"/>
  <c r="B466" i="38"/>
  <c r="D461" i="38"/>
  <c r="E465" i="38"/>
  <c r="E462" i="38"/>
  <c r="J462" i="38"/>
  <c r="C466" i="38"/>
  <c r="D466" i="38"/>
  <c r="K465" i="38"/>
  <c r="D462" i="38"/>
  <c r="J466" i="38"/>
  <c r="K467" i="38"/>
  <c r="E466" i="38"/>
  <c r="J463" i="38"/>
  <c r="B464" i="38"/>
  <c r="I464" i="38"/>
  <c r="C467" i="38"/>
  <c r="E463" i="38"/>
  <c r="H464" i="38"/>
  <c r="B462" i="38"/>
  <c r="I462" i="38"/>
  <c r="K464" i="38"/>
  <c r="D463" i="38"/>
  <c r="G464" i="38"/>
  <c r="C461" i="38"/>
  <c r="G463" i="38"/>
  <c r="I468" i="38"/>
  <c r="F99" i="40"/>
  <c r="F102" i="4"/>
  <c r="F102" i="40" s="1"/>
  <c r="D160" i="8"/>
  <c r="C160" i="39"/>
  <c r="J52" i="4"/>
  <c r="J51" i="40"/>
  <c r="K51" i="4"/>
  <c r="K61" i="58"/>
  <c r="D90" i="29"/>
  <c r="D91" i="29" s="1"/>
  <c r="D92" i="29" s="1"/>
  <c r="D131" i="29" s="1"/>
  <c r="D161" i="29" s="1"/>
  <c r="H87" i="29"/>
  <c r="G211" i="4"/>
  <c r="G211" i="40" s="1"/>
  <c r="G210" i="40"/>
  <c r="D435" i="38"/>
  <c r="K439" i="38"/>
  <c r="C438" i="38"/>
  <c r="C441" i="38"/>
  <c r="F436" i="38"/>
  <c r="C435" i="38"/>
  <c r="J437" i="38"/>
  <c r="C436" i="38"/>
  <c r="C439" i="38"/>
  <c r="F435" i="38"/>
  <c r="I440" i="38"/>
  <c r="E439" i="38"/>
  <c r="I435" i="38"/>
  <c r="J438" i="38"/>
  <c r="K435" i="38"/>
  <c r="F434" i="38"/>
  <c r="B436" i="38"/>
  <c r="B435" i="38"/>
  <c r="G439" i="38"/>
  <c r="E440" i="38"/>
  <c r="B440" i="38"/>
  <c r="I439" i="38"/>
  <c r="J435" i="38"/>
  <c r="E436" i="38"/>
  <c r="B434" i="38"/>
  <c r="F440" i="38"/>
  <c r="J436" i="38"/>
  <c r="H438" i="38"/>
  <c r="H437" i="38"/>
  <c r="C437" i="38"/>
  <c r="B441" i="38"/>
  <c r="K436" i="38"/>
  <c r="H436" i="38"/>
  <c r="K438" i="38"/>
  <c r="G440" i="38"/>
  <c r="F437" i="38"/>
  <c r="K440" i="38"/>
  <c r="F438" i="38"/>
  <c r="B437" i="38"/>
  <c r="F441" i="38"/>
  <c r="E438" i="38"/>
  <c r="H435" i="38"/>
  <c r="K441" i="38"/>
  <c r="K434" i="38"/>
  <c r="G438" i="38"/>
  <c r="G434" i="38"/>
  <c r="I434" i="38"/>
  <c r="E441" i="38"/>
  <c r="G436" i="38"/>
  <c r="K437" i="38"/>
  <c r="H440" i="38"/>
  <c r="H441" i="38"/>
  <c r="G435" i="38"/>
  <c r="E435" i="38"/>
  <c r="J434" i="38"/>
  <c r="I441" i="38"/>
  <c r="D434" i="38"/>
  <c r="C434" i="38"/>
  <c r="F439" i="38"/>
  <c r="J440" i="38"/>
  <c r="D440" i="38"/>
  <c r="D438" i="38"/>
  <c r="G441" i="38"/>
  <c r="I438" i="38"/>
  <c r="B438" i="38"/>
  <c r="E434" i="38"/>
  <c r="D441" i="38"/>
  <c r="C440" i="38"/>
  <c r="H439" i="38"/>
  <c r="I437" i="38"/>
  <c r="G437" i="38"/>
  <c r="D436" i="38"/>
  <c r="D437" i="38"/>
  <c r="H434" i="38"/>
  <c r="I436" i="38"/>
  <c r="B439" i="38"/>
  <c r="E437" i="38"/>
  <c r="J441" i="38"/>
  <c r="J439" i="38"/>
  <c r="D439" i="38"/>
  <c r="C192" i="39"/>
  <c r="D192" i="8"/>
  <c r="K65" i="58"/>
  <c r="J44" i="29"/>
  <c r="J67" i="29" s="1"/>
  <c r="J75" i="29" s="1"/>
  <c r="J210" i="29" s="1"/>
  <c r="J211" i="29" s="1"/>
  <c r="J45" i="29"/>
  <c r="J68" i="29" s="1"/>
  <c r="J76" i="29" s="1"/>
  <c r="K43" i="29"/>
  <c r="J89" i="34"/>
  <c r="J149" i="6"/>
  <c r="D169" i="39"/>
  <c r="E169" i="8"/>
  <c r="E120" i="37"/>
  <c r="C183" i="39"/>
  <c r="D183" i="8"/>
  <c r="I120" i="37"/>
  <c r="K60" i="58"/>
  <c r="I84" i="29"/>
  <c r="I45" i="40"/>
  <c r="K58" i="58"/>
  <c r="D157" i="8"/>
  <c r="C157" i="39"/>
  <c r="C165" i="8"/>
  <c r="D162" i="8"/>
  <c r="C162" i="39"/>
  <c r="B429" i="8"/>
  <c r="I430" i="8"/>
  <c r="B428" i="8"/>
  <c r="J429" i="8"/>
  <c r="C426" i="8"/>
  <c r="F431" i="8"/>
  <c r="J425" i="8"/>
  <c r="J430" i="8"/>
  <c r="H425" i="8"/>
  <c r="E427" i="8"/>
  <c r="E428" i="8"/>
  <c r="J426" i="8"/>
  <c r="C425" i="8"/>
  <c r="D425" i="8"/>
  <c r="K430" i="8"/>
  <c r="C427" i="8"/>
  <c r="J427" i="8"/>
  <c r="G431" i="8"/>
  <c r="F427" i="8"/>
  <c r="K431" i="8"/>
  <c r="E426" i="8"/>
  <c r="I429" i="8"/>
  <c r="H431" i="8"/>
  <c r="D426" i="8"/>
  <c r="K426" i="8"/>
  <c r="B426" i="8"/>
  <c r="E431" i="8"/>
  <c r="F432" i="8"/>
  <c r="H432" i="8"/>
  <c r="K425" i="8"/>
  <c r="G427" i="8"/>
  <c r="G430" i="8"/>
  <c r="H426" i="8"/>
  <c r="I428" i="8"/>
  <c r="F430" i="8"/>
  <c r="H429" i="8"/>
  <c r="D431" i="8"/>
  <c r="D429" i="8"/>
  <c r="E425" i="8"/>
  <c r="F429" i="8"/>
  <c r="J431" i="8"/>
  <c r="K427" i="8"/>
  <c r="C432" i="8"/>
  <c r="G425" i="8"/>
  <c r="G428" i="8"/>
  <c r="H427" i="8"/>
  <c r="B431" i="8"/>
  <c r="B432" i="8"/>
  <c r="I427" i="8"/>
  <c r="C430" i="8"/>
  <c r="J428" i="8"/>
  <c r="I425" i="8"/>
  <c r="K429" i="8"/>
  <c r="F425" i="8"/>
  <c r="K428" i="8"/>
  <c r="B430" i="8"/>
  <c r="E430" i="8"/>
  <c r="C428" i="8"/>
  <c r="I426" i="8"/>
  <c r="H430" i="8"/>
  <c r="G429" i="8"/>
  <c r="B425" i="8"/>
  <c r="D430" i="8"/>
  <c r="F426" i="8"/>
  <c r="C431" i="8"/>
  <c r="H428" i="8"/>
  <c r="I432" i="8"/>
  <c r="F428" i="8"/>
  <c r="E432" i="8"/>
  <c r="D432" i="8"/>
  <c r="G426" i="8"/>
  <c r="D427" i="8"/>
  <c r="G432" i="8"/>
  <c r="E429" i="8"/>
  <c r="I431" i="8"/>
  <c r="D428" i="8"/>
  <c r="J432" i="8"/>
  <c r="K432" i="8"/>
  <c r="B427" i="8"/>
  <c r="C429" i="8"/>
  <c r="C195" i="38"/>
  <c r="D187" i="38"/>
  <c r="C180" i="39"/>
  <c r="D180" i="8"/>
  <c r="H104" i="29"/>
  <c r="I101" i="29"/>
  <c r="I103" i="29" s="1"/>
  <c r="K64" i="29"/>
  <c r="K61" i="29"/>
  <c r="L60" i="29"/>
  <c r="K62" i="29"/>
  <c r="D174" i="39"/>
  <c r="E174" i="8"/>
  <c r="D163" i="8"/>
  <c r="C163" i="39"/>
  <c r="D164" i="8"/>
  <c r="C164" i="39"/>
  <c r="G98" i="40"/>
  <c r="G99" i="4"/>
  <c r="F436" i="8"/>
  <c r="B440" i="8"/>
  <c r="C434" i="8"/>
  <c r="B438" i="8"/>
  <c r="B439" i="8"/>
  <c r="D437" i="8"/>
  <c r="E440" i="8"/>
  <c r="B441" i="8"/>
  <c r="I437" i="8"/>
  <c r="E434" i="8"/>
  <c r="H437" i="8"/>
  <c r="C436" i="8"/>
  <c r="K438" i="8"/>
  <c r="G438" i="8"/>
  <c r="E435" i="8"/>
  <c r="G434" i="8"/>
  <c r="C435" i="8"/>
  <c r="H439" i="8"/>
  <c r="I441" i="8"/>
  <c r="J434" i="8"/>
  <c r="D434" i="8"/>
  <c r="I440" i="8"/>
  <c r="I435" i="8"/>
  <c r="D435" i="8"/>
  <c r="F441" i="8"/>
  <c r="K439" i="8"/>
  <c r="F437" i="8"/>
  <c r="H436" i="8"/>
  <c r="E439" i="8"/>
  <c r="J439" i="8"/>
  <c r="B435" i="8"/>
  <c r="B437" i="8"/>
  <c r="G440" i="8"/>
  <c r="K435" i="8"/>
  <c r="J437" i="8"/>
  <c r="H441" i="8"/>
  <c r="B434" i="8"/>
  <c r="C439" i="8"/>
  <c r="G439" i="8"/>
  <c r="F434" i="8"/>
  <c r="I439" i="8"/>
  <c r="D436" i="8"/>
  <c r="H438" i="8"/>
  <c r="K434" i="8"/>
  <c r="C438" i="8"/>
  <c r="E441" i="8"/>
  <c r="C440" i="8"/>
  <c r="K440" i="8"/>
  <c r="D439" i="8"/>
  <c r="G441" i="8"/>
  <c r="D441" i="8"/>
  <c r="H440" i="8"/>
  <c r="J440" i="8"/>
  <c r="J438" i="8"/>
  <c r="J441" i="8"/>
  <c r="I436" i="8"/>
  <c r="B436" i="8"/>
  <c r="F439" i="8"/>
  <c r="K437" i="8"/>
  <c r="K441" i="8"/>
  <c r="K436" i="8"/>
  <c r="D438" i="8"/>
  <c r="I434" i="8"/>
  <c r="E436" i="8"/>
  <c r="G437" i="8"/>
  <c r="F440" i="8"/>
  <c r="J435" i="8"/>
  <c r="H435" i="8"/>
  <c r="H434" i="8"/>
  <c r="G435" i="8"/>
  <c r="D440" i="8"/>
  <c r="E437" i="8"/>
  <c r="C441" i="8"/>
  <c r="J436" i="8"/>
  <c r="F435" i="8"/>
  <c r="I438" i="8"/>
  <c r="E438" i="8"/>
  <c r="C437" i="8"/>
  <c r="G436" i="8"/>
  <c r="F438" i="8"/>
  <c r="J90" i="34"/>
  <c r="J150" i="6"/>
  <c r="F213" i="29"/>
  <c r="D172" i="39"/>
  <c r="E172" i="8"/>
  <c r="J120" i="37"/>
  <c r="D182" i="8"/>
  <c r="C182" i="39"/>
  <c r="I111" i="40"/>
  <c r="I113" i="4"/>
  <c r="I52" i="40"/>
  <c r="I70" i="4"/>
  <c r="K44" i="4"/>
  <c r="L43" i="4"/>
  <c r="K45" i="4"/>
  <c r="C181" i="39"/>
  <c r="D181" i="8"/>
  <c r="E85" i="40"/>
  <c r="F85" i="4"/>
  <c r="J94" i="34"/>
  <c r="J154" i="6"/>
  <c r="F90" i="29"/>
  <c r="F91" i="29" s="1"/>
  <c r="F92" i="29" s="1"/>
  <c r="D159" i="8"/>
  <c r="C159" i="39"/>
  <c r="C191" i="39"/>
  <c r="D191" i="8"/>
  <c r="C193" i="39"/>
  <c r="D193" i="8"/>
  <c r="E211" i="4"/>
  <c r="E211" i="40" s="1"/>
  <c r="E210" i="40"/>
  <c r="C184" i="39"/>
  <c r="D184" i="8"/>
  <c r="J444" i="38"/>
  <c r="I447" i="38"/>
  <c r="C448" i="38"/>
  <c r="B443" i="38"/>
  <c r="F448" i="38"/>
  <c r="E450" i="38"/>
  <c r="D445" i="38"/>
  <c r="K446" i="38"/>
  <c r="B448" i="38"/>
  <c r="F446" i="38"/>
  <c r="D446" i="38"/>
  <c r="F449" i="38"/>
  <c r="E446" i="38"/>
  <c r="C450" i="38"/>
  <c r="J450" i="38"/>
  <c r="C444" i="38"/>
  <c r="G449" i="38"/>
  <c r="F444" i="38"/>
  <c r="I445" i="38"/>
  <c r="H448" i="38"/>
  <c r="D449" i="38"/>
  <c r="B445" i="38"/>
  <c r="F445" i="38"/>
  <c r="B446" i="38"/>
  <c r="G444" i="38"/>
  <c r="I446" i="38"/>
  <c r="C449" i="38"/>
  <c r="E447" i="38"/>
  <c r="G448" i="38"/>
  <c r="I444" i="38"/>
  <c r="F450" i="38"/>
  <c r="E445" i="38"/>
  <c r="D448" i="38"/>
  <c r="E443" i="38"/>
  <c r="F443" i="38"/>
  <c r="G450" i="38"/>
  <c r="K445" i="38"/>
  <c r="J446" i="38"/>
  <c r="D447" i="38"/>
  <c r="J443" i="38"/>
  <c r="H444" i="38"/>
  <c r="K448" i="38"/>
  <c r="J447" i="38"/>
  <c r="C445" i="38"/>
  <c r="K444" i="38"/>
  <c r="I443" i="38"/>
  <c r="B450" i="38"/>
  <c r="K447" i="38"/>
  <c r="H446" i="38"/>
  <c r="D444" i="38"/>
  <c r="B444" i="38"/>
  <c r="H449" i="38"/>
  <c r="G443" i="38"/>
  <c r="I449" i="38"/>
  <c r="K450" i="38"/>
  <c r="E449" i="38"/>
  <c r="C447" i="38"/>
  <c r="H450" i="38"/>
  <c r="E444" i="38"/>
  <c r="H443" i="38"/>
  <c r="J448" i="38"/>
  <c r="H445" i="38"/>
  <c r="C446" i="38"/>
  <c r="K449" i="38"/>
  <c r="K443" i="38"/>
  <c r="B449" i="38"/>
  <c r="F447" i="38"/>
  <c r="G446" i="38"/>
  <c r="G445" i="38"/>
  <c r="J445" i="38"/>
  <c r="G447" i="38"/>
  <c r="B447" i="38"/>
  <c r="J449" i="38"/>
  <c r="C443" i="38"/>
  <c r="E448" i="38"/>
  <c r="I450" i="38"/>
  <c r="D450" i="38"/>
  <c r="H447" i="38"/>
  <c r="D443" i="38"/>
  <c r="I448" i="38"/>
  <c r="I152" i="34"/>
  <c r="D175" i="38"/>
  <c r="E167" i="38"/>
  <c r="K129" i="35"/>
  <c r="B123" i="35"/>
  <c r="H124" i="35"/>
  <c r="B127" i="35"/>
  <c r="H126" i="35"/>
  <c r="E122" i="35"/>
  <c r="D123" i="35"/>
  <c r="D129" i="35"/>
  <c r="J126" i="35"/>
  <c r="J127" i="35"/>
  <c r="H127" i="35"/>
  <c r="J122" i="35"/>
  <c r="C124" i="35"/>
  <c r="B125" i="35"/>
  <c r="H128" i="35"/>
  <c r="C129" i="35"/>
  <c r="J125" i="35"/>
  <c r="B128" i="35"/>
  <c r="K123" i="35"/>
  <c r="D126" i="35"/>
  <c r="H125" i="35"/>
  <c r="D122" i="35"/>
  <c r="F129" i="35"/>
  <c r="K128" i="35"/>
  <c r="D127" i="35"/>
  <c r="B129" i="35"/>
  <c r="G125" i="35"/>
  <c r="F122" i="35"/>
  <c r="F123" i="35"/>
  <c r="E126" i="35"/>
  <c r="I124" i="35"/>
  <c r="C122" i="35"/>
  <c r="G124" i="35"/>
  <c r="C126" i="35"/>
  <c r="D125" i="35"/>
  <c r="G126" i="35"/>
  <c r="K127" i="35"/>
  <c r="F127" i="35"/>
  <c r="E124" i="35"/>
  <c r="G127" i="35"/>
  <c r="G123" i="35"/>
  <c r="I128" i="35"/>
  <c r="C127" i="35"/>
  <c r="D124" i="35"/>
  <c r="F125" i="35"/>
  <c r="I129" i="35"/>
  <c r="K124" i="35"/>
  <c r="J124" i="35"/>
  <c r="J129" i="35"/>
  <c r="I125" i="35"/>
  <c r="K126" i="35"/>
  <c r="G122" i="35"/>
  <c r="H122" i="35"/>
  <c r="F124" i="35"/>
  <c r="C128" i="35"/>
  <c r="F128" i="35"/>
  <c r="I126" i="35"/>
  <c r="J128" i="35"/>
  <c r="J123" i="35"/>
  <c r="K125" i="35"/>
  <c r="E128" i="35"/>
  <c r="E125" i="35"/>
  <c r="B126" i="35"/>
  <c r="H129" i="35"/>
  <c r="E127" i="35"/>
  <c r="I123" i="35"/>
  <c r="C123" i="35"/>
  <c r="B124" i="35"/>
  <c r="I127" i="35"/>
  <c r="E129" i="35"/>
  <c r="G128" i="35"/>
  <c r="H123" i="35"/>
  <c r="B122" i="35"/>
  <c r="D128" i="35"/>
  <c r="C125" i="35"/>
  <c r="F126" i="35"/>
  <c r="E123" i="35"/>
  <c r="K122" i="35"/>
  <c r="I122" i="35"/>
  <c r="G129" i="35"/>
  <c r="C177" i="39"/>
  <c r="D177" i="8"/>
  <c r="C185" i="8"/>
  <c r="C165" i="38"/>
  <c r="D157" i="38"/>
  <c r="B127" i="7"/>
  <c r="K125" i="7"/>
  <c r="H123" i="7"/>
  <c r="J122" i="7"/>
  <c r="G125" i="7"/>
  <c r="G122" i="7"/>
  <c r="E123" i="7"/>
  <c r="B126" i="7"/>
  <c r="H124" i="7"/>
  <c r="F128" i="7"/>
  <c r="F129" i="7"/>
  <c r="B125" i="7"/>
  <c r="K124" i="7"/>
  <c r="B122" i="7"/>
  <c r="B124" i="7"/>
  <c r="J128" i="7"/>
  <c r="J129" i="7"/>
  <c r="C123" i="7"/>
  <c r="E128" i="7"/>
  <c r="J123" i="7"/>
  <c r="H129" i="7"/>
  <c r="C125" i="7"/>
  <c r="I122" i="7"/>
  <c r="H122" i="7"/>
  <c r="E126" i="7"/>
  <c r="K128" i="7"/>
  <c r="B129" i="7"/>
  <c r="I128" i="7"/>
  <c r="G127" i="7"/>
  <c r="J127" i="7"/>
  <c r="H128" i="7"/>
  <c r="F124" i="7"/>
  <c r="D122" i="7"/>
  <c r="K127" i="7"/>
  <c r="D125" i="7"/>
  <c r="H125" i="7"/>
  <c r="C122" i="7"/>
  <c r="K129" i="7"/>
  <c r="D129" i="7"/>
  <c r="G126" i="7"/>
  <c r="I127" i="7"/>
  <c r="D124" i="7"/>
  <c r="K126" i="7"/>
  <c r="K122" i="7"/>
  <c r="C127" i="7"/>
  <c r="E125" i="7"/>
  <c r="F125" i="7"/>
  <c r="J126" i="7"/>
  <c r="B128" i="7"/>
  <c r="G129" i="7"/>
  <c r="F122" i="7"/>
  <c r="G128" i="7"/>
  <c r="K123" i="7"/>
  <c r="H127" i="7"/>
  <c r="F127" i="7"/>
  <c r="I123" i="7"/>
  <c r="J125" i="7"/>
  <c r="F126" i="7"/>
  <c r="D126" i="7"/>
  <c r="D123" i="7"/>
  <c r="C129" i="7"/>
  <c r="C126" i="7"/>
  <c r="E127" i="7"/>
  <c r="I129" i="7"/>
  <c r="C128" i="7"/>
  <c r="E129" i="7"/>
  <c r="I126" i="7"/>
  <c r="I124" i="7"/>
  <c r="D128" i="7"/>
  <c r="J124" i="7"/>
  <c r="C124" i="7"/>
  <c r="B123" i="7"/>
  <c r="F123" i="7"/>
  <c r="H126" i="7"/>
  <c r="G124" i="7"/>
  <c r="I125" i="7"/>
  <c r="E124" i="7"/>
  <c r="D127" i="7"/>
  <c r="G123" i="7"/>
  <c r="E122" i="7"/>
  <c r="C178" i="39"/>
  <c r="D178" i="8"/>
  <c r="J484" i="38"/>
  <c r="E484" i="38"/>
  <c r="C482" i="38"/>
  <c r="G479" i="38"/>
  <c r="F479" i="38"/>
  <c r="I485" i="38"/>
  <c r="H482" i="38"/>
  <c r="K486" i="38"/>
  <c r="E486" i="38"/>
  <c r="H481" i="38"/>
  <c r="D480" i="38"/>
  <c r="I481" i="38"/>
  <c r="D484" i="38"/>
  <c r="J480" i="38"/>
  <c r="I479" i="38"/>
  <c r="F480" i="38"/>
  <c r="E480" i="38"/>
  <c r="I480" i="38"/>
  <c r="F486" i="38"/>
  <c r="H479" i="38"/>
  <c r="D483" i="38"/>
  <c r="G484" i="38"/>
  <c r="H484" i="38"/>
  <c r="K482" i="38"/>
  <c r="J486" i="38"/>
  <c r="J479" i="38"/>
  <c r="H480" i="38"/>
  <c r="B480" i="38"/>
  <c r="G480" i="38"/>
  <c r="B479" i="38"/>
  <c r="C481" i="38"/>
  <c r="K483" i="38"/>
  <c r="E483" i="38"/>
  <c r="J482" i="38"/>
  <c r="C486" i="38"/>
  <c r="C485" i="38"/>
  <c r="E482" i="38"/>
  <c r="C480" i="38"/>
  <c r="G482" i="38"/>
  <c r="K481" i="38"/>
  <c r="C484" i="38"/>
  <c r="G481" i="38"/>
  <c r="F483" i="38"/>
  <c r="B481" i="38"/>
  <c r="C479" i="38"/>
  <c r="H486" i="38"/>
  <c r="D482" i="38"/>
  <c r="K484" i="38"/>
  <c r="G483" i="38"/>
  <c r="C483" i="38"/>
  <c r="J481" i="38"/>
  <c r="D481" i="38"/>
  <c r="J483" i="38"/>
  <c r="K485" i="38"/>
  <c r="J485" i="38"/>
  <c r="H485" i="38"/>
  <c r="B482" i="38"/>
  <c r="F485" i="38"/>
  <c r="F482" i="38"/>
  <c r="I482" i="38"/>
  <c r="K479" i="38"/>
  <c r="E481" i="38"/>
  <c r="G486" i="38"/>
  <c r="F481" i="38"/>
  <c r="E479" i="38"/>
  <c r="E485" i="38"/>
  <c r="B485" i="38"/>
  <c r="B486" i="38"/>
  <c r="F484" i="38"/>
  <c r="B483" i="38"/>
  <c r="D486" i="38"/>
  <c r="I484" i="38"/>
  <c r="D485" i="38"/>
  <c r="B484" i="38"/>
  <c r="H483" i="38"/>
  <c r="I486" i="38"/>
  <c r="G485" i="38"/>
  <c r="K480" i="38"/>
  <c r="D479" i="38"/>
  <c r="I483" i="38"/>
  <c r="J148" i="6"/>
  <c r="J88" i="34"/>
  <c r="L191" i="40"/>
  <c r="M191" i="4"/>
  <c r="K93" i="6"/>
  <c r="K95" i="6"/>
  <c r="K91" i="6"/>
  <c r="K94" i="6"/>
  <c r="K88" i="6"/>
  <c r="K92" i="6"/>
  <c r="K90" i="6"/>
  <c r="K89" i="6"/>
  <c r="C211" i="8"/>
  <c r="C208" i="8"/>
  <c r="C209" i="8"/>
  <c r="C207" i="8"/>
  <c r="C210" i="8"/>
  <c r="C213" i="8"/>
  <c r="C206" i="8"/>
  <c r="C212" i="8"/>
  <c r="I155" i="34"/>
  <c r="I149" i="34"/>
  <c r="I445" i="8"/>
  <c r="K445" i="8"/>
  <c r="J449" i="8"/>
  <c r="G447" i="8"/>
  <c r="K443" i="8"/>
  <c r="I448" i="8"/>
  <c r="G444" i="8"/>
  <c r="B443" i="8"/>
  <c r="G448" i="8"/>
  <c r="B448" i="8"/>
  <c r="B447" i="8"/>
  <c r="D450" i="8"/>
  <c r="F443" i="8"/>
  <c r="F444" i="8"/>
  <c r="H446" i="8"/>
  <c r="K450" i="8"/>
  <c r="C444" i="8"/>
  <c r="F449" i="8"/>
  <c r="E448" i="8"/>
  <c r="H449" i="8"/>
  <c r="I450" i="8"/>
  <c r="C447" i="8"/>
  <c r="G449" i="8"/>
  <c r="H448" i="8"/>
  <c r="H445" i="8"/>
  <c r="C450" i="8"/>
  <c r="C446" i="8"/>
  <c r="G443" i="8"/>
  <c r="B450" i="8"/>
  <c r="J443" i="8"/>
  <c r="C449" i="8"/>
  <c r="E450" i="8"/>
  <c r="B449" i="8"/>
  <c r="K447" i="8"/>
  <c r="C443" i="8"/>
  <c r="J446" i="8"/>
  <c r="G450" i="8"/>
  <c r="B445" i="8"/>
  <c r="H444" i="8"/>
  <c r="K446" i="8"/>
  <c r="E444" i="8"/>
  <c r="E447" i="8"/>
  <c r="F445" i="8"/>
  <c r="D447" i="8"/>
  <c r="J448" i="8"/>
  <c r="D445" i="8"/>
  <c r="D448" i="8"/>
  <c r="G445" i="8"/>
  <c r="F448" i="8"/>
  <c r="I449" i="8"/>
  <c r="I447" i="8"/>
  <c r="K448" i="8"/>
  <c r="H450" i="8"/>
  <c r="D446" i="8"/>
  <c r="I444" i="8"/>
  <c r="E446" i="8"/>
  <c r="G446" i="8"/>
  <c r="C448" i="8"/>
  <c r="I443" i="8"/>
  <c r="H447" i="8"/>
  <c r="K449" i="8"/>
  <c r="D449" i="8"/>
  <c r="F447" i="8"/>
  <c r="H443" i="8"/>
  <c r="E443" i="8"/>
  <c r="D444" i="8"/>
  <c r="K444" i="8"/>
  <c r="C445" i="8"/>
  <c r="B444" i="8"/>
  <c r="D443" i="8"/>
  <c r="J444" i="8"/>
  <c r="E445" i="8"/>
  <c r="F450" i="8"/>
  <c r="E449" i="8"/>
  <c r="F446" i="8"/>
  <c r="J447" i="8"/>
  <c r="J445" i="8"/>
  <c r="B446" i="8"/>
  <c r="I446" i="8"/>
  <c r="J450" i="8"/>
  <c r="I67" i="40"/>
  <c r="J206" i="4"/>
  <c r="I75" i="4"/>
  <c r="H115" i="4"/>
  <c r="H114" i="40"/>
  <c r="H117" i="4"/>
  <c r="H117" i="40" s="1"/>
  <c r="K59" i="58"/>
  <c r="F454" i="8"/>
  <c r="J458" i="8"/>
  <c r="E455" i="8"/>
  <c r="E454" i="8"/>
  <c r="K452" i="8"/>
  <c r="K457" i="8"/>
  <c r="I459" i="8"/>
  <c r="D457" i="8"/>
  <c r="F452" i="8"/>
  <c r="H455" i="8"/>
  <c r="H452" i="8"/>
  <c r="F455" i="8"/>
  <c r="D453" i="8"/>
  <c r="B453" i="8"/>
  <c r="I455" i="8"/>
  <c r="I452" i="8"/>
  <c r="F456" i="8"/>
  <c r="G453" i="8"/>
  <c r="G457" i="8"/>
  <c r="H457" i="8"/>
  <c r="C459" i="8"/>
  <c r="J455" i="8"/>
  <c r="K453" i="8"/>
  <c r="B452" i="8"/>
  <c r="B455" i="8"/>
  <c r="B458" i="8"/>
  <c r="G459" i="8"/>
  <c r="K454" i="8"/>
  <c r="G452" i="8"/>
  <c r="K458" i="8"/>
  <c r="C455" i="8"/>
  <c r="J459" i="8"/>
  <c r="C453" i="8"/>
  <c r="D455" i="8"/>
  <c r="F453" i="8"/>
  <c r="H456" i="8"/>
  <c r="B457" i="8"/>
  <c r="J456" i="8"/>
  <c r="I458" i="8"/>
  <c r="E452" i="8"/>
  <c r="I453" i="8"/>
  <c r="K455" i="8"/>
  <c r="E456" i="8"/>
  <c r="D454" i="8"/>
  <c r="C457" i="8"/>
  <c r="J453" i="8"/>
  <c r="G455" i="8"/>
  <c r="C452" i="8"/>
  <c r="H458" i="8"/>
  <c r="J457" i="8"/>
  <c r="H453" i="8"/>
  <c r="D459" i="8"/>
  <c r="C456" i="8"/>
  <c r="K456" i="8"/>
  <c r="E453" i="8"/>
  <c r="H454" i="8"/>
  <c r="F459" i="8"/>
  <c r="D456" i="8"/>
  <c r="D452" i="8"/>
  <c r="H459" i="8"/>
  <c r="E459" i="8"/>
  <c r="K459" i="8"/>
  <c r="C454" i="8"/>
  <c r="B454" i="8"/>
  <c r="C458" i="8"/>
  <c r="B459" i="8"/>
  <c r="G456" i="8"/>
  <c r="E458" i="8"/>
  <c r="I457" i="8"/>
  <c r="I456" i="8"/>
  <c r="D458" i="8"/>
  <c r="J454" i="8"/>
  <c r="G458" i="8"/>
  <c r="I454" i="8"/>
  <c r="G454" i="8"/>
  <c r="F457" i="8"/>
  <c r="E457" i="8"/>
  <c r="J452" i="8"/>
  <c r="F458" i="8"/>
  <c r="B456" i="8"/>
  <c r="I85" i="29"/>
  <c r="F211" i="4"/>
  <c r="F211" i="40" s="1"/>
  <c r="F210" i="40"/>
  <c r="C185" i="38"/>
  <c r="D177" i="38"/>
  <c r="E170" i="8"/>
  <c r="D170" i="39"/>
  <c r="E173" i="8"/>
  <c r="D173" i="39"/>
  <c r="W191" i="4"/>
  <c r="L73" i="57"/>
  <c r="I75" i="57"/>
  <c r="H123" i="57"/>
  <c r="H130" i="57"/>
  <c r="H127" i="57"/>
  <c r="H126" i="57"/>
  <c r="H124" i="57"/>
  <c r="H125" i="57"/>
  <c r="H129" i="57"/>
  <c r="H200" i="57"/>
  <c r="C128" i="37" l="1"/>
  <c r="D88" i="40"/>
  <c r="G492" i="39"/>
  <c r="F489" i="39"/>
  <c r="F491" i="39"/>
  <c r="H490" i="39"/>
  <c r="E429" i="39"/>
  <c r="C430" i="39"/>
  <c r="G431" i="39"/>
  <c r="H491" i="39"/>
  <c r="J68" i="4"/>
  <c r="J76" i="4" s="1"/>
  <c r="J76" i="40" s="1"/>
  <c r="K436" i="39"/>
  <c r="I436" i="39"/>
  <c r="D437" i="39"/>
  <c r="J67" i="4"/>
  <c r="K61" i="4"/>
  <c r="K61" i="40" s="1"/>
  <c r="K60" i="40"/>
  <c r="K62" i="4"/>
  <c r="K62" i="40" s="1"/>
  <c r="J489" i="39"/>
  <c r="C207" i="38"/>
  <c r="C207" i="39" s="1"/>
  <c r="I76" i="4"/>
  <c r="I76" i="40" s="1"/>
  <c r="E447" i="39"/>
  <c r="F449" i="39"/>
  <c r="L60" i="4"/>
  <c r="L61" i="4" s="1"/>
  <c r="C211" i="38"/>
  <c r="C211" i="39" s="1"/>
  <c r="C175" i="39"/>
  <c r="C208" i="38"/>
  <c r="C208" i="39" s="1"/>
  <c r="C210" i="38"/>
  <c r="C210" i="39" s="1"/>
  <c r="C212" i="38"/>
  <c r="C212" i="39" s="1"/>
  <c r="C206" i="38"/>
  <c r="C206" i="39" s="1"/>
  <c r="D429" i="39"/>
  <c r="C439" i="39"/>
  <c r="C213" i="38"/>
  <c r="C213" i="39" s="1"/>
  <c r="G491" i="39"/>
  <c r="K495" i="39"/>
  <c r="F492" i="39"/>
  <c r="J491" i="39"/>
  <c r="J82" i="29"/>
  <c r="C452" i="39"/>
  <c r="D457" i="39"/>
  <c r="G129" i="37"/>
  <c r="H453" i="39"/>
  <c r="G457" i="39"/>
  <c r="H435" i="39"/>
  <c r="F431" i="39"/>
  <c r="E453" i="39"/>
  <c r="G455" i="39"/>
  <c r="G488" i="39"/>
  <c r="I446" i="39"/>
  <c r="H122" i="37"/>
  <c r="B126" i="37"/>
  <c r="I428" i="39"/>
  <c r="G430" i="39"/>
  <c r="C427" i="39"/>
  <c r="K128" i="37"/>
  <c r="K489" i="39"/>
  <c r="C495" i="39"/>
  <c r="K491" i="39"/>
  <c r="B432" i="39"/>
  <c r="F429" i="39"/>
  <c r="E490" i="39"/>
  <c r="B456" i="39"/>
  <c r="E452" i="39"/>
  <c r="C454" i="39"/>
  <c r="K453" i="39"/>
  <c r="K458" i="39"/>
  <c r="B453" i="39"/>
  <c r="B444" i="39"/>
  <c r="G450" i="39"/>
  <c r="I450" i="39"/>
  <c r="F443" i="39"/>
  <c r="C457" i="39"/>
  <c r="K452" i="39"/>
  <c r="F455" i="39"/>
  <c r="E454" i="39"/>
  <c r="F446" i="39"/>
  <c r="H431" i="39"/>
  <c r="C493" i="39"/>
  <c r="J432" i="39"/>
  <c r="G429" i="39"/>
  <c r="H458" i="39"/>
  <c r="F456" i="39"/>
  <c r="E445" i="39"/>
  <c r="H443" i="39"/>
  <c r="K446" i="39"/>
  <c r="H448" i="39"/>
  <c r="F123" i="37"/>
  <c r="I425" i="39"/>
  <c r="K431" i="39"/>
  <c r="J426" i="39"/>
  <c r="B426" i="39"/>
  <c r="I430" i="39"/>
  <c r="F128" i="37"/>
  <c r="I434" i="39"/>
  <c r="I427" i="39"/>
  <c r="J127" i="34"/>
  <c r="K127" i="6"/>
  <c r="J452" i="39"/>
  <c r="K459" i="39"/>
  <c r="K456" i="39"/>
  <c r="J453" i="39"/>
  <c r="J456" i="39"/>
  <c r="J455" i="39"/>
  <c r="J445" i="39"/>
  <c r="H450" i="39"/>
  <c r="J448" i="39"/>
  <c r="C492" i="39"/>
  <c r="H472" i="39"/>
  <c r="G427" i="39"/>
  <c r="K430" i="39"/>
  <c r="J425" i="39"/>
  <c r="J481" i="39"/>
  <c r="G456" i="39"/>
  <c r="D444" i="39"/>
  <c r="K126" i="37"/>
  <c r="D125" i="37"/>
  <c r="K434" i="39"/>
  <c r="H441" i="39"/>
  <c r="H126" i="37"/>
  <c r="K127" i="37"/>
  <c r="E446" i="39"/>
  <c r="G445" i="39"/>
  <c r="E450" i="39"/>
  <c r="I127" i="37"/>
  <c r="F432" i="39"/>
  <c r="E436" i="39"/>
  <c r="F434" i="39"/>
  <c r="C428" i="39"/>
  <c r="K427" i="39"/>
  <c r="H488" i="39"/>
  <c r="G495" i="39"/>
  <c r="I495" i="39"/>
  <c r="E457" i="39"/>
  <c r="B457" i="39"/>
  <c r="D453" i="39"/>
  <c r="C445" i="39"/>
  <c r="K448" i="39"/>
  <c r="G443" i="39"/>
  <c r="H449" i="39"/>
  <c r="D450" i="39"/>
  <c r="E124" i="37"/>
  <c r="K124" i="37"/>
  <c r="D440" i="39"/>
  <c r="G439" i="39"/>
  <c r="I435" i="39"/>
  <c r="J431" i="39"/>
  <c r="B429" i="39"/>
  <c r="E495" i="39"/>
  <c r="E491" i="39"/>
  <c r="E125" i="37"/>
  <c r="J122" i="37"/>
  <c r="C437" i="39"/>
  <c r="G435" i="39"/>
  <c r="D438" i="39"/>
  <c r="J438" i="39"/>
  <c r="E441" i="39"/>
  <c r="I440" i="39"/>
  <c r="G438" i="39"/>
  <c r="C429" i="39"/>
  <c r="D427" i="39"/>
  <c r="F426" i="39"/>
  <c r="B430" i="39"/>
  <c r="D426" i="39"/>
  <c r="E488" i="39"/>
  <c r="G490" i="39"/>
  <c r="H477" i="39"/>
  <c r="G475" i="39"/>
  <c r="B474" i="39"/>
  <c r="H473" i="39"/>
  <c r="K466" i="39"/>
  <c r="C463" i="39"/>
  <c r="I462" i="39"/>
  <c r="C438" i="39"/>
  <c r="K480" i="39"/>
  <c r="E443" i="39"/>
  <c r="G446" i="39"/>
  <c r="B449" i="39"/>
  <c r="E129" i="37"/>
  <c r="F126" i="37"/>
  <c r="D124" i="37"/>
  <c r="K125" i="37"/>
  <c r="I438" i="39"/>
  <c r="K441" i="39"/>
  <c r="H440" i="39"/>
  <c r="H436" i="39"/>
  <c r="C436" i="39"/>
  <c r="B438" i="39"/>
  <c r="D425" i="39"/>
  <c r="H495" i="39"/>
  <c r="J493" i="39"/>
  <c r="D494" i="39"/>
  <c r="K477" i="39"/>
  <c r="F470" i="39"/>
  <c r="J125" i="37"/>
  <c r="J129" i="37"/>
  <c r="B127" i="37"/>
  <c r="D441" i="39"/>
  <c r="I441" i="39"/>
  <c r="C425" i="39"/>
  <c r="J492" i="39"/>
  <c r="J488" i="39"/>
  <c r="F486" i="39"/>
  <c r="F479" i="39"/>
  <c r="I485" i="39"/>
  <c r="I459" i="39"/>
  <c r="D449" i="39"/>
  <c r="F444" i="39"/>
  <c r="H128" i="37"/>
  <c r="I122" i="37"/>
  <c r="D439" i="39"/>
  <c r="G440" i="39"/>
  <c r="F441" i="39"/>
  <c r="I488" i="39"/>
  <c r="I490" i="39"/>
  <c r="J60" i="59"/>
  <c r="I60" i="60"/>
  <c r="D122" i="37"/>
  <c r="E126" i="37"/>
  <c r="F131" i="29"/>
  <c r="F161" i="29" s="1"/>
  <c r="F162" i="29" s="1"/>
  <c r="F435" i="39"/>
  <c r="D431" i="39"/>
  <c r="E426" i="39"/>
  <c r="F447" i="39"/>
  <c r="E122" i="37"/>
  <c r="I129" i="37"/>
  <c r="G126" i="37"/>
  <c r="F124" i="37"/>
  <c r="D91" i="4"/>
  <c r="F440" i="39"/>
  <c r="K439" i="39"/>
  <c r="E434" i="39"/>
  <c r="H429" i="39"/>
  <c r="B489" i="39"/>
  <c r="F488" i="39"/>
  <c r="B494" i="39"/>
  <c r="F493" i="39"/>
  <c r="C491" i="39"/>
  <c r="K493" i="39"/>
  <c r="I489" i="39"/>
  <c r="I477" i="39"/>
  <c r="J58" i="59"/>
  <c r="I58" i="60"/>
  <c r="F129" i="4"/>
  <c r="F129" i="40" s="1"/>
  <c r="F128" i="40"/>
  <c r="J64" i="59"/>
  <c r="I64" i="60"/>
  <c r="I456" i="39"/>
  <c r="K457" i="39"/>
  <c r="J450" i="39"/>
  <c r="K450" i="39"/>
  <c r="K437" i="39"/>
  <c r="C434" i="39"/>
  <c r="E492" i="39"/>
  <c r="J62" i="59"/>
  <c r="I62" i="60"/>
  <c r="E459" i="39"/>
  <c r="C456" i="39"/>
  <c r="G452" i="39"/>
  <c r="I444" i="39"/>
  <c r="C449" i="39"/>
  <c r="F457" i="39"/>
  <c r="E458" i="39"/>
  <c r="H459" i="39"/>
  <c r="K454" i="39"/>
  <c r="H457" i="39"/>
  <c r="D443" i="39"/>
  <c r="D446" i="39"/>
  <c r="D445" i="39"/>
  <c r="B445" i="39"/>
  <c r="F127" i="37"/>
  <c r="B124" i="37"/>
  <c r="B436" i="39"/>
  <c r="I431" i="39"/>
  <c r="I426" i="39"/>
  <c r="J428" i="39"/>
  <c r="C432" i="39"/>
  <c r="F430" i="39"/>
  <c r="J494" i="39"/>
  <c r="I491" i="39"/>
  <c r="H492" i="39"/>
  <c r="B491" i="39"/>
  <c r="H475" i="39"/>
  <c r="D475" i="39"/>
  <c r="H471" i="39"/>
  <c r="G473" i="39"/>
  <c r="F475" i="39"/>
  <c r="K472" i="39"/>
  <c r="E473" i="39"/>
  <c r="B470" i="39"/>
  <c r="B464" i="39"/>
  <c r="F467" i="39"/>
  <c r="K465" i="39"/>
  <c r="E464" i="39"/>
  <c r="C465" i="39"/>
  <c r="B462" i="39"/>
  <c r="K467" i="39"/>
  <c r="H466" i="39"/>
  <c r="D465" i="39"/>
  <c r="K115" i="29"/>
  <c r="K117" i="29"/>
  <c r="G125" i="40"/>
  <c r="G127" i="4"/>
  <c r="H428" i="39"/>
  <c r="E427" i="39"/>
  <c r="D495" i="39"/>
  <c r="D488" i="39"/>
  <c r="G481" i="39"/>
  <c r="B480" i="39"/>
  <c r="J485" i="39"/>
  <c r="C481" i="39"/>
  <c r="F485" i="39"/>
  <c r="K482" i="39"/>
  <c r="B484" i="39"/>
  <c r="J473" i="39"/>
  <c r="F471" i="39"/>
  <c r="I470" i="39"/>
  <c r="G470" i="39"/>
  <c r="C462" i="39"/>
  <c r="H461" i="39"/>
  <c r="I461" i="39"/>
  <c r="C464" i="39"/>
  <c r="J61" i="59"/>
  <c r="I61" i="60"/>
  <c r="M111" i="29"/>
  <c r="M113" i="29" s="1"/>
  <c r="M114" i="29" s="1"/>
  <c r="L114" i="29"/>
  <c r="J65" i="59"/>
  <c r="I65" i="60"/>
  <c r="I454" i="39"/>
  <c r="J457" i="39"/>
  <c r="D455" i="39"/>
  <c r="H455" i="39"/>
  <c r="J447" i="39"/>
  <c r="G436" i="39"/>
  <c r="J441" i="39"/>
  <c r="C440" i="39"/>
  <c r="B435" i="39"/>
  <c r="E435" i="39"/>
  <c r="E440" i="39"/>
  <c r="G432" i="39"/>
  <c r="C431" i="39"/>
  <c r="E430" i="39"/>
  <c r="H426" i="39"/>
  <c r="J427" i="39"/>
  <c r="H425" i="39"/>
  <c r="D491" i="39"/>
  <c r="D493" i="39"/>
  <c r="D492" i="39"/>
  <c r="H484" i="39"/>
  <c r="I486" i="39"/>
  <c r="G480" i="39"/>
  <c r="F483" i="39"/>
  <c r="H486" i="39"/>
  <c r="I479" i="39"/>
  <c r="E481" i="39"/>
  <c r="D486" i="39"/>
  <c r="B476" i="39"/>
  <c r="C476" i="39"/>
  <c r="K476" i="39"/>
  <c r="D474" i="39"/>
  <c r="G474" i="39"/>
  <c r="D471" i="39"/>
  <c r="E477" i="39"/>
  <c r="E467" i="39"/>
  <c r="B461" i="39"/>
  <c r="D461" i="39"/>
  <c r="E462" i="39"/>
  <c r="J467" i="39"/>
  <c r="J468" i="39"/>
  <c r="E466" i="39"/>
  <c r="J63" i="59"/>
  <c r="I63" i="60"/>
  <c r="H452" i="39"/>
  <c r="C458" i="39"/>
  <c r="I453" i="39"/>
  <c r="C453" i="39"/>
  <c r="K122" i="37"/>
  <c r="B125" i="37"/>
  <c r="F494" i="39"/>
  <c r="H481" i="39"/>
  <c r="D473" i="39"/>
  <c r="B471" i="39"/>
  <c r="J474" i="39"/>
  <c r="G476" i="39"/>
  <c r="K464" i="39"/>
  <c r="B468" i="39"/>
  <c r="F462" i="39"/>
  <c r="J59" i="59"/>
  <c r="I59" i="60"/>
  <c r="H454" i="39"/>
  <c r="C448" i="39"/>
  <c r="K445" i="39"/>
  <c r="G124" i="37"/>
  <c r="I126" i="37"/>
  <c r="D126" i="37"/>
  <c r="F122" i="37"/>
  <c r="B129" i="37"/>
  <c r="E128" i="37"/>
  <c r="F129" i="37"/>
  <c r="H123" i="37"/>
  <c r="E438" i="39"/>
  <c r="H434" i="39"/>
  <c r="J440" i="39"/>
  <c r="E439" i="39"/>
  <c r="D434" i="39"/>
  <c r="K438" i="39"/>
  <c r="B439" i="39"/>
  <c r="G426" i="39"/>
  <c r="K428" i="39"/>
  <c r="B431" i="39"/>
  <c r="E425" i="39"/>
  <c r="K494" i="39"/>
  <c r="B495" i="39"/>
  <c r="H493" i="39"/>
  <c r="J495" i="39"/>
  <c r="E493" i="39"/>
  <c r="D480" i="39"/>
  <c r="B481" i="39"/>
  <c r="H483" i="39"/>
  <c r="D481" i="39"/>
  <c r="I481" i="39"/>
  <c r="C485" i="39"/>
  <c r="K479" i="39"/>
  <c r="F484" i="39"/>
  <c r="J119" i="29"/>
  <c r="E162" i="29"/>
  <c r="E221" i="29"/>
  <c r="D221" i="29"/>
  <c r="D162" i="29"/>
  <c r="E164" i="29" s="1"/>
  <c r="F170" i="8"/>
  <c r="E170" i="39"/>
  <c r="B443" i="39"/>
  <c r="B551" i="8" a="1"/>
  <c r="B551" i="38" a="1"/>
  <c r="J148" i="34"/>
  <c r="C219" i="8"/>
  <c r="C215" i="8"/>
  <c r="C185" i="39"/>
  <c r="C218" i="8"/>
  <c r="C217" i="8"/>
  <c r="C216" i="8"/>
  <c r="C221" i="8"/>
  <c r="C220" i="8"/>
  <c r="C222" i="8"/>
  <c r="E157" i="8"/>
  <c r="D157" i="39"/>
  <c r="D165" i="8"/>
  <c r="H98" i="40"/>
  <c r="H99" i="4"/>
  <c r="K94" i="34"/>
  <c r="K154" i="6"/>
  <c r="C123" i="37"/>
  <c r="D181" i="39"/>
  <c r="E181" i="8"/>
  <c r="J439" i="39"/>
  <c r="E183" i="8"/>
  <c r="D183" i="39"/>
  <c r="H88" i="29"/>
  <c r="H212" i="29"/>
  <c r="H213" i="29" s="1"/>
  <c r="I494" i="39"/>
  <c r="E101" i="4"/>
  <c r="D104" i="4"/>
  <c r="D103" i="40"/>
  <c r="G84" i="4"/>
  <c r="F84" i="40"/>
  <c r="D459" i="39"/>
  <c r="D454" i="39"/>
  <c r="H456" i="39"/>
  <c r="C209" i="39"/>
  <c r="D160" i="39"/>
  <c r="E160" i="8"/>
  <c r="E494" i="39"/>
  <c r="D482" i="39"/>
  <c r="K95" i="34"/>
  <c r="K155" i="6"/>
  <c r="I123" i="37"/>
  <c r="J128" i="37"/>
  <c r="I493" i="39"/>
  <c r="B483" i="39"/>
  <c r="E161" i="8"/>
  <c r="D161" i="39"/>
  <c r="D477" i="39"/>
  <c r="H468" i="39"/>
  <c r="G464" i="39"/>
  <c r="B466" i="39"/>
  <c r="B459" i="39"/>
  <c r="K455" i="39"/>
  <c r="B458" i="39"/>
  <c r="G453" i="39"/>
  <c r="J458" i="39"/>
  <c r="H115" i="40"/>
  <c r="H119" i="4"/>
  <c r="H119" i="40" s="1"/>
  <c r="H447" i="39"/>
  <c r="D447" i="39"/>
  <c r="J446" i="39"/>
  <c r="G447" i="39"/>
  <c r="K93" i="34"/>
  <c r="K153" i="6"/>
  <c r="G123" i="37"/>
  <c r="C124" i="37"/>
  <c r="E127" i="37"/>
  <c r="F125" i="37"/>
  <c r="D129" i="37"/>
  <c r="E123" i="37"/>
  <c r="D90" i="40"/>
  <c r="J435" i="39"/>
  <c r="F437" i="39"/>
  <c r="H437" i="39"/>
  <c r="H116" i="29"/>
  <c r="H105" i="29"/>
  <c r="K432" i="39"/>
  <c r="B425" i="39"/>
  <c r="B533" i="8" a="1"/>
  <c r="B533" i="38" a="1"/>
  <c r="F425" i="39"/>
  <c r="K425" i="39"/>
  <c r="E169" i="39"/>
  <c r="F169" i="8"/>
  <c r="L61" i="58"/>
  <c r="D489" i="39"/>
  <c r="E489" i="39"/>
  <c r="B492" i="39"/>
  <c r="F495" i="39"/>
  <c r="C490" i="39"/>
  <c r="I492" i="39"/>
  <c r="H211" i="4"/>
  <c r="H211" i="40" s="1"/>
  <c r="H210" i="40"/>
  <c r="E212" i="4"/>
  <c r="E87" i="40"/>
  <c r="E88" i="4"/>
  <c r="J83" i="29"/>
  <c r="G485" i="39"/>
  <c r="H479" i="39"/>
  <c r="B479" i="39"/>
  <c r="G484" i="39"/>
  <c r="F480" i="39"/>
  <c r="K481" i="39"/>
  <c r="J484" i="39"/>
  <c r="E480" i="39"/>
  <c r="D484" i="39"/>
  <c r="H480" i="39"/>
  <c r="L62" i="58"/>
  <c r="E168" i="39"/>
  <c r="F168" i="8"/>
  <c r="L52" i="29"/>
  <c r="M51" i="29"/>
  <c r="M52" i="29" s="1"/>
  <c r="K473" i="39"/>
  <c r="J470" i="39"/>
  <c r="H474" i="39"/>
  <c r="G471" i="39"/>
  <c r="J477" i="39"/>
  <c r="B472" i="39"/>
  <c r="C474" i="39"/>
  <c r="E472" i="39"/>
  <c r="J471" i="39"/>
  <c r="E470" i="39"/>
  <c r="C466" i="39"/>
  <c r="D466" i="39"/>
  <c r="G466" i="39"/>
  <c r="D463" i="39"/>
  <c r="H464" i="39"/>
  <c r="G461" i="39"/>
  <c r="I466" i="39"/>
  <c r="I468" i="39"/>
  <c r="I465" i="39"/>
  <c r="H465" i="39"/>
  <c r="K88" i="34"/>
  <c r="K148" i="6"/>
  <c r="D195" i="38"/>
  <c r="E187" i="38"/>
  <c r="B482" i="39"/>
  <c r="J151" i="34"/>
  <c r="E475" i="39"/>
  <c r="D462" i="39"/>
  <c r="I457" i="39"/>
  <c r="D177" i="39"/>
  <c r="E177" i="8"/>
  <c r="D185" i="8"/>
  <c r="C225" i="38"/>
  <c r="C381" i="38" s="1"/>
  <c r="C226" i="38"/>
  <c r="C382" i="38" s="1"/>
  <c r="C230" i="38"/>
  <c r="C386" i="38" s="1"/>
  <c r="C227" i="38"/>
  <c r="C383" i="38" s="1"/>
  <c r="C228" i="38"/>
  <c r="C384" i="38" s="1"/>
  <c r="C229" i="38"/>
  <c r="C385" i="38" s="1"/>
  <c r="C231" i="38"/>
  <c r="C387" i="38" s="1"/>
  <c r="C224" i="38"/>
  <c r="C380" i="38" s="1"/>
  <c r="K91" i="34"/>
  <c r="K151" i="6"/>
  <c r="E159" i="8"/>
  <c r="D159" i="39"/>
  <c r="E172" i="39"/>
  <c r="F172" i="8"/>
  <c r="J430" i="39"/>
  <c r="D479" i="39"/>
  <c r="C473" i="39"/>
  <c r="G463" i="39"/>
  <c r="K443" i="39"/>
  <c r="C494" i="39"/>
  <c r="B493" i="39"/>
  <c r="E188" i="8"/>
  <c r="D188" i="39"/>
  <c r="C477" i="39"/>
  <c r="B463" i="39"/>
  <c r="J44" i="40"/>
  <c r="D456" i="39"/>
  <c r="L44" i="4"/>
  <c r="L45" i="4"/>
  <c r="M43" i="4"/>
  <c r="I114" i="4"/>
  <c r="I113" i="40"/>
  <c r="J111" i="4"/>
  <c r="H438" i="39"/>
  <c r="J437" i="39"/>
  <c r="D163" i="39"/>
  <c r="E163" i="8"/>
  <c r="D432" i="39"/>
  <c r="H427" i="39"/>
  <c r="I429" i="39"/>
  <c r="J85" i="29"/>
  <c r="G458" i="39"/>
  <c r="F459" i="39"/>
  <c r="B455" i="39"/>
  <c r="F452" i="39"/>
  <c r="F454" i="39"/>
  <c r="I210" i="4"/>
  <c r="I75" i="40"/>
  <c r="K444" i="39"/>
  <c r="I443" i="39"/>
  <c r="I447" i="39"/>
  <c r="F445" i="39"/>
  <c r="C443" i="39"/>
  <c r="C446" i="39"/>
  <c r="E448" i="39"/>
  <c r="B447" i="39"/>
  <c r="J449" i="39"/>
  <c r="K89" i="34"/>
  <c r="K149" i="6"/>
  <c r="M191" i="40"/>
  <c r="L89" i="6"/>
  <c r="L90" i="6"/>
  <c r="L94" i="6"/>
  <c r="L88" i="6"/>
  <c r="L95" i="6"/>
  <c r="L93" i="6"/>
  <c r="L92" i="6"/>
  <c r="L91" i="6"/>
  <c r="D127" i="37"/>
  <c r="J124" i="37"/>
  <c r="C126" i="37"/>
  <c r="H127" i="37"/>
  <c r="K129" i="37"/>
  <c r="J127" i="37"/>
  <c r="C125" i="37"/>
  <c r="B132" i="7" a="1"/>
  <c r="B122" i="37"/>
  <c r="G122" i="37"/>
  <c r="E175" i="38"/>
  <c r="F167" i="38"/>
  <c r="D193" i="39"/>
  <c r="E193" i="8"/>
  <c r="J154" i="34"/>
  <c r="J150" i="34"/>
  <c r="J436" i="39"/>
  <c r="F439" i="39"/>
  <c r="G441" i="39"/>
  <c r="D436" i="39"/>
  <c r="K435" i="39"/>
  <c r="H439" i="39"/>
  <c r="B440" i="39"/>
  <c r="F174" i="8"/>
  <c r="E174" i="39"/>
  <c r="D180" i="39"/>
  <c r="E180" i="8"/>
  <c r="E432" i="39"/>
  <c r="K429" i="39"/>
  <c r="G428" i="39"/>
  <c r="H432" i="39"/>
  <c r="C426" i="39"/>
  <c r="D162" i="39"/>
  <c r="E162" i="8"/>
  <c r="J84" i="29"/>
  <c r="D192" i="39"/>
  <c r="E192" i="8"/>
  <c r="K64" i="40"/>
  <c r="B490" i="39"/>
  <c r="C488" i="39"/>
  <c r="H489" i="39"/>
  <c r="F83" i="40"/>
  <c r="G83" i="4"/>
  <c r="C479" i="39"/>
  <c r="C486" i="39"/>
  <c r="F482" i="39"/>
  <c r="H482" i="39"/>
  <c r="E479" i="39"/>
  <c r="J483" i="39"/>
  <c r="C483" i="39"/>
  <c r="K483" i="39"/>
  <c r="G479" i="39"/>
  <c r="E485" i="39"/>
  <c r="K70" i="29"/>
  <c r="K98" i="29" s="1"/>
  <c r="K99" i="29" s="1"/>
  <c r="K102" i="29" s="1"/>
  <c r="D472" i="39"/>
  <c r="C470" i="39"/>
  <c r="J476" i="39"/>
  <c r="B475" i="39"/>
  <c r="F472" i="39"/>
  <c r="K475" i="39"/>
  <c r="K471" i="39"/>
  <c r="G472" i="39"/>
  <c r="J475" i="39"/>
  <c r="I475" i="39"/>
  <c r="K463" i="39"/>
  <c r="C468" i="39"/>
  <c r="G467" i="39"/>
  <c r="E468" i="39"/>
  <c r="C461" i="39"/>
  <c r="J462" i="39"/>
  <c r="H462" i="39"/>
  <c r="I464" i="39"/>
  <c r="J463" i="39"/>
  <c r="D467" i="39"/>
  <c r="L63" i="58"/>
  <c r="K44" i="29"/>
  <c r="K67" i="29" s="1"/>
  <c r="K75" i="29" s="1"/>
  <c r="K210" i="29" s="1"/>
  <c r="K211" i="29" s="1"/>
  <c r="K45" i="29"/>
  <c r="K68" i="29" s="1"/>
  <c r="K76" i="29" s="1"/>
  <c r="L43" i="29"/>
  <c r="L43" i="40" s="1"/>
  <c r="J52" i="40"/>
  <c r="J70" i="4"/>
  <c r="K470" i="39"/>
  <c r="E177" i="38"/>
  <c r="D185" i="38"/>
  <c r="J444" i="39"/>
  <c r="D448" i="39"/>
  <c r="H444" i="39"/>
  <c r="G449" i="39"/>
  <c r="H446" i="39"/>
  <c r="E178" i="8"/>
  <c r="D178" i="39"/>
  <c r="E184" i="8"/>
  <c r="D184" i="39"/>
  <c r="K426" i="39"/>
  <c r="K128" i="29"/>
  <c r="K129" i="29" s="1"/>
  <c r="L125" i="29"/>
  <c r="L127" i="29" s="1"/>
  <c r="L64" i="58"/>
  <c r="K484" i="39"/>
  <c r="C475" i="39"/>
  <c r="C467" i="39"/>
  <c r="H124" i="37"/>
  <c r="B132" i="35" a="1"/>
  <c r="B434" i="39"/>
  <c r="B542" i="8" a="1"/>
  <c r="B542" i="38" a="1"/>
  <c r="E164" i="8"/>
  <c r="D164" i="39"/>
  <c r="J45" i="40"/>
  <c r="E158" i="8"/>
  <c r="D158" i="39"/>
  <c r="J486" i="39"/>
  <c r="F476" i="39"/>
  <c r="H467" i="39"/>
  <c r="E463" i="39"/>
  <c r="G454" i="39"/>
  <c r="E456" i="39"/>
  <c r="J434" i="39"/>
  <c r="B427" i="39"/>
  <c r="D430" i="39"/>
  <c r="L65" i="58"/>
  <c r="J490" i="39"/>
  <c r="F490" i="39"/>
  <c r="E194" i="8"/>
  <c r="D194" i="39"/>
  <c r="I476" i="39"/>
  <c r="E449" i="39"/>
  <c r="I449" i="39"/>
  <c r="K447" i="39"/>
  <c r="C450" i="39"/>
  <c r="B448" i="39"/>
  <c r="D128" i="37"/>
  <c r="K123" i="37"/>
  <c r="G127" i="37"/>
  <c r="G125" i="37"/>
  <c r="C441" i="39"/>
  <c r="I437" i="39"/>
  <c r="D428" i="39"/>
  <c r="F428" i="39"/>
  <c r="H430" i="39"/>
  <c r="G425" i="39"/>
  <c r="J429" i="39"/>
  <c r="C198" i="8"/>
  <c r="C197" i="8"/>
  <c r="C203" i="8"/>
  <c r="C165" i="39"/>
  <c r="C199" i="8"/>
  <c r="C200" i="8"/>
  <c r="C202" i="8"/>
  <c r="C201" i="8"/>
  <c r="C204" i="8"/>
  <c r="J149" i="34"/>
  <c r="K52" i="4"/>
  <c r="K51" i="40"/>
  <c r="L51" i="4"/>
  <c r="G489" i="39"/>
  <c r="K492" i="39"/>
  <c r="D490" i="39"/>
  <c r="K488" i="39"/>
  <c r="G82" i="4"/>
  <c r="F82" i="40"/>
  <c r="F87" i="4"/>
  <c r="J152" i="34"/>
  <c r="H485" i="39"/>
  <c r="E483" i="39"/>
  <c r="J482" i="39"/>
  <c r="K486" i="39"/>
  <c r="I483" i="39"/>
  <c r="J479" i="39"/>
  <c r="J480" i="39"/>
  <c r="D483" i="39"/>
  <c r="I480" i="39"/>
  <c r="I482" i="39"/>
  <c r="G118" i="29"/>
  <c r="G131" i="29" s="1"/>
  <c r="G161" i="29" s="1"/>
  <c r="I474" i="39"/>
  <c r="H470" i="39"/>
  <c r="K474" i="39"/>
  <c r="C472" i="39"/>
  <c r="D470" i="39"/>
  <c r="F474" i="39"/>
  <c r="E474" i="39"/>
  <c r="G477" i="39"/>
  <c r="B473" i="39"/>
  <c r="F477" i="39"/>
  <c r="J464" i="39"/>
  <c r="J461" i="39"/>
  <c r="E461" i="39"/>
  <c r="B467" i="39"/>
  <c r="E465" i="39"/>
  <c r="G468" i="39"/>
  <c r="G465" i="39"/>
  <c r="H463" i="39"/>
  <c r="F465" i="39"/>
  <c r="F464" i="39"/>
  <c r="I87" i="29"/>
  <c r="L64" i="29"/>
  <c r="L61" i="29"/>
  <c r="L62" i="29"/>
  <c r="M60" i="29"/>
  <c r="J155" i="34"/>
  <c r="B130" i="7"/>
  <c r="B130" i="37" s="1"/>
  <c r="H130" i="7"/>
  <c r="H130" i="37" s="1"/>
  <c r="J130" i="7"/>
  <c r="J130" i="37" s="1"/>
  <c r="F130" i="7"/>
  <c r="F130" i="37" s="1"/>
  <c r="I130" i="7"/>
  <c r="I130" i="37" s="1"/>
  <c r="K130" i="7"/>
  <c r="K130" i="37" s="1"/>
  <c r="E130" i="7"/>
  <c r="E130" i="37" s="1"/>
  <c r="D130" i="7"/>
  <c r="D130" i="37" s="1"/>
  <c r="G130" i="7"/>
  <c r="G130" i="37" s="1"/>
  <c r="C130" i="7"/>
  <c r="C130" i="37" s="1"/>
  <c r="C231" i="8"/>
  <c r="C226" i="8"/>
  <c r="C225" i="8"/>
  <c r="C227" i="8"/>
  <c r="C230" i="8"/>
  <c r="C195" i="39"/>
  <c r="C228" i="8"/>
  <c r="C224" i="8"/>
  <c r="C229" i="8"/>
  <c r="C459" i="39"/>
  <c r="G444" i="39"/>
  <c r="B488" i="39"/>
  <c r="D175" i="39"/>
  <c r="D209" i="8"/>
  <c r="D211" i="8"/>
  <c r="D213" i="8"/>
  <c r="D208" i="8"/>
  <c r="D212" i="8"/>
  <c r="D210" i="8"/>
  <c r="D206" i="8"/>
  <c r="D207" i="8"/>
  <c r="I484" i="39"/>
  <c r="D179" i="39"/>
  <c r="E179" i="8"/>
  <c r="K461" i="39"/>
  <c r="F463" i="39"/>
  <c r="C219" i="38"/>
  <c r="C375" i="38" s="1"/>
  <c r="C222" i="38"/>
  <c r="C378" i="38" s="1"/>
  <c r="C215" i="38"/>
  <c r="C371" i="38" s="1"/>
  <c r="C217" i="38"/>
  <c r="C373" i="38" s="1"/>
  <c r="C221" i="38"/>
  <c r="C377" i="38" s="1"/>
  <c r="C218" i="38"/>
  <c r="C374" i="38" s="1"/>
  <c r="C216" i="38"/>
  <c r="C372" i="38" s="1"/>
  <c r="C220" i="38"/>
  <c r="C376" i="38" s="1"/>
  <c r="B446" i="39"/>
  <c r="J443" i="39"/>
  <c r="C447" i="39"/>
  <c r="I448" i="39"/>
  <c r="B128" i="37"/>
  <c r="L58" i="58"/>
  <c r="G482" i="39"/>
  <c r="D485" i="39"/>
  <c r="G486" i="39"/>
  <c r="E190" i="8"/>
  <c r="D190" i="39"/>
  <c r="H476" i="39"/>
  <c r="D452" i="39"/>
  <c r="F453" i="39"/>
  <c r="G459" i="39"/>
  <c r="E455" i="39"/>
  <c r="K449" i="39"/>
  <c r="B450" i="39"/>
  <c r="B123" i="37"/>
  <c r="J126" i="37"/>
  <c r="J101" i="29"/>
  <c r="J103" i="29" s="1"/>
  <c r="I104" i="29"/>
  <c r="E189" i="8"/>
  <c r="D189" i="39"/>
  <c r="E175" i="8"/>
  <c r="F167" i="8"/>
  <c r="E167" i="39"/>
  <c r="C480" i="39"/>
  <c r="E476" i="39"/>
  <c r="I467" i="39"/>
  <c r="K462" i="39"/>
  <c r="I463" i="39"/>
  <c r="F173" i="8"/>
  <c r="E173" i="39"/>
  <c r="J454" i="39"/>
  <c r="B454" i="39"/>
  <c r="J459" i="39"/>
  <c r="B452" i="39"/>
  <c r="B560" i="38" a="1"/>
  <c r="B560" i="8" a="1"/>
  <c r="I452" i="39"/>
  <c r="L59" i="58"/>
  <c r="K90" i="34"/>
  <c r="K150" i="6"/>
  <c r="C129" i="37"/>
  <c r="C127" i="37"/>
  <c r="C122" i="37"/>
  <c r="H129" i="37"/>
  <c r="D165" i="38"/>
  <c r="E157" i="38"/>
  <c r="D209" i="38"/>
  <c r="D212" i="38"/>
  <c r="D210" i="38"/>
  <c r="D207" i="38"/>
  <c r="D206" i="38"/>
  <c r="D213" i="38"/>
  <c r="D208" i="38"/>
  <c r="D211" i="38"/>
  <c r="K43" i="40"/>
  <c r="G437" i="39"/>
  <c r="I439" i="39"/>
  <c r="C435" i="39"/>
  <c r="F436" i="39"/>
  <c r="F458" i="39"/>
  <c r="D458" i="39"/>
  <c r="I458" i="39"/>
  <c r="C455" i="39"/>
  <c r="I455" i="39"/>
  <c r="F450" i="39"/>
  <c r="F448" i="39"/>
  <c r="E444" i="39"/>
  <c r="H445" i="39"/>
  <c r="C444" i="39"/>
  <c r="G448" i="39"/>
  <c r="I445" i="39"/>
  <c r="K92" i="34"/>
  <c r="K152" i="6"/>
  <c r="I125" i="37"/>
  <c r="I124" i="37"/>
  <c r="D123" i="37"/>
  <c r="G128" i="37"/>
  <c r="H125" i="37"/>
  <c r="I128" i="37"/>
  <c r="J123" i="37"/>
  <c r="C198" i="38"/>
  <c r="C197" i="38"/>
  <c r="C200" i="38"/>
  <c r="C201" i="38"/>
  <c r="C203" i="38"/>
  <c r="C202" i="38"/>
  <c r="C204" i="38"/>
  <c r="C199" i="38"/>
  <c r="E191" i="8"/>
  <c r="D191" i="39"/>
  <c r="F85" i="40"/>
  <c r="G85" i="4"/>
  <c r="I98" i="4"/>
  <c r="I70" i="40"/>
  <c r="E182" i="8"/>
  <c r="D182" i="39"/>
  <c r="F438" i="39"/>
  <c r="E437" i="39"/>
  <c r="K440" i="39"/>
  <c r="B437" i="39"/>
  <c r="D435" i="39"/>
  <c r="G434" i="39"/>
  <c r="B441" i="39"/>
  <c r="G102" i="4"/>
  <c r="G102" i="40" s="1"/>
  <c r="G99" i="40"/>
  <c r="I432" i="39"/>
  <c r="E431" i="39"/>
  <c r="F427" i="39"/>
  <c r="E428" i="39"/>
  <c r="B428" i="39"/>
  <c r="L60" i="58"/>
  <c r="J153" i="34"/>
  <c r="C489" i="39"/>
  <c r="G493" i="39"/>
  <c r="H494" i="39"/>
  <c r="G494" i="39"/>
  <c r="K490" i="39"/>
  <c r="B485" i="39"/>
  <c r="G483" i="39"/>
  <c r="E484" i="39"/>
  <c r="E486" i="39"/>
  <c r="B486" i="39"/>
  <c r="C482" i="39"/>
  <c r="E482" i="39"/>
  <c r="F481" i="39"/>
  <c r="K485" i="39"/>
  <c r="C484" i="39"/>
  <c r="E171" i="39"/>
  <c r="F171" i="8"/>
  <c r="E187" i="8"/>
  <c r="D187" i="39"/>
  <c r="D195" i="8"/>
  <c r="C471" i="39"/>
  <c r="J472" i="39"/>
  <c r="F473" i="39"/>
  <c r="I472" i="39"/>
  <c r="B477" i="39"/>
  <c r="I471" i="39"/>
  <c r="I473" i="39"/>
  <c r="E471" i="39"/>
  <c r="D476" i="39"/>
  <c r="G462" i="39"/>
  <c r="F461" i="39"/>
  <c r="F466" i="39"/>
  <c r="D468" i="39"/>
  <c r="B465" i="39"/>
  <c r="J466" i="39"/>
  <c r="D464" i="39"/>
  <c r="J465" i="39"/>
  <c r="F468" i="39"/>
  <c r="K468" i="39"/>
  <c r="X191" i="4"/>
  <c r="C62" i="57"/>
  <c r="I127" i="57"/>
  <c r="I130" i="57"/>
  <c r="I129" i="57"/>
  <c r="I126" i="57"/>
  <c r="I125" i="57"/>
  <c r="I124" i="57"/>
  <c r="I123" i="57"/>
  <c r="I114" i="57"/>
  <c r="I116" i="57"/>
  <c r="I115" i="57"/>
  <c r="I113" i="57"/>
  <c r="I120" i="57"/>
  <c r="I119" i="57"/>
  <c r="I117" i="57"/>
  <c r="K206" i="4" l="1"/>
  <c r="D92" i="4"/>
  <c r="J68" i="40"/>
  <c r="K67" i="4"/>
  <c r="J75" i="4"/>
  <c r="J75" i="40" s="1"/>
  <c r="J67" i="40"/>
  <c r="K68" i="4"/>
  <c r="K68" i="40" s="1"/>
  <c r="F221" i="29"/>
  <c r="K82" i="29"/>
  <c r="C229" i="39"/>
  <c r="L60" i="40"/>
  <c r="M60" i="4"/>
  <c r="M60" i="40" s="1"/>
  <c r="L62" i="4"/>
  <c r="L68" i="4" s="1"/>
  <c r="L64" i="4"/>
  <c r="L64" i="40" s="1"/>
  <c r="C225" i="39"/>
  <c r="K84" i="29"/>
  <c r="L127" i="6"/>
  <c r="L127" i="34" s="1"/>
  <c r="K127" i="34"/>
  <c r="C216" i="39"/>
  <c r="C217" i="39"/>
  <c r="D206" i="39"/>
  <c r="D91" i="40"/>
  <c r="C226" i="39"/>
  <c r="K59" i="59"/>
  <c r="J59" i="60"/>
  <c r="K64" i="59"/>
  <c r="J64" i="60"/>
  <c r="D212" i="39"/>
  <c r="K63" i="59"/>
  <c r="J63" i="60"/>
  <c r="K119" i="29"/>
  <c r="C199" i="39"/>
  <c r="K61" i="59"/>
  <c r="J61" i="60"/>
  <c r="L115" i="29"/>
  <c r="L117" i="29"/>
  <c r="K62" i="59"/>
  <c r="J62" i="60"/>
  <c r="J87" i="29"/>
  <c r="J212" i="29" s="1"/>
  <c r="K58" i="59"/>
  <c r="J58" i="60"/>
  <c r="D211" i="39"/>
  <c r="C222" i="39"/>
  <c r="C219" i="39"/>
  <c r="M115" i="29"/>
  <c r="M117" i="29"/>
  <c r="D207" i="39"/>
  <c r="C230" i="39"/>
  <c r="C204" i="39"/>
  <c r="K65" i="59"/>
  <c r="J65" i="60"/>
  <c r="G128" i="4"/>
  <c r="H125" i="4"/>
  <c r="G127" i="40"/>
  <c r="K60" i="59"/>
  <c r="J60" i="60"/>
  <c r="G221" i="29"/>
  <c r="G162" i="29"/>
  <c r="C197" i="39"/>
  <c r="E164" i="39"/>
  <c r="F164" i="8"/>
  <c r="E184" i="39"/>
  <c r="F184" i="8"/>
  <c r="D215" i="38"/>
  <c r="D371" i="38" s="1"/>
  <c r="D216" i="38"/>
  <c r="D372" i="38" s="1"/>
  <c r="D221" i="38"/>
  <c r="D377" i="38" s="1"/>
  <c r="D217" i="38"/>
  <c r="D373" i="38" s="1"/>
  <c r="D218" i="38"/>
  <c r="D374" i="38" s="1"/>
  <c r="D219" i="38"/>
  <c r="D375" i="38" s="1"/>
  <c r="D220" i="38"/>
  <c r="D376" i="38" s="1"/>
  <c r="D222" i="38"/>
  <c r="D378" i="38" s="1"/>
  <c r="I211" i="4"/>
  <c r="I211" i="40" s="1"/>
  <c r="I210" i="40"/>
  <c r="F167" i="39"/>
  <c r="F175" i="8"/>
  <c r="G167" i="8"/>
  <c r="D208" i="39"/>
  <c r="G84" i="40"/>
  <c r="H84" i="4"/>
  <c r="F183" i="8"/>
  <c r="E183" i="39"/>
  <c r="E166" i="29"/>
  <c r="F164" i="29"/>
  <c r="G164" i="29" s="1"/>
  <c r="G166" i="29" s="1"/>
  <c r="D225" i="8"/>
  <c r="D230" i="8"/>
  <c r="D231" i="8"/>
  <c r="D228" i="8"/>
  <c r="D195" i="39"/>
  <c r="D229" i="8"/>
  <c r="D226" i="8"/>
  <c r="D227" i="8"/>
  <c r="D224" i="8"/>
  <c r="E182" i="39"/>
  <c r="F182" i="8"/>
  <c r="K150" i="34"/>
  <c r="F173" i="39"/>
  <c r="G173" i="8"/>
  <c r="E211" i="8"/>
  <c r="E209" i="8"/>
  <c r="E206" i="8"/>
  <c r="E210" i="8"/>
  <c r="E175" i="39"/>
  <c r="E208" i="8"/>
  <c r="E212" i="8"/>
  <c r="E207" i="8"/>
  <c r="E213" i="8"/>
  <c r="F179" i="8"/>
  <c r="E179" i="39"/>
  <c r="D213" i="39"/>
  <c r="C231" i="39"/>
  <c r="C201" i="39"/>
  <c r="M125" i="29"/>
  <c r="M127" i="29" s="1"/>
  <c r="M128" i="29" s="1"/>
  <c r="M129" i="29" s="1"/>
  <c r="L128" i="29"/>
  <c r="L129" i="29" s="1"/>
  <c r="E178" i="39"/>
  <c r="F178" i="8"/>
  <c r="E162" i="39"/>
  <c r="F162" i="8"/>
  <c r="F193" i="8"/>
  <c r="E193" i="39"/>
  <c r="L92" i="34"/>
  <c r="L152" i="6"/>
  <c r="K149" i="34"/>
  <c r="F163" i="8"/>
  <c r="E163" i="39"/>
  <c r="E188" i="39"/>
  <c r="F188" i="8"/>
  <c r="F159" i="8"/>
  <c r="E159" i="39"/>
  <c r="E212" i="40"/>
  <c r="D92" i="40"/>
  <c r="E160" i="39"/>
  <c r="F160" i="8"/>
  <c r="D202" i="8"/>
  <c r="D199" i="8"/>
  <c r="D204" i="8"/>
  <c r="D198" i="8"/>
  <c r="D201" i="8"/>
  <c r="D203" i="8"/>
  <c r="D165" i="39"/>
  <c r="D197" i="8"/>
  <c r="D200" i="8"/>
  <c r="C218" i="39"/>
  <c r="H85" i="4"/>
  <c r="G85" i="40"/>
  <c r="F88" i="4"/>
  <c r="F87" i="40"/>
  <c r="F212" i="4"/>
  <c r="F212" i="40" s="1"/>
  <c r="E194" i="39"/>
  <c r="F194" i="8"/>
  <c r="H102" i="4"/>
  <c r="H102" i="40" s="1"/>
  <c r="H99" i="40"/>
  <c r="F170" i="39"/>
  <c r="G170" i="8"/>
  <c r="C198" i="39"/>
  <c r="E185" i="38"/>
  <c r="F177" i="38"/>
  <c r="H83" i="4"/>
  <c r="G83" i="40"/>
  <c r="L93" i="34"/>
  <c r="L153" i="6"/>
  <c r="K151" i="34"/>
  <c r="F169" i="39"/>
  <c r="G169" i="8"/>
  <c r="B533" i="38"/>
  <c r="D535" i="38"/>
  <c r="G534" i="38"/>
  <c r="B537" i="38"/>
  <c r="D538" i="38"/>
  <c r="K535" i="38"/>
  <c r="K533" i="38"/>
  <c r="D536" i="38"/>
  <c r="G537" i="38"/>
  <c r="C536" i="38"/>
  <c r="F539" i="38"/>
  <c r="K538" i="38"/>
  <c r="D533" i="38"/>
  <c r="E537" i="38"/>
  <c r="I538" i="38"/>
  <c r="C534" i="38"/>
  <c r="J534" i="38"/>
  <c r="K534" i="38"/>
  <c r="J538" i="38"/>
  <c r="C533" i="38"/>
  <c r="G538" i="38"/>
  <c r="B539" i="38"/>
  <c r="K536" i="38"/>
  <c r="I537" i="38"/>
  <c r="H537" i="38"/>
  <c r="G540" i="38"/>
  <c r="G535" i="38"/>
  <c r="H538" i="38"/>
  <c r="J535" i="38"/>
  <c r="B535" i="38"/>
  <c r="B538" i="38"/>
  <c r="C537" i="38"/>
  <c r="I533" i="38"/>
  <c r="F534" i="38"/>
  <c r="I535" i="38"/>
  <c r="F533" i="38"/>
  <c r="J540" i="38"/>
  <c r="I534" i="38"/>
  <c r="K540" i="38"/>
  <c r="D540" i="38"/>
  <c r="C538" i="38"/>
  <c r="E538" i="38"/>
  <c r="C540" i="38"/>
  <c r="I539" i="38"/>
  <c r="J536" i="38"/>
  <c r="F538" i="38"/>
  <c r="H535" i="38"/>
  <c r="F537" i="38"/>
  <c r="D539" i="38"/>
  <c r="K537" i="38"/>
  <c r="G539" i="38"/>
  <c r="F540" i="38"/>
  <c r="B534" i="38"/>
  <c r="G536" i="38"/>
  <c r="E533" i="38"/>
  <c r="D534" i="38"/>
  <c r="C535" i="38"/>
  <c r="E540" i="38"/>
  <c r="E536" i="38"/>
  <c r="H540" i="38"/>
  <c r="H539" i="38"/>
  <c r="J539" i="38"/>
  <c r="H534" i="38"/>
  <c r="E539" i="38"/>
  <c r="F536" i="38"/>
  <c r="F535" i="38"/>
  <c r="E534" i="38"/>
  <c r="C539" i="38"/>
  <c r="G533" i="38"/>
  <c r="H533" i="38"/>
  <c r="H536" i="38"/>
  <c r="B536" i="38"/>
  <c r="I536" i="38"/>
  <c r="B540" i="38"/>
  <c r="K539" i="38"/>
  <c r="D537" i="38"/>
  <c r="J533" i="38"/>
  <c r="I540" i="38"/>
  <c r="E535" i="38"/>
  <c r="J537" i="38"/>
  <c r="D104" i="40"/>
  <c r="D116" i="4"/>
  <c r="D116" i="40" s="1"/>
  <c r="D105" i="4"/>
  <c r="F181" i="8"/>
  <c r="E181" i="39"/>
  <c r="I542" i="38"/>
  <c r="D545" i="38"/>
  <c r="K547" i="38"/>
  <c r="D543" i="38"/>
  <c r="J547" i="38"/>
  <c r="J546" i="38"/>
  <c r="B543" i="38"/>
  <c r="E547" i="38"/>
  <c r="E548" i="38"/>
  <c r="D544" i="38"/>
  <c r="I548" i="38"/>
  <c r="K545" i="38"/>
  <c r="F544" i="38"/>
  <c r="C549" i="38"/>
  <c r="I544" i="38"/>
  <c r="C542" i="38"/>
  <c r="C545" i="38"/>
  <c r="B546" i="38"/>
  <c r="D549" i="38"/>
  <c r="E542" i="38"/>
  <c r="G544" i="38"/>
  <c r="G543" i="38"/>
  <c r="I549" i="38"/>
  <c r="C543" i="38"/>
  <c r="D542" i="38"/>
  <c r="K544" i="38"/>
  <c r="F548" i="38"/>
  <c r="D548" i="38"/>
  <c r="E546" i="38"/>
  <c r="G548" i="38"/>
  <c r="F547" i="38"/>
  <c r="H546" i="38"/>
  <c r="G546" i="38"/>
  <c r="J542" i="38"/>
  <c r="H543" i="38"/>
  <c r="G547" i="38"/>
  <c r="C544" i="38"/>
  <c r="B542" i="38"/>
  <c r="E543" i="38"/>
  <c r="J544" i="38"/>
  <c r="F545" i="38"/>
  <c r="H549" i="38"/>
  <c r="J548" i="38"/>
  <c r="H548" i="38"/>
  <c r="E549" i="38"/>
  <c r="B548" i="38"/>
  <c r="G545" i="38"/>
  <c r="I546" i="38"/>
  <c r="C548" i="38"/>
  <c r="I547" i="38"/>
  <c r="I545" i="38"/>
  <c r="B547" i="38"/>
  <c r="B549" i="38"/>
  <c r="H542" i="38"/>
  <c r="B544" i="38"/>
  <c r="J545" i="38"/>
  <c r="H545" i="38"/>
  <c r="F546" i="38"/>
  <c r="H544" i="38"/>
  <c r="J549" i="38"/>
  <c r="K546" i="38"/>
  <c r="C547" i="38"/>
  <c r="F542" i="38"/>
  <c r="I543" i="38"/>
  <c r="E545" i="38"/>
  <c r="E544" i="38"/>
  <c r="D546" i="38"/>
  <c r="G549" i="38"/>
  <c r="G542" i="38"/>
  <c r="J543" i="38"/>
  <c r="C546" i="38"/>
  <c r="B545" i="38"/>
  <c r="K542" i="38"/>
  <c r="K543" i="38"/>
  <c r="K549" i="38"/>
  <c r="F549" i="38"/>
  <c r="D547" i="38"/>
  <c r="K548" i="38"/>
  <c r="H547" i="38"/>
  <c r="F543" i="38"/>
  <c r="F191" i="8"/>
  <c r="E191" i="39"/>
  <c r="K152" i="34"/>
  <c r="J104" i="29"/>
  <c r="K101" i="29"/>
  <c r="K103" i="29" s="1"/>
  <c r="L89" i="34"/>
  <c r="L149" i="6"/>
  <c r="I115" i="4"/>
  <c r="I114" i="40"/>
  <c r="I117" i="4"/>
  <c r="I117" i="40" s="1"/>
  <c r="K148" i="34"/>
  <c r="F168" i="39"/>
  <c r="G168" i="8"/>
  <c r="E88" i="40"/>
  <c r="E90" i="4"/>
  <c r="E90" i="40" s="1"/>
  <c r="E180" i="39"/>
  <c r="F180" i="8"/>
  <c r="F134" i="7"/>
  <c r="D137" i="7"/>
  <c r="H136" i="7"/>
  <c r="F138" i="7"/>
  <c r="K138" i="7"/>
  <c r="D136" i="7"/>
  <c r="K135" i="7"/>
  <c r="G134" i="7"/>
  <c r="D139" i="7"/>
  <c r="J132" i="7"/>
  <c r="C137" i="7"/>
  <c r="D134" i="7"/>
  <c r="E134" i="7"/>
  <c r="H138" i="7"/>
  <c r="B133" i="7"/>
  <c r="C134" i="7"/>
  <c r="I135" i="7"/>
  <c r="F133" i="7"/>
  <c r="E137" i="7"/>
  <c r="H134" i="7"/>
  <c r="B137" i="7"/>
  <c r="H133" i="7"/>
  <c r="F137" i="7"/>
  <c r="B132" i="7"/>
  <c r="D135" i="7"/>
  <c r="D132" i="7"/>
  <c r="H137" i="7"/>
  <c r="C135" i="7"/>
  <c r="H132" i="7"/>
  <c r="G132" i="7"/>
  <c r="J137" i="7"/>
  <c r="E139" i="7"/>
  <c r="K136" i="7"/>
  <c r="I139" i="7"/>
  <c r="J134" i="7"/>
  <c r="I134" i="7"/>
  <c r="H135" i="7"/>
  <c r="J133" i="7"/>
  <c r="J135" i="7"/>
  <c r="J136" i="7"/>
  <c r="B134" i="7"/>
  <c r="G135" i="7"/>
  <c r="D138" i="7"/>
  <c r="K133" i="7"/>
  <c r="B135" i="7"/>
  <c r="I137" i="7"/>
  <c r="F135" i="7"/>
  <c r="G133" i="7"/>
  <c r="E136" i="7"/>
  <c r="J139" i="7"/>
  <c r="K139" i="7"/>
  <c r="E133" i="7"/>
  <c r="E132" i="7"/>
  <c r="C138" i="7"/>
  <c r="I133" i="7"/>
  <c r="K132" i="7"/>
  <c r="E135" i="7"/>
  <c r="F139" i="7"/>
  <c r="G139" i="7"/>
  <c r="G138" i="7"/>
  <c r="D133" i="7"/>
  <c r="C132" i="7"/>
  <c r="B136" i="7"/>
  <c r="J138" i="7"/>
  <c r="C139" i="7"/>
  <c r="I136" i="7"/>
  <c r="B138" i="7"/>
  <c r="B139" i="7"/>
  <c r="G137" i="7"/>
  <c r="C136" i="7"/>
  <c r="K137" i="7"/>
  <c r="I138" i="7"/>
  <c r="C133" i="7"/>
  <c r="G136" i="7"/>
  <c r="H139" i="7"/>
  <c r="I132" i="7"/>
  <c r="K134" i="7"/>
  <c r="E138" i="7"/>
  <c r="F136" i="7"/>
  <c r="F132" i="7"/>
  <c r="L91" i="34"/>
  <c r="L151" i="6"/>
  <c r="M44" i="4"/>
  <c r="M45" i="4"/>
  <c r="B563" i="8"/>
  <c r="E565" i="8"/>
  <c r="G563" i="8"/>
  <c r="F567" i="8"/>
  <c r="I566" i="8"/>
  <c r="G565" i="8"/>
  <c r="D565" i="8"/>
  <c r="F562" i="8"/>
  <c r="E566" i="8"/>
  <c r="K561" i="8"/>
  <c r="D566" i="8"/>
  <c r="B566" i="8"/>
  <c r="H567" i="8"/>
  <c r="K566" i="8"/>
  <c r="H566" i="8"/>
  <c r="G562" i="8"/>
  <c r="H560" i="8"/>
  <c r="D562" i="8"/>
  <c r="J562" i="8"/>
  <c r="J561" i="8"/>
  <c r="D567" i="8"/>
  <c r="D561" i="8"/>
  <c r="K565" i="8"/>
  <c r="I565" i="8"/>
  <c r="E560" i="8"/>
  <c r="C566" i="8"/>
  <c r="E564" i="8"/>
  <c r="E562" i="8"/>
  <c r="C560" i="8"/>
  <c r="H562" i="8"/>
  <c r="D563" i="8"/>
  <c r="D560" i="8"/>
  <c r="B567" i="8"/>
  <c r="B565" i="8"/>
  <c r="J567" i="8"/>
  <c r="F560" i="8"/>
  <c r="K564" i="8"/>
  <c r="J564" i="8"/>
  <c r="B562" i="8"/>
  <c r="J563" i="8"/>
  <c r="H564" i="8"/>
  <c r="I560" i="8"/>
  <c r="K563" i="8"/>
  <c r="J560" i="8"/>
  <c r="C561" i="8"/>
  <c r="C567" i="8"/>
  <c r="G566" i="8"/>
  <c r="H563" i="8"/>
  <c r="F563" i="8"/>
  <c r="B564" i="8"/>
  <c r="C562" i="8"/>
  <c r="J565" i="8"/>
  <c r="H561" i="8"/>
  <c r="G564" i="8"/>
  <c r="I563" i="8"/>
  <c r="B560" i="8"/>
  <c r="B561" i="8"/>
  <c r="I567" i="8"/>
  <c r="G567" i="8"/>
  <c r="G560" i="8"/>
  <c r="D564" i="8"/>
  <c r="G561" i="8"/>
  <c r="K567" i="8"/>
  <c r="F565" i="8"/>
  <c r="F561" i="8"/>
  <c r="J566" i="8"/>
  <c r="H565" i="8"/>
  <c r="F564" i="8"/>
  <c r="K562" i="8"/>
  <c r="I562" i="8"/>
  <c r="C564" i="8"/>
  <c r="C563" i="8"/>
  <c r="F566" i="8"/>
  <c r="E561" i="8"/>
  <c r="K560" i="8"/>
  <c r="C565" i="8"/>
  <c r="I564" i="8"/>
  <c r="E567" i="8"/>
  <c r="E563" i="8"/>
  <c r="I561" i="8"/>
  <c r="C224" i="39"/>
  <c r="I88" i="29"/>
  <c r="I212" i="29"/>
  <c r="I213" i="29" s="1"/>
  <c r="C202" i="39"/>
  <c r="D135" i="35"/>
  <c r="C132" i="35"/>
  <c r="J132" i="35"/>
  <c r="I134" i="35"/>
  <c r="D137" i="35"/>
  <c r="F137" i="35"/>
  <c r="F134" i="35"/>
  <c r="B135" i="35"/>
  <c r="C133" i="35"/>
  <c r="J138" i="35"/>
  <c r="C137" i="35"/>
  <c r="K136" i="35"/>
  <c r="I137" i="35"/>
  <c r="J134" i="35"/>
  <c r="G138" i="35"/>
  <c r="J135" i="35"/>
  <c r="E133" i="35"/>
  <c r="H136" i="35"/>
  <c r="B134" i="35"/>
  <c r="J137" i="35"/>
  <c r="E139" i="35"/>
  <c r="E134" i="35"/>
  <c r="E138" i="35"/>
  <c r="D139" i="35"/>
  <c r="G134" i="35"/>
  <c r="G137" i="35"/>
  <c r="D134" i="35"/>
  <c r="K137" i="35"/>
  <c r="D132" i="35"/>
  <c r="H133" i="35"/>
  <c r="B132" i="35"/>
  <c r="I133" i="35"/>
  <c r="J136" i="35"/>
  <c r="G139" i="35"/>
  <c r="H135" i="35"/>
  <c r="F135" i="35"/>
  <c r="I135" i="35"/>
  <c r="C138" i="35"/>
  <c r="F136" i="35"/>
  <c r="G135" i="35"/>
  <c r="D138" i="35"/>
  <c r="H137" i="35"/>
  <c r="F139" i="35"/>
  <c r="K132" i="35"/>
  <c r="C136" i="35"/>
  <c r="K133" i="35"/>
  <c r="G136" i="35"/>
  <c r="I136" i="35"/>
  <c r="C139" i="35"/>
  <c r="F132" i="35"/>
  <c r="B133" i="35"/>
  <c r="I132" i="35"/>
  <c r="K138" i="35"/>
  <c r="J133" i="35"/>
  <c r="F138" i="35"/>
  <c r="I138" i="35"/>
  <c r="B139" i="35"/>
  <c r="B138" i="35"/>
  <c r="E135" i="35"/>
  <c r="B136" i="35"/>
  <c r="C134" i="35"/>
  <c r="H132" i="35"/>
  <c r="E136" i="35"/>
  <c r="E132" i="35"/>
  <c r="D136" i="35"/>
  <c r="H138" i="35"/>
  <c r="H139" i="35"/>
  <c r="H134" i="35"/>
  <c r="B137" i="35"/>
  <c r="J139" i="35"/>
  <c r="K139" i="35"/>
  <c r="E137" i="35"/>
  <c r="D133" i="35"/>
  <c r="F133" i="35"/>
  <c r="K135" i="35"/>
  <c r="G133" i="35"/>
  <c r="C135" i="35"/>
  <c r="G132" i="35"/>
  <c r="K134" i="35"/>
  <c r="I139" i="35"/>
  <c r="J98" i="4"/>
  <c r="J70" i="40"/>
  <c r="E187" i="39"/>
  <c r="F187" i="8"/>
  <c r="E195" i="8"/>
  <c r="I98" i="40"/>
  <c r="I99" i="4"/>
  <c r="E165" i="38"/>
  <c r="F157" i="38"/>
  <c r="I565" i="38"/>
  <c r="F564" i="38"/>
  <c r="J563" i="38"/>
  <c r="E562" i="38"/>
  <c r="D560" i="38"/>
  <c r="E561" i="38"/>
  <c r="I561" i="38"/>
  <c r="I567" i="38"/>
  <c r="H567" i="38"/>
  <c r="D567" i="38"/>
  <c r="F561" i="38"/>
  <c r="D566" i="38"/>
  <c r="K565" i="38"/>
  <c r="F566" i="38"/>
  <c r="D563" i="38"/>
  <c r="G564" i="38"/>
  <c r="J566" i="38"/>
  <c r="F567" i="38"/>
  <c r="H564" i="38"/>
  <c r="K566" i="38"/>
  <c r="E563" i="38"/>
  <c r="B567" i="38"/>
  <c r="B563" i="38"/>
  <c r="H560" i="38"/>
  <c r="B564" i="38"/>
  <c r="K563" i="38"/>
  <c r="C562" i="38"/>
  <c r="G563" i="38"/>
  <c r="J561" i="38"/>
  <c r="C563" i="38"/>
  <c r="C564" i="38"/>
  <c r="F562" i="38"/>
  <c r="F565" i="38"/>
  <c r="H563" i="38"/>
  <c r="G566" i="38"/>
  <c r="B562" i="38"/>
  <c r="C560" i="38"/>
  <c r="I564" i="38"/>
  <c r="G560" i="38"/>
  <c r="G561" i="38"/>
  <c r="D565" i="38"/>
  <c r="K564" i="38"/>
  <c r="B566" i="38"/>
  <c r="E566" i="38"/>
  <c r="J562" i="38"/>
  <c r="E565" i="38"/>
  <c r="I563" i="38"/>
  <c r="F560" i="38"/>
  <c r="I560" i="38"/>
  <c r="E564" i="38"/>
  <c r="I562" i="38"/>
  <c r="H565" i="38"/>
  <c r="C567" i="38"/>
  <c r="G567" i="38"/>
  <c r="F563" i="38"/>
  <c r="J560" i="38"/>
  <c r="D562" i="38"/>
  <c r="C561" i="38"/>
  <c r="C566" i="38"/>
  <c r="B560" i="38"/>
  <c r="H566" i="38"/>
  <c r="C565" i="38"/>
  <c r="J567" i="38"/>
  <c r="E567" i="38"/>
  <c r="G562" i="38"/>
  <c r="K561" i="38"/>
  <c r="D561" i="38"/>
  <c r="D564" i="38"/>
  <c r="B565" i="38"/>
  <c r="G565" i="38"/>
  <c r="H561" i="38"/>
  <c r="E560" i="38"/>
  <c r="H562" i="38"/>
  <c r="I566" i="38"/>
  <c r="K560" i="38"/>
  <c r="J564" i="38"/>
  <c r="K562" i="38"/>
  <c r="J565" i="38"/>
  <c r="B561" i="38"/>
  <c r="K567" i="38"/>
  <c r="F189" i="8"/>
  <c r="E189" i="39"/>
  <c r="D209" i="39"/>
  <c r="C228" i="39"/>
  <c r="L51" i="40"/>
  <c r="L52" i="4"/>
  <c r="M51" i="4"/>
  <c r="C200" i="39"/>
  <c r="G174" i="8"/>
  <c r="F174" i="39"/>
  <c r="G167" i="38"/>
  <c r="F175" i="38"/>
  <c r="L95" i="34"/>
  <c r="L155" i="6"/>
  <c r="L67" i="4"/>
  <c r="D540" i="8"/>
  <c r="I534" i="8"/>
  <c r="I533" i="8"/>
  <c r="D535" i="8"/>
  <c r="B535" i="8"/>
  <c r="D537" i="8"/>
  <c r="H536" i="8"/>
  <c r="H534" i="8"/>
  <c r="H540" i="8"/>
  <c r="E533" i="8"/>
  <c r="H539" i="8"/>
  <c r="F536" i="8"/>
  <c r="J536" i="8"/>
  <c r="F539" i="8"/>
  <c r="B537" i="8"/>
  <c r="E540" i="8"/>
  <c r="H537" i="8"/>
  <c r="F537" i="8"/>
  <c r="E539" i="8"/>
  <c r="C538" i="8"/>
  <c r="D536" i="8"/>
  <c r="I539" i="8"/>
  <c r="I537" i="8"/>
  <c r="E534" i="8"/>
  <c r="F534" i="8"/>
  <c r="C537" i="8"/>
  <c r="K537" i="8"/>
  <c r="E537" i="8"/>
  <c r="H538" i="8"/>
  <c r="B540" i="8"/>
  <c r="B536" i="8"/>
  <c r="D533" i="8"/>
  <c r="K535" i="8"/>
  <c r="G533" i="8"/>
  <c r="B538" i="8"/>
  <c r="G534" i="8"/>
  <c r="H535" i="8"/>
  <c r="G538" i="8"/>
  <c r="G537" i="8"/>
  <c r="J533" i="8"/>
  <c r="K536" i="8"/>
  <c r="J538" i="8"/>
  <c r="F538" i="8"/>
  <c r="J534" i="8"/>
  <c r="G535" i="8"/>
  <c r="C539" i="8"/>
  <c r="E538" i="8"/>
  <c r="G536" i="8"/>
  <c r="I536" i="8"/>
  <c r="J535" i="8"/>
  <c r="J540" i="8"/>
  <c r="D539" i="8"/>
  <c r="C535" i="8"/>
  <c r="C534" i="8"/>
  <c r="F535" i="8"/>
  <c r="H533" i="8"/>
  <c r="I540" i="8"/>
  <c r="C540" i="8"/>
  <c r="K533" i="8"/>
  <c r="E536" i="8"/>
  <c r="K538" i="8"/>
  <c r="J539" i="8"/>
  <c r="B539" i="8"/>
  <c r="E535" i="8"/>
  <c r="J537" i="8"/>
  <c r="B533" i="8"/>
  <c r="G539" i="8"/>
  <c r="D534" i="8"/>
  <c r="I535" i="8"/>
  <c r="G540" i="8"/>
  <c r="C536" i="8"/>
  <c r="K539" i="8"/>
  <c r="I538" i="8"/>
  <c r="B534" i="8"/>
  <c r="K534" i="8"/>
  <c r="F540" i="8"/>
  <c r="K540" i="8"/>
  <c r="C533" i="8"/>
  <c r="D538" i="8"/>
  <c r="F533" i="8"/>
  <c r="K153" i="34"/>
  <c r="E103" i="4"/>
  <c r="E101" i="40"/>
  <c r="E157" i="39"/>
  <c r="F157" i="8"/>
  <c r="E165" i="8"/>
  <c r="C215" i="39"/>
  <c r="B558" i="38"/>
  <c r="I557" i="38"/>
  <c r="B555" i="38"/>
  <c r="G558" i="38"/>
  <c r="K552" i="38"/>
  <c r="J558" i="38"/>
  <c r="J556" i="38"/>
  <c r="H555" i="38"/>
  <c r="C553" i="38"/>
  <c r="E551" i="38"/>
  <c r="B556" i="38"/>
  <c r="D554" i="38"/>
  <c r="B553" i="38"/>
  <c r="I554" i="38"/>
  <c r="J551" i="38"/>
  <c r="D553" i="38"/>
  <c r="B557" i="38"/>
  <c r="H558" i="38"/>
  <c r="J552" i="38"/>
  <c r="E555" i="38"/>
  <c r="F557" i="38"/>
  <c r="E557" i="38"/>
  <c r="J557" i="38"/>
  <c r="J553" i="38"/>
  <c r="K557" i="38"/>
  <c r="I552" i="38"/>
  <c r="F553" i="38"/>
  <c r="G552" i="38"/>
  <c r="H552" i="38"/>
  <c r="C554" i="38"/>
  <c r="B554" i="38"/>
  <c r="F551" i="38"/>
  <c r="H554" i="38"/>
  <c r="F554" i="38"/>
  <c r="E553" i="38"/>
  <c r="G554" i="38"/>
  <c r="D551" i="38"/>
  <c r="I556" i="38"/>
  <c r="J554" i="38"/>
  <c r="D556" i="38"/>
  <c r="K554" i="38"/>
  <c r="I553" i="38"/>
  <c r="G555" i="38"/>
  <c r="C556" i="38"/>
  <c r="I551" i="38"/>
  <c r="F552" i="38"/>
  <c r="C555" i="38"/>
  <c r="I558" i="38"/>
  <c r="F556" i="38"/>
  <c r="D555" i="38"/>
  <c r="J555" i="38"/>
  <c r="G553" i="38"/>
  <c r="K558" i="38"/>
  <c r="C558" i="38"/>
  <c r="D552" i="38"/>
  <c r="C557" i="38"/>
  <c r="E558" i="38"/>
  <c r="B552" i="38"/>
  <c r="F558" i="38"/>
  <c r="K556" i="38"/>
  <c r="G556" i="38"/>
  <c r="B551" i="38"/>
  <c r="H551" i="38"/>
  <c r="F555" i="38"/>
  <c r="K551" i="38"/>
  <c r="C552" i="38"/>
  <c r="I555" i="38"/>
  <c r="E556" i="38"/>
  <c r="C551" i="38"/>
  <c r="K555" i="38"/>
  <c r="E554" i="38"/>
  <c r="K553" i="38"/>
  <c r="D558" i="38"/>
  <c r="E552" i="38"/>
  <c r="D557" i="38"/>
  <c r="G557" i="38"/>
  <c r="H553" i="38"/>
  <c r="G551" i="38"/>
  <c r="H556" i="38"/>
  <c r="H557" i="38"/>
  <c r="G171" i="8"/>
  <c r="F171" i="39"/>
  <c r="D203" i="38"/>
  <c r="D197" i="38"/>
  <c r="D199" i="38"/>
  <c r="D200" i="38"/>
  <c r="D202" i="38"/>
  <c r="D204" i="38"/>
  <c r="D198" i="38"/>
  <c r="D201" i="38"/>
  <c r="F190" i="8"/>
  <c r="E190" i="39"/>
  <c r="E158" i="39"/>
  <c r="F158" i="8"/>
  <c r="L44" i="29"/>
  <c r="L67" i="29" s="1"/>
  <c r="L75" i="29" s="1"/>
  <c r="L210" i="29" s="1"/>
  <c r="L211" i="29" s="1"/>
  <c r="L45" i="29"/>
  <c r="L68" i="29" s="1"/>
  <c r="L76" i="29" s="1"/>
  <c r="M43" i="29"/>
  <c r="E211" i="38"/>
  <c r="E212" i="38"/>
  <c r="E208" i="38"/>
  <c r="E206" i="38"/>
  <c r="E209" i="38"/>
  <c r="E210" i="38"/>
  <c r="E207" i="38"/>
  <c r="E213" i="38"/>
  <c r="L88" i="34"/>
  <c r="L148" i="6"/>
  <c r="D215" i="8"/>
  <c r="D185" i="39"/>
  <c r="D216" i="8"/>
  <c r="D221" i="8"/>
  <c r="D219" i="8"/>
  <c r="D218" i="8"/>
  <c r="D217" i="8"/>
  <c r="D220" i="8"/>
  <c r="D222" i="8"/>
  <c r="D555" i="8"/>
  <c r="G552" i="8"/>
  <c r="G554" i="8"/>
  <c r="H558" i="8"/>
  <c r="K555" i="8"/>
  <c r="J558" i="8"/>
  <c r="C558" i="8"/>
  <c r="I554" i="8"/>
  <c r="F551" i="8"/>
  <c r="J553" i="8"/>
  <c r="E551" i="8"/>
  <c r="D558" i="8"/>
  <c r="G558" i="8"/>
  <c r="I553" i="8"/>
  <c r="C555" i="8"/>
  <c r="E553" i="8"/>
  <c r="E558" i="8"/>
  <c r="F556" i="8"/>
  <c r="E554" i="8"/>
  <c r="F555" i="8"/>
  <c r="B551" i="8"/>
  <c r="J556" i="8"/>
  <c r="F552" i="8"/>
  <c r="K553" i="8"/>
  <c r="I556" i="8"/>
  <c r="J557" i="8"/>
  <c r="D554" i="8"/>
  <c r="C557" i="8"/>
  <c r="E557" i="8"/>
  <c r="G555" i="8"/>
  <c r="I552" i="8"/>
  <c r="G551" i="8"/>
  <c r="D557" i="8"/>
  <c r="I558" i="8"/>
  <c r="H552" i="8"/>
  <c r="D551" i="8"/>
  <c r="J554" i="8"/>
  <c r="K551" i="8"/>
  <c r="C551" i="8"/>
  <c r="C554" i="8"/>
  <c r="E556" i="8"/>
  <c r="B553" i="8"/>
  <c r="H554" i="8"/>
  <c r="I551" i="8"/>
  <c r="K556" i="8"/>
  <c r="B556" i="8"/>
  <c r="H557" i="8"/>
  <c r="B552" i="8"/>
  <c r="E552" i="8"/>
  <c r="F553" i="8"/>
  <c r="J555" i="8"/>
  <c r="H556" i="8"/>
  <c r="H551" i="8"/>
  <c r="G556" i="8"/>
  <c r="C553" i="8"/>
  <c r="K557" i="8"/>
  <c r="K558" i="8"/>
  <c r="D553" i="8"/>
  <c r="I555" i="8"/>
  <c r="E555" i="8"/>
  <c r="B558" i="8"/>
  <c r="J552" i="8"/>
  <c r="D552" i="8"/>
  <c r="I557" i="8"/>
  <c r="D556" i="8"/>
  <c r="C552" i="8"/>
  <c r="C556" i="8"/>
  <c r="F558" i="8"/>
  <c r="H555" i="8"/>
  <c r="J551" i="8"/>
  <c r="K552" i="8"/>
  <c r="K554" i="8"/>
  <c r="B555" i="8"/>
  <c r="F554" i="8"/>
  <c r="F557" i="8"/>
  <c r="H553" i="8"/>
  <c r="G557" i="8"/>
  <c r="B554" i="8"/>
  <c r="B557" i="8"/>
  <c r="G553" i="8"/>
  <c r="K52" i="40"/>
  <c r="K70" i="4"/>
  <c r="B542" i="8"/>
  <c r="G548" i="8"/>
  <c r="F544" i="8"/>
  <c r="E546" i="8"/>
  <c r="B543" i="8"/>
  <c r="G543" i="8"/>
  <c r="E548" i="8"/>
  <c r="D544" i="8"/>
  <c r="H544" i="8"/>
  <c r="D543" i="8"/>
  <c r="G544" i="8"/>
  <c r="K546" i="8"/>
  <c r="C547" i="8"/>
  <c r="C548" i="8"/>
  <c r="E547" i="8"/>
  <c r="F547" i="8"/>
  <c r="F543" i="8"/>
  <c r="F542" i="8"/>
  <c r="J547" i="8"/>
  <c r="G549" i="8"/>
  <c r="K542" i="8"/>
  <c r="K547" i="8"/>
  <c r="D548" i="8"/>
  <c r="B546" i="8"/>
  <c r="H547" i="8"/>
  <c r="K545" i="8"/>
  <c r="D542" i="8"/>
  <c r="B549" i="8"/>
  <c r="C544" i="8"/>
  <c r="D546" i="8"/>
  <c r="G542" i="8"/>
  <c r="G546" i="8"/>
  <c r="H542" i="8"/>
  <c r="J542" i="8"/>
  <c r="I548" i="8"/>
  <c r="B545" i="8"/>
  <c r="H549" i="8"/>
  <c r="B547" i="8"/>
  <c r="F545" i="8"/>
  <c r="C549" i="8"/>
  <c r="D545" i="8"/>
  <c r="F548" i="8"/>
  <c r="K549" i="8"/>
  <c r="E542" i="8"/>
  <c r="C543" i="8"/>
  <c r="J544" i="8"/>
  <c r="J549" i="8"/>
  <c r="I542" i="8"/>
  <c r="J548" i="8"/>
  <c r="B548" i="8"/>
  <c r="J546" i="8"/>
  <c r="B544" i="8"/>
  <c r="H548" i="8"/>
  <c r="C546" i="8"/>
  <c r="F546" i="8"/>
  <c r="E544" i="8"/>
  <c r="D547" i="8"/>
  <c r="E549" i="8"/>
  <c r="F549" i="8"/>
  <c r="K548" i="8"/>
  <c r="I547" i="8"/>
  <c r="G547" i="8"/>
  <c r="I544" i="8"/>
  <c r="I546" i="8"/>
  <c r="I549" i="8"/>
  <c r="E545" i="8"/>
  <c r="G545" i="8"/>
  <c r="J545" i="8"/>
  <c r="I545" i="8"/>
  <c r="D549" i="8"/>
  <c r="H545" i="8"/>
  <c r="J543" i="8"/>
  <c r="K543" i="8"/>
  <c r="I543" i="8"/>
  <c r="C545" i="8"/>
  <c r="E543" i="8"/>
  <c r="H543" i="8"/>
  <c r="H546" i="8"/>
  <c r="K544" i="8"/>
  <c r="C542" i="8"/>
  <c r="L94" i="34"/>
  <c r="L154" i="6"/>
  <c r="K85" i="29"/>
  <c r="J111" i="40"/>
  <c r="J113" i="4"/>
  <c r="K45" i="40"/>
  <c r="E185" i="8"/>
  <c r="E177" i="39"/>
  <c r="F177" i="8"/>
  <c r="F187" i="38"/>
  <c r="E195" i="38"/>
  <c r="L61" i="40"/>
  <c r="K155" i="34"/>
  <c r="K154" i="34"/>
  <c r="C220" i="39"/>
  <c r="I116" i="29"/>
  <c r="I105" i="29"/>
  <c r="D210" i="39"/>
  <c r="C227" i="39"/>
  <c r="M61" i="29"/>
  <c r="M64" i="29"/>
  <c r="M70" i="29" s="1"/>
  <c r="M62" i="29"/>
  <c r="G82" i="40"/>
  <c r="H82" i="4"/>
  <c r="G87" i="4"/>
  <c r="C203" i="39"/>
  <c r="E192" i="39"/>
  <c r="F192" i="8"/>
  <c r="K44" i="40"/>
  <c r="L90" i="34"/>
  <c r="L150" i="6"/>
  <c r="F172" i="39"/>
  <c r="G172" i="8"/>
  <c r="D227" i="38"/>
  <c r="D383" i="38" s="1"/>
  <c r="D231" i="38"/>
  <c r="D387" i="38" s="1"/>
  <c r="D226" i="38"/>
  <c r="D382" i="38" s="1"/>
  <c r="D229" i="38"/>
  <c r="D385" i="38" s="1"/>
  <c r="D230" i="38"/>
  <c r="D386" i="38" s="1"/>
  <c r="D224" i="38"/>
  <c r="D380" i="38" s="1"/>
  <c r="D225" i="38"/>
  <c r="D381" i="38" s="1"/>
  <c r="D228" i="38"/>
  <c r="D384" i="38" s="1"/>
  <c r="L70" i="29"/>
  <c r="L98" i="29" s="1"/>
  <c r="L99" i="29" s="1"/>
  <c r="L102" i="29" s="1"/>
  <c r="K83" i="29"/>
  <c r="H118" i="29"/>
  <c r="F161" i="8"/>
  <c r="E161" i="39"/>
  <c r="H90" i="29"/>
  <c r="H91" i="29" s="1"/>
  <c r="H92" i="29" s="1"/>
  <c r="C221" i="39"/>
  <c r="J75" i="57"/>
  <c r="K113" i="57"/>
  <c r="K120" i="57"/>
  <c r="K119" i="57"/>
  <c r="K117" i="57"/>
  <c r="K116" i="57"/>
  <c r="K115" i="57"/>
  <c r="K114" i="57"/>
  <c r="I200" i="57"/>
  <c r="J114" i="57"/>
  <c r="J113" i="57"/>
  <c r="J120" i="57"/>
  <c r="J117" i="57"/>
  <c r="J116" i="57"/>
  <c r="J115" i="57"/>
  <c r="J119" i="57"/>
  <c r="J126" i="57"/>
  <c r="J129" i="57"/>
  <c r="J127" i="57"/>
  <c r="J125" i="57"/>
  <c r="J123" i="57"/>
  <c r="J130" i="57"/>
  <c r="J124" i="57"/>
  <c r="J200" i="57"/>
  <c r="K75" i="4" l="1"/>
  <c r="K210" i="4" s="1"/>
  <c r="J210" i="4"/>
  <c r="J211" i="4" s="1"/>
  <c r="J211" i="40" s="1"/>
  <c r="L206" i="4"/>
  <c r="K67" i="40"/>
  <c r="K76" i="4"/>
  <c r="K76" i="40" s="1"/>
  <c r="B535" i="39"/>
  <c r="C548" i="39"/>
  <c r="H554" i="39"/>
  <c r="D553" i="39"/>
  <c r="I558" i="39"/>
  <c r="J553" i="39"/>
  <c r="K552" i="39"/>
  <c r="C551" i="39"/>
  <c r="C543" i="39"/>
  <c r="B536" i="39"/>
  <c r="I537" i="39"/>
  <c r="F534" i="39"/>
  <c r="C540" i="39"/>
  <c r="J538" i="39"/>
  <c r="K544" i="39"/>
  <c r="F546" i="39"/>
  <c r="L62" i="40"/>
  <c r="E544" i="39"/>
  <c r="B546" i="39"/>
  <c r="D544" i="39"/>
  <c r="J557" i="39"/>
  <c r="H536" i="39"/>
  <c r="M64" i="4"/>
  <c r="M64" i="40" s="1"/>
  <c r="M61" i="4"/>
  <c r="M61" i="40" s="1"/>
  <c r="L84" i="29"/>
  <c r="M62" i="4"/>
  <c r="M68" i="4" s="1"/>
  <c r="K543" i="39"/>
  <c r="D545" i="39"/>
  <c r="E554" i="39"/>
  <c r="D222" i="39"/>
  <c r="K87" i="29"/>
  <c r="K212" i="29" s="1"/>
  <c r="K213" i="29" s="1"/>
  <c r="I547" i="39"/>
  <c r="H549" i="39"/>
  <c r="E533" i="39"/>
  <c r="J542" i="39"/>
  <c r="I538" i="39"/>
  <c r="K536" i="39"/>
  <c r="B554" i="39"/>
  <c r="J551" i="39"/>
  <c r="J556" i="39"/>
  <c r="K533" i="39"/>
  <c r="B538" i="39"/>
  <c r="H551" i="39"/>
  <c r="J554" i="39"/>
  <c r="C537" i="39"/>
  <c r="F537" i="39"/>
  <c r="C564" i="39"/>
  <c r="I563" i="39"/>
  <c r="D563" i="39"/>
  <c r="H556" i="39"/>
  <c r="E535" i="39"/>
  <c r="K540" i="39"/>
  <c r="H535" i="39"/>
  <c r="H534" i="39"/>
  <c r="I543" i="39"/>
  <c r="D219" i="39"/>
  <c r="F557" i="39"/>
  <c r="H552" i="39"/>
  <c r="H553" i="39"/>
  <c r="F543" i="39"/>
  <c r="H546" i="39"/>
  <c r="J544" i="39"/>
  <c r="J536" i="39"/>
  <c r="D547" i="39"/>
  <c r="C556" i="39"/>
  <c r="D221" i="39"/>
  <c r="G554" i="39"/>
  <c r="D554" i="39"/>
  <c r="D220" i="39"/>
  <c r="G557" i="39"/>
  <c r="K556" i="39"/>
  <c r="G566" i="39"/>
  <c r="L119" i="29"/>
  <c r="G558" i="39"/>
  <c r="D218" i="39"/>
  <c r="G552" i="39"/>
  <c r="D216" i="39"/>
  <c r="I544" i="39"/>
  <c r="E556" i="39"/>
  <c r="G536" i="39"/>
  <c r="C542" i="39"/>
  <c r="I546" i="39"/>
  <c r="B553" i="39"/>
  <c r="D538" i="39"/>
  <c r="E547" i="39"/>
  <c r="G538" i="39"/>
  <c r="J88" i="29"/>
  <c r="J90" i="29" s="1"/>
  <c r="J91" i="29" s="1"/>
  <c r="J92" i="29" s="1"/>
  <c r="J545" i="39"/>
  <c r="B545" i="39"/>
  <c r="J540" i="39"/>
  <c r="H539" i="39"/>
  <c r="C545" i="39"/>
  <c r="D542" i="39"/>
  <c r="B534" i="39"/>
  <c r="B533" i="39"/>
  <c r="J535" i="39"/>
  <c r="G533" i="39"/>
  <c r="I534" i="39"/>
  <c r="K567" i="39"/>
  <c r="F166" i="29"/>
  <c r="F167" i="29" s="1"/>
  <c r="E545" i="39"/>
  <c r="I551" i="39"/>
  <c r="D551" i="39"/>
  <c r="H533" i="39"/>
  <c r="I542" i="39"/>
  <c r="G546" i="39"/>
  <c r="F556" i="39"/>
  <c r="B539" i="39"/>
  <c r="G537" i="39"/>
  <c r="J560" i="39"/>
  <c r="F560" i="39"/>
  <c r="K132" i="37"/>
  <c r="G133" i="37"/>
  <c r="J136" i="37"/>
  <c r="E139" i="37"/>
  <c r="C134" i="37"/>
  <c r="G134" i="37"/>
  <c r="H545" i="39"/>
  <c r="J549" i="39"/>
  <c r="F545" i="39"/>
  <c r="D548" i="39"/>
  <c r="E548" i="39"/>
  <c r="J539" i="39"/>
  <c r="K542" i="39"/>
  <c r="D552" i="39"/>
  <c r="F552" i="39"/>
  <c r="C555" i="39"/>
  <c r="C558" i="39"/>
  <c r="E537" i="39"/>
  <c r="F566" i="39"/>
  <c r="B567" i="39"/>
  <c r="I118" i="29"/>
  <c r="E542" i="39"/>
  <c r="G549" i="39"/>
  <c r="F538" i="39"/>
  <c r="K545" i="39"/>
  <c r="D543" i="39"/>
  <c r="I540" i="39"/>
  <c r="I536" i="39"/>
  <c r="K535" i="39"/>
  <c r="H537" i="39"/>
  <c r="F558" i="39"/>
  <c r="C561" i="39"/>
  <c r="K564" i="39"/>
  <c r="D567" i="39"/>
  <c r="I566" i="39"/>
  <c r="C133" i="37"/>
  <c r="C139" i="37"/>
  <c r="E135" i="37"/>
  <c r="B134" i="37"/>
  <c r="D135" i="37"/>
  <c r="D139" i="37"/>
  <c r="E207" i="39"/>
  <c r="G129" i="4"/>
  <c r="G129" i="40" s="1"/>
  <c r="G128" i="40"/>
  <c r="L61" i="59"/>
  <c r="L61" i="60" s="1"/>
  <c r="K61" i="60"/>
  <c r="F139" i="37"/>
  <c r="D226" i="39"/>
  <c r="F564" i="39"/>
  <c r="F132" i="37"/>
  <c r="E212" i="39"/>
  <c r="L64" i="59"/>
  <c r="L64" i="60" s="1"/>
  <c r="K64" i="60"/>
  <c r="D549" i="39"/>
  <c r="G547" i="39"/>
  <c r="B547" i="39"/>
  <c r="D546" i="39"/>
  <c r="K547" i="39"/>
  <c r="G543" i="39"/>
  <c r="B555" i="39"/>
  <c r="D556" i="39"/>
  <c r="K558" i="39"/>
  <c r="D557" i="39"/>
  <c r="F551" i="39"/>
  <c r="K560" i="39"/>
  <c r="H565" i="39"/>
  <c r="G567" i="39"/>
  <c r="C562" i="39"/>
  <c r="K563" i="39"/>
  <c r="J567" i="39"/>
  <c r="E564" i="39"/>
  <c r="D566" i="39"/>
  <c r="G563" i="39"/>
  <c r="F136" i="37"/>
  <c r="K137" i="37"/>
  <c r="B136" i="37"/>
  <c r="I133" i="37"/>
  <c r="F135" i="37"/>
  <c r="J135" i="37"/>
  <c r="J137" i="37"/>
  <c r="B133" i="37"/>
  <c r="K135" i="37"/>
  <c r="E208" i="39"/>
  <c r="L65" i="59"/>
  <c r="L65" i="60" s="1"/>
  <c r="K65" i="60"/>
  <c r="D203" i="39"/>
  <c r="I555" i="39"/>
  <c r="C536" i="39"/>
  <c r="G560" i="39"/>
  <c r="F567" i="39"/>
  <c r="I138" i="37"/>
  <c r="H543" i="39"/>
  <c r="I545" i="39"/>
  <c r="H548" i="39"/>
  <c r="C544" i="39"/>
  <c r="C535" i="39"/>
  <c r="E561" i="39"/>
  <c r="J566" i="39"/>
  <c r="I567" i="39"/>
  <c r="B564" i="39"/>
  <c r="I560" i="39"/>
  <c r="C566" i="39"/>
  <c r="D562" i="39"/>
  <c r="K561" i="39"/>
  <c r="E565" i="39"/>
  <c r="E138" i="37"/>
  <c r="D136" i="37"/>
  <c r="M119" i="29"/>
  <c r="L59" i="59"/>
  <c r="L59" i="60" s="1"/>
  <c r="K59" i="60"/>
  <c r="J132" i="37"/>
  <c r="H125" i="40"/>
  <c r="H127" i="4"/>
  <c r="J555" i="39"/>
  <c r="E538" i="39"/>
  <c r="J138" i="37"/>
  <c r="L58" i="59"/>
  <c r="L58" i="60" s="1"/>
  <c r="K58" i="60"/>
  <c r="D539" i="39"/>
  <c r="J534" i="39"/>
  <c r="C538" i="39"/>
  <c r="F536" i="39"/>
  <c r="B561" i="39"/>
  <c r="F563" i="39"/>
  <c r="E560" i="39"/>
  <c r="H560" i="39"/>
  <c r="B563" i="39"/>
  <c r="D197" i="39"/>
  <c r="L62" i="59"/>
  <c r="L62" i="60" s="1"/>
  <c r="K62" i="60"/>
  <c r="H139" i="37"/>
  <c r="E551" i="39"/>
  <c r="G542" i="39"/>
  <c r="F553" i="39"/>
  <c r="F535" i="39"/>
  <c r="H557" i="39"/>
  <c r="M98" i="29"/>
  <c r="M99" i="29" s="1"/>
  <c r="M102" i="29" s="1"/>
  <c r="F549" i="39"/>
  <c r="K549" i="39"/>
  <c r="I548" i="39"/>
  <c r="J547" i="39"/>
  <c r="G544" i="39"/>
  <c r="F544" i="39"/>
  <c r="G556" i="39"/>
  <c r="D217" i="39"/>
  <c r="K534" i="39"/>
  <c r="G539" i="39"/>
  <c r="K537" i="39"/>
  <c r="E539" i="39"/>
  <c r="I533" i="39"/>
  <c r="I132" i="37"/>
  <c r="B139" i="37"/>
  <c r="G138" i="37"/>
  <c r="E133" i="37"/>
  <c r="I134" i="37"/>
  <c r="H134" i="37"/>
  <c r="D134" i="37"/>
  <c r="F138" i="37"/>
  <c r="L60" i="59"/>
  <c r="L60" i="60" s="1"/>
  <c r="K60" i="60"/>
  <c r="L63" i="59"/>
  <c r="L63" i="60" s="1"/>
  <c r="K63" i="60"/>
  <c r="G168" i="29"/>
  <c r="G167" i="29"/>
  <c r="F161" i="39"/>
  <c r="G161" i="8"/>
  <c r="E167" i="29"/>
  <c r="E168" i="29"/>
  <c r="L83" i="29"/>
  <c r="E216" i="8"/>
  <c r="E220" i="8"/>
  <c r="E217" i="8"/>
  <c r="E185" i="39"/>
  <c r="E215" i="8"/>
  <c r="E221" i="8"/>
  <c r="E219" i="8"/>
  <c r="E222" i="8"/>
  <c r="E218" i="8"/>
  <c r="C547" i="39"/>
  <c r="B543" i="39"/>
  <c r="L82" i="29"/>
  <c r="E552" i="39"/>
  <c r="I556" i="39"/>
  <c r="E558" i="39"/>
  <c r="D555" i="39"/>
  <c r="J537" i="39"/>
  <c r="H540" i="39"/>
  <c r="D540" i="39"/>
  <c r="G175" i="38"/>
  <c r="H167" i="38"/>
  <c r="F195" i="8"/>
  <c r="F187" i="39"/>
  <c r="G187" i="8"/>
  <c r="F561" i="39"/>
  <c r="H564" i="39"/>
  <c r="E566" i="39"/>
  <c r="C136" i="37"/>
  <c r="C132" i="37"/>
  <c r="C138" i="37"/>
  <c r="I137" i="37"/>
  <c r="J133" i="37"/>
  <c r="G132" i="37"/>
  <c r="H133" i="37"/>
  <c r="H138" i="37"/>
  <c r="J105" i="29"/>
  <c r="J116" i="29"/>
  <c r="L76" i="4"/>
  <c r="L76" i="40" s="1"/>
  <c r="L68" i="40"/>
  <c r="G183" i="8"/>
  <c r="F183" i="39"/>
  <c r="E543" i="39"/>
  <c r="K548" i="39"/>
  <c r="B544" i="39"/>
  <c r="B549" i="39"/>
  <c r="K546" i="39"/>
  <c r="E546" i="39"/>
  <c r="G553" i="39"/>
  <c r="K554" i="39"/>
  <c r="I557" i="39"/>
  <c r="K557" i="39"/>
  <c r="B552" i="39"/>
  <c r="C554" i="39"/>
  <c r="G551" i="39"/>
  <c r="K553" i="39"/>
  <c r="E553" i="39"/>
  <c r="I554" i="39"/>
  <c r="D215" i="39"/>
  <c r="F158" i="39"/>
  <c r="G158" i="8"/>
  <c r="F533" i="39"/>
  <c r="K539" i="39"/>
  <c r="J533" i="39"/>
  <c r="D533" i="39"/>
  <c r="E534" i="39"/>
  <c r="E540" i="39"/>
  <c r="I561" i="39"/>
  <c r="C563" i="39"/>
  <c r="F565" i="39"/>
  <c r="B560" i="39"/>
  <c r="H563" i="39"/>
  <c r="J563" i="39"/>
  <c r="D560" i="39"/>
  <c r="I565" i="39"/>
  <c r="G562" i="39"/>
  <c r="F562" i="39"/>
  <c r="K134" i="37"/>
  <c r="G137" i="37"/>
  <c r="D133" i="37"/>
  <c r="E132" i="37"/>
  <c r="B135" i="37"/>
  <c r="H135" i="37"/>
  <c r="H132" i="37"/>
  <c r="B137" i="37"/>
  <c r="E134" i="37"/>
  <c r="K138" i="37"/>
  <c r="E91" i="4"/>
  <c r="G170" i="39"/>
  <c r="H170" i="8"/>
  <c r="F90" i="4"/>
  <c r="F90" i="40" s="1"/>
  <c r="F88" i="40"/>
  <c r="D201" i="39"/>
  <c r="L45" i="40"/>
  <c r="F193" i="39"/>
  <c r="G193" i="8"/>
  <c r="D228" i="39"/>
  <c r="I84" i="4"/>
  <c r="H84" i="40"/>
  <c r="F184" i="39"/>
  <c r="G184" i="8"/>
  <c r="M44" i="29"/>
  <c r="M67" i="29" s="1"/>
  <c r="M75" i="29" s="1"/>
  <c r="M210" i="29" s="1"/>
  <c r="M211" i="29" s="1"/>
  <c r="M45" i="29"/>
  <c r="M68" i="29" s="1"/>
  <c r="M76" i="29" s="1"/>
  <c r="J562" i="39"/>
  <c r="G181" i="8"/>
  <c r="F181" i="39"/>
  <c r="F185" i="38"/>
  <c r="G177" i="38"/>
  <c r="L152" i="34"/>
  <c r="C546" i="39"/>
  <c r="G171" i="39"/>
  <c r="H171" i="8"/>
  <c r="F213" i="38"/>
  <c r="F211" i="38"/>
  <c r="F210" i="38"/>
  <c r="F206" i="38"/>
  <c r="F212" i="38"/>
  <c r="F208" i="38"/>
  <c r="F207" i="38"/>
  <c r="F209" i="38"/>
  <c r="E195" i="39"/>
  <c r="E225" i="8"/>
  <c r="E228" i="8"/>
  <c r="E226" i="8"/>
  <c r="E227" i="8"/>
  <c r="E231" i="8"/>
  <c r="E230" i="8"/>
  <c r="E229" i="8"/>
  <c r="E224" i="8"/>
  <c r="F137" i="37"/>
  <c r="D229" i="39"/>
  <c r="K111" i="4"/>
  <c r="J113" i="40"/>
  <c r="J114" i="4"/>
  <c r="G545" i="39"/>
  <c r="B557" i="39"/>
  <c r="C553" i="39"/>
  <c r="I552" i="39"/>
  <c r="I82" i="4"/>
  <c r="H82" i="40"/>
  <c r="H87" i="4"/>
  <c r="E549" i="39"/>
  <c r="B548" i="39"/>
  <c r="F548" i="39"/>
  <c r="F542" i="39"/>
  <c r="G548" i="39"/>
  <c r="J552" i="39"/>
  <c r="B556" i="39"/>
  <c r="K551" i="39"/>
  <c r="G555" i="39"/>
  <c r="I553" i="39"/>
  <c r="J558" i="39"/>
  <c r="G157" i="8"/>
  <c r="F165" i="8"/>
  <c r="F157" i="39"/>
  <c r="C533" i="39"/>
  <c r="G540" i="39"/>
  <c r="C534" i="39"/>
  <c r="C539" i="39"/>
  <c r="B540" i="39"/>
  <c r="I539" i="39"/>
  <c r="F539" i="39"/>
  <c r="D537" i="39"/>
  <c r="L44" i="40"/>
  <c r="F165" i="38"/>
  <c r="G157" i="38"/>
  <c r="J98" i="40"/>
  <c r="J99" i="4"/>
  <c r="E567" i="39"/>
  <c r="I562" i="39"/>
  <c r="G561" i="39"/>
  <c r="G564" i="39"/>
  <c r="C567" i="39"/>
  <c r="J564" i="39"/>
  <c r="H562" i="39"/>
  <c r="D561" i="39"/>
  <c r="K566" i="39"/>
  <c r="G565" i="39"/>
  <c r="M43" i="40"/>
  <c r="B138" i="37"/>
  <c r="G139" i="37"/>
  <c r="K139" i="37"/>
  <c r="D138" i="37"/>
  <c r="J134" i="37"/>
  <c r="H137" i="37"/>
  <c r="E137" i="37"/>
  <c r="C137" i="37"/>
  <c r="H136" i="37"/>
  <c r="I85" i="4"/>
  <c r="H85" i="40"/>
  <c r="D204" i="39"/>
  <c r="F163" i="39"/>
  <c r="G163" i="8"/>
  <c r="E206" i="39"/>
  <c r="D230" i="39"/>
  <c r="F164" i="39"/>
  <c r="G164" i="8"/>
  <c r="E104" i="4"/>
  <c r="E103" i="40"/>
  <c r="F101" i="4"/>
  <c r="F192" i="39"/>
  <c r="G192" i="8"/>
  <c r="F554" i="39"/>
  <c r="E198" i="8"/>
  <c r="E199" i="8"/>
  <c r="E197" i="8"/>
  <c r="E165" i="39"/>
  <c r="E203" i="8"/>
  <c r="E200" i="8"/>
  <c r="E204" i="8"/>
  <c r="E202" i="8"/>
  <c r="E201" i="8"/>
  <c r="F189" i="39"/>
  <c r="G189" i="8"/>
  <c r="E563" i="39"/>
  <c r="D565" i="39"/>
  <c r="K133" i="37"/>
  <c r="C135" i="37"/>
  <c r="H169" i="8"/>
  <c r="G169" i="39"/>
  <c r="D231" i="39"/>
  <c r="E228" i="38"/>
  <c r="E384" i="38" s="1"/>
  <c r="E231" i="38"/>
  <c r="E387" i="38" s="1"/>
  <c r="E225" i="38"/>
  <c r="E381" i="38" s="1"/>
  <c r="E224" i="38"/>
  <c r="E380" i="38" s="1"/>
  <c r="E229" i="38"/>
  <c r="E385" i="38" s="1"/>
  <c r="E227" i="38"/>
  <c r="E383" i="38" s="1"/>
  <c r="E230" i="38"/>
  <c r="E386" i="38" s="1"/>
  <c r="E226" i="38"/>
  <c r="E382" i="38" s="1"/>
  <c r="B542" i="39"/>
  <c r="H555" i="39"/>
  <c r="B558" i="39"/>
  <c r="E557" i="39"/>
  <c r="B551" i="39"/>
  <c r="K555" i="39"/>
  <c r="L148" i="34"/>
  <c r="G190" i="8"/>
  <c r="F190" i="39"/>
  <c r="I535" i="39"/>
  <c r="K538" i="39"/>
  <c r="G535" i="39"/>
  <c r="H538" i="39"/>
  <c r="D536" i="39"/>
  <c r="M52" i="4"/>
  <c r="M51" i="40"/>
  <c r="E198" i="38"/>
  <c r="E204" i="38"/>
  <c r="E201" i="38"/>
  <c r="E200" i="38"/>
  <c r="E203" i="38"/>
  <c r="E199" i="38"/>
  <c r="E197" i="38"/>
  <c r="E202" i="38"/>
  <c r="I564" i="39"/>
  <c r="K562" i="39"/>
  <c r="D564" i="39"/>
  <c r="H561" i="39"/>
  <c r="C560" i="39"/>
  <c r="H567" i="39"/>
  <c r="L151" i="34"/>
  <c r="G136" i="37"/>
  <c r="I136" i="37"/>
  <c r="J139" i="37"/>
  <c r="G135" i="37"/>
  <c r="I139" i="37"/>
  <c r="D132" i="37"/>
  <c r="F133" i="37"/>
  <c r="D137" i="37"/>
  <c r="G168" i="39"/>
  <c r="H168" i="8"/>
  <c r="I115" i="40"/>
  <c r="I119" i="4"/>
  <c r="I119" i="40" s="1"/>
  <c r="G191" i="8"/>
  <c r="F191" i="39"/>
  <c r="D199" i="39"/>
  <c r="F178" i="39"/>
  <c r="G178" i="8"/>
  <c r="G179" i="8"/>
  <c r="F179" i="39"/>
  <c r="E209" i="39"/>
  <c r="D224" i="39"/>
  <c r="D225" i="39"/>
  <c r="H167" i="8"/>
  <c r="G175" i="8"/>
  <c r="G167" i="39"/>
  <c r="J213" i="29"/>
  <c r="F177" i="39"/>
  <c r="G177" i="8"/>
  <c r="F185" i="8"/>
  <c r="I90" i="29"/>
  <c r="I91" i="29" s="1"/>
  <c r="I92" i="29" s="1"/>
  <c r="B132" i="37"/>
  <c r="B141" i="7" a="1"/>
  <c r="G180" i="8"/>
  <c r="F180" i="39"/>
  <c r="G160" i="8"/>
  <c r="F160" i="39"/>
  <c r="F188" i="39"/>
  <c r="G188" i="8"/>
  <c r="H173" i="8"/>
  <c r="G173" i="39"/>
  <c r="K75" i="40"/>
  <c r="C552" i="39"/>
  <c r="B565" i="39"/>
  <c r="L101" i="29"/>
  <c r="L103" i="29" s="1"/>
  <c r="K104" i="29"/>
  <c r="D118" i="4"/>
  <c r="D105" i="40"/>
  <c r="E219" i="38"/>
  <c r="E375" i="38" s="1"/>
  <c r="E217" i="38"/>
  <c r="E373" i="38" s="1"/>
  <c r="E218" i="38"/>
  <c r="E374" i="38" s="1"/>
  <c r="E216" i="38"/>
  <c r="E372" i="38" s="1"/>
  <c r="E222" i="38"/>
  <c r="E378" i="38" s="1"/>
  <c r="E215" i="38"/>
  <c r="E371" i="38" s="1"/>
  <c r="E220" i="38"/>
  <c r="E376" i="38" s="1"/>
  <c r="E221" i="38"/>
  <c r="E377" i="38" s="1"/>
  <c r="H172" i="8"/>
  <c r="G172" i="39"/>
  <c r="G87" i="40"/>
  <c r="G212" i="4"/>
  <c r="G212" i="40" s="1"/>
  <c r="G88" i="4"/>
  <c r="J546" i="39"/>
  <c r="B537" i="39"/>
  <c r="M206" i="4"/>
  <c r="L67" i="40"/>
  <c r="L75" i="4"/>
  <c r="G174" i="39"/>
  <c r="H174" i="8"/>
  <c r="B562" i="39"/>
  <c r="K565" i="39"/>
  <c r="H566" i="39"/>
  <c r="L153" i="34"/>
  <c r="D198" i="39"/>
  <c r="F162" i="39"/>
  <c r="G162" i="8"/>
  <c r="E210" i="39"/>
  <c r="G182" i="8"/>
  <c r="F182" i="39"/>
  <c r="H131" i="29"/>
  <c r="H161" i="29" s="1"/>
  <c r="L150" i="34"/>
  <c r="L85" i="29"/>
  <c r="I549" i="39"/>
  <c r="J548" i="39"/>
  <c r="H542" i="39"/>
  <c r="H547" i="39"/>
  <c r="H544" i="39"/>
  <c r="G187" i="38"/>
  <c r="F195" i="38"/>
  <c r="L154" i="34"/>
  <c r="J543" i="39"/>
  <c r="C549" i="39"/>
  <c r="F547" i="39"/>
  <c r="K70" i="40"/>
  <c r="K98" i="4"/>
  <c r="E555" i="39"/>
  <c r="C557" i="39"/>
  <c r="F555" i="39"/>
  <c r="D558" i="39"/>
  <c r="H558" i="39"/>
  <c r="F540" i="39"/>
  <c r="D534" i="39"/>
  <c r="E536" i="39"/>
  <c r="G534" i="39"/>
  <c r="D535" i="39"/>
  <c r="L155" i="34"/>
  <c r="L52" i="40"/>
  <c r="L70" i="4"/>
  <c r="I102" i="4"/>
  <c r="I102" i="40" s="1"/>
  <c r="I99" i="40"/>
  <c r="B141" i="35" a="1"/>
  <c r="C565" i="39"/>
  <c r="J565" i="39"/>
  <c r="E562" i="39"/>
  <c r="J561" i="39"/>
  <c r="B566" i="39"/>
  <c r="E136" i="37"/>
  <c r="K136" i="37"/>
  <c r="I135" i="37"/>
  <c r="F134" i="37"/>
  <c r="L149" i="34"/>
  <c r="I83" i="4"/>
  <c r="H83" i="40"/>
  <c r="F194" i="39"/>
  <c r="G194" i="8"/>
  <c r="D200" i="39"/>
  <c r="D202" i="39"/>
  <c r="F159" i="39"/>
  <c r="G159" i="8"/>
  <c r="E213" i="39"/>
  <c r="E211" i="39"/>
  <c r="D227" i="39"/>
  <c r="H164" i="29"/>
  <c r="F209" i="8"/>
  <c r="F207" i="8"/>
  <c r="F206" i="8"/>
  <c r="F210" i="8"/>
  <c r="F208" i="8"/>
  <c r="F175" i="39"/>
  <c r="F211" i="8"/>
  <c r="F213" i="8"/>
  <c r="F212" i="8"/>
  <c r="K75" i="57"/>
  <c r="K125" i="57"/>
  <c r="K127" i="57"/>
  <c r="K126" i="57"/>
  <c r="K124" i="57"/>
  <c r="K123" i="57"/>
  <c r="K130" i="57"/>
  <c r="K129" i="57"/>
  <c r="K200" i="57"/>
  <c r="D62" i="57"/>
  <c r="L75" i="57"/>
  <c r="J210" i="40" l="1"/>
  <c r="M84" i="29"/>
  <c r="M67" i="4"/>
  <c r="M62" i="40"/>
  <c r="K88" i="29"/>
  <c r="K90" i="29" s="1"/>
  <c r="K91" i="29" s="1"/>
  <c r="K92" i="29" s="1"/>
  <c r="F212" i="39"/>
  <c r="F207" i="39"/>
  <c r="I131" i="29"/>
  <c r="I161" i="29" s="1"/>
  <c r="I221" i="29" s="1"/>
  <c r="F168" i="29"/>
  <c r="F211" i="39"/>
  <c r="E226" i="39"/>
  <c r="F210" i="39"/>
  <c r="E203" i="39"/>
  <c r="E200" i="39"/>
  <c r="M44" i="40"/>
  <c r="E201" i="39"/>
  <c r="E230" i="39"/>
  <c r="E222" i="39"/>
  <c r="M83" i="29"/>
  <c r="F208" i="39"/>
  <c r="M85" i="29"/>
  <c r="E219" i="39"/>
  <c r="H128" i="4"/>
  <c r="I125" i="4"/>
  <c r="H127" i="40"/>
  <c r="E221" i="39"/>
  <c r="E229" i="39"/>
  <c r="M45" i="40"/>
  <c r="G165" i="38"/>
  <c r="H157" i="38"/>
  <c r="E224" i="39"/>
  <c r="H183" i="8"/>
  <c r="G183" i="39"/>
  <c r="H188" i="8"/>
  <c r="G188" i="39"/>
  <c r="J85" i="4"/>
  <c r="I85" i="40"/>
  <c r="F202" i="38"/>
  <c r="F199" i="38"/>
  <c r="F203" i="38"/>
  <c r="F198" i="38"/>
  <c r="F197" i="38"/>
  <c r="F200" i="38"/>
  <c r="F204" i="38"/>
  <c r="F201" i="38"/>
  <c r="I142" i="35"/>
  <c r="C148" i="35"/>
  <c r="K146" i="35"/>
  <c r="K144" i="35"/>
  <c r="D144" i="35"/>
  <c r="K147" i="35"/>
  <c r="C144" i="35"/>
  <c r="B147" i="35"/>
  <c r="F141" i="35"/>
  <c r="D143" i="35"/>
  <c r="D142" i="35"/>
  <c r="K148" i="35"/>
  <c r="F147" i="35"/>
  <c r="F143" i="35"/>
  <c r="H141" i="35"/>
  <c r="I145" i="35"/>
  <c r="H144" i="35"/>
  <c r="I146" i="35"/>
  <c r="K141" i="35"/>
  <c r="H148" i="35"/>
  <c r="D145" i="35"/>
  <c r="G145" i="35"/>
  <c r="C147" i="35"/>
  <c r="C146" i="35"/>
  <c r="D147" i="35"/>
  <c r="J144" i="35"/>
  <c r="I148" i="35"/>
  <c r="I144" i="35"/>
  <c r="G147" i="35"/>
  <c r="J142" i="35"/>
  <c r="B142" i="35"/>
  <c r="G143" i="35"/>
  <c r="C141" i="35"/>
  <c r="F148" i="35"/>
  <c r="D146" i="35"/>
  <c r="E148" i="35"/>
  <c r="E142" i="35"/>
  <c r="H145" i="35"/>
  <c r="J145" i="35"/>
  <c r="G144" i="35"/>
  <c r="K143" i="35"/>
  <c r="E145" i="35"/>
  <c r="F146" i="35"/>
  <c r="H142" i="35"/>
  <c r="E146" i="35"/>
  <c r="D141" i="35"/>
  <c r="G142" i="35"/>
  <c r="C142" i="35"/>
  <c r="E141" i="35"/>
  <c r="J141" i="35"/>
  <c r="G141" i="35"/>
  <c r="E144" i="35"/>
  <c r="K142" i="35"/>
  <c r="H146" i="35"/>
  <c r="J147" i="35"/>
  <c r="B141" i="35"/>
  <c r="J146" i="35"/>
  <c r="B148" i="35"/>
  <c r="I141" i="35"/>
  <c r="F144" i="35"/>
  <c r="F142" i="35"/>
  <c r="K145" i="35"/>
  <c r="I147" i="35"/>
  <c r="C145" i="35"/>
  <c r="B145" i="35"/>
  <c r="B144" i="35"/>
  <c r="H143" i="35"/>
  <c r="J143" i="35"/>
  <c r="B143" i="35"/>
  <c r="F145" i="35"/>
  <c r="J148" i="35"/>
  <c r="C143" i="35"/>
  <c r="E143" i="35"/>
  <c r="H147" i="35"/>
  <c r="G148" i="35"/>
  <c r="G146" i="35"/>
  <c r="B146" i="35"/>
  <c r="I143" i="35"/>
  <c r="D148" i="35"/>
  <c r="E147" i="35"/>
  <c r="F230" i="38"/>
  <c r="F386" i="38" s="1"/>
  <c r="F229" i="38"/>
  <c r="F385" i="38" s="1"/>
  <c r="F227" i="38"/>
  <c r="F383" i="38" s="1"/>
  <c r="F231" i="38"/>
  <c r="F387" i="38" s="1"/>
  <c r="F224" i="38"/>
  <c r="F380" i="38" s="1"/>
  <c r="F226" i="38"/>
  <c r="F382" i="38" s="1"/>
  <c r="F225" i="38"/>
  <c r="F381" i="38" s="1"/>
  <c r="F228" i="38"/>
  <c r="F384" i="38" s="1"/>
  <c r="H174" i="39"/>
  <c r="I174" i="8"/>
  <c r="M101" i="29"/>
  <c r="M103" i="29" s="1"/>
  <c r="M104" i="29" s="1"/>
  <c r="L104" i="29"/>
  <c r="J84" i="4"/>
  <c r="I84" i="40"/>
  <c r="F230" i="8"/>
  <c r="F195" i="39"/>
  <c r="F231" i="8"/>
  <c r="F228" i="8"/>
  <c r="F225" i="8"/>
  <c r="F226" i="8"/>
  <c r="F227" i="8"/>
  <c r="F229" i="8"/>
  <c r="F224" i="8"/>
  <c r="F213" i="39"/>
  <c r="H166" i="29"/>
  <c r="H194" i="8"/>
  <c r="G194" i="39"/>
  <c r="K98" i="40"/>
  <c r="K99" i="4"/>
  <c r="G195" i="38"/>
  <c r="H187" i="38"/>
  <c r="F215" i="8"/>
  <c r="F185" i="39"/>
  <c r="F222" i="8"/>
  <c r="F219" i="8"/>
  <c r="F217" i="8"/>
  <c r="F216" i="8"/>
  <c r="F221" i="8"/>
  <c r="F218" i="8"/>
  <c r="F220" i="8"/>
  <c r="G189" i="39"/>
  <c r="H189" i="8"/>
  <c r="E197" i="39"/>
  <c r="F103" i="4"/>
  <c r="F101" i="40"/>
  <c r="J117" i="4"/>
  <c r="J117" i="40" s="1"/>
  <c r="J114" i="40"/>
  <c r="J115" i="4"/>
  <c r="E231" i="39"/>
  <c r="G181" i="39"/>
  <c r="H181" i="8"/>
  <c r="I170" i="8"/>
  <c r="H170" i="39"/>
  <c r="I167" i="38"/>
  <c r="H175" i="38"/>
  <c r="E215" i="39"/>
  <c r="G161" i="39"/>
  <c r="H161" i="8"/>
  <c r="H221" i="29"/>
  <c r="H162" i="29"/>
  <c r="I164" i="29" s="1"/>
  <c r="L210" i="4"/>
  <c r="L75" i="40"/>
  <c r="H160" i="8"/>
  <c r="G160" i="39"/>
  <c r="G177" i="39"/>
  <c r="G185" i="8"/>
  <c r="H177" i="8"/>
  <c r="G191" i="39"/>
  <c r="H191" i="8"/>
  <c r="E199" i="39"/>
  <c r="H163" i="8"/>
  <c r="G163" i="39"/>
  <c r="F204" i="8"/>
  <c r="F199" i="8"/>
  <c r="F198" i="8"/>
  <c r="F203" i="8"/>
  <c r="F200" i="8"/>
  <c r="F197" i="8"/>
  <c r="F202" i="8"/>
  <c r="F201" i="8"/>
  <c r="F165" i="39"/>
  <c r="J82" i="4"/>
  <c r="I82" i="40"/>
  <c r="I87" i="4"/>
  <c r="E227" i="39"/>
  <c r="H193" i="8"/>
  <c r="G193" i="39"/>
  <c r="H158" i="8"/>
  <c r="G158" i="39"/>
  <c r="J118" i="29"/>
  <c r="J131" i="29" s="1"/>
  <c r="J161" i="29" s="1"/>
  <c r="G210" i="38"/>
  <c r="G211" i="38"/>
  <c r="G208" i="38"/>
  <c r="G213" i="38"/>
  <c r="G212" i="38"/>
  <c r="G206" i="38"/>
  <c r="G207" i="38"/>
  <c r="G209" i="38"/>
  <c r="M82" i="29"/>
  <c r="L87" i="29"/>
  <c r="H177" i="38"/>
  <c r="G185" i="38"/>
  <c r="G88" i="40"/>
  <c r="G90" i="4"/>
  <c r="G90" i="40" s="1"/>
  <c r="K105" i="29"/>
  <c r="K116" i="29"/>
  <c r="H175" i="8"/>
  <c r="I167" i="8"/>
  <c r="H167" i="39"/>
  <c r="H192" i="8"/>
  <c r="G192" i="39"/>
  <c r="M52" i="40"/>
  <c r="M70" i="4"/>
  <c r="H212" i="4"/>
  <c r="H212" i="40" s="1"/>
  <c r="H87" i="40"/>
  <c r="H88" i="4"/>
  <c r="M76" i="4"/>
  <c r="M76" i="40" s="1"/>
  <c r="M68" i="40"/>
  <c r="L98" i="4"/>
  <c r="L70" i="40"/>
  <c r="E198" i="39"/>
  <c r="E105" i="4"/>
  <c r="E116" i="4"/>
  <c r="E116" i="40" s="1"/>
  <c r="E104" i="40"/>
  <c r="G157" i="39"/>
  <c r="G165" i="8"/>
  <c r="H157" i="8"/>
  <c r="K113" i="4"/>
  <c r="K111" i="40"/>
  <c r="E217" i="39"/>
  <c r="H173" i="39"/>
  <c r="I173" i="8"/>
  <c r="F209" i="39"/>
  <c r="I172" i="8"/>
  <c r="H172" i="39"/>
  <c r="K211" i="4"/>
  <c r="K211" i="40" s="1"/>
  <c r="K210" i="40"/>
  <c r="I83" i="40"/>
  <c r="J83" i="4"/>
  <c r="G182" i="39"/>
  <c r="H182" i="8"/>
  <c r="G180" i="39"/>
  <c r="H180" i="8"/>
  <c r="G179" i="39"/>
  <c r="H179" i="8"/>
  <c r="H169" i="39"/>
  <c r="I169" i="8"/>
  <c r="E202" i="39"/>
  <c r="J102" i="4"/>
  <c r="J102" i="40" s="1"/>
  <c r="J99" i="40"/>
  <c r="F170" i="29"/>
  <c r="F169" i="29"/>
  <c r="E228" i="39"/>
  <c r="E220" i="39"/>
  <c r="G170" i="29"/>
  <c r="G169" i="29"/>
  <c r="F206" i="39"/>
  <c r="G162" i="39"/>
  <c r="H162" i="8"/>
  <c r="D118" i="40"/>
  <c r="D131" i="4"/>
  <c r="G209" i="8"/>
  <c r="G206" i="8"/>
  <c r="G175" i="39"/>
  <c r="G207" i="8"/>
  <c r="G208" i="8"/>
  <c r="G212" i="8"/>
  <c r="G210" i="8"/>
  <c r="G213" i="8"/>
  <c r="G211" i="8"/>
  <c r="H164" i="8"/>
  <c r="G164" i="39"/>
  <c r="H187" i="8"/>
  <c r="G195" i="8"/>
  <c r="G187" i="39"/>
  <c r="H190" i="8"/>
  <c r="G190" i="39"/>
  <c r="H171" i="39"/>
  <c r="I171" i="8"/>
  <c r="F222" i="38"/>
  <c r="F378" i="38" s="1"/>
  <c r="F216" i="38"/>
  <c r="F372" i="38" s="1"/>
  <c r="F220" i="38"/>
  <c r="F376" i="38" s="1"/>
  <c r="F218" i="38"/>
  <c r="F374" i="38" s="1"/>
  <c r="F217" i="38"/>
  <c r="F373" i="38" s="1"/>
  <c r="F219" i="38"/>
  <c r="F375" i="38" s="1"/>
  <c r="F221" i="38"/>
  <c r="F377" i="38" s="1"/>
  <c r="F215" i="38"/>
  <c r="F371" i="38" s="1"/>
  <c r="F91" i="4"/>
  <c r="E169" i="29"/>
  <c r="E170" i="29"/>
  <c r="H159" i="8"/>
  <c r="G159" i="39"/>
  <c r="B145" i="7"/>
  <c r="E146" i="7"/>
  <c r="K143" i="7"/>
  <c r="C147" i="7"/>
  <c r="C142" i="7"/>
  <c r="G141" i="7"/>
  <c r="I142" i="7"/>
  <c r="C146" i="7"/>
  <c r="E145" i="7"/>
  <c r="H141" i="7"/>
  <c r="K148" i="7"/>
  <c r="I144" i="7"/>
  <c r="G143" i="7"/>
  <c r="F147" i="7"/>
  <c r="F148" i="7"/>
  <c r="G148" i="7"/>
  <c r="H146" i="7"/>
  <c r="J145" i="7"/>
  <c r="F141" i="7"/>
  <c r="J148" i="7"/>
  <c r="J146" i="7"/>
  <c r="H144" i="7"/>
  <c r="K141" i="7"/>
  <c r="C141" i="7"/>
  <c r="I145" i="7"/>
  <c r="C145" i="7"/>
  <c r="B142" i="7"/>
  <c r="E142" i="7"/>
  <c r="D148" i="7"/>
  <c r="J141" i="7"/>
  <c r="B144" i="7"/>
  <c r="G147" i="7"/>
  <c r="K142" i="7"/>
  <c r="F145" i="7"/>
  <c r="D142" i="7"/>
  <c r="G146" i="7"/>
  <c r="H145" i="7"/>
  <c r="E141" i="7"/>
  <c r="B148" i="7"/>
  <c r="D145" i="7"/>
  <c r="E144" i="7"/>
  <c r="I141" i="7"/>
  <c r="B146" i="7"/>
  <c r="F142" i="7"/>
  <c r="E143" i="7"/>
  <c r="G144" i="7"/>
  <c r="J144" i="7"/>
  <c r="H147" i="7"/>
  <c r="D146" i="7"/>
  <c r="F143" i="7"/>
  <c r="G142" i="7"/>
  <c r="G145" i="7"/>
  <c r="D141" i="7"/>
  <c r="D144" i="7"/>
  <c r="K147" i="7"/>
  <c r="I143" i="7"/>
  <c r="K146" i="7"/>
  <c r="I146" i="7"/>
  <c r="C148" i="7"/>
  <c r="E148" i="7"/>
  <c r="K144" i="7"/>
  <c r="E147" i="7"/>
  <c r="I148" i="7"/>
  <c r="D147" i="7"/>
  <c r="H142" i="7"/>
  <c r="H143" i="7"/>
  <c r="C143" i="7"/>
  <c r="H148" i="7"/>
  <c r="F144" i="7"/>
  <c r="B141" i="7"/>
  <c r="J147" i="7"/>
  <c r="J142" i="7"/>
  <c r="I147" i="7"/>
  <c r="F146" i="7"/>
  <c r="J143" i="7"/>
  <c r="B147" i="7"/>
  <c r="B143" i="7"/>
  <c r="K145" i="7"/>
  <c r="D143" i="7"/>
  <c r="C144" i="7"/>
  <c r="H178" i="8"/>
  <c r="G178" i="39"/>
  <c r="H168" i="39"/>
  <c r="I168" i="8"/>
  <c r="E204" i="39"/>
  <c r="E225" i="39"/>
  <c r="H184" i="8"/>
  <c r="G184" i="39"/>
  <c r="E92" i="4"/>
  <c r="E91" i="40"/>
  <c r="E218" i="39"/>
  <c r="E216" i="39"/>
  <c r="E62" i="57"/>
  <c r="L117" i="57"/>
  <c r="L120" i="57"/>
  <c r="L119" i="57"/>
  <c r="L116" i="57"/>
  <c r="L115" i="57"/>
  <c r="L113" i="57"/>
  <c r="L114" i="57"/>
  <c r="L200" i="57"/>
  <c r="L124" i="57"/>
  <c r="L126" i="57"/>
  <c r="L125" i="57"/>
  <c r="L130" i="57"/>
  <c r="L129" i="57"/>
  <c r="L127" i="57"/>
  <c r="L123" i="57"/>
  <c r="C6" i="57"/>
  <c r="C12" i="57"/>
  <c r="C9" i="57"/>
  <c r="C8" i="57"/>
  <c r="C10" i="57"/>
  <c r="C7" i="57"/>
  <c r="M75" i="4" l="1"/>
  <c r="M210" i="4" s="1"/>
  <c r="M67" i="40"/>
  <c r="G211" i="39"/>
  <c r="C143" i="37"/>
  <c r="I162" i="29"/>
  <c r="J164" i="29" s="1"/>
  <c r="J145" i="37"/>
  <c r="H141" i="37"/>
  <c r="F147" i="37"/>
  <c r="D144" i="37"/>
  <c r="B143" i="37"/>
  <c r="G142" i="37"/>
  <c r="B142" i="37"/>
  <c r="K145" i="37"/>
  <c r="E143" i="37"/>
  <c r="D148" i="37"/>
  <c r="J146" i="37"/>
  <c r="F202" i="39"/>
  <c r="B145" i="37"/>
  <c r="K143" i="37"/>
  <c r="D147" i="37"/>
  <c r="C141" i="37"/>
  <c r="I142" i="37"/>
  <c r="F141" i="37"/>
  <c r="E141" i="37"/>
  <c r="H144" i="37"/>
  <c r="C144" i="37"/>
  <c r="C146" i="37"/>
  <c r="J147" i="37"/>
  <c r="E147" i="37"/>
  <c r="G144" i="37"/>
  <c r="F225" i="39"/>
  <c r="F204" i="39"/>
  <c r="G143" i="37"/>
  <c r="C142" i="37"/>
  <c r="B147" i="37"/>
  <c r="J148" i="37"/>
  <c r="C147" i="37"/>
  <c r="F201" i="39"/>
  <c r="I147" i="37"/>
  <c r="I145" i="37"/>
  <c r="G210" i="39"/>
  <c r="H148" i="37"/>
  <c r="I144" i="37"/>
  <c r="G146" i="37"/>
  <c r="E148" i="37"/>
  <c r="D142" i="37"/>
  <c r="C148" i="37"/>
  <c r="G207" i="39"/>
  <c r="I146" i="37"/>
  <c r="C145" i="37"/>
  <c r="M87" i="29"/>
  <c r="M212" i="29" s="1"/>
  <c r="F219" i="39"/>
  <c r="G206" i="39"/>
  <c r="F222" i="39"/>
  <c r="H128" i="40"/>
  <c r="H129" i="4"/>
  <c r="H129" i="40" s="1"/>
  <c r="E145" i="37"/>
  <c r="H147" i="37"/>
  <c r="G209" i="39"/>
  <c r="F203" i="39"/>
  <c r="D143" i="37"/>
  <c r="J144" i="37"/>
  <c r="B148" i="37"/>
  <c r="B144" i="37"/>
  <c r="F148" i="37"/>
  <c r="G213" i="39"/>
  <c r="F230" i="39"/>
  <c r="J141" i="37"/>
  <c r="F199" i="39"/>
  <c r="F229" i="39"/>
  <c r="I127" i="4"/>
  <c r="I125" i="40"/>
  <c r="G141" i="37"/>
  <c r="F144" i="37"/>
  <c r="K144" i="37"/>
  <c r="F216" i="39"/>
  <c r="F227" i="39"/>
  <c r="I166" i="29"/>
  <c r="J162" i="29"/>
  <c r="J221" i="29"/>
  <c r="H160" i="39"/>
  <c r="I160" i="8"/>
  <c r="H145" i="37"/>
  <c r="F217" i="39"/>
  <c r="J84" i="40"/>
  <c r="K84" i="4"/>
  <c r="I188" i="8"/>
  <c r="H188" i="39"/>
  <c r="F142" i="37"/>
  <c r="J173" i="8"/>
  <c r="I173" i="39"/>
  <c r="I167" i="39"/>
  <c r="J167" i="8"/>
  <c r="I175" i="8"/>
  <c r="F200" i="39"/>
  <c r="L210" i="40"/>
  <c r="L211" i="4"/>
  <c r="L211" i="40" s="1"/>
  <c r="J119" i="4"/>
  <c r="J119" i="40" s="1"/>
  <c r="J115" i="40"/>
  <c r="L105" i="29"/>
  <c r="L116" i="29"/>
  <c r="K148" i="37"/>
  <c r="I162" i="8"/>
  <c r="H162" i="39"/>
  <c r="I179" i="8"/>
  <c r="H179" i="39"/>
  <c r="F146" i="37"/>
  <c r="F145" i="37"/>
  <c r="G228" i="8"/>
  <c r="G225" i="8"/>
  <c r="G224" i="8"/>
  <c r="G231" i="8"/>
  <c r="G195" i="39"/>
  <c r="G226" i="8"/>
  <c r="G229" i="8"/>
  <c r="G227" i="8"/>
  <c r="G230" i="8"/>
  <c r="G208" i="39"/>
  <c r="E118" i="4"/>
  <c r="E118" i="40" s="1"/>
  <c r="E105" i="40"/>
  <c r="F198" i="39"/>
  <c r="I177" i="8"/>
  <c r="H185" i="8"/>
  <c r="H177" i="39"/>
  <c r="J170" i="8"/>
  <c r="I170" i="39"/>
  <c r="H168" i="29"/>
  <c r="H167" i="29"/>
  <c r="F228" i="39"/>
  <c r="I174" i="39"/>
  <c r="J174" i="8"/>
  <c r="H190" i="39"/>
  <c r="I190" i="8"/>
  <c r="G197" i="8"/>
  <c r="G204" i="8"/>
  <c r="G202" i="8"/>
  <c r="G165" i="39"/>
  <c r="G203" i="8"/>
  <c r="G201" i="8"/>
  <c r="G200" i="8"/>
  <c r="G198" i="8"/>
  <c r="G199" i="8"/>
  <c r="H192" i="39"/>
  <c r="I192" i="8"/>
  <c r="H163" i="39"/>
  <c r="I163" i="8"/>
  <c r="I189" i="8"/>
  <c r="H189" i="39"/>
  <c r="K102" i="4"/>
  <c r="K102" i="40" s="1"/>
  <c r="K99" i="40"/>
  <c r="J83" i="40"/>
  <c r="K83" i="4"/>
  <c r="F197" i="39"/>
  <c r="H90" i="4"/>
  <c r="H90" i="40" s="1"/>
  <c r="H88" i="40"/>
  <c r="I177" i="38"/>
  <c r="H185" i="38"/>
  <c r="J167" i="38"/>
  <c r="I175" i="38"/>
  <c r="J143" i="37"/>
  <c r="G212" i="39"/>
  <c r="H207" i="8"/>
  <c r="H213" i="8"/>
  <c r="H209" i="8"/>
  <c r="H212" i="8"/>
  <c r="H206" i="8"/>
  <c r="H208" i="8"/>
  <c r="H175" i="39"/>
  <c r="H210" i="8"/>
  <c r="H211" i="8"/>
  <c r="M116" i="29"/>
  <c r="M105" i="29"/>
  <c r="E92" i="40"/>
  <c r="H143" i="37"/>
  <c r="I141" i="37"/>
  <c r="H178" i="39"/>
  <c r="I178" i="8"/>
  <c r="H142" i="37"/>
  <c r="D146" i="37"/>
  <c r="K142" i="37"/>
  <c r="H146" i="37"/>
  <c r="I171" i="39"/>
  <c r="J171" i="8"/>
  <c r="H195" i="8"/>
  <c r="I187" i="8"/>
  <c r="H187" i="39"/>
  <c r="H180" i="39"/>
  <c r="I180" i="8"/>
  <c r="M70" i="40"/>
  <c r="M98" i="4"/>
  <c r="K118" i="29"/>
  <c r="K131" i="29" s="1"/>
  <c r="K161" i="29" s="1"/>
  <c r="K82" i="4"/>
  <c r="J82" i="40"/>
  <c r="J87" i="4"/>
  <c r="G219" i="8"/>
  <c r="G185" i="39"/>
  <c r="G217" i="8"/>
  <c r="G220" i="8"/>
  <c r="G221" i="8"/>
  <c r="G216" i="8"/>
  <c r="G215" i="8"/>
  <c r="G218" i="8"/>
  <c r="G222" i="8"/>
  <c r="H161" i="39"/>
  <c r="I161" i="8"/>
  <c r="H181" i="39"/>
  <c r="I181" i="8"/>
  <c r="F220" i="39"/>
  <c r="F215" i="39"/>
  <c r="F231" i="39"/>
  <c r="B141" i="37"/>
  <c r="B150" i="7" a="1"/>
  <c r="D141" i="37"/>
  <c r="D161" i="4"/>
  <c r="D131" i="40"/>
  <c r="I169" i="39"/>
  <c r="J169" i="8"/>
  <c r="G220" i="38"/>
  <c r="G376" i="38" s="1"/>
  <c r="G221" i="38"/>
  <c r="G377" i="38" s="1"/>
  <c r="G218" i="38"/>
  <c r="G374" i="38" s="1"/>
  <c r="G216" i="38"/>
  <c r="G372" i="38" s="1"/>
  <c r="G217" i="38"/>
  <c r="G373" i="38" s="1"/>
  <c r="G215" i="38"/>
  <c r="G371" i="38" s="1"/>
  <c r="G219" i="38"/>
  <c r="G375" i="38" s="1"/>
  <c r="G222" i="38"/>
  <c r="G378" i="38" s="1"/>
  <c r="H193" i="39"/>
  <c r="I193" i="8"/>
  <c r="H212" i="38"/>
  <c r="H210" i="38"/>
  <c r="H213" i="38"/>
  <c r="H211" i="38"/>
  <c r="H206" i="38"/>
  <c r="H209" i="38"/>
  <c r="H208" i="38"/>
  <c r="H207" i="38"/>
  <c r="I168" i="39"/>
  <c r="J168" i="8"/>
  <c r="G145" i="37"/>
  <c r="E142" i="37"/>
  <c r="F92" i="4"/>
  <c r="F91" i="40"/>
  <c r="I191" i="8"/>
  <c r="H191" i="39"/>
  <c r="F226" i="39"/>
  <c r="B146" i="37"/>
  <c r="H183" i="39"/>
  <c r="I183" i="8"/>
  <c r="F143" i="37"/>
  <c r="E146" i="37"/>
  <c r="K146" i="37"/>
  <c r="E144" i="37"/>
  <c r="I184" i="8"/>
  <c r="H184" i="39"/>
  <c r="J142" i="37"/>
  <c r="I143" i="37"/>
  <c r="D145" i="37"/>
  <c r="G147" i="37"/>
  <c r="G148" i="37"/>
  <c r="I172" i="39"/>
  <c r="J172" i="8"/>
  <c r="L111" i="4"/>
  <c r="K114" i="4"/>
  <c r="K113" i="40"/>
  <c r="G91" i="4"/>
  <c r="F104" i="4"/>
  <c r="G101" i="4"/>
  <c r="F103" i="40"/>
  <c r="F218" i="39"/>
  <c r="H195" i="38"/>
  <c r="I187" i="38"/>
  <c r="B150" i="35" a="1"/>
  <c r="I157" i="38"/>
  <c r="H165" i="38"/>
  <c r="L212" i="29"/>
  <c r="L213" i="29" s="1"/>
  <c r="L88" i="29"/>
  <c r="I87" i="40"/>
  <c r="I88" i="4"/>
  <c r="I212" i="4"/>
  <c r="I212" i="40" s="1"/>
  <c r="I194" i="8"/>
  <c r="H194" i="39"/>
  <c r="I148" i="37"/>
  <c r="K147" i="37"/>
  <c r="K141" i="37"/>
  <c r="I159" i="8"/>
  <c r="H159" i="39"/>
  <c r="I164" i="8"/>
  <c r="H164" i="39"/>
  <c r="I182" i="8"/>
  <c r="H182" i="39"/>
  <c r="I157" i="8"/>
  <c r="H157" i="39"/>
  <c r="H165" i="8"/>
  <c r="L99" i="4"/>
  <c r="L98" i="40"/>
  <c r="H158" i="39"/>
  <c r="I158" i="8"/>
  <c r="F221" i="39"/>
  <c r="G231" i="38"/>
  <c r="G387" i="38" s="1"/>
  <c r="G225" i="38"/>
  <c r="G381" i="38" s="1"/>
  <c r="G227" i="38"/>
  <c r="G383" i="38" s="1"/>
  <c r="G230" i="38"/>
  <c r="G386" i="38" s="1"/>
  <c r="G224" i="38"/>
  <c r="G380" i="38" s="1"/>
  <c r="G228" i="38"/>
  <c r="G384" i="38" s="1"/>
  <c r="G229" i="38"/>
  <c r="G385" i="38" s="1"/>
  <c r="G226" i="38"/>
  <c r="G382" i="38" s="1"/>
  <c r="F224" i="39"/>
  <c r="J85" i="40"/>
  <c r="K85" i="4"/>
  <c r="G203" i="38"/>
  <c r="G200" i="38"/>
  <c r="G198" i="38"/>
  <c r="G201" i="38"/>
  <c r="G197" i="38"/>
  <c r="G204" i="38"/>
  <c r="G199" i="38"/>
  <c r="G202" i="38"/>
  <c r="C68" i="57"/>
  <c r="F62" i="57"/>
  <c r="M75" i="40" l="1"/>
  <c r="M88" i="29"/>
  <c r="M90" i="29" s="1"/>
  <c r="M91" i="29" s="1"/>
  <c r="M92" i="29" s="1"/>
  <c r="E131" i="4"/>
  <c r="E161" i="4" s="1"/>
  <c r="G222" i="39"/>
  <c r="G219" i="39"/>
  <c r="H213" i="39"/>
  <c r="G231" i="39"/>
  <c r="H211" i="39"/>
  <c r="H91" i="4"/>
  <c r="G216" i="39"/>
  <c r="J125" i="4"/>
  <c r="I128" i="4"/>
  <c r="I127" i="40"/>
  <c r="G202" i="39"/>
  <c r="G227" i="39"/>
  <c r="L118" i="29"/>
  <c r="H206" i="39"/>
  <c r="G204" i="39"/>
  <c r="G229" i="39"/>
  <c r="K162" i="29"/>
  <c r="K221" i="29"/>
  <c r="L99" i="40"/>
  <c r="L102" i="4"/>
  <c r="L102" i="40" s="1"/>
  <c r="J191" i="8"/>
  <c r="I191" i="39"/>
  <c r="K85" i="40"/>
  <c r="L85" i="4"/>
  <c r="G215" i="39"/>
  <c r="G198" i="39"/>
  <c r="M213" i="29"/>
  <c r="I187" i="39"/>
  <c r="I195" i="8"/>
  <c r="J187" i="8"/>
  <c r="I178" i="39"/>
  <c r="J178" i="8"/>
  <c r="I157" i="39"/>
  <c r="I165" i="8"/>
  <c r="J157" i="8"/>
  <c r="J153" i="35"/>
  <c r="J157" i="35"/>
  <c r="I155" i="35"/>
  <c r="G152" i="35"/>
  <c r="H157" i="35"/>
  <c r="E155" i="35"/>
  <c r="H152" i="35"/>
  <c r="B150" i="35"/>
  <c r="B152" i="35"/>
  <c r="D156" i="35"/>
  <c r="K153" i="35"/>
  <c r="B153" i="35"/>
  <c r="I156" i="35"/>
  <c r="H154" i="35"/>
  <c r="E150" i="35"/>
  <c r="D154" i="35"/>
  <c r="G155" i="35"/>
  <c r="G150" i="35"/>
  <c r="I154" i="35"/>
  <c r="C154" i="35"/>
  <c r="J150" i="35"/>
  <c r="G156" i="35"/>
  <c r="H151" i="35"/>
  <c r="D152" i="35"/>
  <c r="K155" i="35"/>
  <c r="B155" i="35"/>
  <c r="J152" i="35"/>
  <c r="I152" i="35"/>
  <c r="E156" i="35"/>
  <c r="G153" i="35"/>
  <c r="C155" i="35"/>
  <c r="F157" i="35"/>
  <c r="K156" i="35"/>
  <c r="F156" i="35"/>
  <c r="H150" i="35"/>
  <c r="J154" i="35"/>
  <c r="H156" i="35"/>
  <c r="I157" i="35"/>
  <c r="G154" i="35"/>
  <c r="H155" i="35"/>
  <c r="J155" i="35"/>
  <c r="E151" i="35"/>
  <c r="G151" i="35"/>
  <c r="E153" i="35"/>
  <c r="K152" i="35"/>
  <c r="F155" i="35"/>
  <c r="D153" i="35"/>
  <c r="F154" i="35"/>
  <c r="E157" i="35"/>
  <c r="K151" i="35"/>
  <c r="C157" i="35"/>
  <c r="B156" i="35"/>
  <c r="G157" i="35"/>
  <c r="D151" i="35"/>
  <c r="B154" i="35"/>
  <c r="I151" i="35"/>
  <c r="J151" i="35"/>
  <c r="C151" i="35"/>
  <c r="J156" i="35"/>
  <c r="D155" i="35"/>
  <c r="I150" i="35"/>
  <c r="F151" i="35"/>
  <c r="D157" i="35"/>
  <c r="K154" i="35"/>
  <c r="F152" i="35"/>
  <c r="C150" i="35"/>
  <c r="E154" i="35"/>
  <c r="B151" i="35"/>
  <c r="H153" i="35"/>
  <c r="F150" i="35"/>
  <c r="C153" i="35"/>
  <c r="F153" i="35"/>
  <c r="B157" i="35"/>
  <c r="I153" i="35"/>
  <c r="C152" i="35"/>
  <c r="E152" i="35"/>
  <c r="K157" i="35"/>
  <c r="K150" i="35"/>
  <c r="D150" i="35"/>
  <c r="C156" i="35"/>
  <c r="J183" i="8"/>
  <c r="I183" i="39"/>
  <c r="J181" i="8"/>
  <c r="I181" i="39"/>
  <c r="G221" i="39"/>
  <c r="H225" i="8"/>
  <c r="H226" i="8"/>
  <c r="H224" i="8"/>
  <c r="H229" i="8"/>
  <c r="H231" i="8"/>
  <c r="H230" i="8"/>
  <c r="H228" i="8"/>
  <c r="H227" i="8"/>
  <c r="H195" i="39"/>
  <c r="H210" i="39"/>
  <c r="J189" i="8"/>
  <c r="I189" i="39"/>
  <c r="G201" i="39"/>
  <c r="J174" i="39"/>
  <c r="K174" i="8"/>
  <c r="K174" i="39" s="1"/>
  <c r="K170" i="8"/>
  <c r="K170" i="39" s="1"/>
  <c r="J170" i="39"/>
  <c r="G224" i="39"/>
  <c r="J162" i="8"/>
  <c r="I162" i="39"/>
  <c r="J188" i="8"/>
  <c r="I188" i="39"/>
  <c r="J184" i="8"/>
  <c r="I184" i="39"/>
  <c r="K167" i="38"/>
  <c r="K175" i="38" s="1"/>
  <c r="J175" i="38"/>
  <c r="K164" i="29"/>
  <c r="J166" i="29"/>
  <c r="H212" i="39"/>
  <c r="G103" i="4"/>
  <c r="G101" i="40"/>
  <c r="H203" i="8"/>
  <c r="H199" i="8"/>
  <c r="H197" i="8"/>
  <c r="H165" i="39"/>
  <c r="H202" i="8"/>
  <c r="H200" i="8"/>
  <c r="H204" i="8"/>
  <c r="H201" i="8"/>
  <c r="H198" i="8"/>
  <c r="F116" i="4"/>
  <c r="F116" i="40" s="1"/>
  <c r="F105" i="4"/>
  <c r="F104" i="40"/>
  <c r="J190" i="8"/>
  <c r="I190" i="39"/>
  <c r="I179" i="39"/>
  <c r="J179" i="8"/>
  <c r="I164" i="39"/>
  <c r="J164" i="8"/>
  <c r="G91" i="40"/>
  <c r="G92" i="4"/>
  <c r="H207" i="39"/>
  <c r="I159" i="39"/>
  <c r="J159" i="8"/>
  <c r="I195" i="38"/>
  <c r="J187" i="38"/>
  <c r="K117" i="4"/>
  <c r="K117" i="40" s="1"/>
  <c r="K114" i="40"/>
  <c r="K115" i="4"/>
  <c r="D162" i="4"/>
  <c r="D162" i="40" s="1"/>
  <c r="D161" i="40"/>
  <c r="D221" i="4"/>
  <c r="D221" i="40" s="1"/>
  <c r="G220" i="39"/>
  <c r="M98" i="40"/>
  <c r="M99" i="4"/>
  <c r="J171" i="39"/>
  <c r="K171" i="8"/>
  <c r="K171" i="39" s="1"/>
  <c r="J163" i="8"/>
  <c r="I163" i="39"/>
  <c r="G203" i="39"/>
  <c r="G225" i="39"/>
  <c r="I208" i="8"/>
  <c r="I209" i="8"/>
  <c r="I206" i="8"/>
  <c r="I210" i="8"/>
  <c r="I212" i="8"/>
  <c r="I207" i="8"/>
  <c r="I175" i="39"/>
  <c r="I213" i="8"/>
  <c r="I211" i="8"/>
  <c r="L84" i="4"/>
  <c r="K84" i="40"/>
  <c r="I153" i="7"/>
  <c r="K153" i="7"/>
  <c r="K156" i="7"/>
  <c r="G157" i="7"/>
  <c r="D155" i="7"/>
  <c r="I156" i="7"/>
  <c r="H155" i="7"/>
  <c r="E156" i="7"/>
  <c r="H152" i="7"/>
  <c r="B151" i="7"/>
  <c r="B150" i="7"/>
  <c r="J153" i="7"/>
  <c r="D152" i="7"/>
  <c r="B154" i="7"/>
  <c r="G150" i="7"/>
  <c r="G156" i="7"/>
  <c r="B155" i="7"/>
  <c r="I151" i="7"/>
  <c r="K151" i="7"/>
  <c r="B153" i="7"/>
  <c r="G155" i="7"/>
  <c r="E157" i="7"/>
  <c r="I155" i="7"/>
  <c r="I157" i="7"/>
  <c r="K152" i="7"/>
  <c r="E152" i="7"/>
  <c r="J152" i="7"/>
  <c r="J154" i="7"/>
  <c r="F151" i="7"/>
  <c r="E153" i="7"/>
  <c r="D150" i="7"/>
  <c r="H154" i="7"/>
  <c r="C151" i="7"/>
  <c r="C150" i="7"/>
  <c r="K155" i="7"/>
  <c r="B152" i="7"/>
  <c r="J151" i="7"/>
  <c r="G151" i="7"/>
  <c r="G154" i="7"/>
  <c r="I150" i="7"/>
  <c r="F153" i="7"/>
  <c r="D154" i="7"/>
  <c r="G152" i="7"/>
  <c r="E155" i="7"/>
  <c r="H151" i="7"/>
  <c r="C157" i="7"/>
  <c r="C156" i="7"/>
  <c r="D157" i="7"/>
  <c r="B156" i="7"/>
  <c r="F155" i="7"/>
  <c r="K154" i="7"/>
  <c r="I154" i="7"/>
  <c r="F154" i="7"/>
  <c r="E150" i="7"/>
  <c r="G153" i="7"/>
  <c r="K157" i="7"/>
  <c r="C152" i="7"/>
  <c r="F152" i="7"/>
  <c r="F156" i="7"/>
  <c r="C155" i="7"/>
  <c r="H153" i="7"/>
  <c r="D153" i="7"/>
  <c r="J156" i="7"/>
  <c r="D151" i="7"/>
  <c r="H157" i="7"/>
  <c r="I152" i="7"/>
  <c r="C154" i="7"/>
  <c r="F150" i="7"/>
  <c r="H156" i="7"/>
  <c r="E154" i="7"/>
  <c r="C153" i="7"/>
  <c r="K150" i="7"/>
  <c r="J150" i="7"/>
  <c r="E151" i="7"/>
  <c r="J157" i="7"/>
  <c r="B157" i="7"/>
  <c r="D156" i="7"/>
  <c r="H150" i="7"/>
  <c r="J155" i="7"/>
  <c r="F157" i="7"/>
  <c r="L83" i="4"/>
  <c r="K83" i="40"/>
  <c r="J192" i="8"/>
  <c r="I192" i="39"/>
  <c r="H169" i="29"/>
  <c r="H170" i="29"/>
  <c r="I177" i="39"/>
  <c r="J177" i="8"/>
  <c r="I185" i="8"/>
  <c r="I182" i="39"/>
  <c r="J182" i="8"/>
  <c r="I193" i="39"/>
  <c r="J193" i="8"/>
  <c r="H217" i="38"/>
  <c r="H373" i="38" s="1"/>
  <c r="H222" i="38"/>
  <c r="H378" i="38" s="1"/>
  <c r="H215" i="38"/>
  <c r="H371" i="38" s="1"/>
  <c r="H219" i="38"/>
  <c r="H375" i="38" s="1"/>
  <c r="H221" i="38"/>
  <c r="H377" i="38" s="1"/>
  <c r="H218" i="38"/>
  <c r="H374" i="38" s="1"/>
  <c r="H216" i="38"/>
  <c r="H372" i="38" s="1"/>
  <c r="H220" i="38"/>
  <c r="H376" i="38" s="1"/>
  <c r="I194" i="39"/>
  <c r="J194" i="8"/>
  <c r="H198" i="38"/>
  <c r="H199" i="38"/>
  <c r="H202" i="38"/>
  <c r="H203" i="38"/>
  <c r="H201" i="38"/>
  <c r="H200" i="38"/>
  <c r="H204" i="38"/>
  <c r="H197" i="38"/>
  <c r="K169" i="8"/>
  <c r="K169" i="39" s="1"/>
  <c r="J169" i="39"/>
  <c r="J157" i="38"/>
  <c r="I165" i="38"/>
  <c r="F92" i="40"/>
  <c r="L82" i="4"/>
  <c r="K82" i="40"/>
  <c r="K87" i="4"/>
  <c r="G200" i="39"/>
  <c r="J158" i="8"/>
  <c r="I158" i="39"/>
  <c r="M210" i="40"/>
  <c r="M211" i="4"/>
  <c r="M211" i="40" s="1"/>
  <c r="I88" i="40"/>
  <c r="I90" i="4"/>
  <c r="I90" i="40" s="1"/>
  <c r="H225" i="38"/>
  <c r="H381" i="38" s="1"/>
  <c r="H229" i="38"/>
  <c r="H385" i="38" s="1"/>
  <c r="H226" i="38"/>
  <c r="H382" i="38" s="1"/>
  <c r="H227" i="38"/>
  <c r="H383" i="38" s="1"/>
  <c r="H230" i="38"/>
  <c r="H386" i="38" s="1"/>
  <c r="H228" i="38"/>
  <c r="H384" i="38" s="1"/>
  <c r="H231" i="38"/>
  <c r="H387" i="38" s="1"/>
  <c r="H224" i="38"/>
  <c r="H380" i="38" s="1"/>
  <c r="L111" i="40"/>
  <c r="L113" i="4"/>
  <c r="J168" i="39"/>
  <c r="K168" i="8"/>
  <c r="K168" i="39" s="1"/>
  <c r="J161" i="8"/>
  <c r="I161" i="39"/>
  <c r="G217" i="39"/>
  <c r="H208" i="39"/>
  <c r="I208" i="38"/>
  <c r="I211" i="38"/>
  <c r="I207" i="38"/>
  <c r="I206" i="38"/>
  <c r="I210" i="38"/>
  <c r="I212" i="38"/>
  <c r="I209" i="38"/>
  <c r="I213" i="38"/>
  <c r="H221" i="8"/>
  <c r="H222" i="8"/>
  <c r="H217" i="8"/>
  <c r="H220" i="8"/>
  <c r="H215" i="8"/>
  <c r="H185" i="39"/>
  <c r="H216" i="8"/>
  <c r="H219" i="8"/>
  <c r="H218" i="8"/>
  <c r="G230" i="39"/>
  <c r="G228" i="39"/>
  <c r="K167" i="8"/>
  <c r="J167" i="39"/>
  <c r="J175" i="8"/>
  <c r="I167" i="29"/>
  <c r="I168" i="29"/>
  <c r="J172" i="39"/>
  <c r="K172" i="8"/>
  <c r="K172" i="39" s="1"/>
  <c r="J180" i="8"/>
  <c r="I180" i="39"/>
  <c r="L90" i="29"/>
  <c r="L91" i="29" s="1"/>
  <c r="L92" i="29" s="1"/>
  <c r="G218" i="39"/>
  <c r="J87" i="40"/>
  <c r="J88" i="4"/>
  <c r="J212" i="4"/>
  <c r="M118" i="29"/>
  <c r="H209" i="39"/>
  <c r="J177" i="38"/>
  <c r="I185" i="38"/>
  <c r="G199" i="39"/>
  <c r="G197" i="39"/>
  <c r="G226" i="39"/>
  <c r="K173" i="8"/>
  <c r="K173" i="39" s="1"/>
  <c r="J173" i="39"/>
  <c r="J160" i="8"/>
  <c r="I160" i="39"/>
  <c r="G62" i="57"/>
  <c r="D68" i="57"/>
  <c r="H91" i="40" l="1"/>
  <c r="E131" i="40"/>
  <c r="F151" i="37"/>
  <c r="L131" i="29"/>
  <c r="L161" i="29" s="1"/>
  <c r="L162" i="29" s="1"/>
  <c r="C156" i="37"/>
  <c r="H155" i="37"/>
  <c r="D153" i="37"/>
  <c r="B154" i="37"/>
  <c r="J152" i="37"/>
  <c r="C151" i="37"/>
  <c r="B155" i="37"/>
  <c r="I153" i="37"/>
  <c r="K153" i="37"/>
  <c r="H92" i="4"/>
  <c r="H92" i="40" s="1"/>
  <c r="C152" i="37"/>
  <c r="J155" i="37"/>
  <c r="I152" i="37"/>
  <c r="F155" i="37"/>
  <c r="E152" i="37"/>
  <c r="B151" i="37"/>
  <c r="E155" i="37"/>
  <c r="G153" i="37"/>
  <c r="D156" i="37"/>
  <c r="H151" i="37"/>
  <c r="H217" i="39"/>
  <c r="J157" i="37"/>
  <c r="F156" i="37"/>
  <c r="K151" i="37"/>
  <c r="H228" i="39"/>
  <c r="H222" i="39"/>
  <c r="E151" i="37"/>
  <c r="I212" i="39"/>
  <c r="H202" i="39"/>
  <c r="C153" i="37"/>
  <c r="G154" i="37"/>
  <c r="H219" i="39"/>
  <c r="K157" i="37"/>
  <c r="E156" i="37"/>
  <c r="J125" i="40"/>
  <c r="J127" i="4"/>
  <c r="H157" i="37"/>
  <c r="K152" i="37"/>
  <c r="I128" i="40"/>
  <c r="I129" i="4"/>
  <c r="I129" i="40" s="1"/>
  <c r="J156" i="37"/>
  <c r="I155" i="37"/>
  <c r="I209" i="39"/>
  <c r="H229" i="39"/>
  <c r="E154" i="37"/>
  <c r="C157" i="37"/>
  <c r="G151" i="37"/>
  <c r="E153" i="37"/>
  <c r="I156" i="37"/>
  <c r="I211" i="39"/>
  <c r="I208" i="39"/>
  <c r="H224" i="39"/>
  <c r="H215" i="39"/>
  <c r="H156" i="37"/>
  <c r="H153" i="37"/>
  <c r="D155" i="37"/>
  <c r="I213" i="39"/>
  <c r="H197" i="39"/>
  <c r="I154" i="37"/>
  <c r="J154" i="37"/>
  <c r="B153" i="37"/>
  <c r="G157" i="37"/>
  <c r="E164" i="4"/>
  <c r="E166" i="4" s="1"/>
  <c r="H199" i="39"/>
  <c r="H225" i="39"/>
  <c r="J167" i="29"/>
  <c r="J168" i="29"/>
  <c r="K183" i="8"/>
  <c r="K183" i="39" s="1"/>
  <c r="J183" i="39"/>
  <c r="H220" i="39"/>
  <c r="H150" i="37"/>
  <c r="H158" i="7"/>
  <c r="B158" i="35"/>
  <c r="B160" i="35" a="1"/>
  <c r="K180" i="8"/>
  <c r="K180" i="39" s="1"/>
  <c r="J180" i="39"/>
  <c r="I201" i="38"/>
  <c r="I200" i="38"/>
  <c r="I198" i="38"/>
  <c r="I203" i="38"/>
  <c r="I199" i="38"/>
  <c r="I197" i="38"/>
  <c r="I202" i="38"/>
  <c r="I204" i="38"/>
  <c r="K192" i="8"/>
  <c r="K192" i="39" s="1"/>
  <c r="J192" i="39"/>
  <c r="F154" i="37"/>
  <c r="J151" i="37"/>
  <c r="G155" i="37"/>
  <c r="D152" i="37"/>
  <c r="J195" i="38"/>
  <c r="K187" i="38"/>
  <c r="K195" i="38" s="1"/>
  <c r="J209" i="38"/>
  <c r="J208" i="38"/>
  <c r="J211" i="38"/>
  <c r="J206" i="38"/>
  <c r="J213" i="38"/>
  <c r="J207" i="38"/>
  <c r="J212" i="38"/>
  <c r="J210" i="38"/>
  <c r="M131" i="29"/>
  <c r="M161" i="29" s="1"/>
  <c r="J212" i="40"/>
  <c r="M111" i="4"/>
  <c r="L113" i="40"/>
  <c r="L114" i="4"/>
  <c r="J158" i="39"/>
  <c r="K158" i="8"/>
  <c r="K158" i="39" s="1"/>
  <c r="J165" i="38"/>
  <c r="K157" i="38"/>
  <c r="K165" i="38" s="1"/>
  <c r="B157" i="37"/>
  <c r="F158" i="7"/>
  <c r="F150" i="37"/>
  <c r="C155" i="37"/>
  <c r="B152" i="37"/>
  <c r="J153" i="37"/>
  <c r="I228" i="38"/>
  <c r="I384" i="38" s="1"/>
  <c r="I227" i="38"/>
  <c r="I383" i="38" s="1"/>
  <c r="I229" i="38"/>
  <c r="I385" i="38" s="1"/>
  <c r="I225" i="38"/>
  <c r="I381" i="38" s="1"/>
  <c r="I231" i="38"/>
  <c r="I387" i="38" s="1"/>
  <c r="I226" i="38"/>
  <c r="I382" i="38" s="1"/>
  <c r="I230" i="38"/>
  <c r="I386" i="38" s="1"/>
  <c r="I224" i="38"/>
  <c r="I380" i="38" s="1"/>
  <c r="J164" i="39"/>
  <c r="K164" i="8"/>
  <c r="K164" i="39" s="1"/>
  <c r="K211" i="38"/>
  <c r="K212" i="38"/>
  <c r="K210" i="38"/>
  <c r="K208" i="38"/>
  <c r="K206" i="38"/>
  <c r="K207" i="38"/>
  <c r="K213" i="38"/>
  <c r="K209" i="38"/>
  <c r="K158" i="35"/>
  <c r="F158" i="35"/>
  <c r="J191" i="39"/>
  <c r="K191" i="8"/>
  <c r="K191" i="39" s="1"/>
  <c r="J88" i="40"/>
  <c r="J90" i="4"/>
  <c r="J90" i="40" s="1"/>
  <c r="H218" i="39"/>
  <c r="H221" i="39"/>
  <c r="I218" i="8"/>
  <c r="I216" i="8"/>
  <c r="I215" i="8"/>
  <c r="I185" i="39"/>
  <c r="I217" i="8"/>
  <c r="I221" i="8"/>
  <c r="I219" i="8"/>
  <c r="I220" i="8"/>
  <c r="I222" i="8"/>
  <c r="L83" i="40"/>
  <c r="M83" i="4"/>
  <c r="M83" i="40" s="1"/>
  <c r="C154" i="37"/>
  <c r="K154" i="37"/>
  <c r="G152" i="37"/>
  <c r="K155" i="37"/>
  <c r="B158" i="7"/>
  <c r="B160" i="7" a="1"/>
  <c r="B150" i="37"/>
  <c r="K156" i="37"/>
  <c r="I207" i="39"/>
  <c r="J159" i="39"/>
  <c r="K159" i="8"/>
  <c r="K159" i="39" s="1"/>
  <c r="H198" i="39"/>
  <c r="H203" i="39"/>
  <c r="H227" i="39"/>
  <c r="I158" i="35"/>
  <c r="J158" i="35"/>
  <c r="J178" i="39"/>
  <c r="K178" i="8"/>
  <c r="K178" i="39" s="1"/>
  <c r="K177" i="38"/>
  <c r="K185" i="38" s="1"/>
  <c r="J185" i="38"/>
  <c r="D158" i="7"/>
  <c r="D150" i="37"/>
  <c r="M85" i="4"/>
  <c r="M85" i="40" s="1"/>
  <c r="L85" i="40"/>
  <c r="E158" i="7"/>
  <c r="E150" i="37"/>
  <c r="L164" i="29"/>
  <c r="K166" i="29"/>
  <c r="K189" i="8"/>
  <c r="K189" i="39" s="1"/>
  <c r="J189" i="39"/>
  <c r="K177" i="8"/>
  <c r="J185" i="8"/>
  <c r="J177" i="39"/>
  <c r="F152" i="37"/>
  <c r="D154" i="37"/>
  <c r="C158" i="7"/>
  <c r="C150" i="37"/>
  <c r="I151" i="37"/>
  <c r="K163" i="8"/>
  <c r="K163" i="39" s="1"/>
  <c r="J163" i="39"/>
  <c r="K179" i="8"/>
  <c r="K179" i="39" s="1"/>
  <c r="J179" i="39"/>
  <c r="I169" i="29"/>
  <c r="I170" i="29"/>
  <c r="H216" i="39"/>
  <c r="I91" i="4"/>
  <c r="K194" i="8"/>
  <c r="K194" i="39" s="1"/>
  <c r="J194" i="39"/>
  <c r="E162" i="4"/>
  <c r="E162" i="40" s="1"/>
  <c r="E221" i="4"/>
  <c r="E221" i="40" s="1"/>
  <c r="E161" i="40"/>
  <c r="J150" i="37"/>
  <c r="J158" i="7"/>
  <c r="B156" i="37"/>
  <c r="F153" i="37"/>
  <c r="H152" i="37"/>
  <c r="I210" i="39"/>
  <c r="H204" i="39"/>
  <c r="H101" i="4"/>
  <c r="G103" i="40"/>
  <c r="G104" i="4"/>
  <c r="H230" i="39"/>
  <c r="K181" i="8"/>
  <c r="K181" i="39" s="1"/>
  <c r="J181" i="39"/>
  <c r="H158" i="35"/>
  <c r="K187" i="8"/>
  <c r="J187" i="39"/>
  <c r="J195" i="8"/>
  <c r="K161" i="8"/>
  <c r="K161" i="39" s="1"/>
  <c r="J161" i="39"/>
  <c r="K193" i="8"/>
  <c r="K193" i="39" s="1"/>
  <c r="J193" i="39"/>
  <c r="G150" i="37"/>
  <c r="G158" i="7"/>
  <c r="M84" i="4"/>
  <c r="M84" i="40" s="1"/>
  <c r="L84" i="40"/>
  <c r="M102" i="4"/>
  <c r="M102" i="40" s="1"/>
  <c r="M99" i="40"/>
  <c r="J190" i="39"/>
  <c r="K190" i="8"/>
  <c r="K190" i="39" s="1"/>
  <c r="K167" i="39"/>
  <c r="K175" i="8"/>
  <c r="E157" i="37"/>
  <c r="G92" i="40"/>
  <c r="K162" i="8"/>
  <c r="K162" i="39" s="1"/>
  <c r="J162" i="39"/>
  <c r="J157" i="39"/>
  <c r="J165" i="8"/>
  <c r="K157" i="8"/>
  <c r="K182" i="8"/>
  <c r="K182" i="39" s="1"/>
  <c r="J182" i="39"/>
  <c r="F118" i="4"/>
  <c r="F105" i="40"/>
  <c r="H226" i="39"/>
  <c r="D158" i="35"/>
  <c r="E158" i="35"/>
  <c r="I202" i="8"/>
  <c r="I198" i="8"/>
  <c r="I165" i="39"/>
  <c r="I197" i="8"/>
  <c r="I203" i="8"/>
  <c r="I204" i="8"/>
  <c r="I201" i="8"/>
  <c r="I199" i="8"/>
  <c r="I200" i="8"/>
  <c r="K88" i="4"/>
  <c r="K212" i="4"/>
  <c r="K212" i="40" s="1"/>
  <c r="K87" i="40"/>
  <c r="H201" i="39"/>
  <c r="K184" i="8"/>
  <c r="K184" i="39" s="1"/>
  <c r="J184" i="39"/>
  <c r="J160" i="39"/>
  <c r="K160" i="8"/>
  <c r="K160" i="39" s="1"/>
  <c r="I217" i="38"/>
  <c r="I373" i="38" s="1"/>
  <c r="I219" i="38"/>
  <c r="I375" i="38" s="1"/>
  <c r="I221" i="38"/>
  <c r="I377" i="38" s="1"/>
  <c r="I216" i="38"/>
  <c r="I372" i="38" s="1"/>
  <c r="I218" i="38"/>
  <c r="I374" i="38" s="1"/>
  <c r="I222" i="38"/>
  <c r="I378" i="38" s="1"/>
  <c r="I220" i="38"/>
  <c r="I376" i="38" s="1"/>
  <c r="I215" i="38"/>
  <c r="I371" i="38" s="1"/>
  <c r="J212" i="8"/>
  <c r="J175" i="39"/>
  <c r="J211" i="8"/>
  <c r="J206" i="8"/>
  <c r="J207" i="8"/>
  <c r="J209" i="8"/>
  <c r="J210" i="8"/>
  <c r="J213" i="8"/>
  <c r="J208" i="8"/>
  <c r="L82" i="40"/>
  <c r="M82" i="4"/>
  <c r="L87" i="4"/>
  <c r="F157" i="37"/>
  <c r="K150" i="37"/>
  <c r="K158" i="7"/>
  <c r="D151" i="37"/>
  <c r="D157" i="37"/>
  <c r="I150" i="37"/>
  <c r="I158" i="7"/>
  <c r="H154" i="37"/>
  <c r="I157" i="37"/>
  <c r="G156" i="37"/>
  <c r="I206" i="39"/>
  <c r="K115" i="40"/>
  <c r="K119" i="4"/>
  <c r="K119" i="40" s="1"/>
  <c r="H200" i="39"/>
  <c r="K188" i="8"/>
  <c r="K188" i="39" s="1"/>
  <c r="J188" i="39"/>
  <c r="H231" i="39"/>
  <c r="C158" i="35"/>
  <c r="G158" i="35"/>
  <c r="I229" i="8"/>
  <c r="I224" i="8"/>
  <c r="I227" i="8"/>
  <c r="I195" i="39"/>
  <c r="I225" i="8"/>
  <c r="I226" i="8"/>
  <c r="I231" i="8"/>
  <c r="I230" i="8"/>
  <c r="I228" i="8"/>
  <c r="H62" i="57"/>
  <c r="L221" i="29" l="1"/>
  <c r="I230" i="39"/>
  <c r="I197" i="39"/>
  <c r="J212" i="39"/>
  <c r="J213" i="39"/>
  <c r="I229" i="39"/>
  <c r="K158" i="37"/>
  <c r="I225" i="39"/>
  <c r="J208" i="39"/>
  <c r="G158" i="37"/>
  <c r="I202" i="39"/>
  <c r="J207" i="39"/>
  <c r="I231" i="39"/>
  <c r="J209" i="39"/>
  <c r="I201" i="39"/>
  <c r="B362" i="38" a="1"/>
  <c r="D367" i="38" s="1"/>
  <c r="E158" i="37"/>
  <c r="F158" i="37"/>
  <c r="I227" i="39"/>
  <c r="E164" i="40"/>
  <c r="E201" i="4"/>
  <c r="J128" i="4"/>
  <c r="J127" i="40"/>
  <c r="K125" i="4"/>
  <c r="J210" i="39"/>
  <c r="I228" i="39"/>
  <c r="I200" i="39"/>
  <c r="I226" i="39"/>
  <c r="I204" i="39"/>
  <c r="H158" i="37"/>
  <c r="I199" i="39"/>
  <c r="H101" i="40"/>
  <c r="H103" i="4"/>
  <c r="J158" i="37"/>
  <c r="I216" i="39"/>
  <c r="K187" i="39"/>
  <c r="K195" i="8"/>
  <c r="C158" i="37"/>
  <c r="D164" i="7"/>
  <c r="E164" i="7"/>
  <c r="I167" i="7"/>
  <c r="C163" i="7"/>
  <c r="C166" i="7"/>
  <c r="E162" i="7"/>
  <c r="I162" i="7"/>
  <c r="K165" i="7"/>
  <c r="B162" i="7"/>
  <c r="D165" i="7"/>
  <c r="D166" i="7"/>
  <c r="E166" i="7"/>
  <c r="D160" i="7"/>
  <c r="J162" i="7"/>
  <c r="K163" i="7"/>
  <c r="F167" i="7"/>
  <c r="D167" i="7"/>
  <c r="H164" i="7"/>
  <c r="J165" i="7"/>
  <c r="K161" i="7"/>
  <c r="I160" i="7"/>
  <c r="I165" i="7"/>
  <c r="I161" i="7"/>
  <c r="C167" i="7"/>
  <c r="F165" i="7"/>
  <c r="D162" i="7"/>
  <c r="C162" i="7"/>
  <c r="I163" i="7"/>
  <c r="C165" i="7"/>
  <c r="D161" i="7"/>
  <c r="E165" i="7"/>
  <c r="G165" i="7"/>
  <c r="B160" i="7"/>
  <c r="B166" i="7"/>
  <c r="K162" i="7"/>
  <c r="G164" i="7"/>
  <c r="G160" i="7"/>
  <c r="B164" i="7"/>
  <c r="B161" i="7"/>
  <c r="B167" i="7"/>
  <c r="H166" i="7"/>
  <c r="K160" i="7"/>
  <c r="K166" i="7"/>
  <c r="F166" i="7"/>
  <c r="H165" i="7"/>
  <c r="J163" i="7"/>
  <c r="J161" i="7"/>
  <c r="B165" i="7"/>
  <c r="B163" i="7"/>
  <c r="J160" i="7"/>
  <c r="E163" i="7"/>
  <c r="K164" i="7"/>
  <c r="C160" i="7"/>
  <c r="G163" i="7"/>
  <c r="D163" i="7"/>
  <c r="G166" i="7"/>
  <c r="F163" i="7"/>
  <c r="I166" i="7"/>
  <c r="G167" i="7"/>
  <c r="F160" i="7"/>
  <c r="H161" i="7"/>
  <c r="C161" i="7"/>
  <c r="F164" i="7"/>
  <c r="E167" i="7"/>
  <c r="J166" i="7"/>
  <c r="F161" i="7"/>
  <c r="H167" i="7"/>
  <c r="H160" i="7"/>
  <c r="H162" i="7"/>
  <c r="E160" i="7"/>
  <c r="C164" i="7"/>
  <c r="H163" i="7"/>
  <c r="E161" i="7"/>
  <c r="J164" i="7"/>
  <c r="G162" i="7"/>
  <c r="I164" i="7"/>
  <c r="K167" i="7"/>
  <c r="F162" i="7"/>
  <c r="J167" i="7"/>
  <c r="G161" i="7"/>
  <c r="I222" i="39"/>
  <c r="I218" i="39"/>
  <c r="K201" i="38"/>
  <c r="K197" i="38"/>
  <c r="K203" i="38"/>
  <c r="K198" i="38"/>
  <c r="K199" i="38"/>
  <c r="K200" i="38"/>
  <c r="K204" i="38"/>
  <c r="K202" i="38"/>
  <c r="J204" i="8"/>
  <c r="J198" i="8"/>
  <c r="J200" i="8"/>
  <c r="J202" i="8"/>
  <c r="J199" i="8"/>
  <c r="J203" i="8"/>
  <c r="J165" i="39"/>
  <c r="J201" i="8"/>
  <c r="J197" i="8"/>
  <c r="J224" i="8"/>
  <c r="J231" i="8"/>
  <c r="J226" i="8"/>
  <c r="J195" i="39"/>
  <c r="J225" i="8"/>
  <c r="J229" i="8"/>
  <c r="J227" i="8"/>
  <c r="J230" i="8"/>
  <c r="J228" i="8"/>
  <c r="I91" i="40"/>
  <c r="I92" i="4"/>
  <c r="I215" i="39"/>
  <c r="J206" i="39"/>
  <c r="I203" i="39"/>
  <c r="D158" i="37"/>
  <c r="B158" i="37"/>
  <c r="I220" i="39"/>
  <c r="M221" i="29"/>
  <c r="M162" i="29"/>
  <c r="K167" i="29"/>
  <c r="K168" i="29"/>
  <c r="J219" i="38"/>
  <c r="J375" i="38" s="1"/>
  <c r="J216" i="38"/>
  <c r="J372" i="38" s="1"/>
  <c r="J220" i="38"/>
  <c r="J376" i="38" s="1"/>
  <c r="J215" i="38"/>
  <c r="J371" i="38" s="1"/>
  <c r="J222" i="38"/>
  <c r="J378" i="38" s="1"/>
  <c r="J218" i="38"/>
  <c r="J374" i="38" s="1"/>
  <c r="J221" i="38"/>
  <c r="J377" i="38" s="1"/>
  <c r="J217" i="38"/>
  <c r="J373" i="38" s="1"/>
  <c r="I219" i="39"/>
  <c r="K225" i="38"/>
  <c r="K381" i="38" s="1"/>
  <c r="K226" i="38"/>
  <c r="K382" i="38" s="1"/>
  <c r="K229" i="38"/>
  <c r="K385" i="38" s="1"/>
  <c r="K227" i="38"/>
  <c r="K383" i="38" s="1"/>
  <c r="K228" i="38"/>
  <c r="K384" i="38" s="1"/>
  <c r="K231" i="38"/>
  <c r="K387" i="38" s="1"/>
  <c r="K230" i="38"/>
  <c r="K386" i="38" s="1"/>
  <c r="K224" i="38"/>
  <c r="K380" i="38" s="1"/>
  <c r="K165" i="8"/>
  <c r="K157" i="39"/>
  <c r="K212" i="8"/>
  <c r="K212" i="39" s="1"/>
  <c r="K209" i="8"/>
  <c r="K209" i="39" s="1"/>
  <c r="K175" i="39"/>
  <c r="K213" i="8"/>
  <c r="K208" i="8"/>
  <c r="K208" i="39" s="1"/>
  <c r="K207" i="8"/>
  <c r="K207" i="39" s="1"/>
  <c r="K211" i="8"/>
  <c r="K211" i="39" s="1"/>
  <c r="K206" i="8"/>
  <c r="K206" i="39" s="1"/>
  <c r="K210" i="8"/>
  <c r="K210" i="39" s="1"/>
  <c r="M111" i="40"/>
  <c r="M113" i="4"/>
  <c r="M164" i="29"/>
  <c r="M166" i="29" s="1"/>
  <c r="L166" i="29"/>
  <c r="K218" i="38"/>
  <c r="K374" i="38" s="1"/>
  <c r="K220" i="38"/>
  <c r="K376" i="38" s="1"/>
  <c r="K215" i="38"/>
  <c r="K371" i="38" s="1"/>
  <c r="K216" i="38"/>
  <c r="K372" i="38" s="1"/>
  <c r="K221" i="38"/>
  <c r="K377" i="38" s="1"/>
  <c r="K222" i="38"/>
  <c r="K378" i="38" s="1"/>
  <c r="K219" i="38"/>
  <c r="K375" i="38" s="1"/>
  <c r="K217" i="38"/>
  <c r="K373" i="38" s="1"/>
  <c r="I221" i="39"/>
  <c r="F164" i="4"/>
  <c r="J230" i="38"/>
  <c r="J386" i="38" s="1"/>
  <c r="J225" i="38"/>
  <c r="J381" i="38" s="1"/>
  <c r="J226" i="38"/>
  <c r="J382" i="38" s="1"/>
  <c r="J224" i="38"/>
  <c r="J380" i="38" s="1"/>
  <c r="J227" i="38"/>
  <c r="J383" i="38" s="1"/>
  <c r="J229" i="38"/>
  <c r="J385" i="38" s="1"/>
  <c r="J231" i="38"/>
  <c r="J387" i="38" s="1"/>
  <c r="J228" i="38"/>
  <c r="J384" i="38" s="1"/>
  <c r="G116" i="4"/>
  <c r="G116" i="40" s="1"/>
  <c r="G105" i="4"/>
  <c r="G104" i="40"/>
  <c r="K185" i="8"/>
  <c r="K177" i="39"/>
  <c r="L87" i="40"/>
  <c r="L212" i="4"/>
  <c r="L212" i="40" s="1"/>
  <c r="L88" i="4"/>
  <c r="E167" i="4"/>
  <c r="E168" i="4"/>
  <c r="E168" i="40" s="1"/>
  <c r="E166" i="40"/>
  <c r="J199" i="38"/>
  <c r="J202" i="38"/>
  <c r="J198" i="38"/>
  <c r="J201" i="38"/>
  <c r="J197" i="38"/>
  <c r="J200" i="38"/>
  <c r="J204" i="38"/>
  <c r="J203" i="38"/>
  <c r="I158" i="37"/>
  <c r="M82" i="40"/>
  <c r="M87" i="4"/>
  <c r="J211" i="39"/>
  <c r="F118" i="40"/>
  <c r="F131" i="4"/>
  <c r="I224" i="39"/>
  <c r="K90" i="4"/>
  <c r="K90" i="40" s="1"/>
  <c r="K88" i="40"/>
  <c r="I198" i="39"/>
  <c r="J219" i="8"/>
  <c r="J218" i="8"/>
  <c r="J215" i="8"/>
  <c r="J222" i="8"/>
  <c r="J220" i="8"/>
  <c r="J217" i="8"/>
  <c r="J216" i="8"/>
  <c r="J185" i="39"/>
  <c r="J221" i="8"/>
  <c r="I217" i="39"/>
  <c r="J91" i="4"/>
  <c r="L115" i="4"/>
  <c r="L117" i="4"/>
  <c r="L117" i="40" s="1"/>
  <c r="L114" i="40"/>
  <c r="H164" i="35"/>
  <c r="D165" i="35"/>
  <c r="H161" i="35"/>
  <c r="H163" i="35"/>
  <c r="K160" i="35"/>
  <c r="G161" i="35"/>
  <c r="D160" i="35"/>
  <c r="J163" i="35"/>
  <c r="B162" i="35"/>
  <c r="I163" i="35"/>
  <c r="B163" i="35"/>
  <c r="G164" i="35"/>
  <c r="H160" i="35"/>
  <c r="D163" i="35"/>
  <c r="D162" i="35"/>
  <c r="G165" i="35"/>
  <c r="H167" i="35"/>
  <c r="D167" i="35"/>
  <c r="K167" i="35"/>
  <c r="C167" i="35"/>
  <c r="K165" i="35"/>
  <c r="C161" i="35"/>
  <c r="I165" i="35"/>
  <c r="G160" i="35"/>
  <c r="H162" i="35"/>
  <c r="I167" i="35"/>
  <c r="J166" i="35"/>
  <c r="G162" i="35"/>
  <c r="C163" i="35"/>
  <c r="J165" i="35"/>
  <c r="H166" i="35"/>
  <c r="F167" i="35"/>
  <c r="C162" i="35"/>
  <c r="B166" i="35"/>
  <c r="E162" i="35"/>
  <c r="E167" i="35"/>
  <c r="E166" i="35"/>
  <c r="E165" i="35"/>
  <c r="J160" i="35"/>
  <c r="D164" i="35"/>
  <c r="I166" i="35"/>
  <c r="F163" i="35"/>
  <c r="B160" i="35"/>
  <c r="G163" i="35"/>
  <c r="J161" i="35"/>
  <c r="C165" i="35"/>
  <c r="G166" i="35"/>
  <c r="J162" i="35"/>
  <c r="G167" i="35"/>
  <c r="K163" i="35"/>
  <c r="F160" i="35"/>
  <c r="K162" i="35"/>
  <c r="K166" i="35"/>
  <c r="C166" i="35"/>
  <c r="E161" i="35"/>
  <c r="H165" i="35"/>
  <c r="E160" i="35"/>
  <c r="B165" i="35"/>
  <c r="F161" i="35"/>
  <c r="F164" i="35"/>
  <c r="B161" i="35"/>
  <c r="J164" i="35"/>
  <c r="I161" i="35"/>
  <c r="K161" i="35"/>
  <c r="C164" i="35"/>
  <c r="D161" i="35"/>
  <c r="E163" i="35"/>
  <c r="J167" i="35"/>
  <c r="F162" i="35"/>
  <c r="D166" i="35"/>
  <c r="B164" i="35"/>
  <c r="E164" i="35"/>
  <c r="I164" i="35"/>
  <c r="I160" i="35"/>
  <c r="B167" i="35"/>
  <c r="K164" i="35"/>
  <c r="C160" i="35"/>
  <c r="F166" i="35"/>
  <c r="I162" i="35"/>
  <c r="F165" i="35"/>
  <c r="J170" i="29"/>
  <c r="J169" i="29"/>
  <c r="D151" i="57"/>
  <c r="D152" i="57"/>
  <c r="D150" i="57"/>
  <c r="D81" i="57"/>
  <c r="D154" i="57"/>
  <c r="D153" i="57"/>
  <c r="I62" i="57"/>
  <c r="D134" i="57"/>
  <c r="D133" i="57"/>
  <c r="D82" i="57"/>
  <c r="D137" i="57"/>
  <c r="D135" i="57"/>
  <c r="D136" i="57"/>
  <c r="J221" i="39" l="1"/>
  <c r="J218" i="39"/>
  <c r="J220" i="39"/>
  <c r="J224" i="39"/>
  <c r="I164" i="37"/>
  <c r="K161" i="37"/>
  <c r="J229" i="39"/>
  <c r="F163" i="37"/>
  <c r="F165" i="37"/>
  <c r="D167" i="37"/>
  <c r="B162" i="37"/>
  <c r="D164" i="37"/>
  <c r="C367" i="38"/>
  <c r="I365" i="38"/>
  <c r="C365" i="38"/>
  <c r="J364" i="38"/>
  <c r="G365" i="38"/>
  <c r="I163" i="37"/>
  <c r="E365" i="38"/>
  <c r="G362" i="38"/>
  <c r="I367" i="38"/>
  <c r="G366" i="38"/>
  <c r="J369" i="38"/>
  <c r="C369" i="38"/>
  <c r="B366" i="38"/>
  <c r="I368" i="38"/>
  <c r="I366" i="38"/>
  <c r="J366" i="38"/>
  <c r="H367" i="38"/>
  <c r="F366" i="38"/>
  <c r="E369" i="38"/>
  <c r="C366" i="38"/>
  <c r="I364" i="38"/>
  <c r="D368" i="38"/>
  <c r="D369" i="38"/>
  <c r="K367" i="38"/>
  <c r="F369" i="38"/>
  <c r="E368" i="38"/>
  <c r="G367" i="38"/>
  <c r="I369" i="38"/>
  <c r="D362" i="38"/>
  <c r="J368" i="38"/>
  <c r="K363" i="38"/>
  <c r="H365" i="38"/>
  <c r="B363" i="38"/>
  <c r="E367" i="38"/>
  <c r="C362" i="38"/>
  <c r="F368" i="38"/>
  <c r="K366" i="38"/>
  <c r="J363" i="38"/>
  <c r="I363" i="38"/>
  <c r="D366" i="38"/>
  <c r="D365" i="38"/>
  <c r="J219" i="39"/>
  <c r="E364" i="38"/>
  <c r="F367" i="38"/>
  <c r="C368" i="38"/>
  <c r="J362" i="38"/>
  <c r="C364" i="38"/>
  <c r="B367" i="38"/>
  <c r="H369" i="38"/>
  <c r="I362" i="38"/>
  <c r="F362" i="38"/>
  <c r="F363" i="38"/>
  <c r="B364" i="38"/>
  <c r="D363" i="38"/>
  <c r="B368" i="38"/>
  <c r="G369" i="38"/>
  <c r="J365" i="38"/>
  <c r="K368" i="38"/>
  <c r="K365" i="38"/>
  <c r="G368" i="38"/>
  <c r="H366" i="38"/>
  <c r="H368" i="38"/>
  <c r="J198" i="39"/>
  <c r="E166" i="37"/>
  <c r="C163" i="37"/>
  <c r="F365" i="38"/>
  <c r="H363" i="38"/>
  <c r="B369" i="38"/>
  <c r="G363" i="38"/>
  <c r="K369" i="38"/>
  <c r="C363" i="38"/>
  <c r="G364" i="38"/>
  <c r="B362" i="38"/>
  <c r="B365" i="38"/>
  <c r="E362" i="38"/>
  <c r="K362" i="38"/>
  <c r="E363" i="38"/>
  <c r="H362" i="38"/>
  <c r="K364" i="38"/>
  <c r="D364" i="38"/>
  <c r="H364" i="38"/>
  <c r="F364" i="38"/>
  <c r="E366" i="38"/>
  <c r="J367" i="38"/>
  <c r="K127" i="4"/>
  <c r="K125" i="40"/>
  <c r="J216" i="39"/>
  <c r="J217" i="39"/>
  <c r="J168" i="35"/>
  <c r="K91" i="4"/>
  <c r="J231" i="39"/>
  <c r="J200" i="39"/>
  <c r="K167" i="37"/>
  <c r="H162" i="37"/>
  <c r="H161" i="37"/>
  <c r="H165" i="37"/>
  <c r="C165" i="37"/>
  <c r="C166" i="37"/>
  <c r="J129" i="4"/>
  <c r="J129" i="40" s="1"/>
  <c r="J128" i="40"/>
  <c r="J228" i="39"/>
  <c r="K164" i="37"/>
  <c r="G164" i="37"/>
  <c r="J197" i="39"/>
  <c r="G162" i="37"/>
  <c r="K162" i="37"/>
  <c r="H160" i="37"/>
  <c r="H168" i="7"/>
  <c r="F160" i="37"/>
  <c r="F168" i="7"/>
  <c r="F166" i="37"/>
  <c r="C168" i="35"/>
  <c r="H168" i="35"/>
  <c r="K168" i="35"/>
  <c r="J91" i="40"/>
  <c r="J92" i="4"/>
  <c r="J215" i="39"/>
  <c r="F161" i="4"/>
  <c r="F131" i="40"/>
  <c r="E167" i="40"/>
  <c r="E170" i="4"/>
  <c r="E170" i="40" s="1"/>
  <c r="E169" i="4"/>
  <c r="J230" i="39"/>
  <c r="J204" i="39"/>
  <c r="H167" i="37"/>
  <c r="G167" i="37"/>
  <c r="E163" i="37"/>
  <c r="K166" i="37"/>
  <c r="C162" i="37"/>
  <c r="J165" i="37"/>
  <c r="D166" i="37"/>
  <c r="I167" i="37"/>
  <c r="L88" i="40"/>
  <c r="L90" i="4"/>
  <c r="L90" i="40" s="1"/>
  <c r="F164" i="40"/>
  <c r="F201" i="4"/>
  <c r="F166" i="4"/>
  <c r="K201" i="8"/>
  <c r="K201" i="39" s="1"/>
  <c r="K204" i="8"/>
  <c r="K197" i="8"/>
  <c r="K197" i="39" s="1"/>
  <c r="K165" i="39"/>
  <c r="K198" i="8"/>
  <c r="K198" i="39" s="1"/>
  <c r="K202" i="8"/>
  <c r="K202" i="39" s="1"/>
  <c r="K203" i="8"/>
  <c r="K203" i="39" s="1"/>
  <c r="K199" i="8"/>
  <c r="K199" i="39" s="1"/>
  <c r="K200" i="8"/>
  <c r="K200" i="39" s="1"/>
  <c r="J227" i="39"/>
  <c r="J201" i="39"/>
  <c r="J164" i="37"/>
  <c r="F161" i="37"/>
  <c r="I166" i="37"/>
  <c r="J160" i="37"/>
  <c r="J168" i="7"/>
  <c r="K168" i="7"/>
  <c r="K160" i="37"/>
  <c r="B166" i="37"/>
  <c r="D162" i="37"/>
  <c r="H164" i="37"/>
  <c r="D165" i="37"/>
  <c r="E164" i="37"/>
  <c r="C168" i="7"/>
  <c r="C160" i="37"/>
  <c r="I160" i="37"/>
  <c r="I168" i="7"/>
  <c r="D168" i="7"/>
  <c r="D160" i="37"/>
  <c r="J222" i="39"/>
  <c r="G118" i="4"/>
  <c r="G105" i="40"/>
  <c r="L167" i="29"/>
  <c r="L168" i="29"/>
  <c r="J225" i="39"/>
  <c r="J203" i="39"/>
  <c r="G161" i="37"/>
  <c r="H163" i="37"/>
  <c r="E167" i="37"/>
  <c r="G166" i="37"/>
  <c r="B165" i="37"/>
  <c r="B167" i="37"/>
  <c r="G165" i="37"/>
  <c r="C167" i="37"/>
  <c r="F167" i="37"/>
  <c r="K165" i="37"/>
  <c r="H104" i="4"/>
  <c r="I101" i="4"/>
  <c r="H103" i="40"/>
  <c r="G160" i="37"/>
  <c r="G168" i="7"/>
  <c r="F168" i="35"/>
  <c r="B170" i="35" a="1"/>
  <c r="B168" i="35"/>
  <c r="E161" i="37"/>
  <c r="B163" i="37"/>
  <c r="B160" i="37"/>
  <c r="B170" i="7" a="1"/>
  <c r="B168" i="7"/>
  <c r="E168" i="35"/>
  <c r="B524" i="38" a="1"/>
  <c r="K170" i="29"/>
  <c r="K169" i="29"/>
  <c r="J199" i="39"/>
  <c r="J167" i="37"/>
  <c r="C164" i="37"/>
  <c r="F164" i="37"/>
  <c r="D163" i="37"/>
  <c r="J161" i="37"/>
  <c r="B161" i="37"/>
  <c r="E165" i="37"/>
  <c r="I161" i="37"/>
  <c r="K163" i="37"/>
  <c r="I162" i="37"/>
  <c r="K227" i="8"/>
  <c r="K227" i="39" s="1"/>
  <c r="K224" i="8"/>
  <c r="K224" i="39" s="1"/>
  <c r="K231" i="8"/>
  <c r="K228" i="8"/>
  <c r="K228" i="39" s="1"/>
  <c r="K229" i="8"/>
  <c r="K229" i="39" s="1"/>
  <c r="K230" i="8"/>
  <c r="K230" i="39" s="1"/>
  <c r="K195" i="39"/>
  <c r="K226" i="8"/>
  <c r="K226" i="39" s="1"/>
  <c r="K225" i="8"/>
  <c r="K225" i="39" s="1"/>
  <c r="D168" i="35"/>
  <c r="L115" i="40"/>
  <c r="L119" i="4"/>
  <c r="L119" i="40" s="1"/>
  <c r="B353" i="38" a="1"/>
  <c r="J166" i="37"/>
  <c r="H166" i="37"/>
  <c r="I168" i="35"/>
  <c r="M212" i="4"/>
  <c r="M87" i="40"/>
  <c r="M88" i="4"/>
  <c r="M168" i="29"/>
  <c r="M167" i="29"/>
  <c r="K213" i="39"/>
  <c r="B362" i="8" a="1"/>
  <c r="G168" i="35"/>
  <c r="K218" i="8"/>
  <c r="K218" i="39" s="1"/>
  <c r="K222" i="8"/>
  <c r="K216" i="8"/>
  <c r="K216" i="39" s="1"/>
  <c r="K221" i="8"/>
  <c r="K221" i="39" s="1"/>
  <c r="K215" i="8"/>
  <c r="K215" i="39" s="1"/>
  <c r="K219" i="8"/>
  <c r="K219" i="39" s="1"/>
  <c r="K220" i="8"/>
  <c r="K220" i="39" s="1"/>
  <c r="K217" i="8"/>
  <c r="K217" i="39" s="1"/>
  <c r="K185" i="39"/>
  <c r="B515" i="38" a="1"/>
  <c r="M113" i="40"/>
  <c r="M114" i="4"/>
  <c r="I92" i="40"/>
  <c r="J226" i="39"/>
  <c r="J202" i="39"/>
  <c r="F162" i="37"/>
  <c r="E160" i="37"/>
  <c r="E168" i="7"/>
  <c r="C161" i="37"/>
  <c r="G163" i="37"/>
  <c r="J163" i="37"/>
  <c r="B164" i="37"/>
  <c r="D161" i="37"/>
  <c r="I165" i="37"/>
  <c r="J162" i="37"/>
  <c r="E162" i="37"/>
  <c r="E68" i="57"/>
  <c r="E82" i="57"/>
  <c r="E133" i="57"/>
  <c r="E137" i="57"/>
  <c r="E136" i="57"/>
  <c r="E135" i="57"/>
  <c r="E134" i="57"/>
  <c r="J62" i="57"/>
  <c r="K91" i="40" l="1"/>
  <c r="E168" i="37"/>
  <c r="H168" i="37"/>
  <c r="B506" i="38" a="1"/>
  <c r="D508" i="38" s="1"/>
  <c r="K92" i="4"/>
  <c r="K92" i="40" s="1"/>
  <c r="D168" i="37"/>
  <c r="J168" i="37"/>
  <c r="K128" i="4"/>
  <c r="L125" i="4"/>
  <c r="K127" i="40"/>
  <c r="B360" i="38"/>
  <c r="I360" i="38"/>
  <c r="H354" i="38"/>
  <c r="C354" i="38"/>
  <c r="E354" i="38"/>
  <c r="J358" i="38"/>
  <c r="H360" i="38"/>
  <c r="E358" i="38"/>
  <c r="B353" i="38"/>
  <c r="B359" i="38"/>
  <c r="G359" i="38"/>
  <c r="G356" i="38"/>
  <c r="F358" i="38"/>
  <c r="C355" i="38"/>
  <c r="C356" i="38"/>
  <c r="D357" i="38"/>
  <c r="B358" i="38"/>
  <c r="E360" i="38"/>
  <c r="I356" i="38"/>
  <c r="F357" i="38"/>
  <c r="J354" i="38"/>
  <c r="J356" i="38"/>
  <c r="C360" i="38"/>
  <c r="D360" i="38"/>
  <c r="C357" i="38"/>
  <c r="I357" i="38"/>
  <c r="F354" i="38"/>
  <c r="K358" i="38"/>
  <c r="C358" i="38"/>
  <c r="I353" i="38"/>
  <c r="B354" i="38"/>
  <c r="I359" i="38"/>
  <c r="H358" i="38"/>
  <c r="H353" i="38"/>
  <c r="E357" i="38"/>
  <c r="B355" i="38"/>
  <c r="I354" i="38"/>
  <c r="J359" i="38"/>
  <c r="I355" i="38"/>
  <c r="G354" i="38"/>
  <c r="K353" i="38"/>
  <c r="B357" i="38"/>
  <c r="K359" i="38"/>
  <c r="G355" i="38"/>
  <c r="E356" i="38"/>
  <c r="C353" i="38"/>
  <c r="H359" i="38"/>
  <c r="J355" i="38"/>
  <c r="G360" i="38"/>
  <c r="D354" i="38"/>
  <c r="G357" i="38"/>
  <c r="K356" i="38"/>
  <c r="K354" i="38"/>
  <c r="B356" i="38"/>
  <c r="K357" i="38"/>
  <c r="D355" i="38"/>
  <c r="J353" i="38"/>
  <c r="H356" i="38"/>
  <c r="F356" i="38"/>
  <c r="F355" i="38"/>
  <c r="J357" i="38"/>
  <c r="E359" i="38"/>
  <c r="F353" i="38"/>
  <c r="C359" i="38"/>
  <c r="J360" i="38"/>
  <c r="D353" i="38"/>
  <c r="H355" i="38"/>
  <c r="K355" i="38"/>
  <c r="G353" i="38"/>
  <c r="D359" i="38"/>
  <c r="H357" i="38"/>
  <c r="D358" i="38"/>
  <c r="G358" i="38"/>
  <c r="E353" i="38"/>
  <c r="F360" i="38"/>
  <c r="I358" i="38"/>
  <c r="D356" i="38"/>
  <c r="F359" i="38"/>
  <c r="E355" i="38"/>
  <c r="K360" i="38"/>
  <c r="I101" i="40"/>
  <c r="I103" i="4"/>
  <c r="C168" i="37"/>
  <c r="F166" i="40"/>
  <c r="F168" i="4"/>
  <c r="F168" i="40" s="1"/>
  <c r="F167" i="4"/>
  <c r="F161" i="40"/>
  <c r="F162" i="4"/>
  <c r="F221" i="4"/>
  <c r="F221" i="40" s="1"/>
  <c r="K204" i="39"/>
  <c r="B353" i="8" a="1"/>
  <c r="F527" i="38"/>
  <c r="H527" i="38"/>
  <c r="D531" i="38"/>
  <c r="H525" i="38"/>
  <c r="I524" i="38"/>
  <c r="J526" i="38"/>
  <c r="K525" i="38"/>
  <c r="H526" i="38"/>
  <c r="E526" i="38"/>
  <c r="I530" i="38"/>
  <c r="D529" i="38"/>
  <c r="C525" i="38"/>
  <c r="H530" i="38"/>
  <c r="E527" i="38"/>
  <c r="K531" i="38"/>
  <c r="J528" i="38"/>
  <c r="D528" i="38"/>
  <c r="F526" i="38"/>
  <c r="G525" i="38"/>
  <c r="I525" i="38"/>
  <c r="E530" i="38"/>
  <c r="I529" i="38"/>
  <c r="G530" i="38"/>
  <c r="H524" i="38"/>
  <c r="C524" i="38"/>
  <c r="C529" i="38"/>
  <c r="J529" i="38"/>
  <c r="G524" i="38"/>
  <c r="C526" i="38"/>
  <c r="J525" i="38"/>
  <c r="J527" i="38"/>
  <c r="J530" i="38"/>
  <c r="C530" i="38"/>
  <c r="B530" i="38"/>
  <c r="B527" i="38"/>
  <c r="D525" i="38"/>
  <c r="B529" i="38"/>
  <c r="E528" i="38"/>
  <c r="I526" i="38"/>
  <c r="E531" i="38"/>
  <c r="D530" i="38"/>
  <c r="J524" i="38"/>
  <c r="F529" i="38"/>
  <c r="D527" i="38"/>
  <c r="F525" i="38"/>
  <c r="H528" i="38"/>
  <c r="J531" i="38"/>
  <c r="E524" i="38"/>
  <c r="F530" i="38"/>
  <c r="D526" i="38"/>
  <c r="D524" i="38"/>
  <c r="C531" i="38"/>
  <c r="K528" i="38"/>
  <c r="E525" i="38"/>
  <c r="G526" i="38"/>
  <c r="G528" i="38"/>
  <c r="C528" i="38"/>
  <c r="B528" i="38"/>
  <c r="E529" i="38"/>
  <c r="I528" i="38"/>
  <c r="G529" i="38"/>
  <c r="C527" i="38"/>
  <c r="K527" i="38"/>
  <c r="B525" i="38"/>
  <c r="K530" i="38"/>
  <c r="H531" i="38"/>
  <c r="H529" i="38"/>
  <c r="F524" i="38"/>
  <c r="G527" i="38"/>
  <c r="G531" i="38"/>
  <c r="K526" i="38"/>
  <c r="F528" i="38"/>
  <c r="I527" i="38"/>
  <c r="F531" i="38"/>
  <c r="B524" i="38"/>
  <c r="B531" i="38"/>
  <c r="K524" i="38"/>
  <c r="K529" i="38"/>
  <c r="B526" i="38"/>
  <c r="I531" i="38"/>
  <c r="K177" i="35"/>
  <c r="F177" i="35"/>
  <c r="J172" i="35"/>
  <c r="I174" i="35"/>
  <c r="F176" i="35"/>
  <c r="E173" i="35"/>
  <c r="B171" i="35"/>
  <c r="H177" i="35"/>
  <c r="B176" i="35"/>
  <c r="B177" i="35"/>
  <c r="I170" i="35"/>
  <c r="D172" i="35"/>
  <c r="G172" i="35"/>
  <c r="H174" i="35"/>
  <c r="G175" i="35"/>
  <c r="E176" i="35"/>
  <c r="E170" i="35"/>
  <c r="D173" i="35"/>
  <c r="D175" i="35"/>
  <c r="K170" i="35"/>
  <c r="J170" i="35"/>
  <c r="E172" i="35"/>
  <c r="B172" i="35"/>
  <c r="E175" i="35"/>
  <c r="E177" i="35"/>
  <c r="J177" i="35"/>
  <c r="D170" i="35"/>
  <c r="F172" i="35"/>
  <c r="J173" i="35"/>
  <c r="B173" i="35"/>
  <c r="G170" i="35"/>
  <c r="H170" i="35"/>
  <c r="B175" i="35"/>
  <c r="B170" i="35"/>
  <c r="F171" i="35"/>
  <c r="F170" i="35"/>
  <c r="K175" i="35"/>
  <c r="G177" i="35"/>
  <c r="C173" i="35"/>
  <c r="J175" i="35"/>
  <c r="C170" i="35"/>
  <c r="I175" i="35"/>
  <c r="C177" i="35"/>
  <c r="C175" i="35"/>
  <c r="G173" i="35"/>
  <c r="K172" i="35"/>
  <c r="F175" i="35"/>
  <c r="H176" i="35"/>
  <c r="E174" i="35"/>
  <c r="H171" i="35"/>
  <c r="H172" i="35"/>
  <c r="K174" i="35"/>
  <c r="I172" i="35"/>
  <c r="H173" i="35"/>
  <c r="H175" i="35"/>
  <c r="I171" i="35"/>
  <c r="G171" i="35"/>
  <c r="B174" i="35"/>
  <c r="D176" i="35"/>
  <c r="F173" i="35"/>
  <c r="E171" i="35"/>
  <c r="K173" i="35"/>
  <c r="K176" i="35"/>
  <c r="I173" i="35"/>
  <c r="D177" i="35"/>
  <c r="G174" i="35"/>
  <c r="F174" i="35"/>
  <c r="C174" i="35"/>
  <c r="J171" i="35"/>
  <c r="J174" i="35"/>
  <c r="D171" i="35"/>
  <c r="C172" i="35"/>
  <c r="J176" i="35"/>
  <c r="K171" i="35"/>
  <c r="I177" i="35"/>
  <c r="G176" i="35"/>
  <c r="D174" i="35"/>
  <c r="C176" i="35"/>
  <c r="C171" i="35"/>
  <c r="I176" i="35"/>
  <c r="H104" i="40"/>
  <c r="H116" i="4"/>
  <c r="H116" i="40" s="1"/>
  <c r="H105" i="4"/>
  <c r="G118" i="40"/>
  <c r="G131" i="4"/>
  <c r="D521" i="38"/>
  <c r="C518" i="38"/>
  <c r="E522" i="38"/>
  <c r="E519" i="38"/>
  <c r="F516" i="38"/>
  <c r="B516" i="38"/>
  <c r="G521" i="38"/>
  <c r="G517" i="38"/>
  <c r="K521" i="38"/>
  <c r="H516" i="38"/>
  <c r="B517" i="38"/>
  <c r="J522" i="38"/>
  <c r="H520" i="38"/>
  <c r="G520" i="38"/>
  <c r="G518" i="38"/>
  <c r="C516" i="38"/>
  <c r="K520" i="38"/>
  <c r="K519" i="38"/>
  <c r="I519" i="38"/>
  <c r="C517" i="38"/>
  <c r="H522" i="38"/>
  <c r="F521" i="38"/>
  <c r="G515" i="38"/>
  <c r="C521" i="38"/>
  <c r="J518" i="38"/>
  <c r="G519" i="38"/>
  <c r="F517" i="38"/>
  <c r="I521" i="38"/>
  <c r="J520" i="38"/>
  <c r="E520" i="38"/>
  <c r="B515" i="38"/>
  <c r="I515" i="38"/>
  <c r="E517" i="38"/>
  <c r="I518" i="38"/>
  <c r="E516" i="38"/>
  <c r="K516" i="38"/>
  <c r="I516" i="38"/>
  <c r="G516" i="38"/>
  <c r="D515" i="38"/>
  <c r="B520" i="38"/>
  <c r="B522" i="38"/>
  <c r="F522" i="38"/>
  <c r="I522" i="38"/>
  <c r="H515" i="38"/>
  <c r="D522" i="38"/>
  <c r="I517" i="38"/>
  <c r="D520" i="38"/>
  <c r="F518" i="38"/>
  <c r="C515" i="38"/>
  <c r="F515" i="38"/>
  <c r="C519" i="38"/>
  <c r="K515" i="38"/>
  <c r="C520" i="38"/>
  <c r="J515" i="38"/>
  <c r="C522" i="38"/>
  <c r="H521" i="38"/>
  <c r="F519" i="38"/>
  <c r="D517" i="38"/>
  <c r="I520" i="38"/>
  <c r="K522" i="38"/>
  <c r="J521" i="38"/>
  <c r="D516" i="38"/>
  <c r="B518" i="38"/>
  <c r="J519" i="38"/>
  <c r="B519" i="38"/>
  <c r="K517" i="38"/>
  <c r="G522" i="38"/>
  <c r="K518" i="38"/>
  <c r="E518" i="38"/>
  <c r="H519" i="38"/>
  <c r="D519" i="38"/>
  <c r="J516" i="38"/>
  <c r="H517" i="38"/>
  <c r="F520" i="38"/>
  <c r="B521" i="38"/>
  <c r="D518" i="38"/>
  <c r="H518" i="38"/>
  <c r="J517" i="38"/>
  <c r="E521" i="38"/>
  <c r="E515" i="38"/>
  <c r="K222" i="39"/>
  <c r="B371" i="8" a="1"/>
  <c r="J92" i="40"/>
  <c r="F168" i="37"/>
  <c r="M169" i="29"/>
  <c r="M170" i="29"/>
  <c r="L170" i="29"/>
  <c r="L169" i="29"/>
  <c r="K168" i="37"/>
  <c r="M115" i="4"/>
  <c r="M117" i="4"/>
  <c r="M117" i="40" s="1"/>
  <c r="M114" i="40"/>
  <c r="M88" i="40"/>
  <c r="M90" i="4"/>
  <c r="M90" i="40" s="1"/>
  <c r="K231" i="39"/>
  <c r="B380" i="8" a="1"/>
  <c r="M212" i="40"/>
  <c r="E213" i="4" a="1"/>
  <c r="B168" i="37"/>
  <c r="G168" i="37"/>
  <c r="H175" i="7"/>
  <c r="E176" i="7"/>
  <c r="E171" i="7"/>
  <c r="C170" i="7"/>
  <c r="G173" i="7"/>
  <c r="F174" i="7"/>
  <c r="H171" i="7"/>
  <c r="G172" i="7"/>
  <c r="D174" i="7"/>
  <c r="I170" i="7"/>
  <c r="F171" i="7"/>
  <c r="F177" i="7"/>
  <c r="J175" i="7"/>
  <c r="D173" i="7"/>
  <c r="E175" i="7"/>
  <c r="E170" i="7"/>
  <c r="J177" i="7"/>
  <c r="I175" i="7"/>
  <c r="K171" i="7"/>
  <c r="K177" i="7"/>
  <c r="E177" i="7"/>
  <c r="E173" i="7"/>
  <c r="H176" i="7"/>
  <c r="I172" i="7"/>
  <c r="G175" i="7"/>
  <c r="J172" i="7"/>
  <c r="J174" i="7"/>
  <c r="B174" i="7"/>
  <c r="I171" i="7"/>
  <c r="B172" i="7"/>
  <c r="H170" i="7"/>
  <c r="G177" i="7"/>
  <c r="K170" i="7"/>
  <c r="F173" i="7"/>
  <c r="D171" i="7"/>
  <c r="C174" i="7"/>
  <c r="J170" i="7"/>
  <c r="G170" i="7"/>
  <c r="K172" i="7"/>
  <c r="C171" i="7"/>
  <c r="B177" i="7"/>
  <c r="B175" i="7"/>
  <c r="I176" i="7"/>
  <c r="K176" i="7"/>
  <c r="F176" i="7"/>
  <c r="C173" i="7"/>
  <c r="J176" i="7"/>
  <c r="E172" i="7"/>
  <c r="F170" i="7"/>
  <c r="C176" i="7"/>
  <c r="F175" i="7"/>
  <c r="G171" i="7"/>
  <c r="F172" i="7"/>
  <c r="G176" i="7"/>
  <c r="I173" i="7"/>
  <c r="G174" i="7"/>
  <c r="I177" i="7"/>
  <c r="E174" i="7"/>
  <c r="D177" i="7"/>
  <c r="H174" i="7"/>
  <c r="J173" i="7"/>
  <c r="D172" i="7"/>
  <c r="B176" i="7"/>
  <c r="B171" i="7"/>
  <c r="K174" i="7"/>
  <c r="J171" i="7"/>
  <c r="D176" i="7"/>
  <c r="C175" i="7"/>
  <c r="B173" i="7"/>
  <c r="C172" i="7"/>
  <c r="C177" i="7"/>
  <c r="I174" i="7"/>
  <c r="B170" i="7"/>
  <c r="D175" i="7"/>
  <c r="H177" i="7"/>
  <c r="D170" i="7"/>
  <c r="K173" i="7"/>
  <c r="K175" i="7"/>
  <c r="H173" i="7"/>
  <c r="H172" i="7"/>
  <c r="E169" i="40"/>
  <c r="E202" i="4"/>
  <c r="C362" i="8"/>
  <c r="C362" i="39" s="1"/>
  <c r="I367" i="8"/>
  <c r="I367" i="39" s="1"/>
  <c r="J365" i="8"/>
  <c r="J365" i="39" s="1"/>
  <c r="J362" i="8"/>
  <c r="J362" i="39" s="1"/>
  <c r="I366" i="8"/>
  <c r="I366" i="39" s="1"/>
  <c r="D363" i="8"/>
  <c r="D363" i="39" s="1"/>
  <c r="I369" i="8"/>
  <c r="I369" i="39" s="1"/>
  <c r="D365" i="8"/>
  <c r="D365" i="39" s="1"/>
  <c r="J363" i="8"/>
  <c r="J363" i="39" s="1"/>
  <c r="J369" i="8"/>
  <c r="J369" i="39" s="1"/>
  <c r="D368" i="8"/>
  <c r="D368" i="39" s="1"/>
  <c r="K367" i="8"/>
  <c r="K367" i="39" s="1"/>
  <c r="B365" i="8"/>
  <c r="B365" i="39" s="1"/>
  <c r="D362" i="8"/>
  <c r="D362" i="39" s="1"/>
  <c r="B368" i="8"/>
  <c r="B368" i="39" s="1"/>
  <c r="F363" i="8"/>
  <c r="F363" i="39" s="1"/>
  <c r="C364" i="8"/>
  <c r="C364" i="39" s="1"/>
  <c r="F365" i="8"/>
  <c r="F365" i="39" s="1"/>
  <c r="I362" i="8"/>
  <c r="I362" i="39" s="1"/>
  <c r="C366" i="8"/>
  <c r="C366" i="39" s="1"/>
  <c r="E366" i="8"/>
  <c r="E366" i="39" s="1"/>
  <c r="D367" i="8"/>
  <c r="D367" i="39" s="1"/>
  <c r="G366" i="8"/>
  <c r="G366" i="39" s="1"/>
  <c r="B367" i="8"/>
  <c r="B367" i="39" s="1"/>
  <c r="F369" i="8"/>
  <c r="F369" i="39" s="1"/>
  <c r="H362" i="8"/>
  <c r="H362" i="39" s="1"/>
  <c r="K365" i="8"/>
  <c r="K365" i="39" s="1"/>
  <c r="K366" i="8"/>
  <c r="K366" i="39" s="1"/>
  <c r="I365" i="8"/>
  <c r="I365" i="39" s="1"/>
  <c r="F368" i="8"/>
  <c r="F368" i="39" s="1"/>
  <c r="E368" i="8"/>
  <c r="E368" i="39" s="1"/>
  <c r="F366" i="8"/>
  <c r="F366" i="39" s="1"/>
  <c r="C369" i="8"/>
  <c r="C369" i="39" s="1"/>
  <c r="I364" i="8"/>
  <c r="I364" i="39" s="1"/>
  <c r="D366" i="8"/>
  <c r="D366" i="39" s="1"/>
  <c r="G365" i="8"/>
  <c r="G365" i="39" s="1"/>
  <c r="F367" i="8"/>
  <c r="F367" i="39" s="1"/>
  <c r="I368" i="8"/>
  <c r="I368" i="39" s="1"/>
  <c r="B369" i="8"/>
  <c r="B369" i="39" s="1"/>
  <c r="C363" i="8"/>
  <c r="C363" i="39" s="1"/>
  <c r="D364" i="8"/>
  <c r="D364" i="39" s="1"/>
  <c r="G363" i="8"/>
  <c r="G363" i="39" s="1"/>
  <c r="F362" i="8"/>
  <c r="F362" i="39" s="1"/>
  <c r="K368" i="8"/>
  <c r="K368" i="39" s="1"/>
  <c r="J367" i="8"/>
  <c r="J367" i="39" s="1"/>
  <c r="E367" i="8"/>
  <c r="E367" i="39" s="1"/>
  <c r="H363" i="8"/>
  <c r="H363" i="39" s="1"/>
  <c r="E364" i="8"/>
  <c r="E364" i="39" s="1"/>
  <c r="B366" i="8"/>
  <c r="B366" i="39" s="1"/>
  <c r="G367" i="8"/>
  <c r="G367" i="39" s="1"/>
  <c r="H367" i="8"/>
  <c r="H367" i="39" s="1"/>
  <c r="E362" i="8"/>
  <c r="E362" i="39" s="1"/>
  <c r="B363" i="8"/>
  <c r="B363" i="39" s="1"/>
  <c r="H369" i="8"/>
  <c r="H369" i="39" s="1"/>
  <c r="B364" i="8"/>
  <c r="B364" i="39" s="1"/>
  <c r="I363" i="8"/>
  <c r="I363" i="39" s="1"/>
  <c r="E363" i="8"/>
  <c r="E363" i="39" s="1"/>
  <c r="G362" i="8"/>
  <c r="G362" i="39" s="1"/>
  <c r="H366" i="8"/>
  <c r="H366" i="39" s="1"/>
  <c r="J366" i="8"/>
  <c r="J366" i="39" s="1"/>
  <c r="E369" i="8"/>
  <c r="E369" i="39" s="1"/>
  <c r="H368" i="8"/>
  <c r="H368" i="39" s="1"/>
  <c r="E365" i="8"/>
  <c r="E365" i="39" s="1"/>
  <c r="D369" i="8"/>
  <c r="D369" i="39" s="1"/>
  <c r="G368" i="8"/>
  <c r="G368" i="39" s="1"/>
  <c r="K362" i="8"/>
  <c r="K362" i="39" s="1"/>
  <c r="J364" i="8"/>
  <c r="J364" i="39" s="1"/>
  <c r="H364" i="8"/>
  <c r="H364" i="39" s="1"/>
  <c r="K364" i="8"/>
  <c r="K364" i="39" s="1"/>
  <c r="C368" i="8"/>
  <c r="C368" i="39" s="1"/>
  <c r="C367" i="8"/>
  <c r="C367" i="39" s="1"/>
  <c r="J368" i="8"/>
  <c r="J368" i="39" s="1"/>
  <c r="K369" i="8"/>
  <c r="K369" i="39" s="1"/>
  <c r="F364" i="8"/>
  <c r="F364" i="39" s="1"/>
  <c r="H365" i="8"/>
  <c r="H365" i="39" s="1"/>
  <c r="C365" i="8"/>
  <c r="C365" i="39" s="1"/>
  <c r="G364" i="8"/>
  <c r="G364" i="39" s="1"/>
  <c r="K363" i="8"/>
  <c r="K363" i="39" s="1"/>
  <c r="G369" i="8"/>
  <c r="G369" i="39" s="1"/>
  <c r="B362" i="8"/>
  <c r="I168" i="37"/>
  <c r="L91" i="4"/>
  <c r="V174" i="35"/>
  <c r="Q172" i="35"/>
  <c r="K178" i="35"/>
  <c r="S172" i="35"/>
  <c r="F178" i="35"/>
  <c r="P175" i="35"/>
  <c r="X174" i="35"/>
  <c r="S173" i="35"/>
  <c r="P174" i="35"/>
  <c r="T176" i="35"/>
  <c r="R171" i="7"/>
  <c r="S171" i="7"/>
  <c r="X171" i="7"/>
  <c r="W174" i="7"/>
  <c r="Q171" i="7"/>
  <c r="V176" i="7"/>
  <c r="S175" i="7"/>
  <c r="Q177" i="7"/>
  <c r="Q176" i="7"/>
  <c r="U177" i="7"/>
  <c r="X177" i="7"/>
  <c r="X176" i="7"/>
  <c r="P175" i="7"/>
  <c r="K62" i="57"/>
  <c r="Q173" i="7"/>
  <c r="T176" i="7"/>
  <c r="E178" i="35"/>
  <c r="W176" i="35"/>
  <c r="E178" i="7"/>
  <c r="T177" i="7"/>
  <c r="L171" i="7"/>
  <c r="V174" i="7"/>
  <c r="S176" i="35"/>
  <c r="T172" i="35"/>
  <c r="J178" i="35"/>
  <c r="W173" i="35"/>
  <c r="X175" i="35"/>
  <c r="T173" i="35"/>
  <c r="V172" i="35"/>
  <c r="R171" i="35"/>
  <c r="W171" i="35"/>
  <c r="Q174" i="35"/>
  <c r="C178" i="7"/>
  <c r="L174" i="7"/>
  <c r="P174" i="7"/>
  <c r="T171" i="7"/>
  <c r="D178" i="7"/>
  <c r="P172" i="7"/>
  <c r="V172" i="7"/>
  <c r="R173" i="35"/>
  <c r="U174" i="35"/>
  <c r="R172" i="35"/>
  <c r="L173" i="35"/>
  <c r="T177" i="35"/>
  <c r="X172" i="35"/>
  <c r="U173" i="35"/>
  <c r="X173" i="35"/>
  <c r="W174" i="35"/>
  <c r="P176" i="35"/>
  <c r="T173" i="7"/>
  <c r="W175" i="7"/>
  <c r="R177" i="7"/>
  <c r="V171" i="7"/>
  <c r="J178" i="7"/>
  <c r="S176" i="7"/>
  <c r="S172" i="7"/>
  <c r="W173" i="7"/>
  <c r="L173" i="7"/>
  <c r="X173" i="7"/>
  <c r="S175" i="35"/>
  <c r="Q171" i="35"/>
  <c r="L171" i="35"/>
  <c r="T175" i="35"/>
  <c r="L172" i="35"/>
  <c r="G178" i="35"/>
  <c r="P173" i="35"/>
  <c r="U175" i="35"/>
  <c r="X176" i="35"/>
  <c r="P171" i="35"/>
  <c r="L176" i="35"/>
  <c r="L175" i="35"/>
  <c r="R174" i="35"/>
  <c r="T174" i="7"/>
  <c r="U177" i="35"/>
  <c r="R176" i="35"/>
  <c r="R175" i="35"/>
  <c r="H178" i="35"/>
  <c r="W175" i="35"/>
  <c r="U176" i="35"/>
  <c r="V171" i="35"/>
  <c r="V173" i="35"/>
  <c r="P172" i="35"/>
  <c r="V176" i="35"/>
  <c r="U171" i="7"/>
  <c r="R175" i="7"/>
  <c r="U176" i="7"/>
  <c r="H178" i="7"/>
  <c r="X172" i="7"/>
  <c r="W176" i="7"/>
  <c r="V173" i="7"/>
  <c r="L176" i="7"/>
  <c r="P177" i="7"/>
  <c r="U173" i="7"/>
  <c r="X177" i="35"/>
  <c r="R177" i="35"/>
  <c r="T171" i="35"/>
  <c r="R172" i="7"/>
  <c r="U172" i="7"/>
  <c r="S177" i="35"/>
  <c r="L177" i="35"/>
  <c r="Q173" i="35"/>
  <c r="W177" i="35"/>
  <c r="L170" i="35"/>
  <c r="B178" i="35"/>
  <c r="V175" i="35"/>
  <c r="U171" i="35"/>
  <c r="L174" i="35"/>
  <c r="T174" i="35"/>
  <c r="X171" i="35"/>
  <c r="U175" i="7"/>
  <c r="Q174" i="7"/>
  <c r="W177" i="7"/>
  <c r="T175" i="7"/>
  <c r="K178" i="7"/>
  <c r="L177" i="7"/>
  <c r="F178" i="7"/>
  <c r="V177" i="7"/>
  <c r="X174" i="7"/>
  <c r="L170" i="7"/>
  <c r="B178" i="7"/>
  <c r="T172" i="7"/>
  <c r="E151" i="57"/>
  <c r="E150" i="57"/>
  <c r="E81" i="57"/>
  <c r="E154" i="57"/>
  <c r="E153" i="57"/>
  <c r="E152" i="57"/>
  <c r="W172" i="35"/>
  <c r="I178" i="35"/>
  <c r="Q175" i="35"/>
  <c r="D178" i="35"/>
  <c r="S171" i="35"/>
  <c r="P177" i="35"/>
  <c r="U172" i="35"/>
  <c r="Q176" i="35"/>
  <c r="S174" i="35"/>
  <c r="V177" i="35"/>
  <c r="R176" i="7"/>
  <c r="I178" i="7"/>
  <c r="V175" i="7"/>
  <c r="W172" i="7"/>
  <c r="S173" i="7"/>
  <c r="L175" i="7"/>
  <c r="P176" i="7"/>
  <c r="R174" i="7"/>
  <c r="W171" i="7"/>
  <c r="Q175" i="7"/>
  <c r="D83" i="57"/>
  <c r="S177" i="7"/>
  <c r="U174" i="7"/>
  <c r="S174" i="7"/>
  <c r="R173" i="7"/>
  <c r="L172" i="7"/>
  <c r="G178" i="7"/>
  <c r="L178" i="7" s="1"/>
  <c r="P173" i="7"/>
  <c r="Q172" i="7"/>
  <c r="X175" i="7"/>
  <c r="C178" i="35"/>
  <c r="L178" i="35" s="1"/>
  <c r="Q177" i="35"/>
  <c r="P171" i="7"/>
  <c r="I511" i="38" l="1"/>
  <c r="B509" i="38"/>
  <c r="C512" i="38"/>
  <c r="C510" i="38"/>
  <c r="B510" i="38"/>
  <c r="C511" i="38"/>
  <c r="E508" i="38"/>
  <c r="J513" i="38"/>
  <c r="K511" i="38"/>
  <c r="B513" i="38"/>
  <c r="J509" i="38"/>
  <c r="G509" i="38"/>
  <c r="J512" i="38"/>
  <c r="C507" i="38"/>
  <c r="I508" i="38"/>
  <c r="H509" i="38"/>
  <c r="H508" i="38"/>
  <c r="F513" i="38"/>
  <c r="K512" i="38"/>
  <c r="K513" i="38"/>
  <c r="G511" i="38"/>
  <c r="H510" i="38"/>
  <c r="K508" i="38"/>
  <c r="F511" i="38"/>
  <c r="F507" i="38"/>
  <c r="I512" i="38"/>
  <c r="D512" i="38"/>
  <c r="F508" i="38"/>
  <c r="B512" i="38"/>
  <c r="I513" i="38"/>
  <c r="J511" i="38"/>
  <c r="D513" i="38"/>
  <c r="I510" i="38"/>
  <c r="I507" i="38"/>
  <c r="G510" i="38"/>
  <c r="D511" i="38"/>
  <c r="G508" i="38"/>
  <c r="H507" i="38"/>
  <c r="J508" i="38"/>
  <c r="H511" i="38"/>
  <c r="C509" i="38"/>
  <c r="B507" i="38"/>
  <c r="I509" i="38"/>
  <c r="K510" i="38"/>
  <c r="F510" i="38"/>
  <c r="J506" i="38"/>
  <c r="D507" i="38"/>
  <c r="D506" i="38"/>
  <c r="B506" i="38"/>
  <c r="D509" i="38"/>
  <c r="J510" i="38"/>
  <c r="I506" i="38"/>
  <c r="C508" i="38"/>
  <c r="G513" i="38"/>
  <c r="H506" i="38"/>
  <c r="D510" i="38"/>
  <c r="G506" i="38"/>
  <c r="G507" i="38"/>
  <c r="F509" i="38"/>
  <c r="E506" i="38"/>
  <c r="E507" i="38"/>
  <c r="H513" i="38"/>
  <c r="B511" i="38"/>
  <c r="H512" i="38"/>
  <c r="E513" i="38"/>
  <c r="K507" i="38"/>
  <c r="E509" i="38"/>
  <c r="J507" i="38"/>
  <c r="B508" i="38"/>
  <c r="F512" i="38"/>
  <c r="E512" i="38"/>
  <c r="C506" i="38"/>
  <c r="E510" i="38"/>
  <c r="E511" i="38"/>
  <c r="K509" i="38"/>
  <c r="C513" i="38"/>
  <c r="K506" i="38"/>
  <c r="F506" i="38"/>
  <c r="G512" i="38"/>
  <c r="L127" i="4"/>
  <c r="L125" i="40"/>
  <c r="K129" i="4"/>
  <c r="K129" i="40" s="1"/>
  <c r="K128" i="40"/>
  <c r="L178" i="37"/>
  <c r="L175" i="37"/>
  <c r="I178" i="37"/>
  <c r="L179" i="35"/>
  <c r="F178" i="37"/>
  <c r="K178" i="37"/>
  <c r="L171" i="37"/>
  <c r="E178" i="37"/>
  <c r="B178" i="37"/>
  <c r="L170" i="37"/>
  <c r="L179" i="7"/>
  <c r="L177" i="37"/>
  <c r="L176" i="37"/>
  <c r="H178" i="37"/>
  <c r="L173" i="37"/>
  <c r="J178" i="37"/>
  <c r="D178" i="37"/>
  <c r="L174" i="37"/>
  <c r="C178" i="37"/>
  <c r="G178" i="37"/>
  <c r="L172" i="37"/>
  <c r="E177" i="37"/>
  <c r="M119" i="4"/>
  <c r="M119" i="40" s="1"/>
  <c r="M115" i="40"/>
  <c r="G161" i="4"/>
  <c r="G131" i="40"/>
  <c r="G171" i="37"/>
  <c r="F177" i="37"/>
  <c r="B623" i="38" a="1"/>
  <c r="B587" i="38" a="1"/>
  <c r="H118" i="4"/>
  <c r="H105" i="40"/>
  <c r="B362" i="39"/>
  <c r="B506" i="8" a="1"/>
  <c r="D175" i="37"/>
  <c r="J171" i="37"/>
  <c r="E174" i="37"/>
  <c r="C176" i="37"/>
  <c r="B175" i="37"/>
  <c r="F173" i="37"/>
  <c r="J172" i="37"/>
  <c r="I175" i="37"/>
  <c r="I170" i="37"/>
  <c r="E176" i="37"/>
  <c r="M91" i="4"/>
  <c r="J173" i="37"/>
  <c r="G381" i="8"/>
  <c r="G381" i="39" s="1"/>
  <c r="H380" i="8"/>
  <c r="H380" i="39" s="1"/>
  <c r="F386" i="8"/>
  <c r="F386" i="39" s="1"/>
  <c r="K386" i="8"/>
  <c r="K386" i="39" s="1"/>
  <c r="G384" i="8"/>
  <c r="G384" i="39" s="1"/>
  <c r="H385" i="8"/>
  <c r="H385" i="39" s="1"/>
  <c r="H382" i="8"/>
  <c r="H382" i="39" s="1"/>
  <c r="J386" i="8"/>
  <c r="J386" i="39" s="1"/>
  <c r="I385" i="8"/>
  <c r="I385" i="39" s="1"/>
  <c r="H386" i="8"/>
  <c r="H386" i="39" s="1"/>
  <c r="G385" i="8"/>
  <c r="G385" i="39" s="1"/>
  <c r="J381" i="8"/>
  <c r="J381" i="39" s="1"/>
  <c r="E386" i="8"/>
  <c r="E386" i="39" s="1"/>
  <c r="H383" i="8"/>
  <c r="H383" i="39" s="1"/>
  <c r="G383" i="8"/>
  <c r="G383" i="39" s="1"/>
  <c r="K384" i="8"/>
  <c r="K384" i="39" s="1"/>
  <c r="C383" i="8"/>
  <c r="C383" i="39" s="1"/>
  <c r="I387" i="8"/>
  <c r="I387" i="39" s="1"/>
  <c r="C387" i="8"/>
  <c r="C387" i="39" s="1"/>
  <c r="C381" i="8"/>
  <c r="C381" i="39" s="1"/>
  <c r="K381" i="8"/>
  <c r="K381" i="39" s="1"/>
  <c r="G380" i="8"/>
  <c r="G380" i="39" s="1"/>
  <c r="K385" i="8"/>
  <c r="K385" i="39" s="1"/>
  <c r="C385" i="8"/>
  <c r="C385" i="39" s="1"/>
  <c r="H381" i="8"/>
  <c r="H381" i="39" s="1"/>
  <c r="E383" i="8"/>
  <c r="E383" i="39" s="1"/>
  <c r="G382" i="8"/>
  <c r="G382" i="39" s="1"/>
  <c r="I383" i="8"/>
  <c r="I383" i="39" s="1"/>
  <c r="B385" i="8"/>
  <c r="B385" i="39" s="1"/>
  <c r="B387" i="8"/>
  <c r="B387" i="39" s="1"/>
  <c r="H384" i="8"/>
  <c r="H384" i="39" s="1"/>
  <c r="J382" i="8"/>
  <c r="J382" i="39" s="1"/>
  <c r="J384" i="8"/>
  <c r="J384" i="39" s="1"/>
  <c r="B381" i="8"/>
  <c r="B381" i="39" s="1"/>
  <c r="C384" i="8"/>
  <c r="C384" i="39" s="1"/>
  <c r="B382" i="8"/>
  <c r="B382" i="39" s="1"/>
  <c r="K383" i="8"/>
  <c r="K383" i="39" s="1"/>
  <c r="B383" i="8"/>
  <c r="B383" i="39" s="1"/>
  <c r="F387" i="8"/>
  <c r="F387" i="39" s="1"/>
  <c r="G387" i="8"/>
  <c r="G387" i="39" s="1"/>
  <c r="K387" i="8"/>
  <c r="K387" i="39" s="1"/>
  <c r="C380" i="8"/>
  <c r="C380" i="39" s="1"/>
  <c r="E385" i="8"/>
  <c r="E385" i="39" s="1"/>
  <c r="H387" i="8"/>
  <c r="H387" i="39" s="1"/>
  <c r="D382" i="8"/>
  <c r="D382" i="39" s="1"/>
  <c r="D384" i="8"/>
  <c r="D384" i="39" s="1"/>
  <c r="D381" i="8"/>
  <c r="D381" i="39" s="1"/>
  <c r="E381" i="8"/>
  <c r="E381" i="39" s="1"/>
  <c r="I381" i="8"/>
  <c r="I381" i="39" s="1"/>
  <c r="G386" i="8"/>
  <c r="G386" i="39" s="1"/>
  <c r="C382" i="8"/>
  <c r="C382" i="39" s="1"/>
  <c r="D386" i="8"/>
  <c r="D386" i="39" s="1"/>
  <c r="D383" i="8"/>
  <c r="D383" i="39" s="1"/>
  <c r="D385" i="8"/>
  <c r="D385" i="39" s="1"/>
  <c r="E384" i="8"/>
  <c r="E384" i="39" s="1"/>
  <c r="D387" i="8"/>
  <c r="D387" i="39" s="1"/>
  <c r="J380" i="8"/>
  <c r="J380" i="39" s="1"/>
  <c r="B380" i="8"/>
  <c r="C386" i="8"/>
  <c r="C386" i="39" s="1"/>
  <c r="J387" i="8"/>
  <c r="J387" i="39" s="1"/>
  <c r="I386" i="8"/>
  <c r="I386" i="39" s="1"/>
  <c r="I384" i="8"/>
  <c r="I384" i="39" s="1"/>
  <c r="F381" i="8"/>
  <c r="F381" i="39" s="1"/>
  <c r="I380" i="8"/>
  <c r="I380" i="39" s="1"/>
  <c r="F380" i="8"/>
  <c r="F380" i="39" s="1"/>
  <c r="E380" i="8"/>
  <c r="E380" i="39" s="1"/>
  <c r="E382" i="8"/>
  <c r="E382" i="39" s="1"/>
  <c r="B386" i="8"/>
  <c r="B386" i="39" s="1"/>
  <c r="J383" i="8"/>
  <c r="J383" i="39" s="1"/>
  <c r="K380" i="8"/>
  <c r="K380" i="39" s="1"/>
  <c r="E387" i="8"/>
  <c r="E387" i="39" s="1"/>
  <c r="F384" i="8"/>
  <c r="F384" i="39" s="1"/>
  <c r="J385" i="8"/>
  <c r="J385" i="39" s="1"/>
  <c r="D380" i="8"/>
  <c r="D380" i="39" s="1"/>
  <c r="I382" i="8"/>
  <c r="I382" i="39" s="1"/>
  <c r="B384" i="8"/>
  <c r="B384" i="39" s="1"/>
  <c r="F385" i="8"/>
  <c r="F385" i="39" s="1"/>
  <c r="F382" i="8"/>
  <c r="F382" i="39" s="1"/>
  <c r="F383" i="8"/>
  <c r="F383" i="39" s="1"/>
  <c r="K382" i="8"/>
  <c r="K382" i="39" s="1"/>
  <c r="H177" i="37"/>
  <c r="D177" i="37"/>
  <c r="I176" i="37"/>
  <c r="J174" i="37"/>
  <c r="E171" i="37"/>
  <c r="F169" i="4"/>
  <c r="F167" i="40"/>
  <c r="F170" i="4"/>
  <c r="F170" i="40" s="1"/>
  <c r="K174" i="37"/>
  <c r="F170" i="37"/>
  <c r="K170" i="37"/>
  <c r="J177" i="37"/>
  <c r="H175" i="37"/>
  <c r="H172" i="37"/>
  <c r="I174" i="37"/>
  <c r="B171" i="37"/>
  <c r="G174" i="37"/>
  <c r="E172" i="37"/>
  <c r="C171" i="37"/>
  <c r="G177" i="37"/>
  <c r="I172" i="37"/>
  <c r="E170" i="37"/>
  <c r="G172" i="37"/>
  <c r="E356" i="8"/>
  <c r="E356" i="39" s="1"/>
  <c r="I353" i="8"/>
  <c r="I353" i="39" s="1"/>
  <c r="H354" i="8"/>
  <c r="H354" i="39" s="1"/>
  <c r="B359" i="8"/>
  <c r="B359" i="39" s="1"/>
  <c r="D356" i="8"/>
  <c r="D356" i="39" s="1"/>
  <c r="H356" i="8"/>
  <c r="H356" i="39" s="1"/>
  <c r="I357" i="8"/>
  <c r="I357" i="39" s="1"/>
  <c r="F358" i="8"/>
  <c r="F358" i="39" s="1"/>
  <c r="G355" i="8"/>
  <c r="G355" i="39" s="1"/>
  <c r="H353" i="8"/>
  <c r="H353" i="39" s="1"/>
  <c r="F356" i="8"/>
  <c r="F356" i="39" s="1"/>
  <c r="I358" i="8"/>
  <c r="I358" i="39" s="1"/>
  <c r="E355" i="8"/>
  <c r="E355" i="39" s="1"/>
  <c r="D360" i="8"/>
  <c r="D360" i="39" s="1"/>
  <c r="J360" i="8"/>
  <c r="J360" i="39" s="1"/>
  <c r="C358" i="8"/>
  <c r="C358" i="39" s="1"/>
  <c r="B356" i="8"/>
  <c r="B356" i="39" s="1"/>
  <c r="J356" i="8"/>
  <c r="J356" i="39" s="1"/>
  <c r="D354" i="8"/>
  <c r="D354" i="39" s="1"/>
  <c r="F357" i="8"/>
  <c r="F357" i="39" s="1"/>
  <c r="F355" i="8"/>
  <c r="F355" i="39" s="1"/>
  <c r="H355" i="8"/>
  <c r="H355" i="39" s="1"/>
  <c r="I359" i="8"/>
  <c r="I359" i="39" s="1"/>
  <c r="B354" i="8"/>
  <c r="B354" i="39" s="1"/>
  <c r="K353" i="8"/>
  <c r="K353" i="39" s="1"/>
  <c r="C353" i="8"/>
  <c r="C353" i="39" s="1"/>
  <c r="I354" i="8"/>
  <c r="I354" i="39" s="1"/>
  <c r="F359" i="8"/>
  <c r="F359" i="39" s="1"/>
  <c r="C360" i="8"/>
  <c r="C360" i="39" s="1"/>
  <c r="K359" i="8"/>
  <c r="K359" i="39" s="1"/>
  <c r="D353" i="8"/>
  <c r="D353" i="39" s="1"/>
  <c r="E358" i="8"/>
  <c r="E358" i="39" s="1"/>
  <c r="G357" i="8"/>
  <c r="G357" i="39" s="1"/>
  <c r="B358" i="8"/>
  <c r="B358" i="39" s="1"/>
  <c r="K355" i="8"/>
  <c r="K355" i="39" s="1"/>
  <c r="C355" i="8"/>
  <c r="C355" i="39" s="1"/>
  <c r="J358" i="8"/>
  <c r="J358" i="39" s="1"/>
  <c r="K356" i="8"/>
  <c r="K356" i="39" s="1"/>
  <c r="E357" i="8"/>
  <c r="E357" i="39" s="1"/>
  <c r="F353" i="8"/>
  <c r="F353" i="39" s="1"/>
  <c r="F354" i="8"/>
  <c r="F354" i="39" s="1"/>
  <c r="K358" i="8"/>
  <c r="K358" i="39" s="1"/>
  <c r="D358" i="8"/>
  <c r="D358" i="39" s="1"/>
  <c r="E360" i="8"/>
  <c r="E360" i="39" s="1"/>
  <c r="C357" i="8"/>
  <c r="C357" i="39" s="1"/>
  <c r="E359" i="8"/>
  <c r="E359" i="39" s="1"/>
  <c r="I356" i="8"/>
  <c r="I356" i="39" s="1"/>
  <c r="D359" i="8"/>
  <c r="D359" i="39" s="1"/>
  <c r="G360" i="8"/>
  <c r="G360" i="39" s="1"/>
  <c r="G356" i="8"/>
  <c r="G356" i="39" s="1"/>
  <c r="E354" i="8"/>
  <c r="E354" i="39" s="1"/>
  <c r="B355" i="8"/>
  <c r="B355" i="39" s="1"/>
  <c r="G358" i="8"/>
  <c r="G358" i="39" s="1"/>
  <c r="B353" i="8"/>
  <c r="B357" i="8"/>
  <c r="B357" i="39" s="1"/>
  <c r="G353" i="8"/>
  <c r="G353" i="39" s="1"/>
  <c r="G359" i="8"/>
  <c r="G359" i="39" s="1"/>
  <c r="J353" i="8"/>
  <c r="J353" i="39" s="1"/>
  <c r="D355" i="8"/>
  <c r="D355" i="39" s="1"/>
  <c r="B360" i="8"/>
  <c r="B360" i="39" s="1"/>
  <c r="K354" i="8"/>
  <c r="K354" i="39" s="1"/>
  <c r="J354" i="8"/>
  <c r="J354" i="39" s="1"/>
  <c r="I355" i="8"/>
  <c r="I355" i="39" s="1"/>
  <c r="F360" i="8"/>
  <c r="F360" i="39" s="1"/>
  <c r="I360" i="8"/>
  <c r="I360" i="39" s="1"/>
  <c r="C356" i="8"/>
  <c r="C356" i="39" s="1"/>
  <c r="K357" i="8"/>
  <c r="K357" i="39" s="1"/>
  <c r="K360" i="8"/>
  <c r="K360" i="39" s="1"/>
  <c r="J355" i="8"/>
  <c r="J355" i="39" s="1"/>
  <c r="D357" i="8"/>
  <c r="D357" i="39" s="1"/>
  <c r="H357" i="8"/>
  <c r="H357" i="39" s="1"/>
  <c r="C359" i="8"/>
  <c r="C359" i="39" s="1"/>
  <c r="C354" i="8"/>
  <c r="C354" i="39" s="1"/>
  <c r="G354" i="8"/>
  <c r="G354" i="39" s="1"/>
  <c r="H360" i="8"/>
  <c r="H360" i="39" s="1"/>
  <c r="J357" i="8"/>
  <c r="J357" i="39" s="1"/>
  <c r="H359" i="8"/>
  <c r="H359" i="39" s="1"/>
  <c r="E353" i="8"/>
  <c r="E353" i="39" s="1"/>
  <c r="J359" i="8"/>
  <c r="J359" i="39" s="1"/>
  <c r="H358" i="8"/>
  <c r="H358" i="39" s="1"/>
  <c r="G173" i="37"/>
  <c r="C175" i="37"/>
  <c r="K177" i="37"/>
  <c r="D176" i="37"/>
  <c r="F175" i="37"/>
  <c r="D171" i="37"/>
  <c r="K171" i="37"/>
  <c r="F171" i="37"/>
  <c r="B632" i="38" a="1"/>
  <c r="B596" i="38" a="1"/>
  <c r="B170" i="37"/>
  <c r="I177" i="37"/>
  <c r="B177" i="37"/>
  <c r="G175" i="37"/>
  <c r="D174" i="37"/>
  <c r="H173" i="37"/>
  <c r="C177" i="37"/>
  <c r="B176" i="37"/>
  <c r="I173" i="37"/>
  <c r="J176" i="37"/>
  <c r="K172" i="37"/>
  <c r="H170" i="37"/>
  <c r="H176" i="37"/>
  <c r="E175" i="37"/>
  <c r="H171" i="37"/>
  <c r="K378" i="8"/>
  <c r="K378" i="39" s="1"/>
  <c r="G378" i="8"/>
  <c r="G378" i="39" s="1"/>
  <c r="F373" i="8"/>
  <c r="F373" i="39" s="1"/>
  <c r="B375" i="8"/>
  <c r="B375" i="39" s="1"/>
  <c r="F371" i="8"/>
  <c r="F371" i="39" s="1"/>
  <c r="G374" i="8"/>
  <c r="G374" i="39" s="1"/>
  <c r="E376" i="8"/>
  <c r="E376" i="39" s="1"/>
  <c r="J376" i="8"/>
  <c r="J376" i="39" s="1"/>
  <c r="D376" i="8"/>
  <c r="D376" i="39" s="1"/>
  <c r="K373" i="8"/>
  <c r="K373" i="39" s="1"/>
  <c r="I377" i="8"/>
  <c r="I377" i="39" s="1"/>
  <c r="G373" i="8"/>
  <c r="G373" i="39" s="1"/>
  <c r="C375" i="8"/>
  <c r="C375" i="39" s="1"/>
  <c r="J371" i="8"/>
  <c r="J371" i="39" s="1"/>
  <c r="H378" i="8"/>
  <c r="H378" i="39" s="1"/>
  <c r="D373" i="8"/>
  <c r="D373" i="39" s="1"/>
  <c r="G375" i="8"/>
  <c r="G375" i="39" s="1"/>
  <c r="C376" i="8"/>
  <c r="C376" i="39" s="1"/>
  <c r="B372" i="8"/>
  <c r="B372" i="39" s="1"/>
  <c r="B371" i="8"/>
  <c r="K372" i="8"/>
  <c r="K372" i="39" s="1"/>
  <c r="F377" i="8"/>
  <c r="F377" i="39" s="1"/>
  <c r="H372" i="8"/>
  <c r="H372" i="39" s="1"/>
  <c r="B373" i="8"/>
  <c r="B373" i="39" s="1"/>
  <c r="I375" i="8"/>
  <c r="I375" i="39" s="1"/>
  <c r="K371" i="8"/>
  <c r="K371" i="39" s="1"/>
  <c r="J373" i="8"/>
  <c r="J373" i="39" s="1"/>
  <c r="J374" i="8"/>
  <c r="J374" i="39" s="1"/>
  <c r="K375" i="8"/>
  <c r="K375" i="39" s="1"/>
  <c r="H376" i="8"/>
  <c r="H376" i="39" s="1"/>
  <c r="D371" i="8"/>
  <c r="D371" i="39" s="1"/>
  <c r="E377" i="8"/>
  <c r="E377" i="39" s="1"/>
  <c r="I376" i="8"/>
  <c r="I376" i="39" s="1"/>
  <c r="E375" i="8"/>
  <c r="E375" i="39" s="1"/>
  <c r="B376" i="8"/>
  <c r="B376" i="39" s="1"/>
  <c r="C372" i="8"/>
  <c r="C372" i="39" s="1"/>
  <c r="H371" i="8"/>
  <c r="H371" i="39" s="1"/>
  <c r="I373" i="8"/>
  <c r="I373" i="39" s="1"/>
  <c r="J377" i="8"/>
  <c r="J377" i="39" s="1"/>
  <c r="F376" i="8"/>
  <c r="F376" i="39" s="1"/>
  <c r="E371" i="8"/>
  <c r="E371" i="39" s="1"/>
  <c r="C371" i="8"/>
  <c r="C371" i="39" s="1"/>
  <c r="I372" i="8"/>
  <c r="I372" i="39" s="1"/>
  <c r="E378" i="8"/>
  <c r="E378" i="39" s="1"/>
  <c r="H375" i="8"/>
  <c r="H375" i="39" s="1"/>
  <c r="D378" i="8"/>
  <c r="D378" i="39" s="1"/>
  <c r="I371" i="8"/>
  <c r="I371" i="39" s="1"/>
  <c r="B378" i="8"/>
  <c r="B378" i="39" s="1"/>
  <c r="K377" i="8"/>
  <c r="K377" i="39" s="1"/>
  <c r="F378" i="8"/>
  <c r="F378" i="39" s="1"/>
  <c r="G377" i="8"/>
  <c r="G377" i="39" s="1"/>
  <c r="J375" i="8"/>
  <c r="J375" i="39" s="1"/>
  <c r="I378" i="8"/>
  <c r="I378" i="39" s="1"/>
  <c r="E374" i="8"/>
  <c r="E374" i="39" s="1"/>
  <c r="G372" i="8"/>
  <c r="G372" i="39" s="1"/>
  <c r="F372" i="8"/>
  <c r="F372" i="39" s="1"/>
  <c r="B374" i="8"/>
  <c r="B374" i="39" s="1"/>
  <c r="C374" i="8"/>
  <c r="C374" i="39" s="1"/>
  <c r="G371" i="8"/>
  <c r="G371" i="39" s="1"/>
  <c r="E372" i="8"/>
  <c r="E372" i="39" s="1"/>
  <c r="H377" i="8"/>
  <c r="H377" i="39" s="1"/>
  <c r="D372" i="8"/>
  <c r="D372" i="39" s="1"/>
  <c r="B377" i="8"/>
  <c r="B377" i="39" s="1"/>
  <c r="C378" i="8"/>
  <c r="C378" i="39" s="1"/>
  <c r="F375" i="8"/>
  <c r="F375" i="39" s="1"/>
  <c r="K376" i="8"/>
  <c r="K376" i="39" s="1"/>
  <c r="H374" i="8"/>
  <c r="H374" i="39" s="1"/>
  <c r="G376" i="8"/>
  <c r="G376" i="39" s="1"/>
  <c r="D375" i="8"/>
  <c r="D375" i="39" s="1"/>
  <c r="D377" i="8"/>
  <c r="D377" i="39" s="1"/>
  <c r="J378" i="8"/>
  <c r="J378" i="39" s="1"/>
  <c r="E373" i="8"/>
  <c r="E373" i="39" s="1"/>
  <c r="C377" i="8"/>
  <c r="C377" i="39" s="1"/>
  <c r="I374" i="8"/>
  <c r="I374" i="39" s="1"/>
  <c r="J372" i="8"/>
  <c r="J372" i="39" s="1"/>
  <c r="H373" i="8"/>
  <c r="H373" i="39" s="1"/>
  <c r="D374" i="8"/>
  <c r="D374" i="39" s="1"/>
  <c r="K374" i="8"/>
  <c r="K374" i="39" s="1"/>
  <c r="C373" i="8"/>
  <c r="C373" i="39" s="1"/>
  <c r="F374" i="8"/>
  <c r="F374" i="39" s="1"/>
  <c r="I104" i="4"/>
  <c r="I103" i="40"/>
  <c r="J101" i="4"/>
  <c r="K173" i="37"/>
  <c r="B173" i="37"/>
  <c r="F172" i="37"/>
  <c r="F176" i="37"/>
  <c r="J170" i="37"/>
  <c r="I171" i="37"/>
  <c r="J175" i="37"/>
  <c r="F162" i="40"/>
  <c r="G164" i="4"/>
  <c r="L92" i="4"/>
  <c r="L91" i="40"/>
  <c r="D170" i="37"/>
  <c r="H174" i="37"/>
  <c r="K176" i="37"/>
  <c r="C174" i="37"/>
  <c r="B174" i="37"/>
  <c r="C170" i="37"/>
  <c r="K175" i="37"/>
  <c r="C172" i="37"/>
  <c r="D172" i="37"/>
  <c r="G176" i="37"/>
  <c r="C173" i="37"/>
  <c r="G170" i="37"/>
  <c r="B172" i="37"/>
  <c r="E173" i="37"/>
  <c r="D173" i="37"/>
  <c r="F174" i="37"/>
  <c r="E213" i="4"/>
  <c r="F213" i="4"/>
  <c r="F213" i="40" s="1"/>
  <c r="L213" i="4"/>
  <c r="L213" i="40" s="1"/>
  <c r="J213" i="4"/>
  <c r="J213" i="40" s="1"/>
  <c r="M213" i="4"/>
  <c r="M213" i="40" s="1"/>
  <c r="I213" i="4"/>
  <c r="I213" i="40" s="1"/>
  <c r="H213" i="4"/>
  <c r="H213" i="40" s="1"/>
  <c r="K213" i="4"/>
  <c r="K213" i="40" s="1"/>
  <c r="G213" i="4"/>
  <c r="G213" i="40" s="1"/>
  <c r="B497" i="38" a="1"/>
  <c r="T170" i="7"/>
  <c r="O177" i="7"/>
  <c r="O175" i="35"/>
  <c r="Q170" i="7"/>
  <c r="X170" i="35"/>
  <c r="O172" i="7"/>
  <c r="X170" i="7"/>
  <c r="O176" i="35"/>
  <c r="O174" i="7"/>
  <c r="K199" i="57"/>
  <c r="O175" i="7"/>
  <c r="O174" i="35"/>
  <c r="T170" i="35"/>
  <c r="P170" i="7"/>
  <c r="V170" i="7"/>
  <c r="O170" i="35"/>
  <c r="O172" i="35"/>
  <c r="W170" i="35"/>
  <c r="I199" i="57"/>
  <c r="H199" i="57"/>
  <c r="L62" i="57"/>
  <c r="Q170" i="35"/>
  <c r="O177" i="35"/>
  <c r="O171" i="35"/>
  <c r="O171" i="7"/>
  <c r="F68" i="57"/>
  <c r="L199" i="57"/>
  <c r="E199" i="57"/>
  <c r="V170" i="35"/>
  <c r="O176" i="7"/>
  <c r="O173" i="7"/>
  <c r="R170" i="7"/>
  <c r="J199" i="57"/>
  <c r="F199" i="57"/>
  <c r="O170" i="7"/>
  <c r="U170" i="7"/>
  <c r="W170" i="7"/>
  <c r="R170" i="35"/>
  <c r="L11" i="9"/>
  <c r="G199" i="57"/>
  <c r="P170" i="35"/>
  <c r="S170" i="7"/>
  <c r="U170" i="35"/>
  <c r="O173" i="35"/>
  <c r="S170" i="35"/>
  <c r="L22" i="9"/>
  <c r="H218" i="40" l="1"/>
  <c r="G218" i="40"/>
  <c r="K218" i="40"/>
  <c r="F218" i="40"/>
  <c r="M218" i="40"/>
  <c r="I218" i="40"/>
  <c r="J218" i="40"/>
  <c r="L218" i="40"/>
  <c r="B614" i="38" a="1"/>
  <c r="C619" i="38" s="1"/>
  <c r="B578" i="38" a="1"/>
  <c r="K584" i="38" s="1"/>
  <c r="L127" i="40"/>
  <c r="L128" i="4"/>
  <c r="M125" i="4"/>
  <c r="C627" i="38"/>
  <c r="I626" i="38"/>
  <c r="C628" i="38"/>
  <c r="F628" i="38"/>
  <c r="I629" i="38"/>
  <c r="K629" i="38"/>
  <c r="B629" i="38"/>
  <c r="D629" i="38"/>
  <c r="I625" i="38"/>
  <c r="C629" i="38"/>
  <c r="G624" i="38"/>
  <c r="F627" i="38"/>
  <c r="J629" i="38"/>
  <c r="B626" i="38"/>
  <c r="H629" i="38"/>
  <c r="B628" i="38"/>
  <c r="H625" i="38"/>
  <c r="H628" i="38"/>
  <c r="B623" i="38"/>
  <c r="D624" i="38"/>
  <c r="G623" i="38"/>
  <c r="K625" i="38"/>
  <c r="I623" i="38"/>
  <c r="I628" i="38"/>
  <c r="D627" i="38"/>
  <c r="B630" i="38"/>
  <c r="B625" i="38"/>
  <c r="E629" i="38"/>
  <c r="J627" i="38"/>
  <c r="J625" i="38"/>
  <c r="B627" i="38"/>
  <c r="K627" i="38"/>
  <c r="K630" i="38"/>
  <c r="G627" i="38"/>
  <c r="D626" i="38"/>
  <c r="H627" i="38"/>
  <c r="H626" i="38"/>
  <c r="C626" i="38"/>
  <c r="E624" i="38"/>
  <c r="K626" i="38"/>
  <c r="E628" i="38"/>
  <c r="E627" i="38"/>
  <c r="J630" i="38"/>
  <c r="D628" i="38"/>
  <c r="E630" i="38"/>
  <c r="K623" i="38"/>
  <c r="G628" i="38"/>
  <c r="D625" i="38"/>
  <c r="J624" i="38"/>
  <c r="F623" i="38"/>
  <c r="I630" i="38"/>
  <c r="C624" i="38"/>
  <c r="E623" i="38"/>
  <c r="E625" i="38"/>
  <c r="H623" i="38"/>
  <c r="C630" i="38"/>
  <c r="K628" i="38"/>
  <c r="B624" i="38"/>
  <c r="H630" i="38"/>
  <c r="G625" i="38"/>
  <c r="D630" i="38"/>
  <c r="I627" i="38"/>
  <c r="J626" i="38"/>
  <c r="G629" i="38"/>
  <c r="G626" i="38"/>
  <c r="D623" i="38"/>
  <c r="F626" i="38"/>
  <c r="F624" i="38"/>
  <c r="F625" i="38"/>
  <c r="H624" i="38"/>
  <c r="J628" i="38"/>
  <c r="C625" i="38"/>
  <c r="K624" i="38"/>
  <c r="E626" i="38"/>
  <c r="C623" i="38"/>
  <c r="J623" i="38"/>
  <c r="I624" i="38"/>
  <c r="G630" i="38"/>
  <c r="F629" i="38"/>
  <c r="F630" i="38"/>
  <c r="H588" i="38"/>
  <c r="E587" i="38"/>
  <c r="K593" i="38"/>
  <c r="D590" i="38"/>
  <c r="K594" i="38"/>
  <c r="D592" i="38"/>
  <c r="B593" i="38"/>
  <c r="I591" i="38"/>
  <c r="C587" i="38"/>
  <c r="E588" i="38"/>
  <c r="G588" i="38"/>
  <c r="F588" i="38"/>
  <c r="D594" i="38"/>
  <c r="B592" i="38"/>
  <c r="I592" i="38"/>
  <c r="I594" i="38"/>
  <c r="C591" i="38"/>
  <c r="J594" i="38"/>
  <c r="E594" i="38"/>
  <c r="H589" i="38"/>
  <c r="C594" i="38"/>
  <c r="J591" i="38"/>
  <c r="G593" i="38"/>
  <c r="F587" i="38"/>
  <c r="B590" i="38"/>
  <c r="E591" i="38"/>
  <c r="K590" i="38"/>
  <c r="G590" i="38"/>
  <c r="K592" i="38"/>
  <c r="C592" i="38"/>
  <c r="F589" i="38"/>
  <c r="D589" i="38"/>
  <c r="E593" i="38"/>
  <c r="C590" i="38"/>
  <c r="G592" i="38"/>
  <c r="J587" i="38"/>
  <c r="B587" i="38"/>
  <c r="D591" i="38"/>
  <c r="I590" i="38"/>
  <c r="J590" i="38"/>
  <c r="F593" i="38"/>
  <c r="H592" i="38"/>
  <c r="E590" i="38"/>
  <c r="D593" i="38"/>
  <c r="H594" i="38"/>
  <c r="F591" i="38"/>
  <c r="E589" i="38"/>
  <c r="D588" i="38"/>
  <c r="J588" i="38"/>
  <c r="G594" i="38"/>
  <c r="K589" i="38"/>
  <c r="G589" i="38"/>
  <c r="G587" i="38"/>
  <c r="D587" i="38"/>
  <c r="H590" i="38"/>
  <c r="J593" i="38"/>
  <c r="F590" i="38"/>
  <c r="B588" i="38"/>
  <c r="B591" i="38"/>
  <c r="B589" i="38"/>
  <c r="I593" i="38"/>
  <c r="I587" i="38"/>
  <c r="I588" i="38"/>
  <c r="B594" i="38"/>
  <c r="F592" i="38"/>
  <c r="K587" i="38"/>
  <c r="H591" i="38"/>
  <c r="G591" i="38"/>
  <c r="E592" i="38"/>
  <c r="J589" i="38"/>
  <c r="J592" i="38"/>
  <c r="K591" i="38"/>
  <c r="C589" i="38"/>
  <c r="H593" i="38"/>
  <c r="F594" i="38"/>
  <c r="K588" i="38"/>
  <c r="H587" i="38"/>
  <c r="C588" i="38"/>
  <c r="C593" i="38"/>
  <c r="I589" i="38"/>
  <c r="J101" i="40"/>
  <c r="J103" i="4"/>
  <c r="M92" i="4"/>
  <c r="M91" i="40"/>
  <c r="I104" i="40"/>
  <c r="I116" i="4"/>
  <c r="I116" i="40" s="1"/>
  <c r="I105" i="4"/>
  <c r="F598" i="38"/>
  <c r="K602" i="38"/>
  <c r="G601" i="38"/>
  <c r="B597" i="38"/>
  <c r="B599" i="38"/>
  <c r="K596" i="38"/>
  <c r="E602" i="38"/>
  <c r="G599" i="38"/>
  <c r="F603" i="38"/>
  <c r="D601" i="38"/>
  <c r="B603" i="38"/>
  <c r="K601" i="38"/>
  <c r="C601" i="38"/>
  <c r="J597" i="38"/>
  <c r="J598" i="38"/>
  <c r="K599" i="38"/>
  <c r="H599" i="38"/>
  <c r="H597" i="38"/>
  <c r="J601" i="38"/>
  <c r="I599" i="38"/>
  <c r="I596" i="38"/>
  <c r="I603" i="38"/>
  <c r="E603" i="38"/>
  <c r="H600" i="38"/>
  <c r="F602" i="38"/>
  <c r="F600" i="38"/>
  <c r="J603" i="38"/>
  <c r="D603" i="38"/>
  <c r="G598" i="38"/>
  <c r="E601" i="38"/>
  <c r="J596" i="38"/>
  <c r="E598" i="38"/>
  <c r="D597" i="38"/>
  <c r="D598" i="38"/>
  <c r="D596" i="38"/>
  <c r="E599" i="38"/>
  <c r="H596" i="38"/>
  <c r="J600" i="38"/>
  <c r="I598" i="38"/>
  <c r="G603" i="38"/>
  <c r="C600" i="38"/>
  <c r="D599" i="38"/>
  <c r="H598" i="38"/>
  <c r="J599" i="38"/>
  <c r="H601" i="38"/>
  <c r="K600" i="38"/>
  <c r="H602" i="38"/>
  <c r="K603" i="38"/>
  <c r="K598" i="38"/>
  <c r="B600" i="38"/>
  <c r="I601" i="38"/>
  <c r="F601" i="38"/>
  <c r="D602" i="38"/>
  <c r="H603" i="38"/>
  <c r="G602" i="38"/>
  <c r="I597" i="38"/>
  <c r="B602" i="38"/>
  <c r="F597" i="38"/>
  <c r="B601" i="38"/>
  <c r="G596" i="38"/>
  <c r="C603" i="38"/>
  <c r="E600" i="38"/>
  <c r="B598" i="38"/>
  <c r="C596" i="38"/>
  <c r="K597" i="38"/>
  <c r="G600" i="38"/>
  <c r="D600" i="38"/>
  <c r="C598" i="38"/>
  <c r="I602" i="38"/>
  <c r="I600" i="38"/>
  <c r="C597" i="38"/>
  <c r="F599" i="38"/>
  <c r="F596" i="38"/>
  <c r="E596" i="38"/>
  <c r="E597" i="38"/>
  <c r="G597" i="38"/>
  <c r="J602" i="38"/>
  <c r="C599" i="38"/>
  <c r="C602" i="38"/>
  <c r="B596" i="38"/>
  <c r="K501" i="38"/>
  <c r="C503" i="38"/>
  <c r="E497" i="38"/>
  <c r="J503" i="38"/>
  <c r="H504" i="38"/>
  <c r="G497" i="38"/>
  <c r="C498" i="38"/>
  <c r="G503" i="38"/>
  <c r="H500" i="38"/>
  <c r="F499" i="38"/>
  <c r="I502" i="38"/>
  <c r="E500" i="38"/>
  <c r="D502" i="38"/>
  <c r="F501" i="38"/>
  <c r="J497" i="38"/>
  <c r="B498" i="38"/>
  <c r="E498" i="38"/>
  <c r="B497" i="38"/>
  <c r="D501" i="38"/>
  <c r="H499" i="38"/>
  <c r="J499" i="38"/>
  <c r="I503" i="38"/>
  <c r="H501" i="38"/>
  <c r="C499" i="38"/>
  <c r="H498" i="38"/>
  <c r="K497" i="38"/>
  <c r="E504" i="38"/>
  <c r="B502" i="38"/>
  <c r="J498" i="38"/>
  <c r="B499" i="38"/>
  <c r="G498" i="38"/>
  <c r="B500" i="38"/>
  <c r="C497" i="38"/>
  <c r="I500" i="38"/>
  <c r="F504" i="38"/>
  <c r="K500" i="38"/>
  <c r="E503" i="38"/>
  <c r="D498" i="38"/>
  <c r="I499" i="38"/>
  <c r="F500" i="38"/>
  <c r="G502" i="38"/>
  <c r="H503" i="38"/>
  <c r="C501" i="38"/>
  <c r="I504" i="38"/>
  <c r="B503" i="38"/>
  <c r="K504" i="38"/>
  <c r="K503" i="38"/>
  <c r="F497" i="38"/>
  <c r="F498" i="38"/>
  <c r="I498" i="38"/>
  <c r="D497" i="38"/>
  <c r="E499" i="38"/>
  <c r="F503" i="38"/>
  <c r="B501" i="38"/>
  <c r="C502" i="38"/>
  <c r="D503" i="38"/>
  <c r="D500" i="38"/>
  <c r="J501" i="38"/>
  <c r="G504" i="38"/>
  <c r="K499" i="38"/>
  <c r="G501" i="38"/>
  <c r="I501" i="38"/>
  <c r="K502" i="38"/>
  <c r="C500" i="38"/>
  <c r="I497" i="38"/>
  <c r="J504" i="38"/>
  <c r="H502" i="38"/>
  <c r="D499" i="38"/>
  <c r="B504" i="38"/>
  <c r="E501" i="38"/>
  <c r="K498" i="38"/>
  <c r="F502" i="38"/>
  <c r="J500" i="38"/>
  <c r="G500" i="38"/>
  <c r="C504" i="38"/>
  <c r="D504" i="38"/>
  <c r="H497" i="38"/>
  <c r="G499" i="38"/>
  <c r="J502" i="38"/>
  <c r="E502" i="38"/>
  <c r="F638" i="38"/>
  <c r="F632" i="38"/>
  <c r="G636" i="38"/>
  <c r="H638" i="38"/>
  <c r="G635" i="38"/>
  <c r="D637" i="38"/>
  <c r="C634" i="38"/>
  <c r="D636" i="38"/>
  <c r="F639" i="38"/>
  <c r="I632" i="38"/>
  <c r="K634" i="38"/>
  <c r="I636" i="38"/>
  <c r="H634" i="38"/>
  <c r="E634" i="38"/>
  <c r="B633" i="38"/>
  <c r="G639" i="38"/>
  <c r="J634" i="38"/>
  <c r="D639" i="38"/>
  <c r="K632" i="38"/>
  <c r="F634" i="38"/>
  <c r="B636" i="38"/>
  <c r="I638" i="38"/>
  <c r="J639" i="38"/>
  <c r="D632" i="38"/>
  <c r="E636" i="38"/>
  <c r="E632" i="38"/>
  <c r="B632" i="38"/>
  <c r="C637" i="38"/>
  <c r="C633" i="38"/>
  <c r="I634" i="38"/>
  <c r="E638" i="38"/>
  <c r="D638" i="38"/>
  <c r="E637" i="38"/>
  <c r="G633" i="38"/>
  <c r="J637" i="38"/>
  <c r="H636" i="38"/>
  <c r="G634" i="38"/>
  <c r="D634" i="38"/>
  <c r="G637" i="38"/>
  <c r="J632" i="38"/>
  <c r="B639" i="38"/>
  <c r="C638" i="38"/>
  <c r="F635" i="38"/>
  <c r="E633" i="38"/>
  <c r="K639" i="38"/>
  <c r="H633" i="38"/>
  <c r="J635" i="38"/>
  <c r="I637" i="38"/>
  <c r="C635" i="38"/>
  <c r="K637" i="38"/>
  <c r="G632" i="38"/>
  <c r="G638" i="38"/>
  <c r="K633" i="38"/>
  <c r="E635" i="38"/>
  <c r="F637" i="38"/>
  <c r="I639" i="38"/>
  <c r="K635" i="38"/>
  <c r="K638" i="38"/>
  <c r="B635" i="38"/>
  <c r="I633" i="38"/>
  <c r="J633" i="38"/>
  <c r="J638" i="38"/>
  <c r="H635" i="38"/>
  <c r="I635" i="38"/>
  <c r="D633" i="38"/>
  <c r="D635" i="38"/>
  <c r="F633" i="38"/>
  <c r="J636" i="38"/>
  <c r="B637" i="38"/>
  <c r="C636" i="38"/>
  <c r="H637" i="38"/>
  <c r="E639" i="38"/>
  <c r="B634" i="38"/>
  <c r="F636" i="38"/>
  <c r="C632" i="38"/>
  <c r="B638" i="38"/>
  <c r="H639" i="38"/>
  <c r="K636" i="38"/>
  <c r="H632" i="38"/>
  <c r="C639" i="38"/>
  <c r="B380" i="39"/>
  <c r="B524" i="8" a="1"/>
  <c r="F512" i="8"/>
  <c r="F512" i="39" s="1"/>
  <c r="I513" i="8"/>
  <c r="I513" i="39" s="1"/>
  <c r="E513" i="8"/>
  <c r="E513" i="39" s="1"/>
  <c r="F508" i="8"/>
  <c r="F508" i="39" s="1"/>
  <c r="I512" i="8"/>
  <c r="I512" i="39" s="1"/>
  <c r="G510" i="8"/>
  <c r="G510" i="39" s="1"/>
  <c r="F507" i="8"/>
  <c r="F507" i="39" s="1"/>
  <c r="B508" i="8"/>
  <c r="B508" i="39" s="1"/>
  <c r="H512" i="8"/>
  <c r="H512" i="39" s="1"/>
  <c r="D506" i="8"/>
  <c r="D506" i="39" s="1"/>
  <c r="D511" i="8"/>
  <c r="D511" i="39" s="1"/>
  <c r="K510" i="8"/>
  <c r="K510" i="39" s="1"/>
  <c r="C507" i="8"/>
  <c r="C507" i="39" s="1"/>
  <c r="H513" i="8"/>
  <c r="H513" i="39" s="1"/>
  <c r="G513" i="8"/>
  <c r="G513" i="39" s="1"/>
  <c r="F513" i="8"/>
  <c r="F513" i="39" s="1"/>
  <c r="E508" i="8"/>
  <c r="E508" i="39" s="1"/>
  <c r="H510" i="8"/>
  <c r="H510" i="39" s="1"/>
  <c r="K507" i="8"/>
  <c r="K507" i="39" s="1"/>
  <c r="G508" i="8"/>
  <c r="G508" i="39" s="1"/>
  <c r="G506" i="8"/>
  <c r="G506" i="39" s="1"/>
  <c r="C511" i="8"/>
  <c r="C511" i="39" s="1"/>
  <c r="J511" i="8"/>
  <c r="J511" i="39" s="1"/>
  <c r="J507" i="8"/>
  <c r="J507" i="39" s="1"/>
  <c r="J509" i="8"/>
  <c r="J509" i="39" s="1"/>
  <c r="F506" i="8"/>
  <c r="F506" i="39" s="1"/>
  <c r="K511" i="8"/>
  <c r="K511" i="39" s="1"/>
  <c r="H509" i="8"/>
  <c r="H509" i="39" s="1"/>
  <c r="I509" i="8"/>
  <c r="I509" i="39" s="1"/>
  <c r="C506" i="8"/>
  <c r="C506" i="39" s="1"/>
  <c r="C509" i="8"/>
  <c r="C509" i="39" s="1"/>
  <c r="D510" i="8"/>
  <c r="D510" i="39" s="1"/>
  <c r="I508" i="8"/>
  <c r="I508" i="39" s="1"/>
  <c r="I510" i="8"/>
  <c r="I510" i="39" s="1"/>
  <c r="J512" i="8"/>
  <c r="J512" i="39" s="1"/>
  <c r="I506" i="8"/>
  <c r="I506" i="39" s="1"/>
  <c r="K506" i="8"/>
  <c r="K506" i="39" s="1"/>
  <c r="E506" i="8"/>
  <c r="E506" i="39" s="1"/>
  <c r="C508" i="8"/>
  <c r="C508" i="39" s="1"/>
  <c r="E509" i="8"/>
  <c r="E509" i="39" s="1"/>
  <c r="I507" i="8"/>
  <c r="I507" i="39" s="1"/>
  <c r="G512" i="8"/>
  <c r="G512" i="39" s="1"/>
  <c r="K509" i="8"/>
  <c r="K509" i="39" s="1"/>
  <c r="E507" i="8"/>
  <c r="E507" i="39" s="1"/>
  <c r="J513" i="8"/>
  <c r="J513" i="39" s="1"/>
  <c r="F510" i="8"/>
  <c r="F510" i="39" s="1"/>
  <c r="H507" i="8"/>
  <c r="H507" i="39" s="1"/>
  <c r="D508" i="8"/>
  <c r="D508" i="39" s="1"/>
  <c r="G511" i="8"/>
  <c r="G511" i="39" s="1"/>
  <c r="H506" i="8"/>
  <c r="H506" i="39" s="1"/>
  <c r="F509" i="8"/>
  <c r="F509" i="39" s="1"/>
  <c r="G509" i="8"/>
  <c r="G509" i="39" s="1"/>
  <c r="J506" i="8"/>
  <c r="J506" i="39" s="1"/>
  <c r="K512" i="8"/>
  <c r="K512" i="39" s="1"/>
  <c r="H511" i="8"/>
  <c r="H511" i="39" s="1"/>
  <c r="K513" i="8"/>
  <c r="K513" i="39" s="1"/>
  <c r="D513" i="8"/>
  <c r="D513" i="39" s="1"/>
  <c r="E511" i="8"/>
  <c r="E511" i="39" s="1"/>
  <c r="D509" i="8"/>
  <c r="D509" i="39" s="1"/>
  <c r="B507" i="8"/>
  <c r="B507" i="39" s="1"/>
  <c r="J508" i="8"/>
  <c r="J508" i="39" s="1"/>
  <c r="B511" i="8"/>
  <c r="B511" i="39" s="1"/>
  <c r="H508" i="8"/>
  <c r="H508" i="39" s="1"/>
  <c r="E512" i="8"/>
  <c r="E512" i="39" s="1"/>
  <c r="E510" i="8"/>
  <c r="E510" i="39" s="1"/>
  <c r="I511" i="8"/>
  <c r="I511" i="39" s="1"/>
  <c r="F511" i="8"/>
  <c r="F511" i="39" s="1"/>
  <c r="B506" i="8"/>
  <c r="D512" i="8"/>
  <c r="D512" i="39" s="1"/>
  <c r="B512" i="8"/>
  <c r="B512" i="39" s="1"/>
  <c r="K508" i="8"/>
  <c r="K508" i="39" s="1"/>
  <c r="B510" i="8"/>
  <c r="B510" i="39" s="1"/>
  <c r="G507" i="8"/>
  <c r="G507" i="39" s="1"/>
  <c r="C510" i="8"/>
  <c r="C510" i="39" s="1"/>
  <c r="D507" i="8"/>
  <c r="D507" i="39" s="1"/>
  <c r="B509" i="8"/>
  <c r="B509" i="39" s="1"/>
  <c r="B513" i="8"/>
  <c r="B513" i="39" s="1"/>
  <c r="C512" i="8"/>
  <c r="C512" i="39" s="1"/>
  <c r="J510" i="8"/>
  <c r="J510" i="39" s="1"/>
  <c r="C513" i="8"/>
  <c r="C513" i="39" s="1"/>
  <c r="G201" i="4"/>
  <c r="G164" i="40"/>
  <c r="G166" i="4"/>
  <c r="B371" i="39"/>
  <c r="B515" i="8" a="1"/>
  <c r="D213" i="4"/>
  <c r="D213" i="40" s="1"/>
  <c r="E213" i="40"/>
  <c r="L179" i="37"/>
  <c r="F169" i="40"/>
  <c r="F202" i="4"/>
  <c r="L92" i="40"/>
  <c r="B497" i="8" a="1"/>
  <c r="B353" i="39"/>
  <c r="H118" i="40"/>
  <c r="H131" i="4"/>
  <c r="G221" i="4"/>
  <c r="G221" i="40" s="1"/>
  <c r="G162" i="4"/>
  <c r="G162" i="40" s="1"/>
  <c r="G161" i="40"/>
  <c r="G201" i="57"/>
  <c r="F201" i="57"/>
  <c r="J201" i="57"/>
  <c r="F137" i="57"/>
  <c r="F82" i="57"/>
  <c r="F136" i="57"/>
  <c r="F134" i="57"/>
  <c r="F133" i="57"/>
  <c r="F135" i="57"/>
  <c r="E201" i="57"/>
  <c r="C199" i="57"/>
  <c r="L201" i="57"/>
  <c r="D199" i="57"/>
  <c r="L33" i="9"/>
  <c r="I201" i="57"/>
  <c r="K201" i="57"/>
  <c r="E83" i="57"/>
  <c r="H201" i="57"/>
  <c r="E218" i="40" l="1"/>
  <c r="D218" i="40"/>
  <c r="F620" i="38"/>
  <c r="D617" i="38"/>
  <c r="K620" i="38"/>
  <c r="G619" i="38"/>
  <c r="I614" i="38"/>
  <c r="B615" i="38"/>
  <c r="I618" i="38"/>
  <c r="F619" i="38"/>
  <c r="F621" i="38"/>
  <c r="E619" i="38"/>
  <c r="C617" i="38"/>
  <c r="H618" i="38"/>
  <c r="J614" i="38"/>
  <c r="B617" i="38"/>
  <c r="G614" i="38"/>
  <c r="E616" i="38"/>
  <c r="K614" i="38"/>
  <c r="C618" i="38"/>
  <c r="E614" i="38"/>
  <c r="H617" i="38"/>
  <c r="F614" i="38"/>
  <c r="G620" i="38"/>
  <c r="B621" i="38"/>
  <c r="J615" i="38"/>
  <c r="G616" i="38"/>
  <c r="C620" i="38"/>
  <c r="G621" i="38"/>
  <c r="I620" i="38"/>
  <c r="C614" i="38"/>
  <c r="D614" i="38"/>
  <c r="H620" i="38"/>
  <c r="D619" i="38"/>
  <c r="J620" i="38"/>
  <c r="D616" i="38"/>
  <c r="D620" i="38"/>
  <c r="K617" i="38"/>
  <c r="J619" i="38"/>
  <c r="B616" i="38"/>
  <c r="D621" i="38"/>
  <c r="D615" i="38"/>
  <c r="B620" i="38"/>
  <c r="K621" i="38"/>
  <c r="E620" i="38"/>
  <c r="I621" i="38"/>
  <c r="C615" i="38"/>
  <c r="J618" i="38"/>
  <c r="J617" i="38"/>
  <c r="B618" i="38"/>
  <c r="F618" i="38"/>
  <c r="H621" i="38"/>
  <c r="H619" i="38"/>
  <c r="F617" i="38"/>
  <c r="E615" i="38"/>
  <c r="G618" i="38"/>
  <c r="H614" i="38"/>
  <c r="J621" i="38"/>
  <c r="G617" i="38"/>
  <c r="B614" i="38"/>
  <c r="I616" i="38"/>
  <c r="E618" i="38"/>
  <c r="K615" i="38"/>
  <c r="C621" i="38"/>
  <c r="C616" i="38"/>
  <c r="E617" i="38"/>
  <c r="K618" i="38"/>
  <c r="H615" i="38"/>
  <c r="F615" i="38"/>
  <c r="H616" i="38"/>
  <c r="G615" i="38"/>
  <c r="E621" i="38"/>
  <c r="I617" i="38"/>
  <c r="K616" i="38"/>
  <c r="I619" i="38"/>
  <c r="I615" i="38"/>
  <c r="B619" i="38"/>
  <c r="D618" i="38"/>
  <c r="J616" i="38"/>
  <c r="F616" i="38"/>
  <c r="K619" i="38"/>
  <c r="J584" i="38"/>
  <c r="K581" i="38"/>
  <c r="E583" i="38"/>
  <c r="G578" i="38"/>
  <c r="B582" i="38"/>
  <c r="E582" i="38"/>
  <c r="C584" i="38"/>
  <c r="D582" i="38"/>
  <c r="G579" i="38"/>
  <c r="K578" i="38"/>
  <c r="F584" i="38"/>
  <c r="H583" i="38"/>
  <c r="B579" i="38"/>
  <c r="H584" i="38"/>
  <c r="D578" i="38"/>
  <c r="C579" i="38"/>
  <c r="J581" i="38"/>
  <c r="D585" i="38"/>
  <c r="C585" i="38"/>
  <c r="G582" i="38"/>
  <c r="G581" i="38"/>
  <c r="E580" i="38"/>
  <c r="C582" i="38"/>
  <c r="F578" i="38"/>
  <c r="G585" i="38"/>
  <c r="I580" i="38"/>
  <c r="J579" i="38"/>
  <c r="B581" i="38"/>
  <c r="E579" i="38"/>
  <c r="D580" i="38"/>
  <c r="B583" i="38"/>
  <c r="I582" i="38"/>
  <c r="J585" i="38"/>
  <c r="H585" i="38"/>
  <c r="F582" i="38"/>
  <c r="I581" i="38"/>
  <c r="D581" i="38"/>
  <c r="G580" i="38"/>
  <c r="H580" i="38"/>
  <c r="J580" i="38"/>
  <c r="I585" i="38"/>
  <c r="C581" i="38"/>
  <c r="K585" i="38"/>
  <c r="D584" i="38"/>
  <c r="C583" i="38"/>
  <c r="F579" i="38"/>
  <c r="C580" i="38"/>
  <c r="E585" i="38"/>
  <c r="D579" i="38"/>
  <c r="J578" i="38"/>
  <c r="K579" i="38"/>
  <c r="B584" i="38"/>
  <c r="F580" i="38"/>
  <c r="F585" i="38"/>
  <c r="C578" i="38"/>
  <c r="K582" i="38"/>
  <c r="F583" i="38"/>
  <c r="H579" i="38"/>
  <c r="K583" i="38"/>
  <c r="E581" i="38"/>
  <c r="B578" i="38"/>
  <c r="B585" i="38"/>
  <c r="G583" i="38"/>
  <c r="H578" i="38"/>
  <c r="E584" i="38"/>
  <c r="K580" i="38"/>
  <c r="I579" i="38"/>
  <c r="J583" i="38"/>
  <c r="I584" i="38"/>
  <c r="D583" i="38"/>
  <c r="H582" i="38"/>
  <c r="H581" i="38"/>
  <c r="I578" i="38"/>
  <c r="G584" i="38"/>
  <c r="J582" i="38"/>
  <c r="B580" i="38"/>
  <c r="I583" i="38"/>
  <c r="F581" i="38"/>
  <c r="E578" i="38"/>
  <c r="M127" i="4"/>
  <c r="M125" i="40"/>
  <c r="L128" i="40"/>
  <c r="L129" i="4"/>
  <c r="L129" i="40" s="1"/>
  <c r="I105" i="40"/>
  <c r="I118" i="4"/>
  <c r="H164" i="4"/>
  <c r="G166" i="40"/>
  <c r="G167" i="4"/>
  <c r="G168" i="4"/>
  <c r="G168" i="40" s="1"/>
  <c r="J528" i="8"/>
  <c r="J528" i="39" s="1"/>
  <c r="I524" i="8"/>
  <c r="I524" i="39" s="1"/>
  <c r="G530" i="8"/>
  <c r="G530" i="39" s="1"/>
  <c r="G529" i="8"/>
  <c r="G529" i="39" s="1"/>
  <c r="H524" i="8"/>
  <c r="H524" i="39" s="1"/>
  <c r="H527" i="8"/>
  <c r="H527" i="39" s="1"/>
  <c r="J527" i="8"/>
  <c r="J527" i="39" s="1"/>
  <c r="E529" i="8"/>
  <c r="E529" i="39" s="1"/>
  <c r="I526" i="8"/>
  <c r="I526" i="39" s="1"/>
  <c r="D528" i="8"/>
  <c r="D528" i="39" s="1"/>
  <c r="I525" i="8"/>
  <c r="I525" i="39" s="1"/>
  <c r="D527" i="8"/>
  <c r="D527" i="39" s="1"/>
  <c r="E525" i="8"/>
  <c r="E525" i="39" s="1"/>
  <c r="C526" i="8"/>
  <c r="C526" i="39" s="1"/>
  <c r="H528" i="8"/>
  <c r="H528" i="39" s="1"/>
  <c r="F529" i="8"/>
  <c r="F529" i="39" s="1"/>
  <c r="C524" i="8"/>
  <c r="C524" i="39" s="1"/>
  <c r="B530" i="8"/>
  <c r="B530" i="39" s="1"/>
  <c r="K531" i="8"/>
  <c r="K531" i="39" s="1"/>
  <c r="I531" i="8"/>
  <c r="I531" i="39" s="1"/>
  <c r="D530" i="8"/>
  <c r="D530" i="39" s="1"/>
  <c r="K530" i="8"/>
  <c r="K530" i="39" s="1"/>
  <c r="D525" i="8"/>
  <c r="D525" i="39" s="1"/>
  <c r="E530" i="8"/>
  <c r="E530" i="39" s="1"/>
  <c r="J524" i="8"/>
  <c r="J524" i="39" s="1"/>
  <c r="B525" i="8"/>
  <c r="B525" i="39" s="1"/>
  <c r="F527" i="8"/>
  <c r="F527" i="39" s="1"/>
  <c r="I529" i="8"/>
  <c r="I529" i="39" s="1"/>
  <c r="J531" i="8"/>
  <c r="J531" i="39" s="1"/>
  <c r="B531" i="8"/>
  <c r="B531" i="39" s="1"/>
  <c r="I530" i="8"/>
  <c r="I530" i="39" s="1"/>
  <c r="H531" i="8"/>
  <c r="H531" i="39" s="1"/>
  <c r="J525" i="8"/>
  <c r="J525" i="39" s="1"/>
  <c r="C527" i="8"/>
  <c r="C527" i="39" s="1"/>
  <c r="I528" i="8"/>
  <c r="I528" i="39" s="1"/>
  <c r="K525" i="8"/>
  <c r="K525" i="39" s="1"/>
  <c r="K527" i="8"/>
  <c r="K527" i="39" s="1"/>
  <c r="C530" i="8"/>
  <c r="C530" i="39" s="1"/>
  <c r="E531" i="8"/>
  <c r="E531" i="39" s="1"/>
  <c r="J530" i="8"/>
  <c r="J530" i="39" s="1"/>
  <c r="B526" i="8"/>
  <c r="B526" i="39" s="1"/>
  <c r="E524" i="8"/>
  <c r="E524" i="39" s="1"/>
  <c r="D529" i="8"/>
  <c r="D529" i="39" s="1"/>
  <c r="B529" i="8"/>
  <c r="B529" i="39" s="1"/>
  <c r="K526" i="8"/>
  <c r="K526" i="39" s="1"/>
  <c r="G531" i="8"/>
  <c r="G531" i="39" s="1"/>
  <c r="D526" i="8"/>
  <c r="D526" i="39" s="1"/>
  <c r="K528" i="8"/>
  <c r="K528" i="39" s="1"/>
  <c r="D524" i="8"/>
  <c r="D524" i="39" s="1"/>
  <c r="B524" i="8"/>
  <c r="H526" i="8"/>
  <c r="H526" i="39" s="1"/>
  <c r="G528" i="8"/>
  <c r="G528" i="39" s="1"/>
  <c r="E526" i="8"/>
  <c r="E526" i="39" s="1"/>
  <c r="F530" i="8"/>
  <c r="F530" i="39" s="1"/>
  <c r="K529" i="8"/>
  <c r="K529" i="39" s="1"/>
  <c r="H530" i="8"/>
  <c r="H530" i="39" s="1"/>
  <c r="G527" i="8"/>
  <c r="G527" i="39" s="1"/>
  <c r="H529" i="8"/>
  <c r="H529" i="39" s="1"/>
  <c r="C531" i="8"/>
  <c r="C531" i="39" s="1"/>
  <c r="F531" i="8"/>
  <c r="F531" i="39" s="1"/>
  <c r="E528" i="8"/>
  <c r="E528" i="39" s="1"/>
  <c r="F525" i="8"/>
  <c r="F525" i="39" s="1"/>
  <c r="B527" i="8"/>
  <c r="B527" i="39" s="1"/>
  <c r="D531" i="8"/>
  <c r="D531" i="39" s="1"/>
  <c r="H525" i="8"/>
  <c r="H525" i="39" s="1"/>
  <c r="I527" i="8"/>
  <c r="I527" i="39" s="1"/>
  <c r="C529" i="8"/>
  <c r="C529" i="39" s="1"/>
  <c r="K524" i="8"/>
  <c r="K524" i="39" s="1"/>
  <c r="F524" i="8"/>
  <c r="F524" i="39" s="1"/>
  <c r="G525" i="8"/>
  <c r="G525" i="39" s="1"/>
  <c r="F528" i="8"/>
  <c r="F528" i="39" s="1"/>
  <c r="E527" i="8"/>
  <c r="E527" i="39" s="1"/>
  <c r="B528" i="8"/>
  <c r="B528" i="39" s="1"/>
  <c r="J529" i="8"/>
  <c r="J529" i="39" s="1"/>
  <c r="F526" i="8"/>
  <c r="F526" i="39" s="1"/>
  <c r="C525" i="8"/>
  <c r="C525" i="39" s="1"/>
  <c r="G524" i="8"/>
  <c r="G524" i="39" s="1"/>
  <c r="G526" i="8"/>
  <c r="G526" i="39" s="1"/>
  <c r="J526" i="8"/>
  <c r="J526" i="39" s="1"/>
  <c r="C528" i="8"/>
  <c r="C528" i="39" s="1"/>
  <c r="B569" i="38" a="1"/>
  <c r="B605" i="38" a="1"/>
  <c r="M92" i="40"/>
  <c r="B506" i="39"/>
  <c r="B614" i="8" a="1"/>
  <c r="B578" i="8" a="1"/>
  <c r="H161" i="4"/>
  <c r="H131" i="40"/>
  <c r="J104" i="4"/>
  <c r="J103" i="40"/>
  <c r="K101" i="4"/>
  <c r="I502" i="8"/>
  <c r="I502" i="39" s="1"/>
  <c r="G499" i="8"/>
  <c r="G499" i="39" s="1"/>
  <c r="G502" i="8"/>
  <c r="G502" i="39" s="1"/>
  <c r="C497" i="8"/>
  <c r="C497" i="39" s="1"/>
  <c r="F504" i="8"/>
  <c r="F504" i="39" s="1"/>
  <c r="H498" i="8"/>
  <c r="H498" i="39" s="1"/>
  <c r="H497" i="8"/>
  <c r="H497" i="39" s="1"/>
  <c r="G497" i="8"/>
  <c r="G497" i="39" s="1"/>
  <c r="H502" i="8"/>
  <c r="H502" i="39" s="1"/>
  <c r="F497" i="8"/>
  <c r="F497" i="39" s="1"/>
  <c r="J502" i="8"/>
  <c r="J502" i="39" s="1"/>
  <c r="K500" i="8"/>
  <c r="K500" i="39" s="1"/>
  <c r="F502" i="8"/>
  <c r="F502" i="39" s="1"/>
  <c r="B502" i="8"/>
  <c r="B502" i="39" s="1"/>
  <c r="K501" i="8"/>
  <c r="K501" i="39" s="1"/>
  <c r="I498" i="8"/>
  <c r="I498" i="39" s="1"/>
  <c r="E499" i="8"/>
  <c r="E499" i="39" s="1"/>
  <c r="J498" i="8"/>
  <c r="J498" i="39" s="1"/>
  <c r="K504" i="8"/>
  <c r="K504" i="39" s="1"/>
  <c r="E501" i="8"/>
  <c r="E501" i="39" s="1"/>
  <c r="H504" i="8"/>
  <c r="H504" i="39" s="1"/>
  <c r="E498" i="8"/>
  <c r="E498" i="39" s="1"/>
  <c r="C500" i="8"/>
  <c r="C500" i="39" s="1"/>
  <c r="I501" i="8"/>
  <c r="I501" i="39" s="1"/>
  <c r="D501" i="8"/>
  <c r="D501" i="39" s="1"/>
  <c r="E497" i="8"/>
  <c r="E497" i="39" s="1"/>
  <c r="J499" i="8"/>
  <c r="J499" i="39" s="1"/>
  <c r="D499" i="8"/>
  <c r="D499" i="39" s="1"/>
  <c r="G498" i="8"/>
  <c r="G498" i="39" s="1"/>
  <c r="F499" i="8"/>
  <c r="F499" i="39" s="1"/>
  <c r="I504" i="8"/>
  <c r="I504" i="39" s="1"/>
  <c r="I497" i="8"/>
  <c r="I497" i="39" s="1"/>
  <c r="B501" i="8"/>
  <c r="B501" i="39" s="1"/>
  <c r="H499" i="8"/>
  <c r="H499" i="39" s="1"/>
  <c r="C501" i="8"/>
  <c r="C501" i="39" s="1"/>
  <c r="C503" i="8"/>
  <c r="C503" i="39" s="1"/>
  <c r="I499" i="8"/>
  <c r="I499" i="39" s="1"/>
  <c r="C504" i="8"/>
  <c r="C504" i="39" s="1"/>
  <c r="G504" i="8"/>
  <c r="G504" i="39" s="1"/>
  <c r="B497" i="8"/>
  <c r="K498" i="8"/>
  <c r="K498" i="39" s="1"/>
  <c r="B503" i="8"/>
  <c r="B503" i="39" s="1"/>
  <c r="C502" i="8"/>
  <c r="C502" i="39" s="1"/>
  <c r="B499" i="8"/>
  <c r="B499" i="39" s="1"/>
  <c r="K502" i="8"/>
  <c r="K502" i="39" s="1"/>
  <c r="I500" i="8"/>
  <c r="I500" i="39" s="1"/>
  <c r="I503" i="8"/>
  <c r="I503" i="39" s="1"/>
  <c r="C499" i="8"/>
  <c r="C499" i="39" s="1"/>
  <c r="H500" i="8"/>
  <c r="H500" i="39" s="1"/>
  <c r="D498" i="8"/>
  <c r="D498" i="39" s="1"/>
  <c r="K503" i="8"/>
  <c r="K503" i="39" s="1"/>
  <c r="D497" i="8"/>
  <c r="D497" i="39" s="1"/>
  <c r="G501" i="8"/>
  <c r="G501" i="39" s="1"/>
  <c r="F503" i="8"/>
  <c r="F503" i="39" s="1"/>
  <c r="E500" i="8"/>
  <c r="E500" i="39" s="1"/>
  <c r="E504" i="8"/>
  <c r="E504" i="39" s="1"/>
  <c r="G503" i="8"/>
  <c r="G503" i="39" s="1"/>
  <c r="D500" i="8"/>
  <c r="D500" i="39" s="1"/>
  <c r="F498" i="8"/>
  <c r="F498" i="39" s="1"/>
  <c r="H501" i="8"/>
  <c r="H501" i="39" s="1"/>
  <c r="B498" i="8"/>
  <c r="B498" i="39" s="1"/>
  <c r="J503" i="8"/>
  <c r="J503" i="39" s="1"/>
  <c r="D503" i="8"/>
  <c r="D503" i="39" s="1"/>
  <c r="G500" i="8"/>
  <c r="G500" i="39" s="1"/>
  <c r="C498" i="8"/>
  <c r="C498" i="39" s="1"/>
  <c r="F500" i="8"/>
  <c r="F500" i="39" s="1"/>
  <c r="D502" i="8"/>
  <c r="D502" i="39" s="1"/>
  <c r="F501" i="8"/>
  <c r="F501" i="39" s="1"/>
  <c r="J504" i="8"/>
  <c r="J504" i="39" s="1"/>
  <c r="J497" i="8"/>
  <c r="J497" i="39" s="1"/>
  <c r="K499" i="8"/>
  <c r="K499" i="39" s="1"/>
  <c r="D504" i="8"/>
  <c r="D504" i="39" s="1"/>
  <c r="J501" i="8"/>
  <c r="J501" i="39" s="1"/>
  <c r="B500" i="8"/>
  <c r="B500" i="39" s="1"/>
  <c r="E503" i="8"/>
  <c r="E503" i="39" s="1"/>
  <c r="K497" i="8"/>
  <c r="K497" i="39" s="1"/>
  <c r="J500" i="8"/>
  <c r="J500" i="39" s="1"/>
  <c r="H503" i="8"/>
  <c r="H503" i="39" s="1"/>
  <c r="B504" i="8"/>
  <c r="B504" i="39" s="1"/>
  <c r="E502" i="8"/>
  <c r="E502" i="39" s="1"/>
  <c r="I519" i="8"/>
  <c r="I519" i="39" s="1"/>
  <c r="E522" i="8"/>
  <c r="E522" i="39" s="1"/>
  <c r="I521" i="8"/>
  <c r="I521" i="39" s="1"/>
  <c r="F516" i="8"/>
  <c r="F516" i="39" s="1"/>
  <c r="D518" i="8"/>
  <c r="D518" i="39" s="1"/>
  <c r="C518" i="8"/>
  <c r="C518" i="39" s="1"/>
  <c r="B520" i="8"/>
  <c r="B520" i="39" s="1"/>
  <c r="H519" i="8"/>
  <c r="H519" i="39" s="1"/>
  <c r="D522" i="8"/>
  <c r="D522" i="39" s="1"/>
  <c r="H517" i="8"/>
  <c r="H517" i="39" s="1"/>
  <c r="C520" i="8"/>
  <c r="C520" i="39" s="1"/>
  <c r="E520" i="8"/>
  <c r="E520" i="39" s="1"/>
  <c r="H516" i="8"/>
  <c r="H516" i="39" s="1"/>
  <c r="E515" i="8"/>
  <c r="E515" i="39" s="1"/>
  <c r="J522" i="8"/>
  <c r="J522" i="39" s="1"/>
  <c r="D516" i="8"/>
  <c r="D516" i="39" s="1"/>
  <c r="K522" i="8"/>
  <c r="K522" i="39" s="1"/>
  <c r="F520" i="8"/>
  <c r="F520" i="39" s="1"/>
  <c r="G519" i="8"/>
  <c r="G519" i="39" s="1"/>
  <c r="B515" i="8"/>
  <c r="D521" i="8"/>
  <c r="D521" i="39" s="1"/>
  <c r="H521" i="8"/>
  <c r="H521" i="39" s="1"/>
  <c r="H522" i="8"/>
  <c r="H522" i="39" s="1"/>
  <c r="G518" i="8"/>
  <c r="G518" i="39" s="1"/>
  <c r="G516" i="8"/>
  <c r="G516" i="39" s="1"/>
  <c r="K521" i="8"/>
  <c r="K521" i="39" s="1"/>
  <c r="B521" i="8"/>
  <c r="B521" i="39" s="1"/>
  <c r="I522" i="8"/>
  <c r="I522" i="39" s="1"/>
  <c r="F522" i="8"/>
  <c r="F522" i="39" s="1"/>
  <c r="E518" i="8"/>
  <c r="E518" i="39" s="1"/>
  <c r="H520" i="8"/>
  <c r="H520" i="39" s="1"/>
  <c r="H515" i="8"/>
  <c r="H515" i="39" s="1"/>
  <c r="J521" i="8"/>
  <c r="J521" i="39" s="1"/>
  <c r="I520" i="8"/>
  <c r="I520" i="39" s="1"/>
  <c r="H518" i="8"/>
  <c r="H518" i="39" s="1"/>
  <c r="J516" i="8"/>
  <c r="J516" i="39" s="1"/>
  <c r="J520" i="8"/>
  <c r="J520" i="39" s="1"/>
  <c r="D515" i="8"/>
  <c r="D515" i="39" s="1"/>
  <c r="F519" i="8"/>
  <c r="F519" i="39" s="1"/>
  <c r="C515" i="8"/>
  <c r="C515" i="39" s="1"/>
  <c r="E517" i="8"/>
  <c r="E517" i="39" s="1"/>
  <c r="K516" i="8"/>
  <c r="K516" i="39" s="1"/>
  <c r="B522" i="8"/>
  <c r="B522" i="39" s="1"/>
  <c r="E516" i="8"/>
  <c r="E516" i="39" s="1"/>
  <c r="C521" i="8"/>
  <c r="C521" i="39" s="1"/>
  <c r="D519" i="8"/>
  <c r="D519" i="39" s="1"/>
  <c r="J515" i="8"/>
  <c r="J515" i="39" s="1"/>
  <c r="D520" i="8"/>
  <c r="D520" i="39" s="1"/>
  <c r="F515" i="8"/>
  <c r="F515" i="39" s="1"/>
  <c r="G515" i="8"/>
  <c r="G515" i="39" s="1"/>
  <c r="G520" i="8"/>
  <c r="G520" i="39" s="1"/>
  <c r="K519" i="8"/>
  <c r="K519" i="39" s="1"/>
  <c r="F518" i="8"/>
  <c r="F518" i="39" s="1"/>
  <c r="K520" i="8"/>
  <c r="K520" i="39" s="1"/>
  <c r="J519" i="8"/>
  <c r="J519" i="39" s="1"/>
  <c r="G521" i="8"/>
  <c r="G521" i="39" s="1"/>
  <c r="I515" i="8"/>
  <c r="I515" i="39" s="1"/>
  <c r="E521" i="8"/>
  <c r="E521" i="39" s="1"/>
  <c r="C519" i="8"/>
  <c r="C519" i="39" s="1"/>
  <c r="I517" i="8"/>
  <c r="I517" i="39" s="1"/>
  <c r="G517" i="8"/>
  <c r="G517" i="39" s="1"/>
  <c r="I516" i="8"/>
  <c r="I516" i="39" s="1"/>
  <c r="C516" i="8"/>
  <c r="C516" i="39" s="1"/>
  <c r="J517" i="8"/>
  <c r="J517" i="39" s="1"/>
  <c r="K515" i="8"/>
  <c r="K515" i="39" s="1"/>
  <c r="D517" i="8"/>
  <c r="D517" i="39" s="1"/>
  <c r="B518" i="8"/>
  <c r="B518" i="39" s="1"/>
  <c r="F517" i="8"/>
  <c r="F517" i="39" s="1"/>
  <c r="F521" i="8"/>
  <c r="F521" i="39" s="1"/>
  <c r="K517" i="8"/>
  <c r="K517" i="39" s="1"/>
  <c r="B517" i="8"/>
  <c r="B517" i="39" s="1"/>
  <c r="B519" i="8"/>
  <c r="B519" i="39" s="1"/>
  <c r="B516" i="8"/>
  <c r="B516" i="39" s="1"/>
  <c r="I518" i="8"/>
  <c r="I518" i="39" s="1"/>
  <c r="J518" i="8"/>
  <c r="J518" i="39" s="1"/>
  <c r="E519" i="8"/>
  <c r="E519" i="39" s="1"/>
  <c r="C517" i="8"/>
  <c r="C517" i="39" s="1"/>
  <c r="C522" i="8"/>
  <c r="C522" i="39" s="1"/>
  <c r="K518" i="8"/>
  <c r="K518" i="39" s="1"/>
  <c r="G522" i="8"/>
  <c r="G522" i="39" s="1"/>
  <c r="L38" i="9"/>
  <c r="D201" i="57"/>
  <c r="F150" i="57"/>
  <c r="F81" i="57"/>
  <c r="F154" i="57"/>
  <c r="F153" i="57"/>
  <c r="F151" i="57"/>
  <c r="F152" i="57"/>
  <c r="G68" i="57"/>
  <c r="C201" i="57"/>
  <c r="M128" i="4" l="1"/>
  <c r="M127" i="40"/>
  <c r="I620" i="8"/>
  <c r="I620" i="39" s="1"/>
  <c r="E615" i="8"/>
  <c r="E615" i="39" s="1"/>
  <c r="F618" i="8"/>
  <c r="F618" i="39" s="1"/>
  <c r="D615" i="8"/>
  <c r="D615" i="39" s="1"/>
  <c r="J616" i="8"/>
  <c r="J616" i="39" s="1"/>
  <c r="J618" i="8"/>
  <c r="J618" i="39" s="1"/>
  <c r="J620" i="8"/>
  <c r="J620" i="39" s="1"/>
  <c r="H616" i="8"/>
  <c r="H616" i="39" s="1"/>
  <c r="E617" i="8"/>
  <c r="E617" i="39" s="1"/>
  <c r="F616" i="8"/>
  <c r="F616" i="39" s="1"/>
  <c r="I615" i="8"/>
  <c r="I615" i="39" s="1"/>
  <c r="B617" i="8"/>
  <c r="B617" i="39" s="1"/>
  <c r="E618" i="8"/>
  <c r="E618" i="39" s="1"/>
  <c r="G618" i="8"/>
  <c r="G618" i="39" s="1"/>
  <c r="H614" i="8"/>
  <c r="H614" i="39" s="1"/>
  <c r="F619" i="8"/>
  <c r="F619" i="39" s="1"/>
  <c r="J617" i="8"/>
  <c r="J617" i="39" s="1"/>
  <c r="E621" i="8"/>
  <c r="E621" i="39" s="1"/>
  <c r="I617" i="8"/>
  <c r="I617" i="39" s="1"/>
  <c r="G617" i="8"/>
  <c r="G617" i="39" s="1"/>
  <c r="B618" i="8"/>
  <c r="B618" i="39" s="1"/>
  <c r="K617" i="8"/>
  <c r="K617" i="39" s="1"/>
  <c r="C621" i="8"/>
  <c r="C621" i="39" s="1"/>
  <c r="H619" i="8"/>
  <c r="H619" i="39" s="1"/>
  <c r="E616" i="8"/>
  <c r="E616" i="39" s="1"/>
  <c r="H617" i="8"/>
  <c r="H617" i="39" s="1"/>
  <c r="B621" i="8"/>
  <c r="B621" i="39" s="1"/>
  <c r="F617" i="8"/>
  <c r="F617" i="39" s="1"/>
  <c r="I616" i="8"/>
  <c r="I616" i="39" s="1"/>
  <c r="J614" i="8"/>
  <c r="J614" i="39" s="1"/>
  <c r="K620" i="8"/>
  <c r="K620" i="39" s="1"/>
  <c r="C618" i="8"/>
  <c r="C618" i="39" s="1"/>
  <c r="K618" i="8"/>
  <c r="K618" i="39" s="1"/>
  <c r="C615" i="8"/>
  <c r="C615" i="39" s="1"/>
  <c r="G615" i="8"/>
  <c r="G615" i="39" s="1"/>
  <c r="B616" i="8"/>
  <c r="B616" i="39" s="1"/>
  <c r="D616" i="8"/>
  <c r="D616" i="39" s="1"/>
  <c r="E620" i="8"/>
  <c r="E620" i="39" s="1"/>
  <c r="G620" i="8"/>
  <c r="G620" i="39" s="1"/>
  <c r="C619" i="8"/>
  <c r="C619" i="39" s="1"/>
  <c r="K616" i="8"/>
  <c r="K616" i="39" s="1"/>
  <c r="D618" i="8"/>
  <c r="D618" i="39" s="1"/>
  <c r="H615" i="8"/>
  <c r="H615" i="39" s="1"/>
  <c r="C617" i="8"/>
  <c r="C617" i="39" s="1"/>
  <c r="B614" i="8"/>
  <c r="B614" i="39" s="1"/>
  <c r="K619" i="8"/>
  <c r="K619" i="39" s="1"/>
  <c r="J615" i="8"/>
  <c r="J615" i="39" s="1"/>
  <c r="G614" i="8"/>
  <c r="G614" i="39" s="1"/>
  <c r="B619" i="8"/>
  <c r="B619" i="39" s="1"/>
  <c r="J621" i="8"/>
  <c r="J621" i="39" s="1"/>
  <c r="H618" i="8"/>
  <c r="H618" i="39" s="1"/>
  <c r="F614" i="8"/>
  <c r="F614" i="39" s="1"/>
  <c r="G619" i="8"/>
  <c r="G619" i="39" s="1"/>
  <c r="D614" i="8"/>
  <c r="D614" i="39" s="1"/>
  <c r="I619" i="8"/>
  <c r="I619" i="39" s="1"/>
  <c r="I621" i="8"/>
  <c r="I621" i="39" s="1"/>
  <c r="F615" i="8"/>
  <c r="F615" i="39" s="1"/>
  <c r="D621" i="8"/>
  <c r="D621" i="39" s="1"/>
  <c r="G616" i="8"/>
  <c r="G616" i="39" s="1"/>
  <c r="K621" i="8"/>
  <c r="K621" i="39" s="1"/>
  <c r="E614" i="8"/>
  <c r="E614" i="39" s="1"/>
  <c r="E619" i="8"/>
  <c r="E619" i="39" s="1"/>
  <c r="I618" i="8"/>
  <c r="I618" i="39" s="1"/>
  <c r="D620" i="8"/>
  <c r="D620" i="39" s="1"/>
  <c r="K615" i="8"/>
  <c r="K615" i="39" s="1"/>
  <c r="D619" i="8"/>
  <c r="D619" i="39" s="1"/>
  <c r="C620" i="8"/>
  <c r="C620" i="39" s="1"/>
  <c r="I614" i="8"/>
  <c r="I614" i="39" s="1"/>
  <c r="F621" i="8"/>
  <c r="F621" i="39" s="1"/>
  <c r="D617" i="8"/>
  <c r="D617" i="39" s="1"/>
  <c r="B615" i="8"/>
  <c r="B615" i="39" s="1"/>
  <c r="G621" i="8"/>
  <c r="G621" i="39" s="1"/>
  <c r="F620" i="8"/>
  <c r="F620" i="39" s="1"/>
  <c r="K614" i="8"/>
  <c r="K614" i="39" s="1"/>
  <c r="H620" i="8"/>
  <c r="H620" i="39" s="1"/>
  <c r="H621" i="8"/>
  <c r="H621" i="39" s="1"/>
  <c r="C614" i="8"/>
  <c r="C614" i="39" s="1"/>
  <c r="J619" i="8"/>
  <c r="J619" i="39" s="1"/>
  <c r="B620" i="8"/>
  <c r="B620" i="39" s="1"/>
  <c r="C616" i="8"/>
  <c r="C616" i="39" s="1"/>
  <c r="B497" i="39"/>
  <c r="B605" i="8" a="1"/>
  <c r="B569" i="8" a="1"/>
  <c r="H164" i="40"/>
  <c r="H201" i="4"/>
  <c r="H166" i="4"/>
  <c r="B515" i="39"/>
  <c r="B587" i="8" a="1"/>
  <c r="B623" i="8" a="1"/>
  <c r="H221" i="4"/>
  <c r="H221" i="40" s="1"/>
  <c r="H162" i="4"/>
  <c r="H162" i="40" s="1"/>
  <c r="H161" i="40"/>
  <c r="E581" i="8"/>
  <c r="E581" i="39" s="1"/>
  <c r="B584" i="8"/>
  <c r="B584" i="39" s="1"/>
  <c r="E578" i="8"/>
  <c r="E578" i="39" s="1"/>
  <c r="H581" i="8"/>
  <c r="H581" i="39" s="1"/>
  <c r="E582" i="8"/>
  <c r="E582" i="39" s="1"/>
  <c r="D581" i="8"/>
  <c r="D581" i="39" s="1"/>
  <c r="I585" i="8"/>
  <c r="I585" i="39" s="1"/>
  <c r="J580" i="8"/>
  <c r="J580" i="39" s="1"/>
  <c r="C584" i="8"/>
  <c r="C584" i="39" s="1"/>
  <c r="G583" i="8"/>
  <c r="G583" i="39" s="1"/>
  <c r="K581" i="8"/>
  <c r="K581" i="39" s="1"/>
  <c r="H578" i="8"/>
  <c r="H578" i="39" s="1"/>
  <c r="D583" i="8"/>
  <c r="D583" i="39" s="1"/>
  <c r="F578" i="8"/>
  <c r="F578" i="39" s="1"/>
  <c r="H582" i="8"/>
  <c r="H582" i="39" s="1"/>
  <c r="J581" i="8"/>
  <c r="J581" i="39" s="1"/>
  <c r="K578" i="8"/>
  <c r="K578" i="39" s="1"/>
  <c r="F580" i="8"/>
  <c r="F580" i="39" s="1"/>
  <c r="B579" i="8"/>
  <c r="B579" i="39" s="1"/>
  <c r="J583" i="8"/>
  <c r="J583" i="39" s="1"/>
  <c r="G584" i="8"/>
  <c r="G584" i="39" s="1"/>
  <c r="B583" i="8"/>
  <c r="B583" i="39" s="1"/>
  <c r="F584" i="8"/>
  <c r="F584" i="39" s="1"/>
  <c r="B581" i="8"/>
  <c r="B581" i="39" s="1"/>
  <c r="D585" i="8"/>
  <c r="D585" i="39" s="1"/>
  <c r="I578" i="8"/>
  <c r="I578" i="39" s="1"/>
  <c r="K582" i="8"/>
  <c r="K582" i="39" s="1"/>
  <c r="D580" i="8"/>
  <c r="D580" i="39" s="1"/>
  <c r="G578" i="8"/>
  <c r="G578" i="39" s="1"/>
  <c r="H580" i="8"/>
  <c r="H580" i="39" s="1"/>
  <c r="G585" i="8"/>
  <c r="G585" i="39" s="1"/>
  <c r="J585" i="8"/>
  <c r="J585" i="39" s="1"/>
  <c r="K583" i="8"/>
  <c r="K583" i="39" s="1"/>
  <c r="D579" i="8"/>
  <c r="D579" i="39" s="1"/>
  <c r="G582" i="8"/>
  <c r="G582" i="39" s="1"/>
  <c r="J578" i="8"/>
  <c r="J578" i="39" s="1"/>
  <c r="F583" i="8"/>
  <c r="F583" i="39" s="1"/>
  <c r="C585" i="8"/>
  <c r="C585" i="39" s="1"/>
  <c r="B582" i="8"/>
  <c r="B582" i="39" s="1"/>
  <c r="H584" i="8"/>
  <c r="H584" i="39" s="1"/>
  <c r="I580" i="8"/>
  <c r="I580" i="39" s="1"/>
  <c r="C579" i="8"/>
  <c r="C579" i="39" s="1"/>
  <c r="G580" i="8"/>
  <c r="G580" i="39" s="1"/>
  <c r="D582" i="8"/>
  <c r="D582" i="39" s="1"/>
  <c r="D578" i="8"/>
  <c r="D578" i="39" s="1"/>
  <c r="H583" i="8"/>
  <c r="H583" i="39" s="1"/>
  <c r="G579" i="8"/>
  <c r="G579" i="39" s="1"/>
  <c r="B578" i="8"/>
  <c r="B578" i="39" s="1"/>
  <c r="G581" i="8"/>
  <c r="G581" i="39" s="1"/>
  <c r="C580" i="8"/>
  <c r="C580" i="39" s="1"/>
  <c r="K579" i="8"/>
  <c r="K579" i="39" s="1"/>
  <c r="E583" i="8"/>
  <c r="E583" i="39" s="1"/>
  <c r="F582" i="8"/>
  <c r="F582" i="39" s="1"/>
  <c r="I579" i="8"/>
  <c r="I579" i="39" s="1"/>
  <c r="K584" i="8"/>
  <c r="K584" i="39" s="1"/>
  <c r="C582" i="8"/>
  <c r="C582" i="39" s="1"/>
  <c r="K585" i="8"/>
  <c r="K585" i="39" s="1"/>
  <c r="H585" i="8"/>
  <c r="H585" i="39" s="1"/>
  <c r="B585" i="8"/>
  <c r="B585" i="39" s="1"/>
  <c r="F579" i="8"/>
  <c r="F579" i="39" s="1"/>
  <c r="I581" i="8"/>
  <c r="I581" i="39" s="1"/>
  <c r="E579" i="8"/>
  <c r="E579" i="39" s="1"/>
  <c r="I582" i="8"/>
  <c r="I582" i="39" s="1"/>
  <c r="D584" i="8"/>
  <c r="D584" i="39" s="1"/>
  <c r="E580" i="8"/>
  <c r="E580" i="39" s="1"/>
  <c r="C581" i="8"/>
  <c r="C581" i="39" s="1"/>
  <c r="C578" i="8"/>
  <c r="C578" i="39" s="1"/>
  <c r="F581" i="8"/>
  <c r="F581" i="39" s="1"/>
  <c r="E585" i="8"/>
  <c r="E585" i="39" s="1"/>
  <c r="J579" i="8"/>
  <c r="J579" i="39" s="1"/>
  <c r="J584" i="8"/>
  <c r="J584" i="39" s="1"/>
  <c r="C583" i="8"/>
  <c r="C583" i="39" s="1"/>
  <c r="K580" i="8"/>
  <c r="K580" i="39" s="1"/>
  <c r="I583" i="8"/>
  <c r="I583" i="39" s="1"/>
  <c r="J582" i="8"/>
  <c r="J582" i="39" s="1"/>
  <c r="B580" i="8"/>
  <c r="B580" i="39" s="1"/>
  <c r="E584" i="8"/>
  <c r="E584" i="39" s="1"/>
  <c r="F585" i="8"/>
  <c r="F585" i="39" s="1"/>
  <c r="I584" i="8"/>
  <c r="I584" i="39" s="1"/>
  <c r="H579" i="8"/>
  <c r="H579" i="39" s="1"/>
  <c r="K101" i="40"/>
  <c r="K103" i="4"/>
  <c r="J105" i="4"/>
  <c r="J104" i="40"/>
  <c r="J116" i="4"/>
  <c r="J116" i="40" s="1"/>
  <c r="I118" i="40"/>
  <c r="I131" i="4"/>
  <c r="E576" i="38"/>
  <c r="B576" i="38"/>
  <c r="J575" i="38"/>
  <c r="D569" i="38"/>
  <c r="H574" i="38"/>
  <c r="I571" i="38"/>
  <c r="G574" i="38"/>
  <c r="E571" i="38"/>
  <c r="H573" i="38"/>
  <c r="K572" i="38"/>
  <c r="I575" i="38"/>
  <c r="F574" i="38"/>
  <c r="J572" i="38"/>
  <c r="F575" i="38"/>
  <c r="K575" i="38"/>
  <c r="K574" i="38"/>
  <c r="F570" i="38"/>
  <c r="J570" i="38"/>
  <c r="F573" i="38"/>
  <c r="D576" i="38"/>
  <c r="K576" i="38"/>
  <c r="J569" i="38"/>
  <c r="D571" i="38"/>
  <c r="D574" i="38"/>
  <c r="G569" i="38"/>
  <c r="I569" i="38"/>
  <c r="C569" i="38"/>
  <c r="C574" i="38"/>
  <c r="C573" i="38"/>
  <c r="B574" i="38"/>
  <c r="H572" i="38"/>
  <c r="H571" i="38"/>
  <c r="I573" i="38"/>
  <c r="F569" i="38"/>
  <c r="G572" i="38"/>
  <c r="C571" i="38"/>
  <c r="B575" i="38"/>
  <c r="C575" i="38"/>
  <c r="K570" i="38"/>
  <c r="B571" i="38"/>
  <c r="C570" i="38"/>
  <c r="H569" i="38"/>
  <c r="E569" i="38"/>
  <c r="D573" i="38"/>
  <c r="E573" i="38"/>
  <c r="K569" i="38"/>
  <c r="C572" i="38"/>
  <c r="B572" i="38"/>
  <c r="H575" i="38"/>
  <c r="K573" i="38"/>
  <c r="G576" i="38"/>
  <c r="E575" i="38"/>
  <c r="G571" i="38"/>
  <c r="J573" i="38"/>
  <c r="G573" i="38"/>
  <c r="I570" i="38"/>
  <c r="I574" i="38"/>
  <c r="F572" i="38"/>
  <c r="I576" i="38"/>
  <c r="J571" i="38"/>
  <c r="C576" i="38"/>
  <c r="I572" i="38"/>
  <c r="B573" i="38"/>
  <c r="H576" i="38"/>
  <c r="G570" i="38"/>
  <c r="J576" i="38"/>
  <c r="E570" i="38"/>
  <c r="D575" i="38"/>
  <c r="B569" i="38"/>
  <c r="H570" i="38"/>
  <c r="B570" i="38"/>
  <c r="E572" i="38"/>
  <c r="F576" i="38"/>
  <c r="D572" i="38"/>
  <c r="G575" i="38"/>
  <c r="J574" i="38"/>
  <c r="E574" i="38"/>
  <c r="K571" i="38"/>
  <c r="D570" i="38"/>
  <c r="F571" i="38"/>
  <c r="G170" i="4"/>
  <c r="G170" i="40" s="1"/>
  <c r="G167" i="40"/>
  <c r="G169" i="4"/>
  <c r="F606" i="38"/>
  <c r="D611" i="38"/>
  <c r="E612" i="38"/>
  <c r="H609" i="38"/>
  <c r="G610" i="38"/>
  <c r="B606" i="38"/>
  <c r="D605" i="38"/>
  <c r="F605" i="38"/>
  <c r="F608" i="38"/>
  <c r="F611" i="38"/>
  <c r="D608" i="38"/>
  <c r="E610" i="38"/>
  <c r="H608" i="38"/>
  <c r="G608" i="38"/>
  <c r="J611" i="38"/>
  <c r="E608" i="38"/>
  <c r="D609" i="38"/>
  <c r="C611" i="38"/>
  <c r="I611" i="38"/>
  <c r="D610" i="38"/>
  <c r="J605" i="38"/>
  <c r="E611" i="38"/>
  <c r="J612" i="38"/>
  <c r="B605" i="38"/>
  <c r="C610" i="38"/>
  <c r="B611" i="38"/>
  <c r="H611" i="38"/>
  <c r="G607" i="38"/>
  <c r="G611" i="38"/>
  <c r="F610" i="38"/>
  <c r="H605" i="38"/>
  <c r="E607" i="38"/>
  <c r="K607" i="38"/>
  <c r="K609" i="38"/>
  <c r="J608" i="38"/>
  <c r="D607" i="38"/>
  <c r="G606" i="38"/>
  <c r="H606" i="38"/>
  <c r="D612" i="38"/>
  <c r="K611" i="38"/>
  <c r="B607" i="38"/>
  <c r="I612" i="38"/>
  <c r="C608" i="38"/>
  <c r="B612" i="38"/>
  <c r="K610" i="38"/>
  <c r="H612" i="38"/>
  <c r="K612" i="38"/>
  <c r="E606" i="38"/>
  <c r="I610" i="38"/>
  <c r="D606" i="38"/>
  <c r="G612" i="38"/>
  <c r="I605" i="38"/>
  <c r="B610" i="38"/>
  <c r="C609" i="38"/>
  <c r="H610" i="38"/>
  <c r="I608" i="38"/>
  <c r="H607" i="38"/>
  <c r="G609" i="38"/>
  <c r="J609" i="38"/>
  <c r="J606" i="38"/>
  <c r="F607" i="38"/>
  <c r="F609" i="38"/>
  <c r="C605" i="38"/>
  <c r="C606" i="38"/>
  <c r="J610" i="38"/>
  <c r="C612" i="38"/>
  <c r="G605" i="38"/>
  <c r="B609" i="38"/>
  <c r="J607" i="38"/>
  <c r="K608" i="38"/>
  <c r="E609" i="38"/>
  <c r="B608" i="38"/>
  <c r="K606" i="38"/>
  <c r="C607" i="38"/>
  <c r="I609" i="38"/>
  <c r="I607" i="38"/>
  <c r="K605" i="38"/>
  <c r="I606" i="38"/>
  <c r="E605" i="38"/>
  <c r="F612" i="38"/>
  <c r="B524" i="39"/>
  <c r="B596" i="8" a="1"/>
  <c r="B632" i="8" a="1"/>
  <c r="G136" i="57"/>
  <c r="G137" i="57"/>
  <c r="G135" i="57"/>
  <c r="G134" i="57"/>
  <c r="G133" i="57"/>
  <c r="G82" i="57"/>
  <c r="M128" i="40" l="1"/>
  <c r="M129" i="4"/>
  <c r="M129" i="40" s="1"/>
  <c r="F624" i="8"/>
  <c r="F624" i="39" s="1"/>
  <c r="J623" i="8"/>
  <c r="J623" i="39" s="1"/>
  <c r="C626" i="8"/>
  <c r="C626" i="39" s="1"/>
  <c r="F625" i="8"/>
  <c r="F625" i="39" s="1"/>
  <c r="D628" i="8"/>
  <c r="D628" i="39" s="1"/>
  <c r="D624" i="8"/>
  <c r="D624" i="39" s="1"/>
  <c r="C627" i="8"/>
  <c r="C627" i="39" s="1"/>
  <c r="F629" i="8"/>
  <c r="F629" i="39" s="1"/>
  <c r="K623" i="8"/>
  <c r="K623" i="39" s="1"/>
  <c r="C623" i="8"/>
  <c r="C623" i="39" s="1"/>
  <c r="D629" i="8"/>
  <c r="D629" i="39" s="1"/>
  <c r="D630" i="8"/>
  <c r="D630" i="39" s="1"/>
  <c r="H624" i="8"/>
  <c r="H624" i="39" s="1"/>
  <c r="I630" i="8"/>
  <c r="I630" i="39" s="1"/>
  <c r="H627" i="8"/>
  <c r="H627" i="39" s="1"/>
  <c r="K626" i="8"/>
  <c r="K626" i="39" s="1"/>
  <c r="I623" i="8"/>
  <c r="I623" i="39" s="1"/>
  <c r="I629" i="8"/>
  <c r="I629" i="39" s="1"/>
  <c r="J624" i="8"/>
  <c r="J624" i="39" s="1"/>
  <c r="H626" i="8"/>
  <c r="H626" i="39" s="1"/>
  <c r="I625" i="8"/>
  <c r="I625" i="39" s="1"/>
  <c r="G628" i="8"/>
  <c r="G628" i="39" s="1"/>
  <c r="F626" i="8"/>
  <c r="F626" i="39" s="1"/>
  <c r="F623" i="8"/>
  <c r="F623" i="39" s="1"/>
  <c r="C625" i="8"/>
  <c r="C625" i="39" s="1"/>
  <c r="B625" i="8"/>
  <c r="B625" i="39" s="1"/>
  <c r="C624" i="8"/>
  <c r="C624" i="39" s="1"/>
  <c r="I626" i="8"/>
  <c r="I626" i="39" s="1"/>
  <c r="J628" i="8"/>
  <c r="J628" i="39" s="1"/>
  <c r="G630" i="8"/>
  <c r="G630" i="39" s="1"/>
  <c r="H625" i="8"/>
  <c r="H625" i="39" s="1"/>
  <c r="K630" i="8"/>
  <c r="K630" i="39" s="1"/>
  <c r="G626" i="8"/>
  <c r="G626" i="39" s="1"/>
  <c r="I624" i="8"/>
  <c r="I624" i="39" s="1"/>
  <c r="C629" i="8"/>
  <c r="C629" i="39" s="1"/>
  <c r="B630" i="8"/>
  <c r="B630" i="39" s="1"/>
  <c r="C630" i="8"/>
  <c r="C630" i="39" s="1"/>
  <c r="K627" i="8"/>
  <c r="K627" i="39" s="1"/>
  <c r="G623" i="8"/>
  <c r="G623" i="39" s="1"/>
  <c r="E625" i="8"/>
  <c r="E625" i="39" s="1"/>
  <c r="E627" i="8"/>
  <c r="E627" i="39" s="1"/>
  <c r="J627" i="8"/>
  <c r="J627" i="39" s="1"/>
  <c r="D625" i="8"/>
  <c r="D625" i="39" s="1"/>
  <c r="E629" i="8"/>
  <c r="E629" i="39" s="1"/>
  <c r="B623" i="8"/>
  <c r="B623" i="39" s="1"/>
  <c r="E624" i="8"/>
  <c r="E624" i="39" s="1"/>
  <c r="D623" i="8"/>
  <c r="D623" i="39" s="1"/>
  <c r="F628" i="8"/>
  <c r="F628" i="39" s="1"/>
  <c r="B627" i="8"/>
  <c r="B627" i="39" s="1"/>
  <c r="C628" i="8"/>
  <c r="C628" i="39" s="1"/>
  <c r="F630" i="8"/>
  <c r="F630" i="39" s="1"/>
  <c r="K629" i="8"/>
  <c r="K629" i="39" s="1"/>
  <c r="E630" i="8"/>
  <c r="E630" i="39" s="1"/>
  <c r="D627" i="8"/>
  <c r="D627" i="39" s="1"/>
  <c r="K624" i="8"/>
  <c r="K624" i="39" s="1"/>
  <c r="E628" i="8"/>
  <c r="E628" i="39" s="1"/>
  <c r="E623" i="8"/>
  <c r="E623" i="39" s="1"/>
  <c r="J629" i="8"/>
  <c r="J629" i="39" s="1"/>
  <c r="J625" i="8"/>
  <c r="J625" i="39" s="1"/>
  <c r="G629" i="8"/>
  <c r="G629" i="39" s="1"/>
  <c r="F627" i="8"/>
  <c r="F627" i="39" s="1"/>
  <c r="H629" i="8"/>
  <c r="H629" i="39" s="1"/>
  <c r="I628" i="8"/>
  <c r="I628" i="39" s="1"/>
  <c r="B628" i="8"/>
  <c r="B628" i="39" s="1"/>
  <c r="I627" i="8"/>
  <c r="I627" i="39" s="1"/>
  <c r="K628" i="8"/>
  <c r="K628" i="39" s="1"/>
  <c r="J626" i="8"/>
  <c r="J626" i="39" s="1"/>
  <c r="K625" i="8"/>
  <c r="K625" i="39" s="1"/>
  <c r="B626" i="8"/>
  <c r="B626" i="39" s="1"/>
  <c r="G624" i="8"/>
  <c r="G624" i="39" s="1"/>
  <c r="B629" i="8"/>
  <c r="B629" i="39" s="1"/>
  <c r="H623" i="8"/>
  <c r="H623" i="39" s="1"/>
  <c r="B624" i="8"/>
  <c r="B624" i="39" s="1"/>
  <c r="G625" i="8"/>
  <c r="G625" i="39" s="1"/>
  <c r="J630" i="8"/>
  <c r="J630" i="39" s="1"/>
  <c r="E626" i="8"/>
  <c r="E626" i="39" s="1"/>
  <c r="D626" i="8"/>
  <c r="D626" i="39" s="1"/>
  <c r="H630" i="8"/>
  <c r="H630" i="39" s="1"/>
  <c r="G627" i="8"/>
  <c r="G627" i="39" s="1"/>
  <c r="H628" i="8"/>
  <c r="H628" i="39" s="1"/>
  <c r="H167" i="4"/>
  <c r="H166" i="40"/>
  <c r="H168" i="4"/>
  <c r="H168" i="40" s="1"/>
  <c r="K611" i="8"/>
  <c r="K611" i="39" s="1"/>
  <c r="D609" i="8"/>
  <c r="D609" i="39" s="1"/>
  <c r="J608" i="8"/>
  <c r="J608" i="39" s="1"/>
  <c r="K606" i="8"/>
  <c r="K606" i="39" s="1"/>
  <c r="K609" i="8"/>
  <c r="K609" i="39" s="1"/>
  <c r="G605" i="8"/>
  <c r="G605" i="39" s="1"/>
  <c r="H611" i="8"/>
  <c r="H611" i="39" s="1"/>
  <c r="E612" i="8"/>
  <c r="E612" i="39" s="1"/>
  <c r="G609" i="8"/>
  <c r="G609" i="39" s="1"/>
  <c r="E606" i="8"/>
  <c r="E606" i="39" s="1"/>
  <c r="F606" i="8"/>
  <c r="F606" i="39" s="1"/>
  <c r="D610" i="8"/>
  <c r="D610" i="39" s="1"/>
  <c r="E607" i="8"/>
  <c r="E607" i="39" s="1"/>
  <c r="H607" i="8"/>
  <c r="H607" i="39" s="1"/>
  <c r="J606" i="8"/>
  <c r="J606" i="39" s="1"/>
  <c r="G610" i="8"/>
  <c r="G610" i="39" s="1"/>
  <c r="C605" i="8"/>
  <c r="C605" i="39" s="1"/>
  <c r="F610" i="8"/>
  <c r="F610" i="39" s="1"/>
  <c r="H606" i="8"/>
  <c r="H606" i="39" s="1"/>
  <c r="D606" i="8"/>
  <c r="D606" i="39" s="1"/>
  <c r="I608" i="8"/>
  <c r="I608" i="39" s="1"/>
  <c r="D605" i="8"/>
  <c r="D605" i="39" s="1"/>
  <c r="F608" i="8"/>
  <c r="F608" i="39" s="1"/>
  <c r="E608" i="8"/>
  <c r="E608" i="39" s="1"/>
  <c r="G607" i="8"/>
  <c r="G607" i="39" s="1"/>
  <c r="I610" i="8"/>
  <c r="I610" i="39" s="1"/>
  <c r="H612" i="8"/>
  <c r="H612" i="39" s="1"/>
  <c r="D611" i="8"/>
  <c r="D611" i="39" s="1"/>
  <c r="J605" i="8"/>
  <c r="J605" i="39" s="1"/>
  <c r="I612" i="8"/>
  <c r="I612" i="39" s="1"/>
  <c r="C607" i="8"/>
  <c r="C607" i="39" s="1"/>
  <c r="B607" i="8"/>
  <c r="B607" i="39" s="1"/>
  <c r="I609" i="8"/>
  <c r="I609" i="39" s="1"/>
  <c r="D612" i="8"/>
  <c r="D612" i="39" s="1"/>
  <c r="B606" i="8"/>
  <c r="B606" i="39" s="1"/>
  <c r="G611" i="8"/>
  <c r="G611" i="39" s="1"/>
  <c r="C612" i="8"/>
  <c r="C612" i="39" s="1"/>
  <c r="B608" i="8"/>
  <c r="B608" i="39" s="1"/>
  <c r="H605" i="8"/>
  <c r="H605" i="39" s="1"/>
  <c r="E609" i="8"/>
  <c r="E609" i="39" s="1"/>
  <c r="G612" i="8"/>
  <c r="G612" i="39" s="1"/>
  <c r="G608" i="8"/>
  <c r="G608" i="39" s="1"/>
  <c r="I611" i="8"/>
  <c r="I611" i="39" s="1"/>
  <c r="E605" i="8"/>
  <c r="E605" i="39" s="1"/>
  <c r="C610" i="8"/>
  <c r="C610" i="39" s="1"/>
  <c r="F605" i="8"/>
  <c r="F605" i="39" s="1"/>
  <c r="E610" i="8"/>
  <c r="E610" i="39" s="1"/>
  <c r="B611" i="8"/>
  <c r="B611" i="39" s="1"/>
  <c r="H608" i="8"/>
  <c r="H608" i="39" s="1"/>
  <c r="C608" i="8"/>
  <c r="C608" i="39" s="1"/>
  <c r="B605" i="8"/>
  <c r="K608" i="8"/>
  <c r="K608" i="39" s="1"/>
  <c r="J607" i="8"/>
  <c r="J607" i="39" s="1"/>
  <c r="D608" i="8"/>
  <c r="D608" i="39" s="1"/>
  <c r="H609" i="8"/>
  <c r="H609" i="39" s="1"/>
  <c r="D607" i="8"/>
  <c r="D607" i="39" s="1"/>
  <c r="B610" i="8"/>
  <c r="B610" i="39" s="1"/>
  <c r="J611" i="8"/>
  <c r="J611" i="39" s="1"/>
  <c r="J609" i="8"/>
  <c r="J609" i="39" s="1"/>
  <c r="B612" i="8"/>
  <c r="B612" i="39" s="1"/>
  <c r="I605" i="8"/>
  <c r="I605" i="39" s="1"/>
  <c r="J612" i="8"/>
  <c r="J612" i="39" s="1"/>
  <c r="K610" i="8"/>
  <c r="K610" i="39" s="1"/>
  <c r="K605" i="8"/>
  <c r="K605" i="39" s="1"/>
  <c r="B609" i="8"/>
  <c r="B609" i="39" s="1"/>
  <c r="J610" i="8"/>
  <c r="J610" i="39" s="1"/>
  <c r="C609" i="8"/>
  <c r="C609" i="39" s="1"/>
  <c r="F611" i="8"/>
  <c r="F611" i="39" s="1"/>
  <c r="K612" i="8"/>
  <c r="K612" i="39" s="1"/>
  <c r="C611" i="8"/>
  <c r="C611" i="39" s="1"/>
  <c r="K607" i="8"/>
  <c r="K607" i="39" s="1"/>
  <c r="C606" i="8"/>
  <c r="C606" i="39" s="1"/>
  <c r="E611" i="8"/>
  <c r="E611" i="39" s="1"/>
  <c r="H610" i="8"/>
  <c r="H610" i="39" s="1"/>
  <c r="F609" i="8"/>
  <c r="F609" i="39" s="1"/>
  <c r="F612" i="8"/>
  <c r="F612" i="39" s="1"/>
  <c r="F607" i="8"/>
  <c r="F607" i="39" s="1"/>
  <c r="G606" i="8"/>
  <c r="G606" i="39" s="1"/>
  <c r="I607" i="8"/>
  <c r="I607" i="39" s="1"/>
  <c r="I606" i="8"/>
  <c r="I606" i="39" s="1"/>
  <c r="J118" i="4"/>
  <c r="J105" i="40"/>
  <c r="G169" i="40"/>
  <c r="G202" i="4"/>
  <c r="D638" i="8"/>
  <c r="D638" i="39" s="1"/>
  <c r="F633" i="8"/>
  <c r="F633" i="39" s="1"/>
  <c r="H638" i="8"/>
  <c r="H638" i="39" s="1"/>
  <c r="D634" i="8"/>
  <c r="D634" i="39" s="1"/>
  <c r="F637" i="8"/>
  <c r="F637" i="39" s="1"/>
  <c r="K634" i="8"/>
  <c r="K634" i="39" s="1"/>
  <c r="E632" i="8"/>
  <c r="E632" i="39" s="1"/>
  <c r="J638" i="8"/>
  <c r="J638" i="39" s="1"/>
  <c r="I636" i="8"/>
  <c r="I636" i="39" s="1"/>
  <c r="C637" i="8"/>
  <c r="C637" i="39" s="1"/>
  <c r="E639" i="8"/>
  <c r="E639" i="39" s="1"/>
  <c r="E635" i="8"/>
  <c r="E635" i="39" s="1"/>
  <c r="H636" i="8"/>
  <c r="H636" i="39" s="1"/>
  <c r="G635" i="8"/>
  <c r="G635" i="39" s="1"/>
  <c r="H637" i="8"/>
  <c r="H637" i="39" s="1"/>
  <c r="G637" i="8"/>
  <c r="G637" i="39" s="1"/>
  <c r="H639" i="8"/>
  <c r="H639" i="39" s="1"/>
  <c r="F632" i="8"/>
  <c r="F632" i="39" s="1"/>
  <c r="I632" i="8"/>
  <c r="I632" i="39" s="1"/>
  <c r="C633" i="8"/>
  <c r="C633" i="39" s="1"/>
  <c r="F636" i="8"/>
  <c r="F636" i="39" s="1"/>
  <c r="H633" i="8"/>
  <c r="H633" i="39" s="1"/>
  <c r="D639" i="8"/>
  <c r="D639" i="39" s="1"/>
  <c r="H634" i="8"/>
  <c r="H634" i="39" s="1"/>
  <c r="C638" i="8"/>
  <c r="C638" i="39" s="1"/>
  <c r="J634" i="8"/>
  <c r="J634" i="39" s="1"/>
  <c r="D636" i="8"/>
  <c r="D636" i="39" s="1"/>
  <c r="D635" i="8"/>
  <c r="D635" i="39" s="1"/>
  <c r="J637" i="8"/>
  <c r="J637" i="39" s="1"/>
  <c r="G638" i="8"/>
  <c r="G638" i="39" s="1"/>
  <c r="B638" i="8"/>
  <c r="B638" i="39" s="1"/>
  <c r="G634" i="8"/>
  <c r="G634" i="39" s="1"/>
  <c r="F635" i="8"/>
  <c r="F635" i="39" s="1"/>
  <c r="B637" i="8"/>
  <c r="B637" i="39" s="1"/>
  <c r="G636" i="8"/>
  <c r="G636" i="39" s="1"/>
  <c r="K636" i="8"/>
  <c r="K636" i="39" s="1"/>
  <c r="I635" i="8"/>
  <c r="I635" i="39" s="1"/>
  <c r="J632" i="8"/>
  <c r="J632" i="39" s="1"/>
  <c r="I637" i="8"/>
  <c r="I637" i="39" s="1"/>
  <c r="F638" i="8"/>
  <c r="F638" i="39" s="1"/>
  <c r="I634" i="8"/>
  <c r="I634" i="39" s="1"/>
  <c r="K635" i="8"/>
  <c r="K635" i="39" s="1"/>
  <c r="K632" i="8"/>
  <c r="K632" i="39" s="1"/>
  <c r="K639" i="8"/>
  <c r="K639" i="39" s="1"/>
  <c r="G632" i="8"/>
  <c r="G632" i="39" s="1"/>
  <c r="C639" i="8"/>
  <c r="C639" i="39" s="1"/>
  <c r="E634" i="8"/>
  <c r="E634" i="39" s="1"/>
  <c r="J635" i="8"/>
  <c r="J635" i="39" s="1"/>
  <c r="D633" i="8"/>
  <c r="D633" i="39" s="1"/>
  <c r="I638" i="8"/>
  <c r="I638" i="39" s="1"/>
  <c r="C632" i="8"/>
  <c r="C632" i="39" s="1"/>
  <c r="I633" i="8"/>
  <c r="I633" i="39" s="1"/>
  <c r="G633" i="8"/>
  <c r="G633" i="39" s="1"/>
  <c r="C636" i="8"/>
  <c r="C636" i="39" s="1"/>
  <c r="E633" i="8"/>
  <c r="E633" i="39" s="1"/>
  <c r="K637" i="8"/>
  <c r="K637" i="39" s="1"/>
  <c r="F634" i="8"/>
  <c r="F634" i="39" s="1"/>
  <c r="D637" i="8"/>
  <c r="D637" i="39" s="1"/>
  <c r="B633" i="8"/>
  <c r="B633" i="39" s="1"/>
  <c r="C634" i="8"/>
  <c r="C634" i="39" s="1"/>
  <c r="H632" i="8"/>
  <c r="H632" i="39" s="1"/>
  <c r="G639" i="8"/>
  <c r="G639" i="39" s="1"/>
  <c r="J633" i="8"/>
  <c r="J633" i="39" s="1"/>
  <c r="B639" i="8"/>
  <c r="B639" i="39" s="1"/>
  <c r="B636" i="8"/>
  <c r="B636" i="39" s="1"/>
  <c r="K633" i="8"/>
  <c r="K633" i="39" s="1"/>
  <c r="I639" i="8"/>
  <c r="I639" i="39" s="1"/>
  <c r="J639" i="8"/>
  <c r="J639" i="39" s="1"/>
  <c r="J636" i="8"/>
  <c r="J636" i="39" s="1"/>
  <c r="F639" i="8"/>
  <c r="F639" i="39" s="1"/>
  <c r="E638" i="8"/>
  <c r="E638" i="39" s="1"/>
  <c r="B632" i="8"/>
  <c r="B632" i="39" s="1"/>
  <c r="C635" i="8"/>
  <c r="C635" i="39" s="1"/>
  <c r="B634" i="8"/>
  <c r="B634" i="39" s="1"/>
  <c r="K638" i="8"/>
  <c r="K638" i="39" s="1"/>
  <c r="E637" i="8"/>
  <c r="E637" i="39" s="1"/>
  <c r="B635" i="8"/>
  <c r="B635" i="39" s="1"/>
  <c r="E636" i="8"/>
  <c r="E636" i="39" s="1"/>
  <c r="H635" i="8"/>
  <c r="H635" i="39" s="1"/>
  <c r="D632" i="8"/>
  <c r="D632" i="39" s="1"/>
  <c r="I161" i="4"/>
  <c r="I131" i="40"/>
  <c r="I164" i="4"/>
  <c r="K598" i="8"/>
  <c r="K598" i="39" s="1"/>
  <c r="E598" i="8"/>
  <c r="E598" i="39" s="1"/>
  <c r="F596" i="8"/>
  <c r="F596" i="39" s="1"/>
  <c r="B598" i="8"/>
  <c r="B598" i="39" s="1"/>
  <c r="E600" i="8"/>
  <c r="E600" i="39" s="1"/>
  <c r="B600" i="8"/>
  <c r="B600" i="39" s="1"/>
  <c r="E596" i="8"/>
  <c r="E596" i="39" s="1"/>
  <c r="E599" i="8"/>
  <c r="E599" i="39" s="1"/>
  <c r="D597" i="8"/>
  <c r="D597" i="39" s="1"/>
  <c r="K602" i="8"/>
  <c r="K602" i="39" s="1"/>
  <c r="F598" i="8"/>
  <c r="F598" i="39" s="1"/>
  <c r="B602" i="8"/>
  <c r="B602" i="39" s="1"/>
  <c r="G597" i="8"/>
  <c r="G597" i="39" s="1"/>
  <c r="H596" i="8"/>
  <c r="H596" i="39" s="1"/>
  <c r="C596" i="8"/>
  <c r="C596" i="39" s="1"/>
  <c r="I601" i="8"/>
  <c r="I601" i="39" s="1"/>
  <c r="F597" i="8"/>
  <c r="F597" i="39" s="1"/>
  <c r="I598" i="8"/>
  <c r="I598" i="39" s="1"/>
  <c r="B597" i="8"/>
  <c r="B597" i="39" s="1"/>
  <c r="E603" i="8"/>
  <c r="E603" i="39" s="1"/>
  <c r="G603" i="8"/>
  <c r="G603" i="39" s="1"/>
  <c r="I602" i="8"/>
  <c r="I602" i="39" s="1"/>
  <c r="J598" i="8"/>
  <c r="J598" i="39" s="1"/>
  <c r="K600" i="8"/>
  <c r="K600" i="39" s="1"/>
  <c r="J599" i="8"/>
  <c r="J599" i="39" s="1"/>
  <c r="B599" i="8"/>
  <c r="B599" i="39" s="1"/>
  <c r="H598" i="8"/>
  <c r="H598" i="39" s="1"/>
  <c r="H603" i="8"/>
  <c r="H603" i="39" s="1"/>
  <c r="E597" i="8"/>
  <c r="E597" i="39" s="1"/>
  <c r="D596" i="8"/>
  <c r="D596" i="39" s="1"/>
  <c r="C601" i="8"/>
  <c r="C601" i="39" s="1"/>
  <c r="J603" i="8"/>
  <c r="J603" i="39" s="1"/>
  <c r="H599" i="8"/>
  <c r="H599" i="39" s="1"/>
  <c r="H600" i="8"/>
  <c r="H600" i="39" s="1"/>
  <c r="C597" i="8"/>
  <c r="C597" i="39" s="1"/>
  <c r="D599" i="8"/>
  <c r="D599" i="39" s="1"/>
  <c r="C598" i="8"/>
  <c r="C598" i="39" s="1"/>
  <c r="B601" i="8"/>
  <c r="B601" i="39" s="1"/>
  <c r="F602" i="8"/>
  <c r="F602" i="39" s="1"/>
  <c r="K596" i="8"/>
  <c r="K596" i="39" s="1"/>
  <c r="K601" i="8"/>
  <c r="K601" i="39" s="1"/>
  <c r="H597" i="8"/>
  <c r="H597" i="39" s="1"/>
  <c r="E602" i="8"/>
  <c r="E602" i="39" s="1"/>
  <c r="I603" i="8"/>
  <c r="I603" i="39" s="1"/>
  <c r="G598" i="8"/>
  <c r="G598" i="39" s="1"/>
  <c r="H601" i="8"/>
  <c r="H601" i="39" s="1"/>
  <c r="J601" i="8"/>
  <c r="J601" i="39" s="1"/>
  <c r="B596" i="8"/>
  <c r="B596" i="39" s="1"/>
  <c r="C599" i="8"/>
  <c r="C599" i="39" s="1"/>
  <c r="I596" i="8"/>
  <c r="I596" i="39" s="1"/>
  <c r="C602" i="8"/>
  <c r="C602" i="39" s="1"/>
  <c r="D601" i="8"/>
  <c r="D601" i="39" s="1"/>
  <c r="K599" i="8"/>
  <c r="K599" i="39" s="1"/>
  <c r="I600" i="8"/>
  <c r="I600" i="39" s="1"/>
  <c r="B603" i="8"/>
  <c r="B603" i="39" s="1"/>
  <c r="J597" i="8"/>
  <c r="J597" i="39" s="1"/>
  <c r="D602" i="8"/>
  <c r="D602" i="39" s="1"/>
  <c r="E601" i="8"/>
  <c r="E601" i="39" s="1"/>
  <c r="I597" i="8"/>
  <c r="I597" i="39" s="1"/>
  <c r="F603" i="8"/>
  <c r="F603" i="39" s="1"/>
  <c r="K597" i="8"/>
  <c r="K597" i="39" s="1"/>
  <c r="F599" i="8"/>
  <c r="F599" i="39" s="1"/>
  <c r="G596" i="8"/>
  <c r="G596" i="39" s="1"/>
  <c r="G599" i="8"/>
  <c r="G599" i="39" s="1"/>
  <c r="J602" i="8"/>
  <c r="J602" i="39" s="1"/>
  <c r="G601" i="8"/>
  <c r="G601" i="39" s="1"/>
  <c r="K603" i="8"/>
  <c r="K603" i="39" s="1"/>
  <c r="G602" i="8"/>
  <c r="G602" i="39" s="1"/>
  <c r="J600" i="8"/>
  <c r="J600" i="39" s="1"/>
  <c r="H602" i="8"/>
  <c r="H602" i="39" s="1"/>
  <c r="F601" i="8"/>
  <c r="F601" i="39" s="1"/>
  <c r="F600" i="8"/>
  <c r="F600" i="39" s="1"/>
  <c r="G600" i="8"/>
  <c r="G600" i="39" s="1"/>
  <c r="C600" i="8"/>
  <c r="C600" i="39" s="1"/>
  <c r="D603" i="8"/>
  <c r="D603" i="39" s="1"/>
  <c r="D600" i="8"/>
  <c r="D600" i="39" s="1"/>
  <c r="C603" i="8"/>
  <c r="C603" i="39" s="1"/>
  <c r="J596" i="8"/>
  <c r="J596" i="39" s="1"/>
  <c r="I599" i="8"/>
  <c r="I599" i="39" s="1"/>
  <c r="D598" i="8"/>
  <c r="D598" i="39" s="1"/>
  <c r="B641" i="38" a="1"/>
  <c r="L101" i="4"/>
  <c r="K103" i="40"/>
  <c r="K104" i="4"/>
  <c r="H569" i="8"/>
  <c r="H569" i="39" s="1"/>
  <c r="B572" i="8"/>
  <c r="B572" i="39" s="1"/>
  <c r="C573" i="8"/>
  <c r="C573" i="39" s="1"/>
  <c r="F570" i="8"/>
  <c r="F570" i="39" s="1"/>
  <c r="C570" i="8"/>
  <c r="C570" i="39" s="1"/>
  <c r="C572" i="8"/>
  <c r="C572" i="39" s="1"/>
  <c r="J572" i="8"/>
  <c r="J572" i="39" s="1"/>
  <c r="G570" i="8"/>
  <c r="G570" i="39" s="1"/>
  <c r="F576" i="8"/>
  <c r="F576" i="39" s="1"/>
  <c r="D571" i="8"/>
  <c r="D571" i="39" s="1"/>
  <c r="C576" i="8"/>
  <c r="C576" i="39" s="1"/>
  <c r="E572" i="8"/>
  <c r="E572" i="39" s="1"/>
  <c r="C569" i="8"/>
  <c r="C569" i="39" s="1"/>
  <c r="J570" i="8"/>
  <c r="J570" i="39" s="1"/>
  <c r="F571" i="8"/>
  <c r="F571" i="39" s="1"/>
  <c r="J575" i="8"/>
  <c r="J575" i="39" s="1"/>
  <c r="K573" i="8"/>
  <c r="K573" i="39" s="1"/>
  <c r="H574" i="8"/>
  <c r="H574" i="39" s="1"/>
  <c r="G575" i="8"/>
  <c r="G575" i="39" s="1"/>
  <c r="B574" i="8"/>
  <c r="B574" i="39" s="1"/>
  <c r="F572" i="8"/>
  <c r="F572" i="39" s="1"/>
  <c r="B573" i="8"/>
  <c r="B573" i="39" s="1"/>
  <c r="D575" i="8"/>
  <c r="D575" i="39" s="1"/>
  <c r="J571" i="8"/>
  <c r="J571" i="39" s="1"/>
  <c r="I576" i="8"/>
  <c r="I576" i="39" s="1"/>
  <c r="J574" i="8"/>
  <c r="J574" i="39" s="1"/>
  <c r="B576" i="8"/>
  <c r="B576" i="39" s="1"/>
  <c r="H572" i="8"/>
  <c r="H572" i="39" s="1"/>
  <c r="C575" i="8"/>
  <c r="C575" i="39" s="1"/>
  <c r="D574" i="8"/>
  <c r="D574" i="39" s="1"/>
  <c r="D572" i="8"/>
  <c r="D572" i="39" s="1"/>
  <c r="J569" i="8"/>
  <c r="J569" i="39" s="1"/>
  <c r="K575" i="8"/>
  <c r="K575" i="39" s="1"/>
  <c r="E570" i="8"/>
  <c r="E570" i="39" s="1"/>
  <c r="E575" i="8"/>
  <c r="E575" i="39" s="1"/>
  <c r="E576" i="8"/>
  <c r="E576" i="39" s="1"/>
  <c r="H573" i="8"/>
  <c r="H573" i="39" s="1"/>
  <c r="G574" i="8"/>
  <c r="G574" i="39" s="1"/>
  <c r="D576" i="8"/>
  <c r="D576" i="39" s="1"/>
  <c r="G572" i="8"/>
  <c r="G572" i="39" s="1"/>
  <c r="B569" i="8"/>
  <c r="B569" i="39" s="1"/>
  <c r="I571" i="8"/>
  <c r="I571" i="39" s="1"/>
  <c r="J576" i="8"/>
  <c r="J576" i="39" s="1"/>
  <c r="F575" i="8"/>
  <c r="F575" i="39" s="1"/>
  <c r="J573" i="8"/>
  <c r="J573" i="39" s="1"/>
  <c r="F574" i="8"/>
  <c r="F574" i="39" s="1"/>
  <c r="K574" i="8"/>
  <c r="K574" i="39" s="1"/>
  <c r="H570" i="8"/>
  <c r="H570" i="39" s="1"/>
  <c r="D569" i="8"/>
  <c r="D569" i="39" s="1"/>
  <c r="G569" i="8"/>
  <c r="G569" i="39" s="1"/>
  <c r="D570" i="8"/>
  <c r="D570" i="39" s="1"/>
  <c r="I569" i="8"/>
  <c r="I569" i="39" s="1"/>
  <c r="B570" i="8"/>
  <c r="B570" i="39" s="1"/>
  <c r="E569" i="8"/>
  <c r="E569" i="39" s="1"/>
  <c r="C574" i="8"/>
  <c r="C574" i="39" s="1"/>
  <c r="B575" i="8"/>
  <c r="B575" i="39" s="1"/>
  <c r="K571" i="8"/>
  <c r="K571" i="39" s="1"/>
  <c r="E574" i="8"/>
  <c r="E574" i="39" s="1"/>
  <c r="H575" i="8"/>
  <c r="H575" i="39" s="1"/>
  <c r="G573" i="8"/>
  <c r="G573" i="39" s="1"/>
  <c r="I570" i="8"/>
  <c r="I570" i="39" s="1"/>
  <c r="I575" i="8"/>
  <c r="I575" i="39" s="1"/>
  <c r="K572" i="8"/>
  <c r="K572" i="39" s="1"/>
  <c r="E571" i="8"/>
  <c r="E571" i="39" s="1"/>
  <c r="K569" i="8"/>
  <c r="K569" i="39" s="1"/>
  <c r="F573" i="8"/>
  <c r="F573" i="39" s="1"/>
  <c r="C571" i="8"/>
  <c r="C571" i="39" s="1"/>
  <c r="H571" i="8"/>
  <c r="H571" i="39" s="1"/>
  <c r="I574" i="8"/>
  <c r="I574" i="39" s="1"/>
  <c r="B571" i="8"/>
  <c r="B571" i="39" s="1"/>
  <c r="K576" i="8"/>
  <c r="K576" i="39" s="1"/>
  <c r="K570" i="8"/>
  <c r="K570" i="39" s="1"/>
  <c r="D573" i="8"/>
  <c r="D573" i="39" s="1"/>
  <c r="E573" i="8"/>
  <c r="E573" i="39" s="1"/>
  <c r="I572" i="8"/>
  <c r="I572" i="39" s="1"/>
  <c r="I573" i="8"/>
  <c r="I573" i="39" s="1"/>
  <c r="F569" i="8"/>
  <c r="F569" i="39" s="1"/>
  <c r="G576" i="8"/>
  <c r="G576" i="39" s="1"/>
  <c r="H576" i="8"/>
  <c r="H576" i="39" s="1"/>
  <c r="G571" i="8"/>
  <c r="G571" i="39" s="1"/>
  <c r="D588" i="8"/>
  <c r="D588" i="39" s="1"/>
  <c r="E587" i="8"/>
  <c r="E587" i="39" s="1"/>
  <c r="H588" i="8"/>
  <c r="H588" i="39" s="1"/>
  <c r="G594" i="8"/>
  <c r="G594" i="39" s="1"/>
  <c r="F594" i="8"/>
  <c r="F594" i="39" s="1"/>
  <c r="H594" i="8"/>
  <c r="H594" i="39" s="1"/>
  <c r="F592" i="8"/>
  <c r="F592" i="39" s="1"/>
  <c r="D590" i="8"/>
  <c r="D590" i="39" s="1"/>
  <c r="K591" i="8"/>
  <c r="K591" i="39" s="1"/>
  <c r="D594" i="8"/>
  <c r="D594" i="39" s="1"/>
  <c r="F591" i="8"/>
  <c r="F591" i="39" s="1"/>
  <c r="G591" i="8"/>
  <c r="G591" i="39" s="1"/>
  <c r="E589" i="8"/>
  <c r="E589" i="39" s="1"/>
  <c r="I588" i="8"/>
  <c r="I588" i="39" s="1"/>
  <c r="K594" i="8"/>
  <c r="K594" i="39" s="1"/>
  <c r="C589" i="8"/>
  <c r="C589" i="39" s="1"/>
  <c r="J587" i="8"/>
  <c r="J587" i="39" s="1"/>
  <c r="J592" i="8"/>
  <c r="J592" i="39" s="1"/>
  <c r="I589" i="8"/>
  <c r="I589" i="39" s="1"/>
  <c r="F587" i="8"/>
  <c r="F587" i="39" s="1"/>
  <c r="B594" i="8"/>
  <c r="B594" i="39" s="1"/>
  <c r="C591" i="8"/>
  <c r="C591" i="39" s="1"/>
  <c r="C587" i="8"/>
  <c r="C587" i="39" s="1"/>
  <c r="B592" i="8"/>
  <c r="B592" i="39" s="1"/>
  <c r="G592" i="8"/>
  <c r="G592" i="39" s="1"/>
  <c r="B587" i="8"/>
  <c r="B587" i="39" s="1"/>
  <c r="G589" i="8"/>
  <c r="G589" i="39" s="1"/>
  <c r="I590" i="8"/>
  <c r="I590" i="39" s="1"/>
  <c r="E590" i="8"/>
  <c r="E590" i="39" s="1"/>
  <c r="I593" i="8"/>
  <c r="I593" i="39" s="1"/>
  <c r="K590" i="8"/>
  <c r="K590" i="39" s="1"/>
  <c r="J589" i="8"/>
  <c r="J589" i="39" s="1"/>
  <c r="H591" i="8"/>
  <c r="H591" i="39" s="1"/>
  <c r="I587" i="8"/>
  <c r="I587" i="39" s="1"/>
  <c r="J591" i="8"/>
  <c r="J591" i="39" s="1"/>
  <c r="I592" i="8"/>
  <c r="I592" i="39" s="1"/>
  <c r="H593" i="8"/>
  <c r="H593" i="39" s="1"/>
  <c r="D593" i="8"/>
  <c r="D593" i="39" s="1"/>
  <c r="I594" i="8"/>
  <c r="I594" i="39" s="1"/>
  <c r="H590" i="8"/>
  <c r="H590" i="39" s="1"/>
  <c r="B590" i="8"/>
  <c r="B590" i="39" s="1"/>
  <c r="H592" i="8"/>
  <c r="H592" i="39" s="1"/>
  <c r="D589" i="8"/>
  <c r="D589" i="39" s="1"/>
  <c r="F590" i="8"/>
  <c r="F590" i="39" s="1"/>
  <c r="B589" i="8"/>
  <c r="B589" i="39" s="1"/>
  <c r="K592" i="8"/>
  <c r="K592" i="39" s="1"/>
  <c r="B593" i="8"/>
  <c r="B593" i="39" s="1"/>
  <c r="K587" i="8"/>
  <c r="K587" i="39" s="1"/>
  <c r="C593" i="8"/>
  <c r="C593" i="39" s="1"/>
  <c r="J588" i="8"/>
  <c r="J588" i="39" s="1"/>
  <c r="E591" i="8"/>
  <c r="E591" i="39" s="1"/>
  <c r="E593" i="8"/>
  <c r="E593" i="39" s="1"/>
  <c r="E592" i="8"/>
  <c r="E592" i="39" s="1"/>
  <c r="K593" i="8"/>
  <c r="K593" i="39" s="1"/>
  <c r="G590" i="8"/>
  <c r="G590" i="39" s="1"/>
  <c r="F588" i="8"/>
  <c r="F588" i="39" s="1"/>
  <c r="G588" i="8"/>
  <c r="G588" i="39" s="1"/>
  <c r="I591" i="8"/>
  <c r="I591" i="39" s="1"/>
  <c r="B588" i="8"/>
  <c r="B588" i="39" s="1"/>
  <c r="D587" i="8"/>
  <c r="D587" i="39" s="1"/>
  <c r="D592" i="8"/>
  <c r="D592" i="39" s="1"/>
  <c r="K588" i="8"/>
  <c r="K588" i="39" s="1"/>
  <c r="J593" i="8"/>
  <c r="J593" i="39" s="1"/>
  <c r="E594" i="8"/>
  <c r="E594" i="39" s="1"/>
  <c r="J590" i="8"/>
  <c r="J590" i="39" s="1"/>
  <c r="C590" i="8"/>
  <c r="C590" i="39" s="1"/>
  <c r="G587" i="8"/>
  <c r="G587" i="39" s="1"/>
  <c r="F589" i="8"/>
  <c r="F589" i="39" s="1"/>
  <c r="C592" i="8"/>
  <c r="C592" i="39" s="1"/>
  <c r="D591" i="8"/>
  <c r="D591" i="39" s="1"/>
  <c r="B591" i="8"/>
  <c r="B591" i="39" s="1"/>
  <c r="G593" i="8"/>
  <c r="G593" i="39" s="1"/>
  <c r="H589" i="8"/>
  <c r="H589" i="39" s="1"/>
  <c r="K589" i="8"/>
  <c r="K589" i="39" s="1"/>
  <c r="E588" i="8"/>
  <c r="E588" i="39" s="1"/>
  <c r="J594" i="8"/>
  <c r="J594" i="39" s="1"/>
  <c r="C588" i="8"/>
  <c r="C588" i="39" s="1"/>
  <c r="C594" i="8"/>
  <c r="C594" i="39" s="1"/>
  <c r="H587" i="8"/>
  <c r="H587" i="39" s="1"/>
  <c r="F593" i="8"/>
  <c r="F593" i="39" s="1"/>
  <c r="F83" i="57"/>
  <c r="H68" i="57"/>
  <c r="G81" i="57"/>
  <c r="G154" i="57"/>
  <c r="G153" i="57"/>
  <c r="G152" i="57"/>
  <c r="G151" i="57"/>
  <c r="G150" i="57"/>
  <c r="K646" i="38" l="1"/>
  <c r="I644" i="38"/>
  <c r="K643" i="38"/>
  <c r="E647" i="38"/>
  <c r="E645" i="38"/>
  <c r="F644" i="38"/>
  <c r="F641" i="38"/>
  <c r="C642" i="38"/>
  <c r="K642" i="38"/>
  <c r="C646" i="38"/>
  <c r="K645" i="38"/>
  <c r="K644" i="38"/>
  <c r="G641" i="38"/>
  <c r="F643" i="38"/>
  <c r="F646" i="38"/>
  <c r="G648" i="38"/>
  <c r="B645" i="38"/>
  <c r="H641" i="38"/>
  <c r="H645" i="38"/>
  <c r="G645" i="38"/>
  <c r="J645" i="38"/>
  <c r="J647" i="38"/>
  <c r="B642" i="38"/>
  <c r="H642" i="38"/>
  <c r="D647" i="38"/>
  <c r="G646" i="38"/>
  <c r="E641" i="38"/>
  <c r="E642" i="38"/>
  <c r="I648" i="38"/>
  <c r="H643" i="38"/>
  <c r="C644" i="38"/>
  <c r="C648" i="38"/>
  <c r="F648" i="38"/>
  <c r="G644" i="38"/>
  <c r="B646" i="38"/>
  <c r="J642" i="38"/>
  <c r="C641" i="38"/>
  <c r="B641" i="38"/>
  <c r="E646" i="38"/>
  <c r="G647" i="38"/>
  <c r="J643" i="38"/>
  <c r="I645" i="38"/>
  <c r="H646" i="38"/>
  <c r="D645" i="38"/>
  <c r="J641" i="38"/>
  <c r="I646" i="38"/>
  <c r="D641" i="38"/>
  <c r="H647" i="38"/>
  <c r="D644" i="38"/>
  <c r="I643" i="38"/>
  <c r="K648" i="38"/>
  <c r="D646" i="38"/>
  <c r="F642" i="38"/>
  <c r="D648" i="38"/>
  <c r="H644" i="38"/>
  <c r="I642" i="38"/>
  <c r="B643" i="38"/>
  <c r="G643" i="38"/>
  <c r="D643" i="38"/>
  <c r="F645" i="38"/>
  <c r="J648" i="38"/>
  <c r="K647" i="38"/>
  <c r="E643" i="38"/>
  <c r="E648" i="38"/>
  <c r="I641" i="38"/>
  <c r="J644" i="38"/>
  <c r="G642" i="38"/>
  <c r="E644" i="38"/>
  <c r="B644" i="38"/>
  <c r="I647" i="38"/>
  <c r="H648" i="38"/>
  <c r="J646" i="38"/>
  <c r="B647" i="38"/>
  <c r="K641" i="38"/>
  <c r="B648" i="38"/>
  <c r="C647" i="38"/>
  <c r="C645" i="38"/>
  <c r="F647" i="38"/>
  <c r="D642" i="38"/>
  <c r="C643" i="38"/>
  <c r="K104" i="40"/>
  <c r="K105" i="4"/>
  <c r="K116" i="4"/>
  <c r="K116" i="40" s="1"/>
  <c r="B605" i="39"/>
  <c r="B641" i="8" a="1"/>
  <c r="L101" i="40"/>
  <c r="L103" i="4"/>
  <c r="I164" i="40"/>
  <c r="I201" i="4"/>
  <c r="I166" i="4"/>
  <c r="I221" i="4"/>
  <c r="I161" i="40"/>
  <c r="I162" i="4"/>
  <c r="I162" i="40" s="1"/>
  <c r="J118" i="40"/>
  <c r="J131" i="4"/>
  <c r="H170" i="4"/>
  <c r="H170" i="40" s="1"/>
  <c r="H169" i="4"/>
  <c r="H167" i="40"/>
  <c r="H135" i="57"/>
  <c r="H137" i="57"/>
  <c r="H136" i="57"/>
  <c r="H133" i="57"/>
  <c r="H82" i="57"/>
  <c r="H134" i="57"/>
  <c r="B9" i="57"/>
  <c r="B8" i="57"/>
  <c r="B6" i="57"/>
  <c r="B12" i="57"/>
  <c r="B10" i="57"/>
  <c r="B7" i="57"/>
  <c r="I221" i="40" l="1"/>
  <c r="B644" i="8"/>
  <c r="B644" i="39" s="1"/>
  <c r="E641" i="8"/>
  <c r="F641" i="8"/>
  <c r="C644" i="8"/>
  <c r="C644" i="39" s="1"/>
  <c r="E646" i="8"/>
  <c r="E646" i="39" s="1"/>
  <c r="H644" i="8"/>
  <c r="H644" i="39" s="1"/>
  <c r="C643" i="8"/>
  <c r="C643" i="39" s="1"/>
  <c r="J648" i="8"/>
  <c r="J648" i="39" s="1"/>
  <c r="E644" i="8"/>
  <c r="E644" i="39" s="1"/>
  <c r="K648" i="8"/>
  <c r="K648" i="39" s="1"/>
  <c r="G647" i="8"/>
  <c r="G647" i="39" s="1"/>
  <c r="C646" i="8"/>
  <c r="C646" i="39" s="1"/>
  <c r="J646" i="8"/>
  <c r="J646" i="39" s="1"/>
  <c r="J644" i="8"/>
  <c r="J644" i="39" s="1"/>
  <c r="D642" i="8"/>
  <c r="D642" i="39" s="1"/>
  <c r="I644" i="8"/>
  <c r="I644" i="39" s="1"/>
  <c r="H641" i="8"/>
  <c r="D648" i="8"/>
  <c r="D648" i="39" s="1"/>
  <c r="B641" i="8"/>
  <c r="E643" i="8"/>
  <c r="E643" i="39" s="1"/>
  <c r="I643" i="8"/>
  <c r="I643" i="39" s="1"/>
  <c r="D644" i="8"/>
  <c r="D644" i="39" s="1"/>
  <c r="F646" i="8"/>
  <c r="F646" i="39" s="1"/>
  <c r="E648" i="8"/>
  <c r="E648" i="39" s="1"/>
  <c r="E647" i="8"/>
  <c r="E647" i="39" s="1"/>
  <c r="C641" i="8"/>
  <c r="D643" i="8"/>
  <c r="D643" i="39" s="1"/>
  <c r="G643" i="8"/>
  <c r="G643" i="39" s="1"/>
  <c r="H645" i="8"/>
  <c r="H645" i="39" s="1"/>
  <c r="G645" i="8"/>
  <c r="G645" i="39" s="1"/>
  <c r="K641" i="8"/>
  <c r="B646" i="8"/>
  <c r="B646" i="39" s="1"/>
  <c r="K644" i="8"/>
  <c r="K644" i="39" s="1"/>
  <c r="J642" i="8"/>
  <c r="J642" i="39" s="1"/>
  <c r="G641" i="8"/>
  <c r="K646" i="8"/>
  <c r="K646" i="39" s="1"/>
  <c r="D647" i="8"/>
  <c r="D647" i="39" s="1"/>
  <c r="B647" i="8"/>
  <c r="B647" i="39" s="1"/>
  <c r="I646" i="8"/>
  <c r="I646" i="39" s="1"/>
  <c r="J647" i="8"/>
  <c r="J647" i="39" s="1"/>
  <c r="F647" i="8"/>
  <c r="F647" i="39" s="1"/>
  <c r="B645" i="8"/>
  <c r="B645" i="39" s="1"/>
  <c r="F648" i="8"/>
  <c r="F648" i="39" s="1"/>
  <c r="J641" i="8"/>
  <c r="I642" i="8"/>
  <c r="I642" i="39" s="1"/>
  <c r="C642" i="8"/>
  <c r="C642" i="39" s="1"/>
  <c r="K645" i="8"/>
  <c r="K645" i="39" s="1"/>
  <c r="C648" i="8"/>
  <c r="C648" i="39" s="1"/>
  <c r="G642" i="8"/>
  <c r="G642" i="39" s="1"/>
  <c r="H648" i="8"/>
  <c r="H648" i="39" s="1"/>
  <c r="G648" i="8"/>
  <c r="G648" i="39" s="1"/>
  <c r="H643" i="8"/>
  <c r="H643" i="39" s="1"/>
  <c r="D646" i="8"/>
  <c r="D646" i="39" s="1"/>
  <c r="D641" i="8"/>
  <c r="I645" i="8"/>
  <c r="I645" i="39" s="1"/>
  <c r="F643" i="8"/>
  <c r="F643" i="39" s="1"/>
  <c r="D645" i="8"/>
  <c r="D645" i="39" s="1"/>
  <c r="E645" i="8"/>
  <c r="E645" i="39" s="1"/>
  <c r="F645" i="8"/>
  <c r="F645" i="39" s="1"/>
  <c r="K642" i="8"/>
  <c r="K642" i="39" s="1"/>
  <c r="C647" i="8"/>
  <c r="C647" i="39" s="1"/>
  <c r="I641" i="8"/>
  <c r="G646" i="8"/>
  <c r="G646" i="39" s="1"/>
  <c r="H647" i="8"/>
  <c r="H647" i="39" s="1"/>
  <c r="C645" i="8"/>
  <c r="C645" i="39" s="1"/>
  <c r="F644" i="8"/>
  <c r="F644" i="39" s="1"/>
  <c r="J643" i="8"/>
  <c r="J643" i="39" s="1"/>
  <c r="B643" i="8"/>
  <c r="B643" i="39" s="1"/>
  <c r="H642" i="8"/>
  <c r="H642" i="39" s="1"/>
  <c r="H646" i="8"/>
  <c r="H646" i="39" s="1"/>
  <c r="I647" i="8"/>
  <c r="I647" i="39" s="1"/>
  <c r="K647" i="8"/>
  <c r="K647" i="39" s="1"/>
  <c r="B642" i="8"/>
  <c r="B642" i="39" s="1"/>
  <c r="G644" i="8"/>
  <c r="G644" i="39" s="1"/>
  <c r="I648" i="8"/>
  <c r="I648" i="39" s="1"/>
  <c r="B648" i="8"/>
  <c r="B648" i="39" s="1"/>
  <c r="K643" i="8"/>
  <c r="K643" i="39" s="1"/>
  <c r="J645" i="8"/>
  <c r="J645" i="39" s="1"/>
  <c r="F642" i="8"/>
  <c r="F642" i="39" s="1"/>
  <c r="E642" i="8"/>
  <c r="E642" i="39" s="1"/>
  <c r="I167" i="4"/>
  <c r="I166" i="40"/>
  <c r="I168" i="4"/>
  <c r="I168" i="40" s="1"/>
  <c r="J161" i="4"/>
  <c r="J131" i="40"/>
  <c r="L104" i="4"/>
  <c r="L103" i="40"/>
  <c r="M101" i="4"/>
  <c r="H202" i="4"/>
  <c r="H169" i="40"/>
  <c r="K118" i="4"/>
  <c r="K105" i="40"/>
  <c r="B650" i="38" a="1"/>
  <c r="J164" i="4"/>
  <c r="H153" i="57"/>
  <c r="H154" i="57"/>
  <c r="H152" i="57"/>
  <c r="H150" i="57"/>
  <c r="H81" i="57"/>
  <c r="H151" i="57"/>
  <c r="G83" i="57"/>
  <c r="I68" i="57"/>
  <c r="D6" i="57"/>
  <c r="D10" i="57"/>
  <c r="D8" i="57"/>
  <c r="D12" i="57"/>
  <c r="D7" i="57"/>
  <c r="D9" i="57"/>
  <c r="F12" i="57" l="1"/>
  <c r="K710" i="8"/>
  <c r="K721" i="8" s="1"/>
  <c r="K641" i="39"/>
  <c r="J164" i="40"/>
  <c r="J201" i="4"/>
  <c r="J166" i="4"/>
  <c r="L104" i="40"/>
  <c r="L116" i="4"/>
  <c r="L116" i="40" s="1"/>
  <c r="L105" i="4"/>
  <c r="I710" i="8"/>
  <c r="I721" i="8" s="1"/>
  <c r="I641" i="39"/>
  <c r="D710" i="8"/>
  <c r="D721" i="8" s="1"/>
  <c r="D641" i="39"/>
  <c r="M103" i="4"/>
  <c r="M101" i="40"/>
  <c r="E653" i="38"/>
  <c r="F652" i="38"/>
  <c r="C651" i="38"/>
  <c r="C657" i="38"/>
  <c r="I657" i="38"/>
  <c r="D656" i="38"/>
  <c r="K654" i="38"/>
  <c r="I653" i="38"/>
  <c r="E657" i="38"/>
  <c r="E650" i="38"/>
  <c r="D650" i="38"/>
  <c r="F655" i="38"/>
  <c r="D654" i="38"/>
  <c r="E655" i="38"/>
  <c r="J655" i="38"/>
  <c r="K657" i="38"/>
  <c r="I651" i="38"/>
  <c r="F654" i="38"/>
  <c r="K655" i="38"/>
  <c r="C655" i="38"/>
  <c r="B653" i="38"/>
  <c r="J654" i="38"/>
  <c r="K651" i="38"/>
  <c r="H656" i="38"/>
  <c r="B656" i="38"/>
  <c r="H657" i="38"/>
  <c r="G655" i="38"/>
  <c r="K656" i="38"/>
  <c r="C652" i="38"/>
  <c r="B652" i="38"/>
  <c r="H652" i="38"/>
  <c r="B654" i="38"/>
  <c r="B655" i="38"/>
  <c r="D651" i="38"/>
  <c r="K653" i="38"/>
  <c r="H655" i="38"/>
  <c r="H654" i="38"/>
  <c r="H651" i="38"/>
  <c r="I656" i="38"/>
  <c r="J656" i="38"/>
  <c r="F651" i="38"/>
  <c r="J653" i="38"/>
  <c r="B657" i="38"/>
  <c r="F657" i="38"/>
  <c r="H650" i="38"/>
  <c r="E651" i="38"/>
  <c r="D652" i="38"/>
  <c r="C656" i="38"/>
  <c r="D655" i="38"/>
  <c r="G656" i="38"/>
  <c r="J657" i="38"/>
  <c r="G651" i="38"/>
  <c r="K652" i="38"/>
  <c r="F656" i="38"/>
  <c r="C653" i="38"/>
  <c r="J652" i="38"/>
  <c r="E652" i="38"/>
  <c r="I652" i="38"/>
  <c r="I654" i="38"/>
  <c r="G650" i="38"/>
  <c r="F653" i="38"/>
  <c r="D657" i="38"/>
  <c r="I650" i="38"/>
  <c r="C650" i="38"/>
  <c r="G652" i="38"/>
  <c r="G657" i="38"/>
  <c r="G654" i="38"/>
  <c r="G653" i="38"/>
  <c r="E656" i="38"/>
  <c r="E654" i="38"/>
  <c r="K650" i="38"/>
  <c r="D653" i="38"/>
  <c r="B650" i="38"/>
  <c r="J650" i="38"/>
  <c r="F650" i="38"/>
  <c r="H653" i="38"/>
  <c r="I655" i="38"/>
  <c r="C654" i="38"/>
  <c r="J651" i="38"/>
  <c r="B651" i="38"/>
  <c r="J161" i="40"/>
  <c r="J162" i="4"/>
  <c r="J162" i="40" s="1"/>
  <c r="J221" i="4"/>
  <c r="J221" i="40" s="1"/>
  <c r="G710" i="8"/>
  <c r="G721" i="8" s="1"/>
  <c r="G641" i="39"/>
  <c r="B650" i="8" a="1"/>
  <c r="B641" i="39"/>
  <c r="B710" i="8"/>
  <c r="B721" i="8" s="1"/>
  <c r="B713" i="8" a="1"/>
  <c r="F710" i="8"/>
  <c r="F721" i="8" s="1"/>
  <c r="F641" i="39"/>
  <c r="E710" i="8"/>
  <c r="E721" i="8" s="1"/>
  <c r="E641" i="39"/>
  <c r="J710" i="8"/>
  <c r="J721" i="8" s="1"/>
  <c r="J641" i="39"/>
  <c r="K118" i="40"/>
  <c r="K131" i="4"/>
  <c r="C641" i="39"/>
  <c r="C710" i="8"/>
  <c r="C721" i="8" s="1"/>
  <c r="I167" i="40"/>
  <c r="I170" i="4"/>
  <c r="I170" i="40" s="1"/>
  <c r="I169" i="4"/>
  <c r="H641" i="39"/>
  <c r="H710" i="8"/>
  <c r="H721" i="8" s="1"/>
  <c r="I133" i="57"/>
  <c r="I134" i="57"/>
  <c r="I137" i="57"/>
  <c r="I136" i="57"/>
  <c r="I135" i="57"/>
  <c r="I82" i="57"/>
  <c r="J166" i="40" l="1"/>
  <c r="J167" i="4"/>
  <c r="J168" i="4"/>
  <c r="J168" i="40" s="1"/>
  <c r="K713" i="8"/>
  <c r="C718" i="8"/>
  <c r="B718" i="8"/>
  <c r="E716" i="8"/>
  <c r="C717" i="8"/>
  <c r="F720" i="8"/>
  <c r="G718" i="8"/>
  <c r="H718" i="8"/>
  <c r="F714" i="8"/>
  <c r="H713" i="8"/>
  <c r="K720" i="8"/>
  <c r="I713" i="8"/>
  <c r="E719" i="8"/>
  <c r="J719" i="8"/>
  <c r="J714" i="8"/>
  <c r="I715" i="8"/>
  <c r="K719" i="8"/>
  <c r="E718" i="8"/>
  <c r="H716" i="8"/>
  <c r="H720" i="8"/>
  <c r="C720" i="8"/>
  <c r="B719" i="8"/>
  <c r="H717" i="8"/>
  <c r="G719" i="8"/>
  <c r="J718" i="8"/>
  <c r="D718" i="8"/>
  <c r="G716" i="8"/>
  <c r="B715" i="8"/>
  <c r="C714" i="8"/>
  <c r="B714" i="8"/>
  <c r="F718" i="8"/>
  <c r="F716" i="8"/>
  <c r="D714" i="8"/>
  <c r="I719" i="8"/>
  <c r="C716" i="8"/>
  <c r="D720" i="8"/>
  <c r="D719" i="8"/>
  <c r="E717" i="8"/>
  <c r="J716" i="8"/>
  <c r="B716" i="8"/>
  <c r="C713" i="8"/>
  <c r="K718" i="8"/>
  <c r="I720" i="8"/>
  <c r="D716" i="8"/>
  <c r="E714" i="8"/>
  <c r="G720" i="8"/>
  <c r="K714" i="8"/>
  <c r="H715" i="8"/>
  <c r="F713" i="8"/>
  <c r="I714" i="8"/>
  <c r="J717" i="8"/>
  <c r="J715" i="8"/>
  <c r="B713" i="8"/>
  <c r="E715" i="8"/>
  <c r="E713" i="8"/>
  <c r="D717" i="8"/>
  <c r="I718" i="8"/>
  <c r="G713" i="8"/>
  <c r="D713" i="8"/>
  <c r="K715" i="8"/>
  <c r="F715" i="8"/>
  <c r="J713" i="8"/>
  <c r="K716" i="8"/>
  <c r="E720" i="8"/>
  <c r="I717" i="8"/>
  <c r="B717" i="8"/>
  <c r="F717" i="8"/>
  <c r="D715" i="8"/>
  <c r="B720" i="8"/>
  <c r="H714" i="8"/>
  <c r="G717" i="8"/>
  <c r="C719" i="8"/>
  <c r="H719" i="8"/>
  <c r="J720" i="8"/>
  <c r="C715" i="8"/>
  <c r="K717" i="8"/>
  <c r="G714" i="8"/>
  <c r="I716" i="8"/>
  <c r="F719" i="8"/>
  <c r="G715" i="8"/>
  <c r="B659" i="38" a="1"/>
  <c r="C130" i="30" a="1"/>
  <c r="M103" i="40"/>
  <c r="M104" i="4"/>
  <c r="K164" i="4"/>
  <c r="K161" i="4"/>
  <c r="K131" i="40"/>
  <c r="I202" i="4"/>
  <c r="I169" i="40"/>
  <c r="E656" i="8"/>
  <c r="E656" i="39" s="1"/>
  <c r="K650" i="8"/>
  <c r="K650" i="39" s="1"/>
  <c r="I654" i="8"/>
  <c r="I654" i="39" s="1"/>
  <c r="G651" i="8"/>
  <c r="G651" i="39" s="1"/>
  <c r="D654" i="8"/>
  <c r="D654" i="39" s="1"/>
  <c r="F650" i="8"/>
  <c r="F650" i="39" s="1"/>
  <c r="C651" i="8"/>
  <c r="C651" i="39" s="1"/>
  <c r="C650" i="8"/>
  <c r="C650" i="39" s="1"/>
  <c r="F654" i="8"/>
  <c r="F654" i="39" s="1"/>
  <c r="K654" i="8"/>
  <c r="K654" i="39" s="1"/>
  <c r="C653" i="8"/>
  <c r="C653" i="39" s="1"/>
  <c r="D651" i="8"/>
  <c r="D651" i="39" s="1"/>
  <c r="B657" i="8"/>
  <c r="B657" i="39" s="1"/>
  <c r="B656" i="8"/>
  <c r="B656" i="39" s="1"/>
  <c r="F657" i="8"/>
  <c r="F657" i="39" s="1"/>
  <c r="J652" i="8"/>
  <c r="J652" i="39" s="1"/>
  <c r="J657" i="8"/>
  <c r="J657" i="39" s="1"/>
  <c r="H657" i="8"/>
  <c r="H657" i="39" s="1"/>
  <c r="J654" i="8"/>
  <c r="J654" i="39" s="1"/>
  <c r="J651" i="8"/>
  <c r="J651" i="39" s="1"/>
  <c r="B652" i="8"/>
  <c r="B652" i="39" s="1"/>
  <c r="H656" i="8"/>
  <c r="H656" i="39" s="1"/>
  <c r="E654" i="8"/>
  <c r="E654" i="39" s="1"/>
  <c r="J650" i="8"/>
  <c r="J650" i="39" s="1"/>
  <c r="B654" i="8"/>
  <c r="B654" i="39" s="1"/>
  <c r="K653" i="8"/>
  <c r="K653" i="39" s="1"/>
  <c r="J655" i="8"/>
  <c r="J655" i="39" s="1"/>
  <c r="K657" i="8"/>
  <c r="K657" i="39" s="1"/>
  <c r="H652" i="8"/>
  <c r="H652" i="39" s="1"/>
  <c r="H650" i="8"/>
  <c r="H650" i="39" s="1"/>
  <c r="C656" i="8"/>
  <c r="C656" i="39" s="1"/>
  <c r="I650" i="8"/>
  <c r="I650" i="39" s="1"/>
  <c r="G655" i="8"/>
  <c r="G655" i="39" s="1"/>
  <c r="H653" i="8"/>
  <c r="H653" i="39" s="1"/>
  <c r="G657" i="8"/>
  <c r="G657" i="39" s="1"/>
  <c r="B655" i="8"/>
  <c r="B655" i="39" s="1"/>
  <c r="C657" i="8"/>
  <c r="C657" i="39" s="1"/>
  <c r="D656" i="8"/>
  <c r="D656" i="39" s="1"/>
  <c r="I655" i="8"/>
  <c r="I655" i="39" s="1"/>
  <c r="F652" i="8"/>
  <c r="F652" i="39" s="1"/>
  <c r="I657" i="8"/>
  <c r="I657" i="39" s="1"/>
  <c r="E650" i="8"/>
  <c r="E650" i="39" s="1"/>
  <c r="B653" i="8"/>
  <c r="B653" i="39" s="1"/>
  <c r="G654" i="8"/>
  <c r="G654" i="39" s="1"/>
  <c r="I653" i="8"/>
  <c r="I653" i="39" s="1"/>
  <c r="F653" i="8"/>
  <c r="F653" i="39" s="1"/>
  <c r="B651" i="8"/>
  <c r="B651" i="39" s="1"/>
  <c r="I656" i="8"/>
  <c r="I656" i="39" s="1"/>
  <c r="D653" i="8"/>
  <c r="D653" i="39" s="1"/>
  <c r="K656" i="8"/>
  <c r="K656" i="39" s="1"/>
  <c r="E655" i="8"/>
  <c r="E655" i="39" s="1"/>
  <c r="J653" i="8"/>
  <c r="J653" i="39" s="1"/>
  <c r="H654" i="8"/>
  <c r="H654" i="39" s="1"/>
  <c r="B650" i="8"/>
  <c r="E651" i="8"/>
  <c r="E651" i="39" s="1"/>
  <c r="E653" i="8"/>
  <c r="E653" i="39" s="1"/>
  <c r="C652" i="8"/>
  <c r="C652" i="39" s="1"/>
  <c r="D657" i="8"/>
  <c r="D657" i="39" s="1"/>
  <c r="G652" i="8"/>
  <c r="G652" i="39" s="1"/>
  <c r="I652" i="8"/>
  <c r="I652" i="39" s="1"/>
  <c r="J656" i="8"/>
  <c r="J656" i="39" s="1"/>
  <c r="G656" i="8"/>
  <c r="G656" i="39" s="1"/>
  <c r="I651" i="8"/>
  <c r="I651" i="39" s="1"/>
  <c r="G653" i="8"/>
  <c r="G653" i="39" s="1"/>
  <c r="K651" i="8"/>
  <c r="K651" i="39" s="1"/>
  <c r="D650" i="8"/>
  <c r="D650" i="39" s="1"/>
  <c r="C654" i="8"/>
  <c r="C654" i="39" s="1"/>
  <c r="D655" i="8"/>
  <c r="D655" i="39" s="1"/>
  <c r="K652" i="8"/>
  <c r="K652" i="39" s="1"/>
  <c r="H655" i="8"/>
  <c r="H655" i="39" s="1"/>
  <c r="F655" i="8"/>
  <c r="F655" i="39" s="1"/>
  <c r="H651" i="8"/>
  <c r="H651" i="39" s="1"/>
  <c r="F656" i="8"/>
  <c r="F656" i="39" s="1"/>
  <c r="C655" i="8"/>
  <c r="C655" i="39" s="1"/>
  <c r="E652" i="8"/>
  <c r="E652" i="39" s="1"/>
  <c r="K655" i="8"/>
  <c r="K655" i="39" s="1"/>
  <c r="F651" i="8"/>
  <c r="F651" i="39" s="1"/>
  <c r="D652" i="8"/>
  <c r="D652" i="39" s="1"/>
  <c r="E657" i="8"/>
  <c r="E657" i="39" s="1"/>
  <c r="G650" i="8"/>
  <c r="G650" i="39" s="1"/>
  <c r="L105" i="40"/>
  <c r="L118" i="4"/>
  <c r="J68" i="57"/>
  <c r="I152" i="57"/>
  <c r="I154" i="57"/>
  <c r="I153" i="57"/>
  <c r="I151" i="57"/>
  <c r="I150" i="57"/>
  <c r="I81" i="57"/>
  <c r="H83" i="57"/>
  <c r="L118" i="40" l="1"/>
  <c r="L131" i="4"/>
  <c r="K136" i="30"/>
  <c r="F132" i="30"/>
  <c r="L136" i="30"/>
  <c r="E130" i="30"/>
  <c r="L135" i="30"/>
  <c r="H131" i="30"/>
  <c r="D131" i="30"/>
  <c r="G134" i="30"/>
  <c r="D130" i="30"/>
  <c r="L131" i="30"/>
  <c r="C136" i="30"/>
  <c r="K137" i="30"/>
  <c r="D133" i="30"/>
  <c r="J133" i="30"/>
  <c r="I133" i="30"/>
  <c r="C135" i="30"/>
  <c r="D137" i="30"/>
  <c r="D136" i="30"/>
  <c r="H133" i="30"/>
  <c r="I135" i="30"/>
  <c r="K134" i="30"/>
  <c r="H137" i="30"/>
  <c r="F134" i="30"/>
  <c r="F130" i="30"/>
  <c r="C133" i="30"/>
  <c r="K133" i="30"/>
  <c r="E137" i="30"/>
  <c r="I130" i="30"/>
  <c r="D134" i="30"/>
  <c r="D135" i="30"/>
  <c r="L130" i="30"/>
  <c r="E133" i="30"/>
  <c r="G130" i="30"/>
  <c r="G137" i="30"/>
  <c r="J135" i="30"/>
  <c r="G133" i="30"/>
  <c r="H135" i="30"/>
  <c r="K131" i="30"/>
  <c r="C134" i="30"/>
  <c r="C132" i="30"/>
  <c r="K130" i="30"/>
  <c r="G132" i="30"/>
  <c r="J136" i="30"/>
  <c r="H134" i="30"/>
  <c r="F136" i="30"/>
  <c r="I137" i="30"/>
  <c r="H132" i="30"/>
  <c r="E131" i="30"/>
  <c r="G136" i="30"/>
  <c r="C130" i="30"/>
  <c r="E134" i="30"/>
  <c r="J137" i="30"/>
  <c r="E136" i="30"/>
  <c r="E132" i="30"/>
  <c r="L133" i="30"/>
  <c r="G131" i="30"/>
  <c r="J132" i="30"/>
  <c r="J134" i="30"/>
  <c r="E135" i="30"/>
  <c r="C131" i="30"/>
  <c r="H130" i="30"/>
  <c r="J130" i="30"/>
  <c r="C137" i="30"/>
  <c r="I136" i="30"/>
  <c r="F135" i="30"/>
  <c r="K132" i="30"/>
  <c r="L134" i="30"/>
  <c r="L132" i="30"/>
  <c r="I131" i="30"/>
  <c r="L137" i="30"/>
  <c r="I134" i="30"/>
  <c r="H136" i="30"/>
  <c r="D132" i="30"/>
  <c r="G135" i="30"/>
  <c r="F137" i="30"/>
  <c r="J131" i="30"/>
  <c r="I132" i="30"/>
  <c r="F131" i="30"/>
  <c r="F133" i="30"/>
  <c r="K135" i="30"/>
  <c r="D659" i="38"/>
  <c r="I661" i="38"/>
  <c r="F661" i="38"/>
  <c r="E664" i="38"/>
  <c r="G661" i="38"/>
  <c r="J660" i="38"/>
  <c r="C662" i="38"/>
  <c r="B664" i="38"/>
  <c r="E661" i="38"/>
  <c r="D666" i="38"/>
  <c r="H665" i="38"/>
  <c r="D665" i="38"/>
  <c r="B665" i="38"/>
  <c r="E660" i="38"/>
  <c r="K664" i="38"/>
  <c r="E662" i="38"/>
  <c r="G659" i="38"/>
  <c r="B663" i="38"/>
  <c r="H666" i="38"/>
  <c r="E665" i="38"/>
  <c r="G666" i="38"/>
  <c r="K666" i="38"/>
  <c r="H664" i="38"/>
  <c r="I660" i="38"/>
  <c r="B666" i="38"/>
  <c r="J665" i="38"/>
  <c r="J666" i="38"/>
  <c r="C659" i="38"/>
  <c r="G660" i="38"/>
  <c r="H661" i="38"/>
  <c r="D661" i="38"/>
  <c r="B662" i="38"/>
  <c r="J663" i="38"/>
  <c r="F659" i="38"/>
  <c r="F660" i="38"/>
  <c r="H663" i="38"/>
  <c r="K663" i="38"/>
  <c r="J664" i="38"/>
  <c r="C661" i="38"/>
  <c r="G664" i="38"/>
  <c r="B661" i="38"/>
  <c r="H659" i="38"/>
  <c r="F664" i="38"/>
  <c r="I664" i="38"/>
  <c r="F666" i="38"/>
  <c r="I665" i="38"/>
  <c r="G662" i="38"/>
  <c r="K661" i="38"/>
  <c r="H660" i="38"/>
  <c r="K662" i="38"/>
  <c r="J659" i="38"/>
  <c r="J662" i="38"/>
  <c r="I663" i="38"/>
  <c r="K665" i="38"/>
  <c r="D663" i="38"/>
  <c r="F663" i="38"/>
  <c r="E663" i="38"/>
  <c r="C666" i="38"/>
  <c r="F665" i="38"/>
  <c r="C664" i="38"/>
  <c r="J661" i="38"/>
  <c r="B660" i="38"/>
  <c r="K659" i="38"/>
  <c r="C665" i="38"/>
  <c r="I666" i="38"/>
  <c r="F662" i="38"/>
  <c r="D664" i="38"/>
  <c r="E666" i="38"/>
  <c r="H662" i="38"/>
  <c r="D662" i="38"/>
  <c r="K660" i="38"/>
  <c r="I662" i="38"/>
  <c r="D660" i="38"/>
  <c r="E659" i="38"/>
  <c r="G665" i="38"/>
  <c r="I659" i="38"/>
  <c r="C663" i="38"/>
  <c r="B659" i="38"/>
  <c r="G663" i="38"/>
  <c r="C660" i="38"/>
  <c r="C130" i="6" a="1"/>
  <c r="B659" i="8" a="1"/>
  <c r="B650" i="39"/>
  <c r="K161" i="40"/>
  <c r="K221" i="4"/>
  <c r="K221" i="40" s="1"/>
  <c r="K162" i="4"/>
  <c r="K162" i="40" s="1"/>
  <c r="J167" i="40"/>
  <c r="J170" i="4"/>
  <c r="J170" i="40" s="1"/>
  <c r="J169" i="4"/>
  <c r="M104" i="40"/>
  <c r="M116" i="4"/>
  <c r="M116" i="40" s="1"/>
  <c r="M105" i="4"/>
  <c r="K201" i="4"/>
  <c r="K164" i="40"/>
  <c r="K166" i="4"/>
  <c r="J136" i="57"/>
  <c r="J135" i="57"/>
  <c r="J134" i="57"/>
  <c r="J82" i="57"/>
  <c r="J137" i="57"/>
  <c r="J133" i="57"/>
  <c r="L164" i="4" l="1"/>
  <c r="L164" i="40" s="1"/>
  <c r="B668" i="38" a="1"/>
  <c r="M118" i="4"/>
  <c r="M105" i="40"/>
  <c r="F661" i="8"/>
  <c r="F661" i="39" s="1"/>
  <c r="G665" i="8"/>
  <c r="G665" i="39" s="1"/>
  <c r="C662" i="8"/>
  <c r="C662" i="39" s="1"/>
  <c r="K663" i="8"/>
  <c r="K663" i="39" s="1"/>
  <c r="C664" i="8"/>
  <c r="C664" i="39" s="1"/>
  <c r="C666" i="8"/>
  <c r="C666" i="39" s="1"/>
  <c r="E660" i="8"/>
  <c r="E660" i="39" s="1"/>
  <c r="D663" i="8"/>
  <c r="D663" i="39" s="1"/>
  <c r="J661" i="8"/>
  <c r="J661" i="39" s="1"/>
  <c r="C659" i="8"/>
  <c r="C659" i="39" s="1"/>
  <c r="J660" i="8"/>
  <c r="J660" i="39" s="1"/>
  <c r="D661" i="8"/>
  <c r="D661" i="39" s="1"/>
  <c r="D660" i="8"/>
  <c r="D660" i="39" s="1"/>
  <c r="H659" i="8"/>
  <c r="H659" i="39" s="1"/>
  <c r="B666" i="8"/>
  <c r="B666" i="39" s="1"/>
  <c r="I666" i="8"/>
  <c r="I666" i="39" s="1"/>
  <c r="G660" i="8"/>
  <c r="G660" i="39" s="1"/>
  <c r="F660" i="8"/>
  <c r="F660" i="39" s="1"/>
  <c r="G666" i="8"/>
  <c r="G666" i="39" s="1"/>
  <c r="J664" i="8"/>
  <c r="J664" i="39" s="1"/>
  <c r="K661" i="8"/>
  <c r="K661" i="39" s="1"/>
  <c r="I660" i="8"/>
  <c r="I660" i="39" s="1"/>
  <c r="E661" i="8"/>
  <c r="E661" i="39" s="1"/>
  <c r="D666" i="8"/>
  <c r="D666" i="39" s="1"/>
  <c r="B660" i="8"/>
  <c r="B660" i="39" s="1"/>
  <c r="H665" i="8"/>
  <c r="H665" i="39" s="1"/>
  <c r="J663" i="8"/>
  <c r="J663" i="39" s="1"/>
  <c r="C660" i="8"/>
  <c r="C660" i="39" s="1"/>
  <c r="I664" i="8"/>
  <c r="I664" i="39" s="1"/>
  <c r="I661" i="8"/>
  <c r="I661" i="39" s="1"/>
  <c r="K659" i="8"/>
  <c r="K659" i="39" s="1"/>
  <c r="D662" i="8"/>
  <c r="D662" i="39" s="1"/>
  <c r="H664" i="8"/>
  <c r="H664" i="39" s="1"/>
  <c r="I659" i="8"/>
  <c r="I659" i="39" s="1"/>
  <c r="E662" i="8"/>
  <c r="E662" i="39" s="1"/>
  <c r="H662" i="8"/>
  <c r="H662" i="39" s="1"/>
  <c r="D664" i="8"/>
  <c r="D664" i="39" s="1"/>
  <c r="F663" i="8"/>
  <c r="F663" i="39" s="1"/>
  <c r="I662" i="8"/>
  <c r="I662" i="39" s="1"/>
  <c r="K665" i="8"/>
  <c r="K665" i="39" s="1"/>
  <c r="C663" i="8"/>
  <c r="C663" i="39" s="1"/>
  <c r="B664" i="8"/>
  <c r="B664" i="39" s="1"/>
  <c r="E663" i="8"/>
  <c r="E663" i="39" s="1"/>
  <c r="K660" i="8"/>
  <c r="K660" i="39" s="1"/>
  <c r="C661" i="8"/>
  <c r="C661" i="39" s="1"/>
  <c r="E659" i="8"/>
  <c r="E659" i="39" s="1"/>
  <c r="J659" i="8"/>
  <c r="J659" i="39" s="1"/>
  <c r="I665" i="8"/>
  <c r="I665" i="39" s="1"/>
  <c r="K666" i="8"/>
  <c r="K666" i="39" s="1"/>
  <c r="G659" i="8"/>
  <c r="G659" i="39" s="1"/>
  <c r="G663" i="8"/>
  <c r="G663" i="39" s="1"/>
  <c r="F659" i="8"/>
  <c r="F659" i="39" s="1"/>
  <c r="K662" i="8"/>
  <c r="K662" i="39" s="1"/>
  <c r="J665" i="8"/>
  <c r="J665" i="39" s="1"/>
  <c r="D659" i="8"/>
  <c r="D659" i="39" s="1"/>
  <c r="B659" i="8"/>
  <c r="H660" i="8"/>
  <c r="H660" i="39" s="1"/>
  <c r="H663" i="8"/>
  <c r="H663" i="39" s="1"/>
  <c r="F664" i="8"/>
  <c r="F664" i="39" s="1"/>
  <c r="C665" i="8"/>
  <c r="C665" i="39" s="1"/>
  <c r="F662" i="8"/>
  <c r="F662" i="39" s="1"/>
  <c r="I663" i="8"/>
  <c r="I663" i="39" s="1"/>
  <c r="H666" i="8"/>
  <c r="H666" i="39" s="1"/>
  <c r="E665" i="8"/>
  <c r="E665" i="39" s="1"/>
  <c r="B663" i="8"/>
  <c r="B663" i="39" s="1"/>
  <c r="G662" i="8"/>
  <c r="G662" i="39" s="1"/>
  <c r="F666" i="8"/>
  <c r="F666" i="39" s="1"/>
  <c r="J662" i="8"/>
  <c r="J662" i="39" s="1"/>
  <c r="B661" i="8"/>
  <c r="B661" i="39" s="1"/>
  <c r="B665" i="8"/>
  <c r="B665" i="39" s="1"/>
  <c r="F665" i="8"/>
  <c r="F665" i="39" s="1"/>
  <c r="B662" i="8"/>
  <c r="B662" i="39" s="1"/>
  <c r="J666" i="8"/>
  <c r="J666" i="39" s="1"/>
  <c r="G661" i="8"/>
  <c r="G661" i="39" s="1"/>
  <c r="D665" i="8"/>
  <c r="D665" i="39" s="1"/>
  <c r="G664" i="8"/>
  <c r="G664" i="39" s="1"/>
  <c r="E664" i="8"/>
  <c r="E664" i="39" s="1"/>
  <c r="K664" i="8"/>
  <c r="K664" i="39" s="1"/>
  <c r="E666" i="8"/>
  <c r="E666" i="39" s="1"/>
  <c r="H661" i="8"/>
  <c r="H661" i="39" s="1"/>
  <c r="L132" i="6"/>
  <c r="J137" i="6"/>
  <c r="D136" i="6"/>
  <c r="C132" i="6"/>
  <c r="C136" i="6"/>
  <c r="K136" i="6"/>
  <c r="L135" i="6"/>
  <c r="E133" i="6"/>
  <c r="D134" i="6"/>
  <c r="G137" i="6"/>
  <c r="L134" i="6"/>
  <c r="I133" i="6"/>
  <c r="I134" i="6"/>
  <c r="I132" i="6"/>
  <c r="H135" i="6"/>
  <c r="C131" i="6"/>
  <c r="J134" i="6"/>
  <c r="E137" i="6"/>
  <c r="D135" i="6"/>
  <c r="K135" i="6"/>
  <c r="I136" i="6"/>
  <c r="G131" i="6"/>
  <c r="G132" i="6"/>
  <c r="D131" i="6"/>
  <c r="H137" i="6"/>
  <c r="L137" i="6"/>
  <c r="E136" i="6"/>
  <c r="D132" i="6"/>
  <c r="C137" i="6"/>
  <c r="F137" i="6"/>
  <c r="I130" i="6"/>
  <c r="C133" i="6"/>
  <c r="G134" i="6"/>
  <c r="C135" i="6"/>
  <c r="L131" i="6"/>
  <c r="K134" i="6"/>
  <c r="H134" i="6"/>
  <c r="K132" i="6"/>
  <c r="E131" i="6"/>
  <c r="J136" i="6"/>
  <c r="E132" i="6"/>
  <c r="L136" i="6"/>
  <c r="F133" i="6"/>
  <c r="D133" i="6"/>
  <c r="K133" i="6"/>
  <c r="F130" i="6"/>
  <c r="I137" i="6"/>
  <c r="G135" i="6"/>
  <c r="C130" i="6"/>
  <c r="H131" i="6"/>
  <c r="G130" i="6"/>
  <c r="L133" i="6"/>
  <c r="L130" i="6"/>
  <c r="D137" i="6"/>
  <c r="H130" i="6"/>
  <c r="I131" i="6"/>
  <c r="F135" i="6"/>
  <c r="E135" i="6"/>
  <c r="F131" i="6"/>
  <c r="J133" i="6"/>
  <c r="G136" i="6"/>
  <c r="H132" i="6"/>
  <c r="J132" i="6"/>
  <c r="F136" i="6"/>
  <c r="E130" i="6"/>
  <c r="K131" i="6"/>
  <c r="C134" i="6"/>
  <c r="H136" i="6"/>
  <c r="J135" i="6"/>
  <c r="E134" i="6"/>
  <c r="J131" i="6"/>
  <c r="D130" i="6"/>
  <c r="K130" i="6"/>
  <c r="G133" i="6"/>
  <c r="J130" i="6"/>
  <c r="K137" i="6"/>
  <c r="F132" i="6"/>
  <c r="F134" i="6"/>
  <c r="H133" i="6"/>
  <c r="I135" i="6"/>
  <c r="J169" i="40"/>
  <c r="J202" i="4"/>
  <c r="C139" i="30" a="1"/>
  <c r="K167" i="4"/>
  <c r="K166" i="40"/>
  <c r="K168" i="4"/>
  <c r="K168" i="40" s="1"/>
  <c r="L161" i="4"/>
  <c r="L131" i="40"/>
  <c r="K68" i="57"/>
  <c r="I83" i="57"/>
  <c r="J151" i="57"/>
  <c r="J153" i="57"/>
  <c r="J152" i="57"/>
  <c r="J81" i="57"/>
  <c r="J154" i="57"/>
  <c r="J150" i="57"/>
  <c r="L201" i="4" l="1"/>
  <c r="L166" i="4"/>
  <c r="L168" i="4" s="1"/>
  <c r="L168" i="40" s="1"/>
  <c r="G133" i="34"/>
  <c r="H131" i="34"/>
  <c r="L137" i="34"/>
  <c r="J137" i="34"/>
  <c r="I139" i="30"/>
  <c r="I157" i="30" s="1"/>
  <c r="L142" i="30"/>
  <c r="L160" i="30" s="1"/>
  <c r="H146" i="30"/>
  <c r="H164" i="30" s="1"/>
  <c r="K146" i="30"/>
  <c r="K164" i="30" s="1"/>
  <c r="K145" i="30"/>
  <c r="K163" i="30" s="1"/>
  <c r="E143" i="30"/>
  <c r="E161" i="30" s="1"/>
  <c r="C144" i="30"/>
  <c r="C162" i="30" s="1"/>
  <c r="I144" i="30"/>
  <c r="I162" i="30" s="1"/>
  <c r="K140" i="30"/>
  <c r="K158" i="30" s="1"/>
  <c r="H145" i="30"/>
  <c r="H163" i="30" s="1"/>
  <c r="F142" i="30"/>
  <c r="F160" i="30" s="1"/>
  <c r="F140" i="30"/>
  <c r="F158" i="30" s="1"/>
  <c r="G145" i="30"/>
  <c r="G163" i="30" s="1"/>
  <c r="H140" i="30"/>
  <c r="H158" i="30" s="1"/>
  <c r="G142" i="30"/>
  <c r="G160" i="30" s="1"/>
  <c r="D141" i="30"/>
  <c r="D159" i="30" s="1"/>
  <c r="G146" i="30"/>
  <c r="G164" i="30" s="1"/>
  <c r="F139" i="30"/>
  <c r="F157" i="30" s="1"/>
  <c r="H144" i="30"/>
  <c r="H162" i="30" s="1"/>
  <c r="I143" i="30"/>
  <c r="I161" i="30" s="1"/>
  <c r="J145" i="30"/>
  <c r="J163" i="30" s="1"/>
  <c r="F146" i="30"/>
  <c r="F164" i="30" s="1"/>
  <c r="D140" i="30"/>
  <c r="D158" i="30" s="1"/>
  <c r="I142" i="30"/>
  <c r="I160" i="30" s="1"/>
  <c r="K143" i="30"/>
  <c r="K161" i="30" s="1"/>
  <c r="C142" i="30"/>
  <c r="C160" i="30" s="1"/>
  <c r="H141" i="30"/>
  <c r="H159" i="30" s="1"/>
  <c r="E142" i="30"/>
  <c r="E160" i="30" s="1"/>
  <c r="C139" i="30"/>
  <c r="C157" i="30" s="1"/>
  <c r="I146" i="30"/>
  <c r="I164" i="30" s="1"/>
  <c r="L140" i="30"/>
  <c r="L158" i="30" s="1"/>
  <c r="J143" i="30"/>
  <c r="J161" i="30" s="1"/>
  <c r="E141" i="30"/>
  <c r="E159" i="30" s="1"/>
  <c r="D146" i="30"/>
  <c r="D164" i="30" s="1"/>
  <c r="J139" i="30"/>
  <c r="J157" i="30" s="1"/>
  <c r="K141" i="30"/>
  <c r="K159" i="30" s="1"/>
  <c r="H142" i="30"/>
  <c r="H160" i="30" s="1"/>
  <c r="D139" i="30"/>
  <c r="D157" i="30" s="1"/>
  <c r="E146" i="30"/>
  <c r="E164" i="30" s="1"/>
  <c r="E145" i="30"/>
  <c r="E163" i="30" s="1"/>
  <c r="I141" i="30"/>
  <c r="I159" i="30" s="1"/>
  <c r="F143" i="30"/>
  <c r="F161" i="30" s="1"/>
  <c r="F144" i="30"/>
  <c r="F162" i="30" s="1"/>
  <c r="I140" i="30"/>
  <c r="I158" i="30" s="1"/>
  <c r="G140" i="30"/>
  <c r="G158" i="30" s="1"/>
  <c r="L146" i="30"/>
  <c r="L164" i="30" s="1"/>
  <c r="L139" i="30"/>
  <c r="L157" i="30" s="1"/>
  <c r="E144" i="30"/>
  <c r="E162" i="30" s="1"/>
  <c r="E140" i="30"/>
  <c r="E158" i="30" s="1"/>
  <c r="F141" i="30"/>
  <c r="F159" i="30" s="1"/>
  <c r="G141" i="30"/>
  <c r="G159" i="30" s="1"/>
  <c r="D142" i="30"/>
  <c r="D160" i="30" s="1"/>
  <c r="C141" i="30"/>
  <c r="C159" i="30" s="1"/>
  <c r="J146" i="30"/>
  <c r="J164" i="30" s="1"/>
  <c r="K144" i="30"/>
  <c r="K162" i="30" s="1"/>
  <c r="J141" i="30"/>
  <c r="J159" i="30" s="1"/>
  <c r="J144" i="30"/>
  <c r="J162" i="30" s="1"/>
  <c r="K139" i="30"/>
  <c r="K157" i="30" s="1"/>
  <c r="H143" i="30"/>
  <c r="H161" i="30" s="1"/>
  <c r="F145" i="30"/>
  <c r="F163" i="30" s="1"/>
  <c r="D143" i="30"/>
  <c r="D161" i="30" s="1"/>
  <c r="L145" i="30"/>
  <c r="L163" i="30" s="1"/>
  <c r="C146" i="30"/>
  <c r="C164" i="30" s="1"/>
  <c r="L144" i="30"/>
  <c r="L162" i="30" s="1"/>
  <c r="E139" i="30"/>
  <c r="E157" i="30" s="1"/>
  <c r="H139" i="30"/>
  <c r="H157" i="30" s="1"/>
  <c r="D144" i="30"/>
  <c r="D162" i="30" s="1"/>
  <c r="I145" i="30"/>
  <c r="I163" i="30" s="1"/>
  <c r="J140" i="30"/>
  <c r="J158" i="30" s="1"/>
  <c r="G144" i="30"/>
  <c r="G162" i="30" s="1"/>
  <c r="C143" i="30"/>
  <c r="C161" i="30" s="1"/>
  <c r="J142" i="30"/>
  <c r="J160" i="30" s="1"/>
  <c r="L141" i="30"/>
  <c r="L159" i="30" s="1"/>
  <c r="L143" i="30"/>
  <c r="L161" i="30" s="1"/>
  <c r="G139" i="30"/>
  <c r="G157" i="30" s="1"/>
  <c r="C145" i="30"/>
  <c r="C163" i="30" s="1"/>
  <c r="K142" i="30"/>
  <c r="K160" i="30" s="1"/>
  <c r="G143" i="30"/>
  <c r="G161" i="30" s="1"/>
  <c r="C140" i="30"/>
  <c r="C158" i="30" s="1"/>
  <c r="D145" i="30"/>
  <c r="D163" i="30" s="1"/>
  <c r="I135" i="34"/>
  <c r="D130" i="34"/>
  <c r="F136" i="34"/>
  <c r="I131" i="34"/>
  <c r="G135" i="34"/>
  <c r="J136" i="34"/>
  <c r="C133" i="34"/>
  <c r="D131" i="34"/>
  <c r="C131" i="34"/>
  <c r="E133" i="34"/>
  <c r="L162" i="4"/>
  <c r="L161" i="40"/>
  <c r="L221" i="4"/>
  <c r="L221" i="40" s="1"/>
  <c r="H133" i="34"/>
  <c r="J131" i="34"/>
  <c r="J132" i="34"/>
  <c r="H130" i="34"/>
  <c r="I137" i="34"/>
  <c r="E131" i="34"/>
  <c r="I130" i="34"/>
  <c r="G132" i="34"/>
  <c r="H135" i="34"/>
  <c r="L135" i="34"/>
  <c r="E137" i="34"/>
  <c r="K170" i="4"/>
  <c r="K170" i="40" s="1"/>
  <c r="K169" i="4"/>
  <c r="K167" i="40"/>
  <c r="F134" i="34"/>
  <c r="E134" i="34"/>
  <c r="H132" i="34"/>
  <c r="D137" i="34"/>
  <c r="F130" i="34"/>
  <c r="K132" i="34"/>
  <c r="F137" i="34"/>
  <c r="G131" i="34"/>
  <c r="I132" i="34"/>
  <c r="K136" i="34"/>
  <c r="M118" i="40"/>
  <c r="M131" i="4"/>
  <c r="K131" i="34"/>
  <c r="E135" i="34"/>
  <c r="L136" i="34"/>
  <c r="C135" i="34"/>
  <c r="G137" i="34"/>
  <c r="K137" i="34"/>
  <c r="H136" i="34"/>
  <c r="J133" i="34"/>
  <c r="L133" i="34"/>
  <c r="D133" i="34"/>
  <c r="K134" i="34"/>
  <c r="D132" i="34"/>
  <c r="K135" i="34"/>
  <c r="I133" i="34"/>
  <c r="C132" i="34"/>
  <c r="K130" i="34"/>
  <c r="E130" i="34"/>
  <c r="F135" i="34"/>
  <c r="C130" i="34"/>
  <c r="C139" i="6" a="1"/>
  <c r="E132" i="34"/>
  <c r="G134" i="34"/>
  <c r="H137" i="34"/>
  <c r="J134" i="34"/>
  <c r="D134" i="34"/>
  <c r="L132" i="34"/>
  <c r="F132" i="34"/>
  <c r="J135" i="34"/>
  <c r="G136" i="34"/>
  <c r="L130" i="34"/>
  <c r="K133" i="34"/>
  <c r="H134" i="34"/>
  <c r="C137" i="34"/>
  <c r="I136" i="34"/>
  <c r="I134" i="34"/>
  <c r="C136" i="34"/>
  <c r="J130" i="34"/>
  <c r="C134" i="34"/>
  <c r="F131" i="34"/>
  <c r="G130" i="34"/>
  <c r="F133" i="34"/>
  <c r="L131" i="34"/>
  <c r="E136" i="34"/>
  <c r="D135" i="34"/>
  <c r="L134" i="34"/>
  <c r="D136" i="34"/>
  <c r="B659" i="39"/>
  <c r="B668" i="8" a="1"/>
  <c r="J674" i="38"/>
  <c r="C668" i="38"/>
  <c r="F674" i="38"/>
  <c r="K673" i="38"/>
  <c r="H669" i="38"/>
  <c r="J671" i="38"/>
  <c r="F673" i="38"/>
  <c r="B668" i="38"/>
  <c r="I672" i="38"/>
  <c r="F670" i="38"/>
  <c r="K669" i="38"/>
  <c r="D669" i="38"/>
  <c r="G669" i="38"/>
  <c r="G672" i="38"/>
  <c r="H674" i="38"/>
  <c r="H673" i="38"/>
  <c r="I673" i="38"/>
  <c r="I671" i="38"/>
  <c r="H668" i="38"/>
  <c r="B671" i="38"/>
  <c r="J672" i="38"/>
  <c r="I674" i="38"/>
  <c r="B675" i="38"/>
  <c r="K668" i="38"/>
  <c r="B670" i="38"/>
  <c r="E675" i="38"/>
  <c r="J670" i="38"/>
  <c r="H671" i="38"/>
  <c r="G671" i="38"/>
  <c r="F672" i="38"/>
  <c r="K671" i="38"/>
  <c r="C671" i="38"/>
  <c r="G674" i="38"/>
  <c r="F669" i="38"/>
  <c r="C673" i="38"/>
  <c r="G668" i="38"/>
  <c r="E671" i="38"/>
  <c r="I669" i="38"/>
  <c r="J669" i="38"/>
  <c r="K672" i="38"/>
  <c r="F675" i="38"/>
  <c r="D673" i="38"/>
  <c r="F668" i="38"/>
  <c r="I670" i="38"/>
  <c r="H675" i="38"/>
  <c r="B673" i="38"/>
  <c r="G675" i="38"/>
  <c r="D671" i="38"/>
  <c r="C674" i="38"/>
  <c r="D668" i="38"/>
  <c r="B674" i="38"/>
  <c r="E668" i="38"/>
  <c r="E672" i="38"/>
  <c r="E673" i="38"/>
  <c r="K675" i="38"/>
  <c r="B672" i="38"/>
  <c r="D672" i="38"/>
  <c r="B669" i="38"/>
  <c r="G673" i="38"/>
  <c r="K674" i="38"/>
  <c r="E670" i="38"/>
  <c r="C669" i="38"/>
  <c r="H670" i="38"/>
  <c r="J668" i="38"/>
  <c r="F671" i="38"/>
  <c r="C675" i="38"/>
  <c r="C670" i="38"/>
  <c r="G670" i="38"/>
  <c r="I675" i="38"/>
  <c r="K670" i="38"/>
  <c r="I668" i="38"/>
  <c r="D674" i="38"/>
  <c r="H672" i="38"/>
  <c r="J673" i="38"/>
  <c r="J675" i="38"/>
  <c r="C672" i="38"/>
  <c r="E674" i="38"/>
  <c r="D670" i="38"/>
  <c r="E669" i="38"/>
  <c r="D675" i="38"/>
  <c r="K136" i="57"/>
  <c r="K82" i="57"/>
  <c r="K135" i="57"/>
  <c r="K137" i="57"/>
  <c r="K134" i="57"/>
  <c r="K133" i="57"/>
  <c r="L166" i="40" l="1"/>
  <c r="L167" i="4"/>
  <c r="M161" i="4"/>
  <c r="M131" i="40"/>
  <c r="C146" i="6"/>
  <c r="C145" i="6"/>
  <c r="C142" i="6"/>
  <c r="K146" i="6"/>
  <c r="J139" i="6"/>
  <c r="F146" i="6"/>
  <c r="C143" i="6"/>
  <c r="K140" i="6"/>
  <c r="I139" i="6"/>
  <c r="G142" i="6"/>
  <c r="D144" i="6"/>
  <c r="H145" i="6"/>
  <c r="E145" i="6"/>
  <c r="L143" i="6"/>
  <c r="F145" i="6"/>
  <c r="J146" i="6"/>
  <c r="J142" i="6"/>
  <c r="H143" i="6"/>
  <c r="C141" i="6"/>
  <c r="H142" i="6"/>
  <c r="K145" i="6"/>
  <c r="I142" i="6"/>
  <c r="F139" i="6"/>
  <c r="D146" i="6"/>
  <c r="D140" i="6"/>
  <c r="G139" i="6"/>
  <c r="E143" i="6"/>
  <c r="H139" i="6"/>
  <c r="J141" i="6"/>
  <c r="F144" i="6"/>
  <c r="D145" i="6"/>
  <c r="K143" i="6"/>
  <c r="D139" i="6"/>
  <c r="J143" i="6"/>
  <c r="G144" i="6"/>
  <c r="I143" i="6"/>
  <c r="L146" i="6"/>
  <c r="E139" i="6"/>
  <c r="C140" i="6"/>
  <c r="D143" i="6"/>
  <c r="H141" i="6"/>
  <c r="E142" i="6"/>
  <c r="F143" i="6"/>
  <c r="J145" i="6"/>
  <c r="K142" i="6"/>
  <c r="I140" i="6"/>
  <c r="C139" i="6"/>
  <c r="D142" i="6"/>
  <c r="G140" i="6"/>
  <c r="L142" i="6"/>
  <c r="I146" i="6"/>
  <c r="L145" i="6"/>
  <c r="L144" i="6"/>
  <c r="F141" i="6"/>
  <c r="H146" i="6"/>
  <c r="J140" i="6"/>
  <c r="G145" i="6"/>
  <c r="G143" i="6"/>
  <c r="E141" i="6"/>
  <c r="D141" i="6"/>
  <c r="K139" i="6"/>
  <c r="E146" i="6"/>
  <c r="L141" i="6"/>
  <c r="I141" i="6"/>
  <c r="K141" i="6"/>
  <c r="F142" i="6"/>
  <c r="I145" i="6"/>
  <c r="F140" i="6"/>
  <c r="I144" i="6"/>
  <c r="E140" i="6"/>
  <c r="K144" i="6"/>
  <c r="J144" i="6"/>
  <c r="G146" i="6"/>
  <c r="H140" i="6"/>
  <c r="C144" i="6"/>
  <c r="E144" i="6"/>
  <c r="H144" i="6"/>
  <c r="G141" i="6"/>
  <c r="L140" i="6"/>
  <c r="L139" i="6"/>
  <c r="K169" i="40"/>
  <c r="K202" i="4"/>
  <c r="B677" i="38" a="1"/>
  <c r="J675" i="8"/>
  <c r="J675" i="39" s="1"/>
  <c r="E670" i="8"/>
  <c r="E670" i="39" s="1"/>
  <c r="B672" i="8"/>
  <c r="B672" i="39" s="1"/>
  <c r="F673" i="8"/>
  <c r="F673" i="39" s="1"/>
  <c r="B668" i="8"/>
  <c r="D673" i="8"/>
  <c r="D673" i="39" s="1"/>
  <c r="K671" i="8"/>
  <c r="K671" i="39" s="1"/>
  <c r="K672" i="8"/>
  <c r="K672" i="39" s="1"/>
  <c r="J670" i="8"/>
  <c r="J670" i="39" s="1"/>
  <c r="F671" i="8"/>
  <c r="F671" i="39" s="1"/>
  <c r="J672" i="8"/>
  <c r="J672" i="39" s="1"/>
  <c r="J669" i="8"/>
  <c r="J669" i="39" s="1"/>
  <c r="D671" i="8"/>
  <c r="D671" i="39" s="1"/>
  <c r="I672" i="8"/>
  <c r="I672" i="39" s="1"/>
  <c r="G673" i="8"/>
  <c r="G673" i="39" s="1"/>
  <c r="J674" i="8"/>
  <c r="J674" i="39" s="1"/>
  <c r="D668" i="8"/>
  <c r="D668" i="39" s="1"/>
  <c r="F672" i="8"/>
  <c r="F672" i="39" s="1"/>
  <c r="B674" i="8"/>
  <c r="B674" i="39" s="1"/>
  <c r="C671" i="8"/>
  <c r="C671" i="39" s="1"/>
  <c r="K669" i="8"/>
  <c r="K669" i="39" s="1"/>
  <c r="D674" i="8"/>
  <c r="D674" i="39" s="1"/>
  <c r="K674" i="8"/>
  <c r="K674" i="39" s="1"/>
  <c r="F675" i="8"/>
  <c r="F675" i="39" s="1"/>
  <c r="E671" i="8"/>
  <c r="E671" i="39" s="1"/>
  <c r="I673" i="8"/>
  <c r="I673" i="39" s="1"/>
  <c r="C674" i="8"/>
  <c r="C674" i="39" s="1"/>
  <c r="K670" i="8"/>
  <c r="K670" i="39" s="1"/>
  <c r="D675" i="8"/>
  <c r="D675" i="39" s="1"/>
  <c r="B671" i="8"/>
  <c r="B671" i="39" s="1"/>
  <c r="C672" i="8"/>
  <c r="C672" i="39" s="1"/>
  <c r="B669" i="8"/>
  <c r="B669" i="39" s="1"/>
  <c r="I675" i="8"/>
  <c r="I675" i="39" s="1"/>
  <c r="D669" i="8"/>
  <c r="D669" i="39" s="1"/>
  <c r="H674" i="8"/>
  <c r="H674" i="39" s="1"/>
  <c r="B673" i="8"/>
  <c r="B673" i="39" s="1"/>
  <c r="I668" i="8"/>
  <c r="I668" i="39" s="1"/>
  <c r="I674" i="8"/>
  <c r="I674" i="39" s="1"/>
  <c r="H672" i="8"/>
  <c r="H672" i="39" s="1"/>
  <c r="H675" i="8"/>
  <c r="H675" i="39" s="1"/>
  <c r="H669" i="8"/>
  <c r="H669" i="39" s="1"/>
  <c r="E674" i="8"/>
  <c r="E674" i="39" s="1"/>
  <c r="K673" i="8"/>
  <c r="K673" i="39" s="1"/>
  <c r="H670" i="8"/>
  <c r="H670" i="39" s="1"/>
  <c r="E675" i="8"/>
  <c r="E675" i="39" s="1"/>
  <c r="D670" i="8"/>
  <c r="D670" i="39" s="1"/>
  <c r="H673" i="8"/>
  <c r="H673" i="39" s="1"/>
  <c r="B670" i="8"/>
  <c r="B670" i="39" s="1"/>
  <c r="I670" i="8"/>
  <c r="I670" i="39" s="1"/>
  <c r="G671" i="8"/>
  <c r="G671" i="39" s="1"/>
  <c r="K668" i="8"/>
  <c r="K668" i="39" s="1"/>
  <c r="C673" i="8"/>
  <c r="C673" i="39" s="1"/>
  <c r="C675" i="8"/>
  <c r="C675" i="39" s="1"/>
  <c r="E669" i="8"/>
  <c r="E669" i="39" s="1"/>
  <c r="C670" i="8"/>
  <c r="C670" i="39" s="1"/>
  <c r="G670" i="8"/>
  <c r="G670" i="39" s="1"/>
  <c r="J673" i="8"/>
  <c r="J673" i="39" s="1"/>
  <c r="H671" i="8"/>
  <c r="H671" i="39" s="1"/>
  <c r="K675" i="8"/>
  <c r="K675" i="39" s="1"/>
  <c r="F670" i="8"/>
  <c r="F670" i="39" s="1"/>
  <c r="E673" i="8"/>
  <c r="E673" i="39" s="1"/>
  <c r="B675" i="8"/>
  <c r="B675" i="39" s="1"/>
  <c r="E672" i="8"/>
  <c r="E672" i="39" s="1"/>
  <c r="J668" i="8"/>
  <c r="J668" i="39" s="1"/>
  <c r="F674" i="8"/>
  <c r="F674" i="39" s="1"/>
  <c r="G668" i="8"/>
  <c r="G668" i="39" s="1"/>
  <c r="D672" i="8"/>
  <c r="D672" i="39" s="1"/>
  <c r="H668" i="8"/>
  <c r="H668" i="39" s="1"/>
  <c r="I671" i="8"/>
  <c r="I671" i="39" s="1"/>
  <c r="G674" i="8"/>
  <c r="G674" i="39" s="1"/>
  <c r="G672" i="8"/>
  <c r="G672" i="39" s="1"/>
  <c r="C668" i="8"/>
  <c r="C668" i="39" s="1"/>
  <c r="C669" i="8"/>
  <c r="C669" i="39" s="1"/>
  <c r="I669" i="8"/>
  <c r="I669" i="39" s="1"/>
  <c r="E668" i="8"/>
  <c r="E668" i="39" s="1"/>
  <c r="G675" i="8"/>
  <c r="G675" i="39" s="1"/>
  <c r="J671" i="8"/>
  <c r="J671" i="39" s="1"/>
  <c r="G669" i="8"/>
  <c r="G669" i="39" s="1"/>
  <c r="F668" i="8"/>
  <c r="F668" i="39" s="1"/>
  <c r="F669" i="8"/>
  <c r="F669" i="39" s="1"/>
  <c r="L162" i="40"/>
  <c r="M164" i="4"/>
  <c r="I166" i="30"/>
  <c r="I175" i="30" s="1"/>
  <c r="L169" i="30"/>
  <c r="L178" i="30" s="1"/>
  <c r="H173" i="30"/>
  <c r="H182" i="30" s="1"/>
  <c r="K173" i="30"/>
  <c r="K182" i="30" s="1"/>
  <c r="K172" i="30"/>
  <c r="K181" i="30" s="1"/>
  <c r="E170" i="30"/>
  <c r="E179" i="30" s="1"/>
  <c r="C171" i="30"/>
  <c r="C180" i="30" s="1"/>
  <c r="I171" i="30"/>
  <c r="I180" i="30" s="1"/>
  <c r="K167" i="30"/>
  <c r="K176" i="30" s="1"/>
  <c r="H172" i="30"/>
  <c r="H181" i="30" s="1"/>
  <c r="F169" i="30"/>
  <c r="F178" i="30" s="1"/>
  <c r="F167" i="30"/>
  <c r="F176" i="30" s="1"/>
  <c r="G172" i="30"/>
  <c r="G181" i="30" s="1"/>
  <c r="H167" i="30"/>
  <c r="H176" i="30" s="1"/>
  <c r="G169" i="30"/>
  <c r="G178" i="30" s="1"/>
  <c r="D168" i="30"/>
  <c r="D177" i="30" s="1"/>
  <c r="G173" i="30"/>
  <c r="G182" i="30" s="1"/>
  <c r="F166" i="30"/>
  <c r="F175" i="30" s="1"/>
  <c r="H171" i="30"/>
  <c r="H180" i="30" s="1"/>
  <c r="I170" i="30"/>
  <c r="I179" i="30" s="1"/>
  <c r="C172" i="30"/>
  <c r="C181" i="30" s="1"/>
  <c r="G171" i="30"/>
  <c r="G180" i="30" s="1"/>
  <c r="F168" i="30"/>
  <c r="F177" i="30" s="1"/>
  <c r="F172" i="30"/>
  <c r="F181" i="30" s="1"/>
  <c r="G168" i="30"/>
  <c r="G177" i="30" s="1"/>
  <c r="C170" i="30"/>
  <c r="C179" i="30" s="1"/>
  <c r="D169" i="30"/>
  <c r="D178" i="30" s="1"/>
  <c r="D170" i="30"/>
  <c r="D179" i="30" s="1"/>
  <c r="C168" i="30"/>
  <c r="C177" i="30" s="1"/>
  <c r="J169" i="30"/>
  <c r="J178" i="30" s="1"/>
  <c r="J173" i="30"/>
  <c r="J182" i="30" s="1"/>
  <c r="L172" i="30"/>
  <c r="L181" i="30" s="1"/>
  <c r="K171" i="30"/>
  <c r="K180" i="30" s="1"/>
  <c r="L168" i="30"/>
  <c r="L177" i="30" s="1"/>
  <c r="J168" i="30"/>
  <c r="J177" i="30" s="1"/>
  <c r="C173" i="30"/>
  <c r="C182" i="30" s="1"/>
  <c r="J171" i="30"/>
  <c r="J180" i="30" s="1"/>
  <c r="L170" i="30"/>
  <c r="L179" i="30" s="1"/>
  <c r="K166" i="30"/>
  <c r="K175" i="30" s="1"/>
  <c r="L171" i="30"/>
  <c r="L180" i="30" s="1"/>
  <c r="H170" i="30"/>
  <c r="H179" i="30" s="1"/>
  <c r="E172" i="30"/>
  <c r="E181" i="30" s="1"/>
  <c r="I168" i="30"/>
  <c r="I177" i="30" s="1"/>
  <c r="F170" i="30"/>
  <c r="F179" i="30" s="1"/>
  <c r="F171" i="30"/>
  <c r="F180" i="30" s="1"/>
  <c r="I167" i="30"/>
  <c r="I176" i="30" s="1"/>
  <c r="G167" i="30"/>
  <c r="G176" i="30" s="1"/>
  <c r="L173" i="30"/>
  <c r="L182" i="30" s="1"/>
  <c r="L166" i="30"/>
  <c r="L175" i="30" s="1"/>
  <c r="E171" i="30"/>
  <c r="E180" i="30" s="1"/>
  <c r="E167" i="30"/>
  <c r="E176" i="30" s="1"/>
  <c r="F173" i="30"/>
  <c r="F182" i="30" s="1"/>
  <c r="I169" i="30"/>
  <c r="I178" i="30" s="1"/>
  <c r="C169" i="30"/>
  <c r="C178" i="30" s="1"/>
  <c r="E169" i="30"/>
  <c r="E178" i="30" s="1"/>
  <c r="I173" i="30"/>
  <c r="I182" i="30" s="1"/>
  <c r="J170" i="30"/>
  <c r="J179" i="30" s="1"/>
  <c r="D173" i="30"/>
  <c r="D182" i="30" s="1"/>
  <c r="K168" i="30"/>
  <c r="K177" i="30" s="1"/>
  <c r="D166" i="30"/>
  <c r="D175" i="30" s="1"/>
  <c r="D167" i="30"/>
  <c r="D176" i="30" s="1"/>
  <c r="H168" i="30"/>
  <c r="H177" i="30" s="1"/>
  <c r="L167" i="30"/>
  <c r="L176" i="30" s="1"/>
  <c r="J166" i="30"/>
  <c r="J175" i="30" s="1"/>
  <c r="E173" i="30"/>
  <c r="E182" i="30" s="1"/>
  <c r="E166" i="30"/>
  <c r="E175" i="30" s="1"/>
  <c r="H166" i="30"/>
  <c r="H175" i="30" s="1"/>
  <c r="D171" i="30"/>
  <c r="D180" i="30" s="1"/>
  <c r="I172" i="30"/>
  <c r="I181" i="30" s="1"/>
  <c r="J167" i="30"/>
  <c r="J176" i="30" s="1"/>
  <c r="K170" i="30"/>
  <c r="K179" i="30" s="1"/>
  <c r="C166" i="30"/>
  <c r="C175" i="30" s="1"/>
  <c r="H169" i="30"/>
  <c r="H178" i="30" s="1"/>
  <c r="J172" i="30"/>
  <c r="J181" i="30" s="1"/>
  <c r="E168" i="30"/>
  <c r="E177" i="30" s="1"/>
  <c r="C167" i="30"/>
  <c r="C176" i="30" s="1"/>
  <c r="D172" i="30"/>
  <c r="D181" i="30" s="1"/>
  <c r="G166" i="30"/>
  <c r="G175" i="30" s="1"/>
  <c r="G170" i="30"/>
  <c r="G179" i="30" s="1"/>
  <c r="K169" i="30"/>
  <c r="K178" i="30" s="1"/>
  <c r="K150" i="57"/>
  <c r="K153" i="57"/>
  <c r="K154" i="57"/>
  <c r="K152" i="57"/>
  <c r="K151" i="57"/>
  <c r="K81" i="57"/>
  <c r="J83" i="57"/>
  <c r="L68" i="57"/>
  <c r="L170" i="4" l="1"/>
  <c r="L170" i="40" s="1"/>
  <c r="L169" i="4"/>
  <c r="L202" i="4" s="1"/>
  <c r="L167" i="40"/>
  <c r="Q178" i="30"/>
  <c r="C187" i="30"/>
  <c r="X178" i="30"/>
  <c r="J187" i="30"/>
  <c r="R181" i="30"/>
  <c r="D190" i="30"/>
  <c r="W178" i="30"/>
  <c r="I187" i="30"/>
  <c r="Q177" i="30"/>
  <c r="C186" i="30"/>
  <c r="Y181" i="30"/>
  <c r="K190" i="30"/>
  <c r="H140" i="34"/>
  <c r="H158" i="6"/>
  <c r="H158" i="34" s="1"/>
  <c r="F142" i="34"/>
  <c r="F160" i="6"/>
  <c r="F160" i="34" s="1"/>
  <c r="G143" i="34"/>
  <c r="G161" i="6"/>
  <c r="G161" i="34" s="1"/>
  <c r="L142" i="34"/>
  <c r="L160" i="6"/>
  <c r="L160" i="34" s="1"/>
  <c r="E142" i="34"/>
  <c r="E160" i="6"/>
  <c r="E160" i="34" s="1"/>
  <c r="J143" i="34"/>
  <c r="J161" i="6"/>
  <c r="J161" i="34" s="1"/>
  <c r="G139" i="34"/>
  <c r="G157" i="6"/>
  <c r="G157" i="34" s="1"/>
  <c r="H143" i="34"/>
  <c r="H161" i="6"/>
  <c r="H161" i="34" s="1"/>
  <c r="G142" i="34"/>
  <c r="G160" i="6"/>
  <c r="G160" i="34" s="1"/>
  <c r="C145" i="34"/>
  <c r="C163" i="6"/>
  <c r="C163" i="34" s="1"/>
  <c r="R180" i="30"/>
  <c r="D189" i="30"/>
  <c r="T179" i="30"/>
  <c r="F188" i="30"/>
  <c r="Q182" i="30"/>
  <c r="C191" i="30"/>
  <c r="R179" i="30"/>
  <c r="D188" i="30"/>
  <c r="W179" i="30"/>
  <c r="I188" i="30"/>
  <c r="T176" i="30"/>
  <c r="F185" i="30"/>
  <c r="Y182" i="30"/>
  <c r="K191" i="30"/>
  <c r="G146" i="34"/>
  <c r="G164" i="6"/>
  <c r="G164" i="34" s="1"/>
  <c r="K141" i="34"/>
  <c r="K159" i="6"/>
  <c r="K159" i="34" s="1"/>
  <c r="G145" i="34"/>
  <c r="G163" i="6"/>
  <c r="G163" i="34" s="1"/>
  <c r="G140" i="34"/>
  <c r="G158" i="6"/>
  <c r="G158" i="34" s="1"/>
  <c r="H141" i="34"/>
  <c r="H159" i="6"/>
  <c r="H159" i="34" s="1"/>
  <c r="D139" i="34"/>
  <c r="D157" i="6"/>
  <c r="D157" i="34" s="1"/>
  <c r="D140" i="34"/>
  <c r="D158" i="6"/>
  <c r="D158" i="34" s="1"/>
  <c r="J142" i="34"/>
  <c r="J160" i="6"/>
  <c r="J160" i="34" s="1"/>
  <c r="I139" i="34"/>
  <c r="I157" i="6"/>
  <c r="I157" i="34" s="1"/>
  <c r="C146" i="34"/>
  <c r="C164" i="6"/>
  <c r="C164" i="34" s="1"/>
  <c r="S177" i="30"/>
  <c r="E186" i="30"/>
  <c r="V175" i="30"/>
  <c r="H184" i="30"/>
  <c r="Y177" i="30"/>
  <c r="K186" i="30"/>
  <c r="S176" i="30"/>
  <c r="E185" i="30"/>
  <c r="W177" i="30"/>
  <c r="I186" i="30"/>
  <c r="X177" i="30"/>
  <c r="J186" i="30"/>
  <c r="R178" i="30"/>
  <c r="D187" i="30"/>
  <c r="V180" i="30"/>
  <c r="H189" i="30"/>
  <c r="T178" i="30"/>
  <c r="F187" i="30"/>
  <c r="V182" i="30"/>
  <c r="H191" i="30"/>
  <c r="B677" i="8" a="1"/>
  <c r="B668" i="39"/>
  <c r="L139" i="34"/>
  <c r="L157" i="6"/>
  <c r="L157" i="34" s="1"/>
  <c r="J144" i="34"/>
  <c r="J162" i="6"/>
  <c r="J162" i="34" s="1"/>
  <c r="I141" i="34"/>
  <c r="I159" i="6"/>
  <c r="I159" i="34" s="1"/>
  <c r="J140" i="34"/>
  <c r="J158" i="6"/>
  <c r="J158" i="34" s="1"/>
  <c r="D142" i="34"/>
  <c r="D160" i="6"/>
  <c r="D160" i="34" s="1"/>
  <c r="D143" i="34"/>
  <c r="D161" i="6"/>
  <c r="D161" i="34" s="1"/>
  <c r="K143" i="34"/>
  <c r="K161" i="6"/>
  <c r="K161" i="34" s="1"/>
  <c r="D146" i="34"/>
  <c r="D164" i="6"/>
  <c r="D164" i="34" s="1"/>
  <c r="J146" i="34"/>
  <c r="J164" i="6"/>
  <c r="J164" i="34" s="1"/>
  <c r="K140" i="34"/>
  <c r="K158" i="6"/>
  <c r="K158" i="34" s="1"/>
  <c r="V177" i="30"/>
  <c r="H186" i="30"/>
  <c r="U180" i="30"/>
  <c r="G189" i="30"/>
  <c r="T180" i="30"/>
  <c r="F189" i="30"/>
  <c r="Q181" i="30"/>
  <c r="C190" i="30"/>
  <c r="R175" i="30"/>
  <c r="D184" i="30"/>
  <c r="S180" i="30"/>
  <c r="E189" i="30"/>
  <c r="Q179" i="30"/>
  <c r="C188" i="30"/>
  <c r="V178" i="30"/>
  <c r="H187" i="30"/>
  <c r="Z175" i="30"/>
  <c r="L184" i="30"/>
  <c r="V179" i="30"/>
  <c r="H188" i="30"/>
  <c r="Y180" i="30"/>
  <c r="K189" i="30"/>
  <c r="U177" i="30"/>
  <c r="G186" i="30"/>
  <c r="U182" i="30"/>
  <c r="G191" i="30"/>
  <c r="Y176" i="30"/>
  <c r="K185" i="30"/>
  <c r="W175" i="30"/>
  <c r="I184" i="30"/>
  <c r="G141" i="34"/>
  <c r="G159" i="6"/>
  <c r="G159" i="34" s="1"/>
  <c r="E140" i="34"/>
  <c r="E158" i="6"/>
  <c r="E158" i="34" s="1"/>
  <c r="E146" i="34"/>
  <c r="E164" i="6"/>
  <c r="E164" i="34" s="1"/>
  <c r="F141" i="34"/>
  <c r="F159" i="6"/>
  <c r="F159" i="34" s="1"/>
  <c r="I140" i="34"/>
  <c r="I158" i="6"/>
  <c r="I158" i="34" s="1"/>
  <c r="E139" i="34"/>
  <c r="E157" i="6"/>
  <c r="E157" i="34" s="1"/>
  <c r="F144" i="34"/>
  <c r="F162" i="6"/>
  <c r="F162" i="34" s="1"/>
  <c r="I142" i="34"/>
  <c r="I160" i="6"/>
  <c r="I160" i="34" s="1"/>
  <c r="L143" i="34"/>
  <c r="L161" i="6"/>
  <c r="L161" i="34" s="1"/>
  <c r="F146" i="34"/>
  <c r="F164" i="6"/>
  <c r="F164" i="34" s="1"/>
  <c r="X176" i="30"/>
  <c r="J185" i="30"/>
  <c r="Z179" i="30"/>
  <c r="L188" i="30"/>
  <c r="S179" i="30"/>
  <c r="E188" i="30"/>
  <c r="W181" i="30"/>
  <c r="I190" i="30"/>
  <c r="X180" i="30"/>
  <c r="J189" i="30"/>
  <c r="U181" i="30"/>
  <c r="G190" i="30"/>
  <c r="Q176" i="30"/>
  <c r="C185" i="30"/>
  <c r="T182" i="30"/>
  <c r="F191" i="30"/>
  <c r="S175" i="30"/>
  <c r="E184" i="30"/>
  <c r="S181" i="30"/>
  <c r="E190" i="30"/>
  <c r="T175" i="30"/>
  <c r="F184" i="30"/>
  <c r="Z178" i="30"/>
  <c r="L187" i="30"/>
  <c r="L140" i="34"/>
  <c r="L158" i="6"/>
  <c r="L158" i="34" s="1"/>
  <c r="K144" i="34"/>
  <c r="K162" i="6"/>
  <c r="K162" i="34" s="1"/>
  <c r="L141" i="34"/>
  <c r="L159" i="6"/>
  <c r="L159" i="34" s="1"/>
  <c r="H146" i="34"/>
  <c r="H164" i="6"/>
  <c r="H164" i="34" s="1"/>
  <c r="C139" i="34"/>
  <c r="C157" i="6"/>
  <c r="C140" i="34"/>
  <c r="C158" i="6"/>
  <c r="C158" i="34" s="1"/>
  <c r="D145" i="34"/>
  <c r="D163" i="6"/>
  <c r="D163" i="34" s="1"/>
  <c r="F139" i="34"/>
  <c r="F157" i="6"/>
  <c r="F157" i="34" s="1"/>
  <c r="F145" i="34"/>
  <c r="F163" i="6"/>
  <c r="F163" i="34" s="1"/>
  <c r="C143" i="34"/>
  <c r="C161" i="6"/>
  <c r="C161" i="34" s="1"/>
  <c r="S182" i="30"/>
  <c r="E191" i="30"/>
  <c r="X179" i="30"/>
  <c r="J188" i="30"/>
  <c r="Y178" i="30"/>
  <c r="K187" i="30"/>
  <c r="Q175" i="30"/>
  <c r="C184" i="30"/>
  <c r="X175" i="30"/>
  <c r="J184" i="30"/>
  <c r="W182" i="30"/>
  <c r="I191" i="30"/>
  <c r="Z182" i="30"/>
  <c r="L191" i="30"/>
  <c r="Z180" i="30"/>
  <c r="L189" i="30"/>
  <c r="Z181" i="30"/>
  <c r="L190" i="30"/>
  <c r="T181" i="30"/>
  <c r="F190" i="30"/>
  <c r="R177" i="30"/>
  <c r="D186" i="30"/>
  <c r="W180" i="30"/>
  <c r="I189" i="30"/>
  <c r="M164" i="40"/>
  <c r="M201" i="4"/>
  <c r="M166" i="4"/>
  <c r="H144" i="34"/>
  <c r="H162" i="6"/>
  <c r="H162" i="34" s="1"/>
  <c r="I144" i="34"/>
  <c r="I162" i="6"/>
  <c r="I162" i="34" s="1"/>
  <c r="K139" i="34"/>
  <c r="K157" i="6"/>
  <c r="K157" i="34" s="1"/>
  <c r="L144" i="34"/>
  <c r="L162" i="6"/>
  <c r="L162" i="34" s="1"/>
  <c r="K142" i="34"/>
  <c r="K160" i="6"/>
  <c r="K160" i="34" s="1"/>
  <c r="L146" i="34"/>
  <c r="L164" i="6"/>
  <c r="L164" i="34" s="1"/>
  <c r="J141" i="34"/>
  <c r="J159" i="6"/>
  <c r="J159" i="34" s="1"/>
  <c r="K145" i="34"/>
  <c r="K163" i="6"/>
  <c r="K163" i="34" s="1"/>
  <c r="E145" i="34"/>
  <c r="E163" i="6"/>
  <c r="E163" i="34" s="1"/>
  <c r="J139" i="34"/>
  <c r="J157" i="6"/>
  <c r="J157" i="34" s="1"/>
  <c r="U175" i="30"/>
  <c r="G184" i="30"/>
  <c r="W176" i="30"/>
  <c r="I185" i="30"/>
  <c r="V176" i="30"/>
  <c r="H185" i="30"/>
  <c r="E677" i="38"/>
  <c r="F679" i="38"/>
  <c r="J681" i="38"/>
  <c r="C680" i="38"/>
  <c r="C677" i="38"/>
  <c r="E682" i="38"/>
  <c r="K681" i="38"/>
  <c r="E679" i="38"/>
  <c r="F681" i="38"/>
  <c r="I677" i="38"/>
  <c r="D684" i="38"/>
  <c r="K677" i="38"/>
  <c r="C681" i="38"/>
  <c r="D678" i="38"/>
  <c r="H681" i="38"/>
  <c r="G678" i="38"/>
  <c r="H679" i="38"/>
  <c r="I682" i="38"/>
  <c r="D679" i="38"/>
  <c r="B684" i="38"/>
  <c r="J677" i="38"/>
  <c r="B682" i="38"/>
  <c r="K678" i="38"/>
  <c r="H684" i="38"/>
  <c r="B681" i="38"/>
  <c r="G677" i="38"/>
  <c r="D681" i="38"/>
  <c r="F682" i="38"/>
  <c r="K684" i="38"/>
  <c r="C678" i="38"/>
  <c r="I680" i="38"/>
  <c r="J682" i="38"/>
  <c r="B683" i="38"/>
  <c r="G683" i="38"/>
  <c r="G684" i="38"/>
  <c r="D683" i="38"/>
  <c r="D677" i="38"/>
  <c r="J679" i="38"/>
  <c r="K680" i="38"/>
  <c r="H682" i="38"/>
  <c r="C683" i="38"/>
  <c r="I679" i="38"/>
  <c r="G681" i="38"/>
  <c r="B680" i="38"/>
  <c r="E683" i="38"/>
  <c r="I684" i="38"/>
  <c r="H683" i="38"/>
  <c r="B679" i="38"/>
  <c r="B677" i="38"/>
  <c r="K683" i="38"/>
  <c r="D680" i="38"/>
  <c r="J683" i="38"/>
  <c r="G682" i="38"/>
  <c r="G680" i="38"/>
  <c r="F680" i="38"/>
  <c r="I683" i="38"/>
  <c r="F684" i="38"/>
  <c r="C684" i="38"/>
  <c r="H680" i="38"/>
  <c r="E678" i="38"/>
  <c r="C682" i="38"/>
  <c r="J684" i="38"/>
  <c r="K679" i="38"/>
  <c r="F677" i="38"/>
  <c r="E684" i="38"/>
  <c r="I681" i="38"/>
  <c r="F683" i="38"/>
  <c r="C679" i="38"/>
  <c r="G679" i="38"/>
  <c r="E681" i="38"/>
  <c r="H677" i="38"/>
  <c r="K682" i="38"/>
  <c r="J680" i="38"/>
  <c r="B678" i="38"/>
  <c r="F678" i="38"/>
  <c r="I678" i="38"/>
  <c r="E680" i="38"/>
  <c r="J678" i="38"/>
  <c r="H678" i="38"/>
  <c r="D682" i="38"/>
  <c r="C144" i="34"/>
  <c r="C162" i="6"/>
  <c r="C162" i="34" s="1"/>
  <c r="I145" i="34"/>
  <c r="I163" i="6"/>
  <c r="I163" i="34" s="1"/>
  <c r="E141" i="34"/>
  <c r="E159" i="6"/>
  <c r="E159" i="34" s="1"/>
  <c r="I146" i="34"/>
  <c r="I164" i="6"/>
  <c r="I164" i="34" s="1"/>
  <c r="F143" i="34"/>
  <c r="F161" i="6"/>
  <c r="F161" i="34" s="1"/>
  <c r="G144" i="34"/>
  <c r="G162" i="6"/>
  <c r="G162" i="34" s="1"/>
  <c r="E143" i="34"/>
  <c r="E161" i="6"/>
  <c r="E161" i="34" s="1"/>
  <c r="C141" i="34"/>
  <c r="C159" i="6"/>
  <c r="C159" i="34" s="1"/>
  <c r="D144" i="34"/>
  <c r="D162" i="6"/>
  <c r="D162" i="34" s="1"/>
  <c r="C142" i="34"/>
  <c r="C160" i="6"/>
  <c r="C160" i="34" s="1"/>
  <c r="R176" i="30"/>
  <c r="D185" i="30"/>
  <c r="X181" i="30"/>
  <c r="J190" i="30"/>
  <c r="R182" i="30"/>
  <c r="D191" i="30"/>
  <c r="Z177" i="30"/>
  <c r="L186" i="30"/>
  <c r="V181" i="30"/>
  <c r="H190" i="30"/>
  <c r="U179" i="30"/>
  <c r="G188" i="30"/>
  <c r="Y179" i="30"/>
  <c r="K188" i="30"/>
  <c r="Z176" i="30"/>
  <c r="L185" i="30"/>
  <c r="S178" i="30"/>
  <c r="E187" i="30"/>
  <c r="U176" i="30"/>
  <c r="G185" i="30"/>
  <c r="Y175" i="30"/>
  <c r="K184" i="30"/>
  <c r="X182" i="30"/>
  <c r="J191" i="30"/>
  <c r="T177" i="30"/>
  <c r="F186" i="30"/>
  <c r="U178" i="30"/>
  <c r="G187" i="30"/>
  <c r="Q180" i="30"/>
  <c r="C189" i="30"/>
  <c r="E144" i="34"/>
  <c r="E162" i="6"/>
  <c r="E162" i="34" s="1"/>
  <c r="F140" i="34"/>
  <c r="F158" i="6"/>
  <c r="F158" i="34" s="1"/>
  <c r="D141" i="34"/>
  <c r="D159" i="6"/>
  <c r="D159" i="34" s="1"/>
  <c r="L145" i="34"/>
  <c r="L163" i="6"/>
  <c r="L163" i="34" s="1"/>
  <c r="J145" i="34"/>
  <c r="J163" i="6"/>
  <c r="J163" i="34" s="1"/>
  <c r="I143" i="34"/>
  <c r="I161" i="6"/>
  <c r="I161" i="34" s="1"/>
  <c r="H139" i="34"/>
  <c r="H157" i="6"/>
  <c r="H157" i="34" s="1"/>
  <c r="H142" i="34"/>
  <c r="H160" i="6"/>
  <c r="H160" i="34" s="1"/>
  <c r="H145" i="34"/>
  <c r="H163" i="6"/>
  <c r="H163" i="34" s="1"/>
  <c r="K146" i="34"/>
  <c r="K164" i="6"/>
  <c r="K164" i="34" s="1"/>
  <c r="M162" i="4"/>
  <c r="M162" i="40" s="1"/>
  <c r="M221" i="4"/>
  <c r="M221" i="40" s="1"/>
  <c r="M161" i="40"/>
  <c r="H685" i="38"/>
  <c r="F685" i="38"/>
  <c r="I685" i="38"/>
  <c r="G685" i="38"/>
  <c r="C685" i="38"/>
  <c r="J685" i="38"/>
  <c r="D685" i="38"/>
  <c r="K83" i="57"/>
  <c r="E685" i="38"/>
  <c r="B685" i="38"/>
  <c r="L134" i="57"/>
  <c r="L135" i="57"/>
  <c r="L133" i="57"/>
  <c r="L82" i="57"/>
  <c r="L137" i="57"/>
  <c r="L136" i="57"/>
  <c r="K685" i="38"/>
  <c r="L169" i="40" l="1"/>
  <c r="AA180" i="30"/>
  <c r="J197" i="30"/>
  <c r="J242" i="30" s="1"/>
  <c r="E680" i="8"/>
  <c r="E680" i="39" s="1"/>
  <c r="D678" i="8"/>
  <c r="D678" i="39" s="1"/>
  <c r="J683" i="8"/>
  <c r="J683" i="39" s="1"/>
  <c r="F682" i="8"/>
  <c r="F682" i="39" s="1"/>
  <c r="C679" i="8"/>
  <c r="C679" i="39" s="1"/>
  <c r="D677" i="8"/>
  <c r="F684" i="8"/>
  <c r="F684" i="39" s="1"/>
  <c r="K677" i="8"/>
  <c r="G680" i="8"/>
  <c r="G680" i="39" s="1"/>
  <c r="H679" i="8"/>
  <c r="H679" i="39" s="1"/>
  <c r="K683" i="8"/>
  <c r="K683" i="39" s="1"/>
  <c r="E681" i="8"/>
  <c r="E681" i="39" s="1"/>
  <c r="C677" i="8"/>
  <c r="I682" i="8"/>
  <c r="I682" i="39" s="1"/>
  <c r="F679" i="8"/>
  <c r="F679" i="39" s="1"/>
  <c r="J681" i="8"/>
  <c r="J681" i="39" s="1"/>
  <c r="D684" i="8"/>
  <c r="D684" i="39" s="1"/>
  <c r="J680" i="8"/>
  <c r="J680" i="39" s="1"/>
  <c r="E679" i="8"/>
  <c r="E679" i="39" s="1"/>
  <c r="D683" i="8"/>
  <c r="D683" i="39" s="1"/>
  <c r="I677" i="8"/>
  <c r="K678" i="8"/>
  <c r="K678" i="39" s="1"/>
  <c r="F683" i="8"/>
  <c r="F683" i="39" s="1"/>
  <c r="H681" i="8"/>
  <c r="H681" i="39" s="1"/>
  <c r="B677" i="8"/>
  <c r="D682" i="8"/>
  <c r="D682" i="39" s="1"/>
  <c r="D681" i="8"/>
  <c r="D681" i="39" s="1"/>
  <c r="K680" i="8"/>
  <c r="K680" i="39" s="1"/>
  <c r="J678" i="8"/>
  <c r="J678" i="39" s="1"/>
  <c r="G679" i="8"/>
  <c r="G679" i="39" s="1"/>
  <c r="F678" i="8"/>
  <c r="F678" i="39" s="1"/>
  <c r="H678" i="8"/>
  <c r="H678" i="39" s="1"/>
  <c r="K682" i="8"/>
  <c r="K682" i="39" s="1"/>
  <c r="B683" i="8"/>
  <c r="B683" i="39" s="1"/>
  <c r="G684" i="8"/>
  <c r="G684" i="39" s="1"/>
  <c r="C683" i="8"/>
  <c r="C683" i="39" s="1"/>
  <c r="E683" i="8"/>
  <c r="E683" i="39" s="1"/>
  <c r="H684" i="8"/>
  <c r="H684" i="39" s="1"/>
  <c r="G683" i="8"/>
  <c r="G683" i="39" s="1"/>
  <c r="H677" i="8"/>
  <c r="C682" i="8"/>
  <c r="C682" i="39" s="1"/>
  <c r="G677" i="8"/>
  <c r="C678" i="8"/>
  <c r="C678" i="39" s="1"/>
  <c r="G678" i="8"/>
  <c r="G678" i="39" s="1"/>
  <c r="G682" i="8"/>
  <c r="G682" i="39" s="1"/>
  <c r="D679" i="8"/>
  <c r="D679" i="39" s="1"/>
  <c r="H680" i="8"/>
  <c r="H680" i="39" s="1"/>
  <c r="J679" i="8"/>
  <c r="J679" i="39" s="1"/>
  <c r="J682" i="8"/>
  <c r="J682" i="39" s="1"/>
  <c r="I678" i="8"/>
  <c r="I678" i="39" s="1"/>
  <c r="F680" i="8"/>
  <c r="F680" i="39" s="1"/>
  <c r="J677" i="8"/>
  <c r="H683" i="8"/>
  <c r="H683" i="39" s="1"/>
  <c r="G681" i="8"/>
  <c r="G681" i="39" s="1"/>
  <c r="K684" i="8"/>
  <c r="K684" i="39" s="1"/>
  <c r="C680" i="8"/>
  <c r="C680" i="39" s="1"/>
  <c r="C681" i="8"/>
  <c r="C681" i="39" s="1"/>
  <c r="E684" i="8"/>
  <c r="E684" i="39" s="1"/>
  <c r="B680" i="8"/>
  <c r="B680" i="39" s="1"/>
  <c r="I680" i="8"/>
  <c r="I680" i="39" s="1"/>
  <c r="F677" i="8"/>
  <c r="I683" i="8"/>
  <c r="I683" i="39" s="1"/>
  <c r="C684" i="8"/>
  <c r="C684" i="39" s="1"/>
  <c r="E678" i="8"/>
  <c r="E678" i="39" s="1"/>
  <c r="B684" i="8"/>
  <c r="B684" i="39" s="1"/>
  <c r="B681" i="8"/>
  <c r="B681" i="39" s="1"/>
  <c r="I681" i="8"/>
  <c r="I681" i="39" s="1"/>
  <c r="I684" i="8"/>
  <c r="I684" i="39" s="1"/>
  <c r="K681" i="8"/>
  <c r="K681" i="39" s="1"/>
  <c r="F681" i="8"/>
  <c r="F681" i="39" s="1"/>
  <c r="E682" i="8"/>
  <c r="E682" i="39" s="1"/>
  <c r="B678" i="8"/>
  <c r="B678" i="39" s="1"/>
  <c r="D680" i="8"/>
  <c r="D680" i="39" s="1"/>
  <c r="H682" i="8"/>
  <c r="H682" i="39" s="1"/>
  <c r="K679" i="8"/>
  <c r="K679" i="39" s="1"/>
  <c r="B679" i="8"/>
  <c r="B679" i="39" s="1"/>
  <c r="J684" i="8"/>
  <c r="J684" i="39" s="1"/>
  <c r="B682" i="8"/>
  <c r="B682" i="39" s="1"/>
  <c r="I679" i="8"/>
  <c r="I679" i="39" s="1"/>
  <c r="E677" i="8"/>
  <c r="L199" i="30"/>
  <c r="L244" i="30" s="1"/>
  <c r="J193" i="30"/>
  <c r="J238" i="30" s="1"/>
  <c r="E200" i="30"/>
  <c r="E245" i="30" s="1"/>
  <c r="F193" i="30"/>
  <c r="F238" i="30" s="1"/>
  <c r="C194" i="30"/>
  <c r="C239" i="30" s="1"/>
  <c r="E197" i="30"/>
  <c r="E242" i="30" s="1"/>
  <c r="G195" i="30"/>
  <c r="G240" i="30" s="1"/>
  <c r="H196" i="30"/>
  <c r="H241" i="30" s="1"/>
  <c r="C199" i="30"/>
  <c r="C244" i="30" s="1"/>
  <c r="H200" i="30"/>
  <c r="H245" i="30" s="1"/>
  <c r="J195" i="30"/>
  <c r="J240" i="30" s="1"/>
  <c r="H193" i="30"/>
  <c r="H238" i="30" s="1"/>
  <c r="K200" i="30"/>
  <c r="K245" i="30" s="1"/>
  <c r="C200" i="30"/>
  <c r="C245" i="30" s="1"/>
  <c r="D199" i="30"/>
  <c r="D244" i="30" s="1"/>
  <c r="J200" i="30"/>
  <c r="J245" i="30" s="1"/>
  <c r="L194" i="30"/>
  <c r="L239" i="30" s="1"/>
  <c r="L195" i="30"/>
  <c r="L240" i="30" s="1"/>
  <c r="G193" i="30"/>
  <c r="G238" i="30" s="1"/>
  <c r="AA176" i="30"/>
  <c r="AA181" i="30"/>
  <c r="AA182" i="30"/>
  <c r="L196" i="30"/>
  <c r="L241" i="30" s="1"/>
  <c r="I199" i="30"/>
  <c r="I244" i="30" s="1"/>
  <c r="L193" i="30"/>
  <c r="L238" i="30" s="1"/>
  <c r="D197" i="30"/>
  <c r="D242" i="30" s="1"/>
  <c r="F195" i="30"/>
  <c r="F240" i="30" s="1"/>
  <c r="L197" i="30"/>
  <c r="L242" i="30" s="1"/>
  <c r="C197" i="30"/>
  <c r="C242" i="30" s="1"/>
  <c r="AA175" i="30"/>
  <c r="AA179" i="30"/>
  <c r="M166" i="40"/>
  <c r="M167" i="4"/>
  <c r="M168" i="4"/>
  <c r="M168" i="40" s="1"/>
  <c r="I198" i="30"/>
  <c r="I243" i="30" s="1"/>
  <c r="C193" i="30"/>
  <c r="C238" i="30" s="1"/>
  <c r="E199" i="30"/>
  <c r="E244" i="30" s="1"/>
  <c r="I193" i="30"/>
  <c r="I238" i="30" s="1"/>
  <c r="I195" i="30"/>
  <c r="I240" i="30" s="1"/>
  <c r="E195" i="30"/>
  <c r="E240" i="30" s="1"/>
  <c r="F194" i="30"/>
  <c r="F239" i="30" s="1"/>
  <c r="F197" i="30"/>
  <c r="F242" i="30" s="1"/>
  <c r="J196" i="30"/>
  <c r="J241" i="30" s="1"/>
  <c r="K193" i="30"/>
  <c r="K238" i="30" s="1"/>
  <c r="D200" i="30"/>
  <c r="D245" i="30" s="1"/>
  <c r="B687" i="38" a="1"/>
  <c r="D195" i="30"/>
  <c r="D240" i="30" s="1"/>
  <c r="L200" i="30"/>
  <c r="L245" i="30" s="1"/>
  <c r="K196" i="30"/>
  <c r="K241" i="30" s="1"/>
  <c r="I172" i="6"/>
  <c r="H173" i="6"/>
  <c r="L169" i="6"/>
  <c r="J166" i="6"/>
  <c r="I169" i="6"/>
  <c r="F172" i="6"/>
  <c r="L168" i="6"/>
  <c r="D166" i="6"/>
  <c r="L170" i="6"/>
  <c r="E168" i="6"/>
  <c r="C166" i="6"/>
  <c r="I167" i="6"/>
  <c r="I170" i="6"/>
  <c r="J169" i="6"/>
  <c r="J173" i="6"/>
  <c r="K171" i="6"/>
  <c r="H171" i="6"/>
  <c r="C170" i="6"/>
  <c r="J171" i="6"/>
  <c r="C171" i="6"/>
  <c r="C173" i="6"/>
  <c r="D170" i="6"/>
  <c r="J168" i="6"/>
  <c r="E166" i="6"/>
  <c r="G173" i="6"/>
  <c r="C157" i="34"/>
  <c r="K168" i="6"/>
  <c r="C169" i="6"/>
  <c r="I168" i="6"/>
  <c r="H170" i="6"/>
  <c r="F169" i="6"/>
  <c r="L173" i="6"/>
  <c r="K169" i="6"/>
  <c r="K167" i="6"/>
  <c r="F166" i="6"/>
  <c r="L171" i="6"/>
  <c r="K173" i="6"/>
  <c r="D167" i="6"/>
  <c r="E173" i="6"/>
  <c r="H168" i="6"/>
  <c r="F168" i="6"/>
  <c r="G169" i="6"/>
  <c r="E171" i="6"/>
  <c r="G170" i="6"/>
  <c r="K166" i="6"/>
  <c r="E170" i="6"/>
  <c r="D171" i="6"/>
  <c r="J172" i="6"/>
  <c r="C168" i="6"/>
  <c r="H167" i="6"/>
  <c r="L167" i="6"/>
  <c r="G172" i="6"/>
  <c r="D169" i="6"/>
  <c r="K170" i="6"/>
  <c r="D168" i="6"/>
  <c r="J170" i="6"/>
  <c r="F170" i="6"/>
  <c r="K172" i="6"/>
  <c r="E167" i="6"/>
  <c r="H169" i="6"/>
  <c r="I166" i="6"/>
  <c r="F171" i="6"/>
  <c r="F167" i="6"/>
  <c r="F173" i="6"/>
  <c r="H172" i="6"/>
  <c r="I173" i="6"/>
  <c r="E172" i="6"/>
  <c r="L172" i="6"/>
  <c r="H166" i="6"/>
  <c r="D172" i="6"/>
  <c r="G167" i="6"/>
  <c r="C172" i="6"/>
  <c r="C167" i="6"/>
  <c r="G166" i="6"/>
  <c r="L166" i="6"/>
  <c r="J167" i="6"/>
  <c r="G171" i="6"/>
  <c r="D173" i="6"/>
  <c r="E169" i="6"/>
  <c r="I171" i="6"/>
  <c r="G168" i="6"/>
  <c r="E193" i="30"/>
  <c r="E238" i="30" s="1"/>
  <c r="J198" i="30"/>
  <c r="J243" i="30" s="1"/>
  <c r="J194" i="30"/>
  <c r="J239" i="30" s="1"/>
  <c r="K194" i="30"/>
  <c r="K239" i="30" s="1"/>
  <c r="H197" i="30"/>
  <c r="H242" i="30" s="1"/>
  <c r="E198" i="30"/>
  <c r="E243" i="30" s="1"/>
  <c r="G198" i="30"/>
  <c r="G243" i="30" s="1"/>
  <c r="H198" i="30"/>
  <c r="H243" i="30" s="1"/>
  <c r="E194" i="30"/>
  <c r="E239" i="30" s="1"/>
  <c r="I197" i="30"/>
  <c r="I242" i="30" s="1"/>
  <c r="D198" i="30"/>
  <c r="D243" i="30" s="1"/>
  <c r="C195" i="30"/>
  <c r="C240" i="30" s="1"/>
  <c r="C196" i="30"/>
  <c r="C241" i="30" s="1"/>
  <c r="F199" i="30"/>
  <c r="F244" i="30" s="1"/>
  <c r="I200" i="30"/>
  <c r="I245" i="30" s="1"/>
  <c r="F200" i="30"/>
  <c r="F245" i="30" s="1"/>
  <c r="G200" i="30"/>
  <c r="G245" i="30" s="1"/>
  <c r="D193" i="30"/>
  <c r="D238" i="30" s="1"/>
  <c r="H195" i="30"/>
  <c r="H240" i="30" s="1"/>
  <c r="D196" i="30"/>
  <c r="D241" i="30" s="1"/>
  <c r="K195" i="30"/>
  <c r="K240" i="30" s="1"/>
  <c r="I196" i="30"/>
  <c r="I241" i="30" s="1"/>
  <c r="E196" i="30"/>
  <c r="E241" i="30" s="1"/>
  <c r="H199" i="30"/>
  <c r="H244" i="30" s="1"/>
  <c r="D194" i="30"/>
  <c r="D239" i="30" s="1"/>
  <c r="I194" i="30"/>
  <c r="I239" i="30" s="1"/>
  <c r="L198" i="30"/>
  <c r="L243" i="30" s="1"/>
  <c r="G199" i="30"/>
  <c r="G244" i="30" s="1"/>
  <c r="K198" i="30"/>
  <c r="K243" i="30" s="1"/>
  <c r="F198" i="30"/>
  <c r="F243" i="30" s="1"/>
  <c r="F196" i="30"/>
  <c r="F241" i="30" s="1"/>
  <c r="K199" i="30"/>
  <c r="K244" i="30" s="1"/>
  <c r="C198" i="30"/>
  <c r="C243" i="30" s="1"/>
  <c r="K197" i="30"/>
  <c r="K242" i="30" s="1"/>
  <c r="G196" i="30"/>
  <c r="G241" i="30" s="1"/>
  <c r="G194" i="30"/>
  <c r="G239" i="30" s="1"/>
  <c r="G197" i="30"/>
  <c r="G242" i="30" s="1"/>
  <c r="J199" i="30"/>
  <c r="J244" i="30" s="1"/>
  <c r="H194" i="30"/>
  <c r="H239" i="30" s="1"/>
  <c r="AA177" i="30"/>
  <c r="AA178" i="30"/>
  <c r="K685" i="8"/>
  <c r="H685" i="8"/>
  <c r="E685" i="8"/>
  <c r="B685" i="8"/>
  <c r="L152" i="57"/>
  <c r="L81" i="57"/>
  <c r="L154" i="57"/>
  <c r="L151" i="57"/>
  <c r="L150" i="57"/>
  <c r="L153" i="57"/>
  <c r="G685" i="8"/>
  <c r="D685" i="8"/>
  <c r="AA183" i="30"/>
  <c r="J685" i="8"/>
  <c r="C685" i="8"/>
  <c r="I685" i="8"/>
  <c r="F685" i="8"/>
  <c r="F685" i="39" l="1"/>
  <c r="I685" i="39"/>
  <c r="J685" i="39"/>
  <c r="C685" i="39"/>
  <c r="B685" i="39"/>
  <c r="D685" i="39"/>
  <c r="G685" i="39"/>
  <c r="E685" i="39"/>
  <c r="H685" i="39"/>
  <c r="K685" i="39"/>
  <c r="D178" i="6"/>
  <c r="D169" i="34"/>
  <c r="I179" i="6"/>
  <c r="I170" i="34"/>
  <c r="L181" i="6"/>
  <c r="L172" i="34"/>
  <c r="L180" i="6"/>
  <c r="L171" i="34"/>
  <c r="J166" i="34"/>
  <c r="J175" i="6"/>
  <c r="F677" i="39"/>
  <c r="I677" i="39"/>
  <c r="E167" i="34"/>
  <c r="E176" i="6"/>
  <c r="F166" i="34"/>
  <c r="F175" i="6"/>
  <c r="K177" i="6"/>
  <c r="K168" i="34"/>
  <c r="J171" i="34"/>
  <c r="J180" i="6"/>
  <c r="C175" i="6"/>
  <c r="C166" i="34"/>
  <c r="L178" i="6"/>
  <c r="L169" i="34"/>
  <c r="J677" i="39"/>
  <c r="G166" i="34"/>
  <c r="G175" i="6"/>
  <c r="I173" i="34"/>
  <c r="I182" i="6"/>
  <c r="K172" i="34"/>
  <c r="K181" i="6"/>
  <c r="H176" i="6"/>
  <c r="H167" i="34"/>
  <c r="G169" i="34"/>
  <c r="G178" i="6"/>
  <c r="K176" i="6"/>
  <c r="K167" i="34"/>
  <c r="C170" i="34"/>
  <c r="C179" i="6"/>
  <c r="E168" i="34"/>
  <c r="E177" i="6"/>
  <c r="H173" i="34"/>
  <c r="H182" i="6"/>
  <c r="D691" i="38"/>
  <c r="E690" i="38"/>
  <c r="K694" i="38"/>
  <c r="H691" i="38"/>
  <c r="C691" i="38"/>
  <c r="K687" i="38"/>
  <c r="G694" i="38"/>
  <c r="F689" i="38"/>
  <c r="J693" i="38"/>
  <c r="E687" i="38"/>
  <c r="E691" i="38"/>
  <c r="B694" i="38"/>
  <c r="H690" i="38"/>
  <c r="I694" i="38"/>
  <c r="H692" i="38"/>
  <c r="D689" i="38"/>
  <c r="J690" i="38"/>
  <c r="H693" i="38"/>
  <c r="G693" i="38"/>
  <c r="F687" i="38"/>
  <c r="I691" i="38"/>
  <c r="G687" i="38"/>
  <c r="E692" i="38"/>
  <c r="C692" i="38"/>
  <c r="G691" i="38"/>
  <c r="F693" i="38"/>
  <c r="C688" i="38"/>
  <c r="E688" i="38"/>
  <c r="F692" i="38"/>
  <c r="J687" i="38"/>
  <c r="C689" i="38"/>
  <c r="F694" i="38"/>
  <c r="C687" i="38"/>
  <c r="G689" i="38"/>
  <c r="D694" i="38"/>
  <c r="E694" i="38"/>
  <c r="B691" i="38"/>
  <c r="J694" i="38"/>
  <c r="I692" i="38"/>
  <c r="J692" i="38"/>
  <c r="J688" i="38"/>
  <c r="I693" i="38"/>
  <c r="J689" i="38"/>
  <c r="J691" i="38"/>
  <c r="I690" i="38"/>
  <c r="K692" i="38"/>
  <c r="D688" i="38"/>
  <c r="F690" i="38"/>
  <c r="K693" i="38"/>
  <c r="I688" i="38"/>
  <c r="D690" i="38"/>
  <c r="G690" i="38"/>
  <c r="K691" i="38"/>
  <c r="E693" i="38"/>
  <c r="B687" i="38"/>
  <c r="F688" i="38"/>
  <c r="B690" i="38"/>
  <c r="C690" i="38"/>
  <c r="I687" i="38"/>
  <c r="D693" i="38"/>
  <c r="D687" i="38"/>
  <c r="F691" i="38"/>
  <c r="H694" i="38"/>
  <c r="E689" i="38"/>
  <c r="I689" i="38"/>
  <c r="H687" i="38"/>
  <c r="B692" i="38"/>
  <c r="B688" i="38"/>
  <c r="C693" i="38"/>
  <c r="H689" i="38"/>
  <c r="D692" i="38"/>
  <c r="C694" i="38"/>
  <c r="B693" i="38"/>
  <c r="K688" i="38"/>
  <c r="K690" i="38"/>
  <c r="B689" i="38"/>
  <c r="G692" i="38"/>
  <c r="G688" i="38"/>
  <c r="K689" i="38"/>
  <c r="H688" i="38"/>
  <c r="M170" i="4"/>
  <c r="M170" i="40" s="1"/>
  <c r="M169" i="4"/>
  <c r="M167" i="40"/>
  <c r="H175" i="6"/>
  <c r="H166" i="34"/>
  <c r="I177" i="6"/>
  <c r="I168" i="34"/>
  <c r="H169" i="34"/>
  <c r="H178" i="6"/>
  <c r="I167" i="34"/>
  <c r="I176" i="6"/>
  <c r="C677" i="39"/>
  <c r="L167" i="34"/>
  <c r="L176" i="6"/>
  <c r="F179" i="6"/>
  <c r="F170" i="34"/>
  <c r="H171" i="34"/>
  <c r="H180" i="6"/>
  <c r="I180" i="6"/>
  <c r="I171" i="34"/>
  <c r="J170" i="34"/>
  <c r="J179" i="6"/>
  <c r="J172" i="34"/>
  <c r="J181" i="6"/>
  <c r="H168" i="34"/>
  <c r="H177" i="6"/>
  <c r="L173" i="34"/>
  <c r="L182" i="6"/>
  <c r="E166" i="34"/>
  <c r="E175" i="6"/>
  <c r="K171" i="34"/>
  <c r="K180" i="6"/>
  <c r="D175" i="6"/>
  <c r="D166" i="34"/>
  <c r="B687" i="8" a="1"/>
  <c r="B677" i="39"/>
  <c r="I166" i="34"/>
  <c r="I175" i="6"/>
  <c r="K182" i="6"/>
  <c r="K173" i="34"/>
  <c r="I178" i="6"/>
  <c r="I169" i="34"/>
  <c r="D677" i="39"/>
  <c r="G172" i="34"/>
  <c r="G181" i="6"/>
  <c r="C178" i="6"/>
  <c r="C169" i="34"/>
  <c r="L175" i="6"/>
  <c r="L166" i="34"/>
  <c r="E171" i="34"/>
  <c r="E180" i="6"/>
  <c r="C176" i="6"/>
  <c r="C167" i="34"/>
  <c r="C177" i="6"/>
  <c r="C168" i="34"/>
  <c r="K169" i="34"/>
  <c r="K178" i="6"/>
  <c r="L170" i="34"/>
  <c r="L179" i="6"/>
  <c r="G677" i="39"/>
  <c r="F182" i="6"/>
  <c r="F173" i="34"/>
  <c r="E169" i="34"/>
  <c r="E178" i="6"/>
  <c r="G176" i="6"/>
  <c r="G167" i="34"/>
  <c r="F167" i="34"/>
  <c r="F176" i="6"/>
  <c r="D168" i="34"/>
  <c r="D177" i="6"/>
  <c r="D171" i="34"/>
  <c r="D180" i="6"/>
  <c r="E182" i="6"/>
  <c r="E173" i="34"/>
  <c r="F169" i="34"/>
  <c r="F178" i="6"/>
  <c r="J168" i="34"/>
  <c r="J177" i="6"/>
  <c r="J173" i="34"/>
  <c r="J182" i="6"/>
  <c r="L177" i="6"/>
  <c r="L168" i="34"/>
  <c r="E677" i="39"/>
  <c r="H677" i="39"/>
  <c r="K677" i="39"/>
  <c r="G171" i="34"/>
  <c r="G180" i="6"/>
  <c r="K175" i="6"/>
  <c r="K166" i="34"/>
  <c r="C182" i="6"/>
  <c r="C173" i="34"/>
  <c r="J176" i="6"/>
  <c r="J167" i="34"/>
  <c r="G170" i="34"/>
  <c r="G179" i="6"/>
  <c r="C171" i="34"/>
  <c r="C180" i="6"/>
  <c r="E172" i="34"/>
  <c r="E181" i="6"/>
  <c r="G168" i="34"/>
  <c r="G177" i="6"/>
  <c r="H181" i="6"/>
  <c r="H172" i="34"/>
  <c r="F168" i="34"/>
  <c r="F177" i="6"/>
  <c r="G173" i="34"/>
  <c r="G182" i="6"/>
  <c r="I172" i="34"/>
  <c r="I181" i="6"/>
  <c r="C181" i="6"/>
  <c r="C172" i="34"/>
  <c r="D182" i="6"/>
  <c r="D173" i="34"/>
  <c r="D172" i="34"/>
  <c r="D181" i="6"/>
  <c r="F171" i="34"/>
  <c r="F180" i="6"/>
  <c r="K179" i="6"/>
  <c r="K170" i="34"/>
  <c r="E179" i="6"/>
  <c r="E170" i="34"/>
  <c r="D176" i="6"/>
  <c r="D167" i="34"/>
  <c r="H179" i="6"/>
  <c r="H170" i="34"/>
  <c r="D179" i="6"/>
  <c r="D170" i="34"/>
  <c r="J178" i="6"/>
  <c r="J169" i="34"/>
  <c r="F172" i="34"/>
  <c r="F181" i="6"/>
  <c r="D253" i="30"/>
  <c r="D262" i="30" s="1"/>
  <c r="D271" i="30" s="1"/>
  <c r="K252" i="30"/>
  <c r="K261" i="30" s="1"/>
  <c r="K270" i="30" s="1"/>
  <c r="F254" i="30"/>
  <c r="F263" i="30" s="1"/>
  <c r="F272" i="30" s="1"/>
  <c r="F248" i="30"/>
  <c r="F257" i="30" s="1"/>
  <c r="F266" i="30" s="1"/>
  <c r="F252" i="30"/>
  <c r="F261" i="30" s="1"/>
  <c r="F270" i="30" s="1"/>
  <c r="D250" i="30"/>
  <c r="D259" i="30" s="1"/>
  <c r="D268" i="30" s="1"/>
  <c r="I253" i="30"/>
  <c r="I262" i="30" s="1"/>
  <c r="I271" i="30" s="1"/>
  <c r="I252" i="30"/>
  <c r="I261" i="30" s="1"/>
  <c r="I270" i="30" s="1"/>
  <c r="J254" i="30"/>
  <c r="J263" i="30" s="1"/>
  <c r="J272" i="30" s="1"/>
  <c r="I251" i="30"/>
  <c r="I260" i="30" s="1"/>
  <c r="I269" i="30" s="1"/>
  <c r="H250" i="30"/>
  <c r="H259" i="30" s="1"/>
  <c r="H268" i="30" s="1"/>
  <c r="I248" i="30"/>
  <c r="I257" i="30" s="1"/>
  <c r="I266" i="30" s="1"/>
  <c r="K253" i="30"/>
  <c r="K262" i="30" s="1"/>
  <c r="K271" i="30" s="1"/>
  <c r="K249" i="30"/>
  <c r="K258" i="30" s="1"/>
  <c r="K267" i="30" s="1"/>
  <c r="L253" i="30"/>
  <c r="L262" i="30" s="1"/>
  <c r="L271" i="30" s="1"/>
  <c r="G247" i="30"/>
  <c r="G256" i="30" s="1"/>
  <c r="G265" i="30" s="1"/>
  <c r="L251" i="30"/>
  <c r="L260" i="30" s="1"/>
  <c r="L269" i="30" s="1"/>
  <c r="F251" i="30"/>
  <c r="F260" i="30" s="1"/>
  <c r="F269" i="30" s="1"/>
  <c r="H253" i="30"/>
  <c r="H262" i="30" s="1"/>
  <c r="H271" i="30" s="1"/>
  <c r="K254" i="30"/>
  <c r="K263" i="30" s="1"/>
  <c r="K272" i="30" s="1"/>
  <c r="K247" i="30"/>
  <c r="K256" i="30" s="1"/>
  <c r="K265" i="30" s="1"/>
  <c r="F250" i="30"/>
  <c r="F259" i="30" s="1"/>
  <c r="F268" i="30" s="1"/>
  <c r="D251" i="30"/>
  <c r="D260" i="30" s="1"/>
  <c r="D269" i="30" s="1"/>
  <c r="H251" i="30"/>
  <c r="H260" i="30" s="1"/>
  <c r="H269" i="30" s="1"/>
  <c r="G248" i="30"/>
  <c r="G257" i="30" s="1"/>
  <c r="G266" i="30" s="1"/>
  <c r="G254" i="30"/>
  <c r="G263" i="30" s="1"/>
  <c r="G272" i="30" s="1"/>
  <c r="G250" i="30"/>
  <c r="G259" i="30" s="1"/>
  <c r="G268" i="30" s="1"/>
  <c r="I254" i="30"/>
  <c r="I263" i="30" s="1"/>
  <c r="I272" i="30" s="1"/>
  <c r="G251" i="30"/>
  <c r="G260" i="30" s="1"/>
  <c r="G269" i="30" s="1"/>
  <c r="L249" i="30"/>
  <c r="L258" i="30" s="1"/>
  <c r="L267" i="30" s="1"/>
  <c r="J247" i="30"/>
  <c r="J256" i="30" s="1"/>
  <c r="J265" i="30" s="1"/>
  <c r="H254" i="30"/>
  <c r="H263" i="30" s="1"/>
  <c r="H272" i="30" s="1"/>
  <c r="H248" i="30"/>
  <c r="H257" i="30" s="1"/>
  <c r="H266" i="30" s="1"/>
  <c r="C251" i="30"/>
  <c r="C260" i="30" s="1"/>
  <c r="C269" i="30" s="1"/>
  <c r="E248" i="30"/>
  <c r="E257" i="30" s="1"/>
  <c r="E266" i="30" s="1"/>
  <c r="J251" i="30"/>
  <c r="J260" i="30" s="1"/>
  <c r="J269" i="30" s="1"/>
  <c r="G252" i="30"/>
  <c r="G261" i="30" s="1"/>
  <c r="G270" i="30" s="1"/>
  <c r="L254" i="30"/>
  <c r="L263" i="30" s="1"/>
  <c r="L272" i="30" s="1"/>
  <c r="C249" i="30"/>
  <c r="C258" i="30" s="1"/>
  <c r="C267" i="30" s="1"/>
  <c r="J253" i="30"/>
  <c r="J262" i="30" s="1"/>
  <c r="J271" i="30" s="1"/>
  <c r="J250" i="30"/>
  <c r="J259" i="30" s="1"/>
  <c r="J268" i="30" s="1"/>
  <c r="I250" i="30"/>
  <c r="I259" i="30" s="1"/>
  <c r="I268" i="30" s="1"/>
  <c r="G249" i="30"/>
  <c r="G258" i="30" s="1"/>
  <c r="G267" i="30" s="1"/>
  <c r="E253" i="30"/>
  <c r="E262" i="30" s="1"/>
  <c r="E271" i="30" s="1"/>
  <c r="L250" i="30"/>
  <c r="L259" i="30" s="1"/>
  <c r="L268" i="30" s="1"/>
  <c r="I249" i="30"/>
  <c r="I258" i="30" s="1"/>
  <c r="I267" i="30" s="1"/>
  <c r="H247" i="30"/>
  <c r="H256" i="30" s="1"/>
  <c r="H265" i="30" s="1"/>
  <c r="D249" i="30"/>
  <c r="D258" i="30" s="1"/>
  <c r="D267" i="30" s="1"/>
  <c r="E247" i="30"/>
  <c r="E256" i="30" s="1"/>
  <c r="E265" i="30" s="1"/>
  <c r="I247" i="30"/>
  <c r="I256" i="30" s="1"/>
  <c r="I265" i="30" s="1"/>
  <c r="G253" i="30"/>
  <c r="G262" i="30" s="1"/>
  <c r="G271" i="30" s="1"/>
  <c r="J252" i="30"/>
  <c r="J261" i="30" s="1"/>
  <c r="J270" i="30" s="1"/>
  <c r="K250" i="30"/>
  <c r="K259" i="30" s="1"/>
  <c r="K268" i="30" s="1"/>
  <c r="F247" i="30"/>
  <c r="F256" i="30" s="1"/>
  <c r="F265" i="30" s="1"/>
  <c r="J249" i="30"/>
  <c r="J258" i="30" s="1"/>
  <c r="J267" i="30" s="1"/>
  <c r="E249" i="30"/>
  <c r="E258" i="30" s="1"/>
  <c r="E267" i="30" s="1"/>
  <c r="H249" i="30"/>
  <c r="H258" i="30" s="1"/>
  <c r="H267" i="30" s="1"/>
  <c r="J248" i="30"/>
  <c r="J257" i="30" s="1"/>
  <c r="J266" i="30" s="1"/>
  <c r="F253" i="30"/>
  <c r="F262" i="30" s="1"/>
  <c r="F271" i="30" s="1"/>
  <c r="K248" i="30"/>
  <c r="K257" i="30" s="1"/>
  <c r="K266" i="30" s="1"/>
  <c r="C253" i="30"/>
  <c r="C262" i="30" s="1"/>
  <c r="C271" i="30" s="1"/>
  <c r="E252" i="30"/>
  <c r="E261" i="30" s="1"/>
  <c r="E270" i="30" s="1"/>
  <c r="D252" i="30"/>
  <c r="D261" i="30" s="1"/>
  <c r="D270" i="30" s="1"/>
  <c r="C252" i="30"/>
  <c r="C261" i="30" s="1"/>
  <c r="C270" i="30" s="1"/>
  <c r="D248" i="30"/>
  <c r="D257" i="30" s="1"/>
  <c r="D266" i="30" s="1"/>
  <c r="C250" i="30"/>
  <c r="C259" i="30" s="1"/>
  <c r="C268" i="30" s="1"/>
  <c r="L248" i="30"/>
  <c r="L257" i="30" s="1"/>
  <c r="L266" i="30" s="1"/>
  <c r="C247" i="30"/>
  <c r="C256" i="30" s="1"/>
  <c r="C265" i="30" s="1"/>
  <c r="C248" i="30"/>
  <c r="C257" i="30" s="1"/>
  <c r="C266" i="30" s="1"/>
  <c r="L252" i="30"/>
  <c r="L261" i="30" s="1"/>
  <c r="L270" i="30" s="1"/>
  <c r="L247" i="30"/>
  <c r="L256" i="30" s="1"/>
  <c r="L265" i="30" s="1"/>
  <c r="D254" i="30"/>
  <c r="D263" i="30" s="1"/>
  <c r="D272" i="30" s="1"/>
  <c r="E254" i="30"/>
  <c r="E263" i="30" s="1"/>
  <c r="E272" i="30" s="1"/>
  <c r="H252" i="30"/>
  <c r="H261" i="30" s="1"/>
  <c r="H270" i="30" s="1"/>
  <c r="F249" i="30"/>
  <c r="F258" i="30" s="1"/>
  <c r="F267" i="30" s="1"/>
  <c r="E250" i="30"/>
  <c r="E259" i="30" s="1"/>
  <c r="E268" i="30" s="1"/>
  <c r="D247" i="30"/>
  <c r="D256" i="30" s="1"/>
  <c r="D265" i="30" s="1"/>
  <c r="K251" i="30"/>
  <c r="K260" i="30" s="1"/>
  <c r="K269" i="30" s="1"/>
  <c r="E251" i="30"/>
  <c r="E260" i="30" s="1"/>
  <c r="E269" i="30" s="1"/>
  <c r="C254" i="30"/>
  <c r="C263" i="30" s="1"/>
  <c r="C272" i="30" s="1"/>
  <c r="H695" i="38" l="1"/>
  <c r="I695" i="38"/>
  <c r="R272" i="30"/>
  <c r="D281" i="30"/>
  <c r="R267" i="30"/>
  <c r="D276" i="30"/>
  <c r="U265" i="30"/>
  <c r="G274" i="30"/>
  <c r="Z265" i="30"/>
  <c r="L274" i="30"/>
  <c r="V265" i="30"/>
  <c r="H274" i="30"/>
  <c r="Z271" i="30"/>
  <c r="L280" i="30"/>
  <c r="S270" i="30"/>
  <c r="E279" i="30"/>
  <c r="Z272" i="30"/>
  <c r="L281" i="30"/>
  <c r="Z267" i="30"/>
  <c r="L276" i="30"/>
  <c r="T268" i="30"/>
  <c r="F277" i="30"/>
  <c r="Y267" i="30"/>
  <c r="K276" i="30"/>
  <c r="R268" i="30"/>
  <c r="D277" i="30"/>
  <c r="T177" i="6"/>
  <c r="F177" i="34"/>
  <c r="F186" i="6"/>
  <c r="Q180" i="6"/>
  <c r="C180" i="34"/>
  <c r="C189" i="6"/>
  <c r="L177" i="34"/>
  <c r="Z177" i="6"/>
  <c r="L186" i="6"/>
  <c r="E182" i="34"/>
  <c r="S182" i="6"/>
  <c r="E191" i="6"/>
  <c r="U176" i="6"/>
  <c r="G176" i="34"/>
  <c r="G185" i="6"/>
  <c r="K178" i="34"/>
  <c r="Y178" i="6"/>
  <c r="K187" i="6"/>
  <c r="I178" i="34"/>
  <c r="W178" i="6"/>
  <c r="I187" i="6"/>
  <c r="R175" i="6"/>
  <c r="D175" i="34"/>
  <c r="D184" i="6"/>
  <c r="H178" i="34"/>
  <c r="V178" i="6"/>
  <c r="H187" i="6"/>
  <c r="C695" i="38"/>
  <c r="K176" i="34"/>
  <c r="Y176" i="6"/>
  <c r="K185" i="6"/>
  <c r="J180" i="34"/>
  <c r="X180" i="6"/>
  <c r="J189" i="6"/>
  <c r="R265" i="30"/>
  <c r="D274" i="30"/>
  <c r="Q266" i="30"/>
  <c r="C275" i="30"/>
  <c r="Q271" i="30"/>
  <c r="C280" i="30"/>
  <c r="Y268" i="30"/>
  <c r="K277" i="30"/>
  <c r="Z268" i="30"/>
  <c r="L277" i="30"/>
  <c r="U270" i="30"/>
  <c r="G279" i="30"/>
  <c r="U269" i="30"/>
  <c r="G278" i="30"/>
  <c r="Y265" i="30"/>
  <c r="K274" i="30"/>
  <c r="Y271" i="30"/>
  <c r="K280" i="30"/>
  <c r="T270" i="30"/>
  <c r="F279" i="30"/>
  <c r="X178" i="6"/>
  <c r="J178" i="34"/>
  <c r="J187" i="6"/>
  <c r="E179" i="34"/>
  <c r="S179" i="6"/>
  <c r="E188" i="6"/>
  <c r="R182" i="6"/>
  <c r="D182" i="34"/>
  <c r="D191" i="6"/>
  <c r="K175" i="34"/>
  <c r="Y175" i="6"/>
  <c r="K184" i="6"/>
  <c r="X182" i="6"/>
  <c r="J182" i="34"/>
  <c r="J191" i="6"/>
  <c r="R180" i="6"/>
  <c r="D180" i="34"/>
  <c r="D189" i="6"/>
  <c r="E178" i="34"/>
  <c r="S178" i="6"/>
  <c r="E187" i="6"/>
  <c r="L175" i="34"/>
  <c r="Z175" i="6"/>
  <c r="L184" i="6"/>
  <c r="Y180" i="6"/>
  <c r="K180" i="34"/>
  <c r="K189" i="6"/>
  <c r="J181" i="34"/>
  <c r="X181" i="6"/>
  <c r="J190" i="6"/>
  <c r="H182" i="34"/>
  <c r="V182" i="6"/>
  <c r="H191" i="6"/>
  <c r="G178" i="34"/>
  <c r="U178" i="6"/>
  <c r="G187" i="6"/>
  <c r="G175" i="34"/>
  <c r="U175" i="6"/>
  <c r="G184" i="6"/>
  <c r="I179" i="34"/>
  <c r="W179" i="6"/>
  <c r="I188" i="6"/>
  <c r="V272" i="30"/>
  <c r="H281" i="30"/>
  <c r="E692" i="8"/>
  <c r="E692" i="39" s="1"/>
  <c r="C690" i="8"/>
  <c r="C690" i="39" s="1"/>
  <c r="C691" i="8"/>
  <c r="C691" i="39" s="1"/>
  <c r="C687" i="8"/>
  <c r="J690" i="8"/>
  <c r="J690" i="39" s="1"/>
  <c r="I687" i="8"/>
  <c r="H692" i="8"/>
  <c r="H692" i="39" s="1"/>
  <c r="D692" i="8"/>
  <c r="D692" i="39" s="1"/>
  <c r="H689" i="8"/>
  <c r="H689" i="39" s="1"/>
  <c r="D691" i="8"/>
  <c r="D691" i="39" s="1"/>
  <c r="I693" i="8"/>
  <c r="I693" i="39" s="1"/>
  <c r="I688" i="8"/>
  <c r="I688" i="39" s="1"/>
  <c r="J693" i="8"/>
  <c r="J693" i="39" s="1"/>
  <c r="E693" i="8"/>
  <c r="E693" i="39" s="1"/>
  <c r="C689" i="8"/>
  <c r="C689" i="39" s="1"/>
  <c r="B688" i="8"/>
  <c r="B688" i="39" s="1"/>
  <c r="H687" i="8"/>
  <c r="I690" i="8"/>
  <c r="I690" i="39" s="1"/>
  <c r="K691" i="8"/>
  <c r="K691" i="39" s="1"/>
  <c r="K687" i="8"/>
  <c r="D688" i="8"/>
  <c r="D688" i="39" s="1"/>
  <c r="K693" i="8"/>
  <c r="K693" i="39" s="1"/>
  <c r="F691" i="8"/>
  <c r="F691" i="39" s="1"/>
  <c r="E687" i="8"/>
  <c r="C688" i="8"/>
  <c r="C688" i="39" s="1"/>
  <c r="B690" i="8"/>
  <c r="B690" i="39" s="1"/>
  <c r="B687" i="8"/>
  <c r="F692" i="8"/>
  <c r="F692" i="39" s="1"/>
  <c r="J694" i="8"/>
  <c r="J694" i="39" s="1"/>
  <c r="J692" i="8"/>
  <c r="J692" i="39" s="1"/>
  <c r="D693" i="8"/>
  <c r="D693" i="39" s="1"/>
  <c r="E688" i="8"/>
  <c r="E688" i="39" s="1"/>
  <c r="B693" i="8"/>
  <c r="B693" i="39" s="1"/>
  <c r="J688" i="8"/>
  <c r="J688" i="39" s="1"/>
  <c r="E691" i="8"/>
  <c r="E691" i="39" s="1"/>
  <c r="H688" i="8"/>
  <c r="H688" i="39" s="1"/>
  <c r="K692" i="8"/>
  <c r="K692" i="39" s="1"/>
  <c r="G694" i="8"/>
  <c r="G694" i="39" s="1"/>
  <c r="I692" i="8"/>
  <c r="I692" i="39" s="1"/>
  <c r="G691" i="8"/>
  <c r="G691" i="39" s="1"/>
  <c r="E689" i="8"/>
  <c r="E689" i="39" s="1"/>
  <c r="J687" i="8"/>
  <c r="G693" i="8"/>
  <c r="G693" i="39" s="1"/>
  <c r="F689" i="8"/>
  <c r="F689" i="39" s="1"/>
  <c r="E690" i="8"/>
  <c r="E690" i="39" s="1"/>
  <c r="B689" i="8"/>
  <c r="B689" i="39" s="1"/>
  <c r="H694" i="8"/>
  <c r="H694" i="39" s="1"/>
  <c r="G688" i="8"/>
  <c r="G688" i="39" s="1"/>
  <c r="B691" i="8"/>
  <c r="B691" i="39" s="1"/>
  <c r="H691" i="8"/>
  <c r="H691" i="39" s="1"/>
  <c r="G692" i="8"/>
  <c r="G692" i="39" s="1"/>
  <c r="K689" i="8"/>
  <c r="K689" i="39" s="1"/>
  <c r="E694" i="8"/>
  <c r="E694" i="39" s="1"/>
  <c r="H693" i="8"/>
  <c r="H693" i="39" s="1"/>
  <c r="H690" i="8"/>
  <c r="H690" i="39" s="1"/>
  <c r="I689" i="8"/>
  <c r="I689" i="39" s="1"/>
  <c r="K694" i="8"/>
  <c r="K694" i="39" s="1"/>
  <c r="D689" i="8"/>
  <c r="D689" i="39" s="1"/>
  <c r="K688" i="8"/>
  <c r="K688" i="39" s="1"/>
  <c r="D694" i="8"/>
  <c r="D694" i="39" s="1"/>
  <c r="C692" i="8"/>
  <c r="C692" i="39" s="1"/>
  <c r="C694" i="8"/>
  <c r="C694" i="39" s="1"/>
  <c r="F693" i="8"/>
  <c r="F693" i="39" s="1"/>
  <c r="J689" i="8"/>
  <c r="J689" i="39" s="1"/>
  <c r="G687" i="8"/>
  <c r="K690" i="8"/>
  <c r="K690" i="39" s="1"/>
  <c r="B694" i="8"/>
  <c r="B694" i="39" s="1"/>
  <c r="F687" i="8"/>
  <c r="F690" i="8"/>
  <c r="F690" i="39" s="1"/>
  <c r="D690" i="8"/>
  <c r="D690" i="39" s="1"/>
  <c r="F688" i="8"/>
  <c r="F688" i="39" s="1"/>
  <c r="D687" i="8"/>
  <c r="G690" i="8"/>
  <c r="G690" i="39" s="1"/>
  <c r="B692" i="8"/>
  <c r="B692" i="39" s="1"/>
  <c r="C693" i="8"/>
  <c r="C693" i="39" s="1"/>
  <c r="G689" i="8"/>
  <c r="G689" i="39" s="1"/>
  <c r="J691" i="8"/>
  <c r="J691" i="39" s="1"/>
  <c r="I694" i="8"/>
  <c r="I694" i="39" s="1"/>
  <c r="I691" i="8"/>
  <c r="I691" i="39" s="1"/>
  <c r="F694" i="8"/>
  <c r="F694" i="39" s="1"/>
  <c r="W180" i="6"/>
  <c r="I180" i="34"/>
  <c r="I189" i="6"/>
  <c r="I176" i="34"/>
  <c r="W176" i="6"/>
  <c r="I185" i="6"/>
  <c r="S176" i="6"/>
  <c r="E176" i="34"/>
  <c r="E185" i="6"/>
  <c r="X265" i="30"/>
  <c r="J274" i="30"/>
  <c r="Z270" i="30"/>
  <c r="L279" i="30"/>
  <c r="Q265" i="30"/>
  <c r="C274" i="30"/>
  <c r="X269" i="30"/>
  <c r="J278" i="30"/>
  <c r="W266" i="30"/>
  <c r="I275" i="30"/>
  <c r="U271" i="30"/>
  <c r="G280" i="30"/>
  <c r="U267" i="30"/>
  <c r="G276" i="30"/>
  <c r="S266" i="30"/>
  <c r="E275" i="30"/>
  <c r="U268" i="30"/>
  <c r="G277" i="30"/>
  <c r="V271" i="30"/>
  <c r="H280" i="30"/>
  <c r="V268" i="30"/>
  <c r="H277" i="30"/>
  <c r="T272" i="30"/>
  <c r="F281" i="30"/>
  <c r="D179" i="34"/>
  <c r="R179" i="6"/>
  <c r="D188" i="6"/>
  <c r="Y179" i="6"/>
  <c r="K179" i="34"/>
  <c r="K188" i="6"/>
  <c r="Q181" i="6"/>
  <c r="C181" i="34"/>
  <c r="C190" i="6"/>
  <c r="V181" i="6"/>
  <c r="H181" i="34"/>
  <c r="H190" i="6"/>
  <c r="J177" i="34"/>
  <c r="X177" i="6"/>
  <c r="J186" i="6"/>
  <c r="D177" i="34"/>
  <c r="R177" i="6"/>
  <c r="D186" i="6"/>
  <c r="C177" i="34"/>
  <c r="Q177" i="6"/>
  <c r="C186" i="6"/>
  <c r="Q178" i="6"/>
  <c r="C178" i="34"/>
  <c r="C187" i="6"/>
  <c r="W175" i="6"/>
  <c r="I175" i="34"/>
  <c r="I184" i="6"/>
  <c r="S175" i="6"/>
  <c r="E175" i="34"/>
  <c r="E184" i="6"/>
  <c r="X179" i="6"/>
  <c r="J179" i="34"/>
  <c r="J188" i="6"/>
  <c r="Z176" i="6"/>
  <c r="L176" i="34"/>
  <c r="L185" i="6"/>
  <c r="W177" i="6"/>
  <c r="I177" i="34"/>
  <c r="I186" i="6"/>
  <c r="J695" i="38"/>
  <c r="G695" i="38"/>
  <c r="K695" i="38"/>
  <c r="S177" i="6"/>
  <c r="E177" i="34"/>
  <c r="E186" i="6"/>
  <c r="Y177" i="6"/>
  <c r="K177" i="34"/>
  <c r="K186" i="6"/>
  <c r="R178" i="6"/>
  <c r="D178" i="34"/>
  <c r="D187" i="6"/>
  <c r="Q270" i="30"/>
  <c r="C279" i="30"/>
  <c r="X271" i="30"/>
  <c r="J280" i="30"/>
  <c r="W270" i="30"/>
  <c r="I279" i="30"/>
  <c r="T181" i="6"/>
  <c r="F181" i="34"/>
  <c r="F190" i="6"/>
  <c r="R181" i="6"/>
  <c r="D181" i="34"/>
  <c r="D190" i="6"/>
  <c r="U182" i="6"/>
  <c r="G182" i="34"/>
  <c r="G191" i="6"/>
  <c r="S181" i="6"/>
  <c r="E181" i="34"/>
  <c r="E190" i="6"/>
  <c r="L179" i="34"/>
  <c r="Z179" i="6"/>
  <c r="L188" i="6"/>
  <c r="E180" i="34"/>
  <c r="S180" i="6"/>
  <c r="E189" i="6"/>
  <c r="R270" i="30"/>
  <c r="D279" i="30"/>
  <c r="Q267" i="30"/>
  <c r="C276" i="30"/>
  <c r="W271" i="30"/>
  <c r="I280" i="30"/>
  <c r="R176" i="6"/>
  <c r="D176" i="34"/>
  <c r="D185" i="6"/>
  <c r="Q182" i="6"/>
  <c r="C182" i="34"/>
  <c r="C191" i="6"/>
  <c r="V177" i="6"/>
  <c r="H177" i="34"/>
  <c r="H186" i="6"/>
  <c r="V180" i="6"/>
  <c r="H180" i="34"/>
  <c r="H189" i="6"/>
  <c r="M202" i="4"/>
  <c r="M169" i="40"/>
  <c r="E695" i="38"/>
  <c r="I182" i="34"/>
  <c r="W182" i="6"/>
  <c r="I191" i="6"/>
  <c r="Q175" i="6"/>
  <c r="C175" i="34"/>
  <c r="C184" i="6"/>
  <c r="Z181" i="6"/>
  <c r="L181" i="34"/>
  <c r="L190" i="6"/>
  <c r="T265" i="30"/>
  <c r="F274" i="30"/>
  <c r="S268" i="30"/>
  <c r="E277" i="30"/>
  <c r="X270" i="30"/>
  <c r="J279" i="30"/>
  <c r="W272" i="30"/>
  <c r="I281" i="30"/>
  <c r="T266" i="30"/>
  <c r="F275" i="30"/>
  <c r="U179" i="6"/>
  <c r="G179" i="34"/>
  <c r="G188" i="6"/>
  <c r="U180" i="6"/>
  <c r="G180" i="34"/>
  <c r="G189" i="6"/>
  <c r="K182" i="34"/>
  <c r="Y182" i="6"/>
  <c r="K191" i="6"/>
  <c r="T179" i="6"/>
  <c r="F179" i="34"/>
  <c r="F188" i="6"/>
  <c r="B695" i="38"/>
  <c r="B697" i="38" a="1"/>
  <c r="X175" i="6"/>
  <c r="J175" i="34"/>
  <c r="J184" i="6"/>
  <c r="Z266" i="30"/>
  <c r="L275" i="30"/>
  <c r="V270" i="30"/>
  <c r="H279" i="30"/>
  <c r="Q268" i="30"/>
  <c r="C277" i="30"/>
  <c r="X266" i="30"/>
  <c r="J275" i="30"/>
  <c r="W265" i="30"/>
  <c r="I274" i="30"/>
  <c r="W268" i="30"/>
  <c r="I277" i="30"/>
  <c r="Q269" i="30"/>
  <c r="C278" i="30"/>
  <c r="U272" i="30"/>
  <c r="G281" i="30"/>
  <c r="T269" i="30"/>
  <c r="F278" i="30"/>
  <c r="W269" i="30"/>
  <c r="I278" i="30"/>
  <c r="Y270" i="30"/>
  <c r="K279" i="30"/>
  <c r="F180" i="34"/>
  <c r="T180" i="6"/>
  <c r="F189" i="6"/>
  <c r="W181" i="6"/>
  <c r="I181" i="34"/>
  <c r="I190" i="6"/>
  <c r="U177" i="6"/>
  <c r="G177" i="34"/>
  <c r="G186" i="6"/>
  <c r="F182" i="34"/>
  <c r="T182" i="6"/>
  <c r="F191" i="6"/>
  <c r="G181" i="34"/>
  <c r="U181" i="6"/>
  <c r="G190" i="6"/>
  <c r="D695" i="38"/>
  <c r="V176" i="6"/>
  <c r="H176" i="34"/>
  <c r="H185" i="6"/>
  <c r="T175" i="6"/>
  <c r="F175" i="34"/>
  <c r="F184" i="6"/>
  <c r="Q272" i="30"/>
  <c r="C281" i="30"/>
  <c r="S267" i="30"/>
  <c r="E276" i="30"/>
  <c r="V269" i="30"/>
  <c r="H278" i="30"/>
  <c r="S269" i="30"/>
  <c r="E278" i="30"/>
  <c r="X267" i="30"/>
  <c r="J276" i="30"/>
  <c r="R269" i="30"/>
  <c r="D278" i="30"/>
  <c r="Y269" i="30"/>
  <c r="K278" i="30"/>
  <c r="W267" i="30"/>
  <c r="I276" i="30"/>
  <c r="Y266" i="30"/>
  <c r="K275" i="30"/>
  <c r="S271" i="30"/>
  <c r="E280" i="30"/>
  <c r="Y272" i="30"/>
  <c r="K281" i="30"/>
  <c r="T267" i="30"/>
  <c r="F276" i="30"/>
  <c r="T271" i="30"/>
  <c r="F280" i="30"/>
  <c r="S272" i="30"/>
  <c r="E281" i="30"/>
  <c r="R266" i="30"/>
  <c r="D275" i="30"/>
  <c r="V267" i="30"/>
  <c r="H276" i="30"/>
  <c r="S265" i="30"/>
  <c r="E274" i="30"/>
  <c r="X268" i="30"/>
  <c r="J277" i="30"/>
  <c r="V266" i="30"/>
  <c r="H275" i="30"/>
  <c r="U266" i="30"/>
  <c r="G275" i="30"/>
  <c r="Z269" i="30"/>
  <c r="L278" i="30"/>
  <c r="X272" i="30"/>
  <c r="J281" i="30"/>
  <c r="R271" i="30"/>
  <c r="D280" i="30"/>
  <c r="V179" i="6"/>
  <c r="H179" i="34"/>
  <c r="H188" i="6"/>
  <c r="J176" i="34"/>
  <c r="X176" i="6"/>
  <c r="J185" i="6"/>
  <c r="T178" i="6"/>
  <c r="F178" i="34"/>
  <c r="F187" i="6"/>
  <c r="F176" i="34"/>
  <c r="T176" i="6"/>
  <c r="F185" i="6"/>
  <c r="Q176" i="6"/>
  <c r="C176" i="34"/>
  <c r="C185" i="6"/>
  <c r="L182" i="34"/>
  <c r="Z182" i="6"/>
  <c r="L191" i="6"/>
  <c r="V175" i="6"/>
  <c r="H175" i="34"/>
  <c r="H184" i="6"/>
  <c r="F695" i="38"/>
  <c r="C179" i="34"/>
  <c r="Q179" i="6"/>
  <c r="C188" i="6"/>
  <c r="Y181" i="6"/>
  <c r="K181" i="34"/>
  <c r="K190" i="6"/>
  <c r="Z178" i="6"/>
  <c r="L178" i="34"/>
  <c r="L187" i="6"/>
  <c r="L180" i="34"/>
  <c r="Z180" i="6"/>
  <c r="L189" i="6"/>
  <c r="L83" i="57"/>
  <c r="AA175" i="6" l="1"/>
  <c r="C194" i="6"/>
  <c r="C185" i="34"/>
  <c r="F198" i="6"/>
  <c r="F189" i="34"/>
  <c r="AA182" i="6"/>
  <c r="E186" i="34"/>
  <c r="E195" i="6"/>
  <c r="I197" i="6"/>
  <c r="I188" i="34"/>
  <c r="C289" i="30"/>
  <c r="C307" i="30" s="1"/>
  <c r="L290" i="30"/>
  <c r="L308" i="30" s="1"/>
  <c r="J290" i="30"/>
  <c r="J308" i="30" s="1"/>
  <c r="D287" i="30"/>
  <c r="D305" i="30" s="1"/>
  <c r="J184" i="34"/>
  <c r="J193" i="6"/>
  <c r="H190" i="34"/>
  <c r="H199" i="6"/>
  <c r="G289" i="30"/>
  <c r="G307" i="30" s="1"/>
  <c r="H200" i="6"/>
  <c r="H191" i="34"/>
  <c r="K185" i="34"/>
  <c r="K194" i="6"/>
  <c r="G186" i="34"/>
  <c r="G195" i="6"/>
  <c r="F284" i="30"/>
  <c r="F302" i="30" s="1"/>
  <c r="F283" i="30"/>
  <c r="F301" i="30" s="1"/>
  <c r="I200" i="6"/>
  <c r="I191" i="34"/>
  <c r="E198" i="6"/>
  <c r="E189" i="34"/>
  <c r="D196" i="6"/>
  <c r="D187" i="34"/>
  <c r="I193" i="6"/>
  <c r="I184" i="34"/>
  <c r="D197" i="6"/>
  <c r="D188" i="34"/>
  <c r="F695" i="8"/>
  <c r="F695" i="39" s="1"/>
  <c r="F687" i="39"/>
  <c r="K687" i="39"/>
  <c r="K695" i="8"/>
  <c r="K695" i="39" s="1"/>
  <c r="C695" i="8"/>
  <c r="C695" i="39" s="1"/>
  <c r="C687" i="39"/>
  <c r="L184" i="34"/>
  <c r="L193" i="6"/>
  <c r="F288" i="30"/>
  <c r="F306" i="30" s="1"/>
  <c r="G288" i="30"/>
  <c r="G306" i="30" s="1"/>
  <c r="C284" i="30"/>
  <c r="C302" i="30" s="1"/>
  <c r="C198" i="6"/>
  <c r="C189" i="34"/>
  <c r="K285" i="30"/>
  <c r="K303" i="30" s="1"/>
  <c r="E288" i="30"/>
  <c r="E306" i="30" s="1"/>
  <c r="G283" i="30"/>
  <c r="G301" i="30" s="1"/>
  <c r="K199" i="6"/>
  <c r="K190" i="34"/>
  <c r="F185" i="34"/>
  <c r="F194" i="6"/>
  <c r="L287" i="30"/>
  <c r="L305" i="30" s="1"/>
  <c r="E283" i="30"/>
  <c r="E301" i="30" s="1"/>
  <c r="F289" i="30"/>
  <c r="F307" i="30" s="1"/>
  <c r="K284" i="30"/>
  <c r="K302" i="30" s="1"/>
  <c r="J285" i="30"/>
  <c r="J303" i="30" s="1"/>
  <c r="C290" i="30"/>
  <c r="C308" i="30" s="1"/>
  <c r="K288" i="30"/>
  <c r="K306" i="30" s="1"/>
  <c r="C287" i="30"/>
  <c r="C305" i="30" s="1"/>
  <c r="C286" i="30"/>
  <c r="C304" i="30" s="1"/>
  <c r="H195" i="6"/>
  <c r="H186" i="34"/>
  <c r="G200" i="6"/>
  <c r="G191" i="34"/>
  <c r="D195" i="6"/>
  <c r="D186" i="34"/>
  <c r="G286" i="30"/>
  <c r="G304" i="30" s="1"/>
  <c r="I284" i="30"/>
  <c r="I302" i="30" s="1"/>
  <c r="J283" i="30"/>
  <c r="J301" i="30" s="1"/>
  <c r="I198" i="6"/>
  <c r="I189" i="34"/>
  <c r="B687" i="39"/>
  <c r="B697" i="8" a="1"/>
  <c r="B695" i="8"/>
  <c r="B695" i="39" s="1"/>
  <c r="G193" i="6"/>
  <c r="G184" i="34"/>
  <c r="J200" i="6"/>
  <c r="J191" i="34"/>
  <c r="AA266" i="30"/>
  <c r="I196" i="6"/>
  <c r="I187" i="34"/>
  <c r="H194" i="6"/>
  <c r="H185" i="34"/>
  <c r="H189" i="34"/>
  <c r="H198" i="6"/>
  <c r="J286" i="30"/>
  <c r="J304" i="30" s="1"/>
  <c r="E285" i="30"/>
  <c r="E303" i="30" s="1"/>
  <c r="C698" i="38"/>
  <c r="F702" i="38"/>
  <c r="F703" i="38"/>
  <c r="G698" i="38"/>
  <c r="D703" i="38"/>
  <c r="G699" i="38"/>
  <c r="E698" i="38"/>
  <c r="J704" i="38"/>
  <c r="C701" i="38"/>
  <c r="D697" i="38"/>
  <c r="H703" i="38"/>
  <c r="D698" i="38"/>
  <c r="B704" i="38"/>
  <c r="I701" i="38"/>
  <c r="K702" i="38"/>
  <c r="J703" i="38"/>
  <c r="B702" i="38"/>
  <c r="G702" i="38"/>
  <c r="I703" i="38"/>
  <c r="F698" i="38"/>
  <c r="D700" i="38"/>
  <c r="E704" i="38"/>
  <c r="B703" i="38"/>
  <c r="G701" i="38"/>
  <c r="C697" i="38"/>
  <c r="C704" i="38"/>
  <c r="F704" i="38"/>
  <c r="K697" i="38"/>
  <c r="H704" i="38"/>
  <c r="I697" i="38"/>
  <c r="J702" i="38"/>
  <c r="E702" i="38"/>
  <c r="H700" i="38"/>
  <c r="K703" i="38"/>
  <c r="D704" i="38"/>
  <c r="E697" i="38"/>
  <c r="C702" i="38"/>
  <c r="H699" i="38"/>
  <c r="J700" i="38"/>
  <c r="K701" i="38"/>
  <c r="I704" i="38"/>
  <c r="B697" i="38"/>
  <c r="J698" i="38"/>
  <c r="I700" i="38"/>
  <c r="B700" i="38"/>
  <c r="K699" i="38"/>
  <c r="E700" i="38"/>
  <c r="B699" i="38"/>
  <c r="G700" i="38"/>
  <c r="F699" i="38"/>
  <c r="F697" i="38"/>
  <c r="H697" i="38"/>
  <c r="B701" i="38"/>
  <c r="I702" i="38"/>
  <c r="F700" i="38"/>
  <c r="E699" i="38"/>
  <c r="H702" i="38"/>
  <c r="G703" i="38"/>
  <c r="B698" i="38"/>
  <c r="C703" i="38"/>
  <c r="H701" i="38"/>
  <c r="G704" i="38"/>
  <c r="C700" i="38"/>
  <c r="D701" i="38"/>
  <c r="G697" i="38"/>
  <c r="D702" i="38"/>
  <c r="D699" i="38"/>
  <c r="F701" i="38"/>
  <c r="I699" i="38"/>
  <c r="J699" i="38"/>
  <c r="K700" i="38"/>
  <c r="K698" i="38"/>
  <c r="K704" i="38"/>
  <c r="H698" i="38"/>
  <c r="J697" i="38"/>
  <c r="C699" i="38"/>
  <c r="I698" i="38"/>
  <c r="J701" i="38"/>
  <c r="E701" i="38"/>
  <c r="E703" i="38"/>
  <c r="E188" i="34"/>
  <c r="E197" i="6"/>
  <c r="L286" i="30"/>
  <c r="L304" i="30" s="1"/>
  <c r="F286" i="30"/>
  <c r="F304" i="30" s="1"/>
  <c r="F285" i="30"/>
  <c r="F303" i="30" s="1"/>
  <c r="E287" i="30"/>
  <c r="E305" i="30" s="1"/>
  <c r="I199" i="6"/>
  <c r="I190" i="34"/>
  <c r="I286" i="30"/>
  <c r="I304" i="30" s="1"/>
  <c r="H288" i="30"/>
  <c r="H306" i="30" s="1"/>
  <c r="L188" i="34"/>
  <c r="L197" i="6"/>
  <c r="K186" i="34"/>
  <c r="K195" i="6"/>
  <c r="C196" i="6"/>
  <c r="C187" i="34"/>
  <c r="F290" i="30"/>
  <c r="F308" i="30" s="1"/>
  <c r="E284" i="30"/>
  <c r="E302" i="30" s="1"/>
  <c r="J287" i="30"/>
  <c r="J305" i="30" s="1"/>
  <c r="E185" i="34"/>
  <c r="E194" i="6"/>
  <c r="G695" i="8"/>
  <c r="G695" i="39" s="1"/>
  <c r="G687" i="39"/>
  <c r="H687" i="39"/>
  <c r="H695" i="8"/>
  <c r="H695" i="39" s="1"/>
  <c r="E187" i="34"/>
  <c r="E196" i="6"/>
  <c r="H196" i="6"/>
  <c r="H187" i="34"/>
  <c r="F186" i="34"/>
  <c r="F195" i="6"/>
  <c r="L187" i="34"/>
  <c r="L196" i="6"/>
  <c r="E286" i="30"/>
  <c r="E304" i="30" s="1"/>
  <c r="E199" i="6"/>
  <c r="E190" i="34"/>
  <c r="C288" i="30"/>
  <c r="C306" i="30" s="1"/>
  <c r="C195" i="6"/>
  <c r="C186" i="34"/>
  <c r="I194" i="6"/>
  <c r="I185" i="34"/>
  <c r="D198" i="6"/>
  <c r="D189" i="34"/>
  <c r="G287" i="30"/>
  <c r="G305" i="30" s="1"/>
  <c r="L283" i="30"/>
  <c r="L301" i="30" s="1"/>
  <c r="J185" i="34"/>
  <c r="J194" i="6"/>
  <c r="E290" i="30"/>
  <c r="E308" i="30" s="1"/>
  <c r="J284" i="30"/>
  <c r="J302" i="30" s="1"/>
  <c r="K200" i="6"/>
  <c r="K191" i="34"/>
  <c r="D194" i="6"/>
  <c r="D185" i="34"/>
  <c r="AA270" i="30"/>
  <c r="AA177" i="6"/>
  <c r="H289" i="30"/>
  <c r="H307" i="30" s="1"/>
  <c r="D191" i="34"/>
  <c r="D200" i="6"/>
  <c r="G194" i="6"/>
  <c r="G185" i="34"/>
  <c r="AA176" i="6"/>
  <c r="G199" i="6"/>
  <c r="G190" i="34"/>
  <c r="AA268" i="30"/>
  <c r="I290" i="30"/>
  <c r="I308" i="30" s="1"/>
  <c r="I288" i="30"/>
  <c r="I306" i="30" s="1"/>
  <c r="J197" i="6"/>
  <c r="J188" i="34"/>
  <c r="J199" i="6"/>
  <c r="J190" i="34"/>
  <c r="D283" i="30"/>
  <c r="D301" i="30" s="1"/>
  <c r="AA180" i="6"/>
  <c r="D285" i="30"/>
  <c r="D303" i="30" s="1"/>
  <c r="L200" i="6"/>
  <c r="L191" i="34"/>
  <c r="H285" i="30"/>
  <c r="H303" i="30" s="1"/>
  <c r="I285" i="30"/>
  <c r="I303" i="30" s="1"/>
  <c r="F184" i="34"/>
  <c r="F193" i="6"/>
  <c r="I287" i="30"/>
  <c r="I305" i="30" s="1"/>
  <c r="C188" i="34"/>
  <c r="C197" i="6"/>
  <c r="F196" i="6"/>
  <c r="F187" i="34"/>
  <c r="F197" i="6"/>
  <c r="F188" i="34"/>
  <c r="J288" i="30"/>
  <c r="J306" i="30" s="1"/>
  <c r="C191" i="34"/>
  <c r="C200" i="6"/>
  <c r="C285" i="30"/>
  <c r="C303" i="30" s="1"/>
  <c r="D199" i="6"/>
  <c r="D190" i="34"/>
  <c r="J289" i="30"/>
  <c r="J307" i="30" s="1"/>
  <c r="I186" i="34"/>
  <c r="I195" i="6"/>
  <c r="J195" i="6"/>
  <c r="J186" i="34"/>
  <c r="AA181" i="6"/>
  <c r="D695" i="8"/>
  <c r="D695" i="39" s="1"/>
  <c r="D687" i="39"/>
  <c r="E687" i="39"/>
  <c r="E695" i="8"/>
  <c r="E695" i="39" s="1"/>
  <c r="H290" i="30"/>
  <c r="H308" i="30" s="1"/>
  <c r="G196" i="6"/>
  <c r="G187" i="34"/>
  <c r="K184" i="34"/>
  <c r="K193" i="6"/>
  <c r="K283" i="30"/>
  <c r="K301" i="30" s="1"/>
  <c r="K286" i="30"/>
  <c r="K304" i="30" s="1"/>
  <c r="J198" i="6"/>
  <c r="J189" i="34"/>
  <c r="K196" i="6"/>
  <c r="K187" i="34"/>
  <c r="L285" i="30"/>
  <c r="L303" i="30" s="1"/>
  <c r="H283" i="30"/>
  <c r="H301" i="30" s="1"/>
  <c r="D290" i="30"/>
  <c r="D308" i="30" s="1"/>
  <c r="D288" i="30"/>
  <c r="D306" i="30" s="1"/>
  <c r="AA265" i="30"/>
  <c r="I695" i="8"/>
  <c r="I695" i="39" s="1"/>
  <c r="I687" i="39"/>
  <c r="D193" i="6"/>
  <c r="D184" i="34"/>
  <c r="D286" i="30"/>
  <c r="D304" i="30" s="1"/>
  <c r="E289" i="30"/>
  <c r="E307" i="30" s="1"/>
  <c r="G290" i="30"/>
  <c r="G308" i="30" s="1"/>
  <c r="F199" i="6"/>
  <c r="F190" i="34"/>
  <c r="L194" i="6"/>
  <c r="L185" i="34"/>
  <c r="L288" i="30"/>
  <c r="L306" i="30" s="1"/>
  <c r="AA271" i="30"/>
  <c r="H184" i="34"/>
  <c r="H193" i="6"/>
  <c r="H197" i="6"/>
  <c r="H188" i="34"/>
  <c r="AA272" i="30"/>
  <c r="AA269" i="30"/>
  <c r="G189" i="34"/>
  <c r="G198" i="6"/>
  <c r="L190" i="34"/>
  <c r="L199" i="6"/>
  <c r="I289" i="30"/>
  <c r="I307" i="30" s="1"/>
  <c r="C199" i="6"/>
  <c r="C190" i="34"/>
  <c r="J695" i="8"/>
  <c r="J695" i="39" s="1"/>
  <c r="J687" i="39"/>
  <c r="K289" i="30"/>
  <c r="K307" i="30" s="1"/>
  <c r="E200" i="6"/>
  <c r="E191" i="34"/>
  <c r="L289" i="30"/>
  <c r="L307" i="30" s="1"/>
  <c r="L189" i="34"/>
  <c r="L198" i="6"/>
  <c r="G284" i="30"/>
  <c r="G302" i="30" s="1"/>
  <c r="AA179" i="6"/>
  <c r="D289" i="30"/>
  <c r="D307" i="30" s="1"/>
  <c r="H284" i="30"/>
  <c r="H302" i="30" s="1"/>
  <c r="D284" i="30"/>
  <c r="D302" i="30" s="1"/>
  <c r="K290" i="30"/>
  <c r="K308" i="30" s="1"/>
  <c r="K287" i="30"/>
  <c r="K305" i="30" s="1"/>
  <c r="H287" i="30"/>
  <c r="H305" i="30" s="1"/>
  <c r="F191" i="34"/>
  <c r="F200" i="6"/>
  <c r="F287" i="30"/>
  <c r="F305" i="30" s="1"/>
  <c r="I283" i="30"/>
  <c r="I301" i="30" s="1"/>
  <c r="L284" i="30"/>
  <c r="L302" i="30" s="1"/>
  <c r="G188" i="34"/>
  <c r="G197" i="6"/>
  <c r="C184" i="34"/>
  <c r="C193" i="6"/>
  <c r="AA267" i="30"/>
  <c r="E193" i="6"/>
  <c r="E184" i="34"/>
  <c r="AA178" i="6"/>
  <c r="K188" i="34"/>
  <c r="K197" i="6"/>
  <c r="H286" i="30"/>
  <c r="H304" i="30" s="1"/>
  <c r="G285" i="30"/>
  <c r="G303" i="30" s="1"/>
  <c r="C283" i="30"/>
  <c r="C301" i="30" s="1"/>
  <c r="K189" i="34"/>
  <c r="K198" i="6"/>
  <c r="J187" i="34"/>
  <c r="J196" i="6"/>
  <c r="L186" i="34"/>
  <c r="L195" i="6"/>
  <c r="AA183" i="6"/>
  <c r="T698" i="38"/>
  <c r="Q698" i="38"/>
  <c r="S698" i="38"/>
  <c r="K705" i="38"/>
  <c r="E705" i="38"/>
  <c r="V700" i="38"/>
  <c r="H705" i="38"/>
  <c r="P703" i="38"/>
  <c r="S701" i="38"/>
  <c r="P699" i="38"/>
  <c r="L703" i="38"/>
  <c r="W702" i="38"/>
  <c r="S700" i="38"/>
  <c r="U702" i="38"/>
  <c r="T702" i="38"/>
  <c r="T703" i="38"/>
  <c r="Q703" i="38"/>
  <c r="L704" i="38"/>
  <c r="Q700" i="38"/>
  <c r="U704" i="38"/>
  <c r="P702" i="38"/>
  <c r="L700" i="38"/>
  <c r="L701" i="38"/>
  <c r="U701" i="38"/>
  <c r="V699" i="38"/>
  <c r="V698" i="38"/>
  <c r="R698" i="38"/>
  <c r="R700" i="38"/>
  <c r="X700" i="38"/>
  <c r="T700" i="38"/>
  <c r="D705" i="38"/>
  <c r="X703" i="38"/>
  <c r="T699" i="38"/>
  <c r="V701" i="38"/>
  <c r="R704" i="38"/>
  <c r="I705" i="38"/>
  <c r="U699" i="38"/>
  <c r="X699" i="38"/>
  <c r="V702" i="38"/>
  <c r="T704" i="38"/>
  <c r="W699" i="38"/>
  <c r="W701" i="38"/>
  <c r="AA273" i="30"/>
  <c r="X702" i="38"/>
  <c r="P700" i="38"/>
  <c r="P701" i="38"/>
  <c r="W704" i="38"/>
  <c r="W703" i="38"/>
  <c r="T701" i="38"/>
  <c r="R702" i="38"/>
  <c r="X701" i="38"/>
  <c r="L699" i="38"/>
  <c r="R699" i="38"/>
  <c r="Q701" i="38"/>
  <c r="X698" i="38"/>
  <c r="R703" i="38"/>
  <c r="P698" i="38"/>
  <c r="L702" i="38"/>
  <c r="V704" i="38"/>
  <c r="X704" i="38"/>
  <c r="S699" i="38"/>
  <c r="C705" i="38"/>
  <c r="G705" i="38"/>
  <c r="Q702" i="38"/>
  <c r="S703" i="38"/>
  <c r="U703" i="38"/>
  <c r="V703" i="38"/>
  <c r="S704" i="38"/>
  <c r="Q704" i="38"/>
  <c r="W698" i="38"/>
  <c r="F705" i="38"/>
  <c r="L698" i="38"/>
  <c r="Q699" i="38"/>
  <c r="J705" i="38"/>
  <c r="W700" i="38"/>
  <c r="R701" i="38"/>
  <c r="U700" i="38"/>
  <c r="S702" i="38"/>
  <c r="P704" i="38"/>
  <c r="L697" i="38"/>
  <c r="L705" i="38" s="1"/>
  <c r="B705" i="38"/>
  <c r="U698" i="38"/>
  <c r="L706" i="38" l="1"/>
  <c r="G193" i="34"/>
  <c r="G238" i="6"/>
  <c r="G238" i="34" s="1"/>
  <c r="H200" i="34"/>
  <c r="H245" i="6"/>
  <c r="H245" i="34" s="1"/>
  <c r="L198" i="34"/>
  <c r="L243" i="6"/>
  <c r="L243" i="34" s="1"/>
  <c r="J198" i="34"/>
  <c r="J243" i="6"/>
  <c r="J243" i="34" s="1"/>
  <c r="F193" i="34"/>
  <c r="F238" i="6"/>
  <c r="F238" i="34" s="1"/>
  <c r="J199" i="34"/>
  <c r="J244" i="6"/>
  <c r="J244" i="34" s="1"/>
  <c r="C195" i="34"/>
  <c r="C240" i="6"/>
  <c r="C240" i="34" s="1"/>
  <c r="H196" i="34"/>
  <c r="H241" i="6"/>
  <c r="H241" i="34" s="1"/>
  <c r="E194" i="34"/>
  <c r="E239" i="6"/>
  <c r="E239" i="34" s="1"/>
  <c r="L197" i="34"/>
  <c r="L242" i="6"/>
  <c r="L242" i="34" s="1"/>
  <c r="I199" i="34"/>
  <c r="I244" i="6"/>
  <c r="I244" i="34" s="1"/>
  <c r="H198" i="34"/>
  <c r="H243" i="6"/>
  <c r="H243" i="34" s="1"/>
  <c r="I196" i="34"/>
  <c r="I241" i="6"/>
  <c r="I241" i="34" s="1"/>
  <c r="K198" i="34"/>
  <c r="K243" i="6"/>
  <c r="K243" i="34" s="1"/>
  <c r="K197" i="34"/>
  <c r="K242" i="6"/>
  <c r="K242" i="34" s="1"/>
  <c r="L199" i="34"/>
  <c r="L244" i="6"/>
  <c r="L244" i="34" s="1"/>
  <c r="F196" i="34"/>
  <c r="F241" i="6"/>
  <c r="F241" i="34" s="1"/>
  <c r="D200" i="34"/>
  <c r="D245" i="6"/>
  <c r="D245" i="34" s="1"/>
  <c r="D194" i="34"/>
  <c r="D239" i="6"/>
  <c r="D239" i="34" s="1"/>
  <c r="D198" i="34"/>
  <c r="D243" i="6"/>
  <c r="D243" i="34" s="1"/>
  <c r="L196" i="34"/>
  <c r="L241" i="6"/>
  <c r="L241" i="34" s="1"/>
  <c r="E196" i="34"/>
  <c r="E241" i="6"/>
  <c r="E241" i="34" s="1"/>
  <c r="E197" i="34"/>
  <c r="E242" i="6"/>
  <c r="E242" i="34" s="1"/>
  <c r="H703" i="8"/>
  <c r="C698" i="8"/>
  <c r="E704" i="8"/>
  <c r="G702" i="8"/>
  <c r="K701" i="8"/>
  <c r="K704" i="8"/>
  <c r="D699" i="8"/>
  <c r="C701" i="8"/>
  <c r="J701" i="8"/>
  <c r="B701" i="8"/>
  <c r="D700" i="8"/>
  <c r="B700" i="8"/>
  <c r="J698" i="8"/>
  <c r="H698" i="8"/>
  <c r="F700" i="8"/>
  <c r="F703" i="8"/>
  <c r="B703" i="8"/>
  <c r="E701" i="8"/>
  <c r="K703" i="8"/>
  <c r="K699" i="8"/>
  <c r="C702" i="8"/>
  <c r="C703" i="8"/>
  <c r="E703" i="8"/>
  <c r="J699" i="8"/>
  <c r="G700" i="8"/>
  <c r="E697" i="8"/>
  <c r="J702" i="8"/>
  <c r="I701" i="8"/>
  <c r="F701" i="8"/>
  <c r="J700" i="8"/>
  <c r="D697" i="8"/>
  <c r="C697" i="8"/>
  <c r="K702" i="8"/>
  <c r="F697" i="8"/>
  <c r="G698" i="8"/>
  <c r="F698" i="8"/>
  <c r="B704" i="8"/>
  <c r="C699" i="8"/>
  <c r="I699" i="8"/>
  <c r="I702" i="8"/>
  <c r="C700" i="8"/>
  <c r="F699" i="8"/>
  <c r="H699" i="8"/>
  <c r="H704" i="8"/>
  <c r="K700" i="8"/>
  <c r="B699" i="8"/>
  <c r="F702" i="8"/>
  <c r="B702" i="8"/>
  <c r="D698" i="8"/>
  <c r="J703" i="8"/>
  <c r="E698" i="8"/>
  <c r="B698" i="8"/>
  <c r="I704" i="8"/>
  <c r="H700" i="8"/>
  <c r="G699" i="8"/>
  <c r="E699" i="8"/>
  <c r="D702" i="8"/>
  <c r="K697" i="8"/>
  <c r="E700" i="8"/>
  <c r="C704" i="8"/>
  <c r="B697" i="8"/>
  <c r="K698" i="8"/>
  <c r="G704" i="8"/>
  <c r="G703" i="8"/>
  <c r="H701" i="8"/>
  <c r="D704" i="8"/>
  <c r="G701" i="8"/>
  <c r="F704" i="8"/>
  <c r="I697" i="8"/>
  <c r="E702" i="8"/>
  <c r="H697" i="8"/>
  <c r="I703" i="8"/>
  <c r="I698" i="8"/>
  <c r="G697" i="8"/>
  <c r="D701" i="8"/>
  <c r="I700" i="8"/>
  <c r="J697" i="8"/>
  <c r="H702" i="8"/>
  <c r="D703" i="8"/>
  <c r="J704" i="8"/>
  <c r="G200" i="34"/>
  <c r="G245" i="6"/>
  <c r="G245" i="34" s="1"/>
  <c r="G195" i="34"/>
  <c r="G240" i="6"/>
  <c r="G240" i="34" s="1"/>
  <c r="F199" i="34"/>
  <c r="F244" i="6"/>
  <c r="F244" i="34" s="1"/>
  <c r="I195" i="34"/>
  <c r="I240" i="6"/>
  <c r="I240" i="34" s="1"/>
  <c r="J193" i="34"/>
  <c r="J238" i="6"/>
  <c r="J238" i="34" s="1"/>
  <c r="L200" i="34"/>
  <c r="L245" i="6"/>
  <c r="L245" i="34" s="1"/>
  <c r="L194" i="34"/>
  <c r="L239" i="6"/>
  <c r="L239" i="34" s="1"/>
  <c r="C197" i="34"/>
  <c r="C242" i="6"/>
  <c r="C242" i="34" s="1"/>
  <c r="J197" i="34"/>
  <c r="J242" i="6"/>
  <c r="J242" i="34" s="1"/>
  <c r="G199" i="34"/>
  <c r="G244" i="6"/>
  <c r="G244" i="34" s="1"/>
  <c r="C196" i="34"/>
  <c r="C241" i="6"/>
  <c r="C241" i="34" s="1"/>
  <c r="I200" i="34"/>
  <c r="I245" i="6"/>
  <c r="I245" i="34" s="1"/>
  <c r="H199" i="34"/>
  <c r="H244" i="6"/>
  <c r="H244" i="34" s="1"/>
  <c r="I197" i="34"/>
  <c r="I242" i="6"/>
  <c r="I242" i="34" s="1"/>
  <c r="E200" i="34"/>
  <c r="E245" i="6"/>
  <c r="E245" i="34" s="1"/>
  <c r="F197" i="34"/>
  <c r="F242" i="6"/>
  <c r="F242" i="34" s="1"/>
  <c r="D195" i="34"/>
  <c r="D240" i="6"/>
  <c r="D240" i="34" s="1"/>
  <c r="E193" i="34"/>
  <c r="E238" i="6"/>
  <c r="E238" i="34" s="1"/>
  <c r="D197" i="34"/>
  <c r="D242" i="6"/>
  <c r="D242" i="34" s="1"/>
  <c r="E198" i="34"/>
  <c r="E243" i="6"/>
  <c r="E243" i="34" s="1"/>
  <c r="C193" i="34"/>
  <c r="C238" i="6"/>
  <c r="H197" i="34"/>
  <c r="H242" i="6"/>
  <c r="H242" i="34" s="1"/>
  <c r="G196" i="34"/>
  <c r="G241" i="6"/>
  <c r="G241" i="34" s="1"/>
  <c r="J194" i="34"/>
  <c r="J239" i="6"/>
  <c r="J239" i="34" s="1"/>
  <c r="L195" i="34"/>
  <c r="L240" i="6"/>
  <c r="L240" i="34" s="1"/>
  <c r="D312" i="30"/>
  <c r="D321" i="30" s="1"/>
  <c r="L317" i="30"/>
  <c r="L326" i="30" s="1"/>
  <c r="L314" i="30"/>
  <c r="L323" i="30" s="1"/>
  <c r="E313" i="30"/>
  <c r="E322" i="30" s="1"/>
  <c r="G310" i="30"/>
  <c r="G319" i="30" s="1"/>
  <c r="D316" i="30"/>
  <c r="D325" i="30" s="1"/>
  <c r="C314" i="30"/>
  <c r="C323" i="30" s="1"/>
  <c r="H314" i="30"/>
  <c r="H323" i="30" s="1"/>
  <c r="D313" i="30"/>
  <c r="D322" i="30" s="1"/>
  <c r="K317" i="30"/>
  <c r="K326" i="30" s="1"/>
  <c r="I312" i="30"/>
  <c r="I321" i="30" s="1"/>
  <c r="I313" i="30"/>
  <c r="I322" i="30" s="1"/>
  <c r="L313" i="30"/>
  <c r="L322" i="30" s="1"/>
  <c r="F317" i="30"/>
  <c r="F326" i="30" s="1"/>
  <c r="G315" i="30"/>
  <c r="G324" i="30" s="1"/>
  <c r="I316" i="30"/>
  <c r="I325" i="30" s="1"/>
  <c r="D314" i="30"/>
  <c r="D323" i="30" s="1"/>
  <c r="J314" i="30"/>
  <c r="J323" i="30" s="1"/>
  <c r="L310" i="30"/>
  <c r="L319" i="30" s="1"/>
  <c r="I311" i="30"/>
  <c r="I320" i="30" s="1"/>
  <c r="K313" i="30"/>
  <c r="K322" i="30" s="1"/>
  <c r="G316" i="30"/>
  <c r="G325" i="30" s="1"/>
  <c r="H310" i="30"/>
  <c r="H319" i="30" s="1"/>
  <c r="K312" i="30"/>
  <c r="K321" i="30" s="1"/>
  <c r="H315" i="30"/>
  <c r="H324" i="30" s="1"/>
  <c r="I314" i="30"/>
  <c r="I323" i="30" s="1"/>
  <c r="E317" i="30"/>
  <c r="E326" i="30" s="1"/>
  <c r="K310" i="30"/>
  <c r="K319" i="30" s="1"/>
  <c r="F315" i="30"/>
  <c r="F324" i="30" s="1"/>
  <c r="D317" i="30"/>
  <c r="D326" i="30" s="1"/>
  <c r="G312" i="30"/>
  <c r="G321" i="30" s="1"/>
  <c r="J317" i="30"/>
  <c r="J326" i="30" s="1"/>
  <c r="F316" i="30"/>
  <c r="F325" i="30" s="1"/>
  <c r="L316" i="30"/>
  <c r="L325" i="30" s="1"/>
  <c r="E316" i="30"/>
  <c r="E325" i="30" s="1"/>
  <c r="C311" i="30"/>
  <c r="C320" i="30" s="1"/>
  <c r="I317" i="30"/>
  <c r="I326" i="30" s="1"/>
  <c r="D311" i="30"/>
  <c r="D320" i="30" s="1"/>
  <c r="J315" i="30"/>
  <c r="J324" i="30" s="1"/>
  <c r="L311" i="30"/>
  <c r="L320" i="30" s="1"/>
  <c r="I310" i="30"/>
  <c r="I319" i="30" s="1"/>
  <c r="F311" i="30"/>
  <c r="F320" i="30" s="1"/>
  <c r="K315" i="30"/>
  <c r="K324" i="30" s="1"/>
  <c r="F312" i="30"/>
  <c r="F321" i="30" s="1"/>
  <c r="H311" i="30"/>
  <c r="H320" i="30" s="1"/>
  <c r="C312" i="30"/>
  <c r="C321" i="30" s="1"/>
  <c r="J316" i="30"/>
  <c r="J325" i="30" s="1"/>
  <c r="C315" i="30"/>
  <c r="C324" i="30" s="1"/>
  <c r="C310" i="30"/>
  <c r="C319" i="30" s="1"/>
  <c r="C313" i="30"/>
  <c r="C322" i="30" s="1"/>
  <c r="H312" i="30"/>
  <c r="H321" i="30" s="1"/>
  <c r="H316" i="30"/>
  <c r="H325" i="30" s="1"/>
  <c r="F310" i="30"/>
  <c r="F319" i="30" s="1"/>
  <c r="K311" i="30"/>
  <c r="K320" i="30" s="1"/>
  <c r="L312" i="30"/>
  <c r="L321" i="30" s="1"/>
  <c r="E310" i="30"/>
  <c r="E319" i="30" s="1"/>
  <c r="D315" i="30"/>
  <c r="D324" i="30" s="1"/>
  <c r="J313" i="30"/>
  <c r="J322" i="30" s="1"/>
  <c r="F313" i="30"/>
  <c r="F322" i="30" s="1"/>
  <c r="H317" i="30"/>
  <c r="H326" i="30" s="1"/>
  <c r="D310" i="30"/>
  <c r="D319" i="30" s="1"/>
  <c r="K314" i="30"/>
  <c r="K323" i="30" s="1"/>
  <c r="J312" i="30"/>
  <c r="J321" i="30" s="1"/>
  <c r="L315" i="30"/>
  <c r="L324" i="30" s="1"/>
  <c r="I315" i="30"/>
  <c r="I324" i="30" s="1"/>
  <c r="E311" i="30"/>
  <c r="E320" i="30" s="1"/>
  <c r="C317" i="30"/>
  <c r="C326" i="30" s="1"/>
  <c r="G311" i="30"/>
  <c r="G320" i="30" s="1"/>
  <c r="G317" i="30"/>
  <c r="G326" i="30" s="1"/>
  <c r="G313" i="30"/>
  <c r="G322" i="30" s="1"/>
  <c r="K316" i="30"/>
  <c r="K325" i="30" s="1"/>
  <c r="J311" i="30"/>
  <c r="J320" i="30" s="1"/>
  <c r="E312" i="30"/>
  <c r="E321" i="30" s="1"/>
  <c r="C316" i="30"/>
  <c r="C325" i="30" s="1"/>
  <c r="H313" i="30"/>
  <c r="H322" i="30" s="1"/>
  <c r="E315" i="30"/>
  <c r="E324" i="30" s="1"/>
  <c r="F314" i="30"/>
  <c r="F323" i="30" s="1"/>
  <c r="E314" i="30"/>
  <c r="E323" i="30" s="1"/>
  <c r="G314" i="30"/>
  <c r="G323" i="30" s="1"/>
  <c r="J310" i="30"/>
  <c r="J319" i="30" s="1"/>
  <c r="G197" i="34"/>
  <c r="G242" i="6"/>
  <c r="G242" i="34" s="1"/>
  <c r="G198" i="34"/>
  <c r="G243" i="6"/>
  <c r="G243" i="34" s="1"/>
  <c r="H193" i="34"/>
  <c r="H238" i="6"/>
  <c r="H238" i="34" s="1"/>
  <c r="J195" i="34"/>
  <c r="J240" i="6"/>
  <c r="J240" i="34" s="1"/>
  <c r="D199" i="34"/>
  <c r="D244" i="6"/>
  <c r="D244" i="34" s="1"/>
  <c r="K200" i="34"/>
  <c r="K245" i="6"/>
  <c r="K245" i="34" s="1"/>
  <c r="F195" i="34"/>
  <c r="F240" i="6"/>
  <c r="F240" i="34" s="1"/>
  <c r="J200" i="34"/>
  <c r="J245" i="6"/>
  <c r="J245" i="34" s="1"/>
  <c r="H195" i="34"/>
  <c r="H240" i="6"/>
  <c r="H240" i="34" s="1"/>
  <c r="K199" i="34"/>
  <c r="K244" i="6"/>
  <c r="K244" i="34" s="1"/>
  <c r="K194" i="34"/>
  <c r="K239" i="6"/>
  <c r="K239" i="34" s="1"/>
  <c r="E195" i="34"/>
  <c r="E240" i="6"/>
  <c r="E240" i="34" s="1"/>
  <c r="C194" i="34"/>
  <c r="C239" i="6"/>
  <c r="C239" i="34" s="1"/>
  <c r="J196" i="34"/>
  <c r="J241" i="6"/>
  <c r="J241" i="34" s="1"/>
  <c r="F200" i="34"/>
  <c r="F245" i="6"/>
  <c r="F245" i="34" s="1"/>
  <c r="D193" i="34"/>
  <c r="D238" i="6"/>
  <c r="D238" i="34" s="1"/>
  <c r="G194" i="34"/>
  <c r="G239" i="6"/>
  <c r="G239" i="34" s="1"/>
  <c r="F194" i="34"/>
  <c r="F239" i="6"/>
  <c r="F239" i="34" s="1"/>
  <c r="C200" i="34"/>
  <c r="C245" i="6"/>
  <c r="C245" i="34" s="1"/>
  <c r="I193" i="34"/>
  <c r="I238" i="6"/>
  <c r="I238" i="34" s="1"/>
  <c r="F198" i="34"/>
  <c r="F243" i="6"/>
  <c r="F243" i="34" s="1"/>
  <c r="C199" i="34"/>
  <c r="C244" i="6"/>
  <c r="C244" i="34" s="1"/>
  <c r="K196" i="34"/>
  <c r="K241" i="6"/>
  <c r="K241" i="34" s="1"/>
  <c r="K193" i="34"/>
  <c r="K238" i="6"/>
  <c r="K238" i="34" s="1"/>
  <c r="I194" i="34"/>
  <c r="I239" i="6"/>
  <c r="I239" i="34" s="1"/>
  <c r="E199" i="34"/>
  <c r="E244" i="6"/>
  <c r="E244" i="34" s="1"/>
  <c r="K195" i="34"/>
  <c r="K240" i="6"/>
  <c r="K240" i="34" s="1"/>
  <c r="H194" i="34"/>
  <c r="H239" i="6"/>
  <c r="H239" i="34" s="1"/>
  <c r="I198" i="34"/>
  <c r="I243" i="6"/>
  <c r="I243" i="34" s="1"/>
  <c r="C198" i="34"/>
  <c r="C243" i="6"/>
  <c r="C243" i="34" s="1"/>
  <c r="L193" i="34"/>
  <c r="L238" i="6"/>
  <c r="L238" i="34" s="1"/>
  <c r="D196" i="34"/>
  <c r="D241" i="6"/>
  <c r="D241" i="34" s="1"/>
  <c r="O697" i="38"/>
  <c r="V697" i="38"/>
  <c r="X697" i="38"/>
  <c r="U703" i="8"/>
  <c r="W701" i="8"/>
  <c r="L703" i="8"/>
  <c r="T700" i="8"/>
  <c r="X702" i="8"/>
  <c r="P700" i="8"/>
  <c r="Q698" i="8"/>
  <c r="Q702" i="8"/>
  <c r="U701" i="8"/>
  <c r="V698" i="8"/>
  <c r="W697" i="38"/>
  <c r="Q697" i="38"/>
  <c r="L21" i="9"/>
  <c r="P698" i="8"/>
  <c r="L701" i="8"/>
  <c r="R701" i="8"/>
  <c r="E705" i="8"/>
  <c r="F705" i="8"/>
  <c r="S699" i="8"/>
  <c r="W703" i="8"/>
  <c r="K705" i="8"/>
  <c r="Q704" i="8"/>
  <c r="G705" i="8"/>
  <c r="O698" i="38"/>
  <c r="O701" i="38"/>
  <c r="R704" i="8"/>
  <c r="Q700" i="8"/>
  <c r="X703" i="8"/>
  <c r="W702" i="8"/>
  <c r="T698" i="8"/>
  <c r="U699" i="8"/>
  <c r="R698" i="8"/>
  <c r="R700" i="8"/>
  <c r="T701" i="8"/>
  <c r="Q701" i="8"/>
  <c r="S697" i="38"/>
  <c r="O700" i="38"/>
  <c r="T702" i="8"/>
  <c r="L700" i="8"/>
  <c r="X699" i="8"/>
  <c r="V701" i="8"/>
  <c r="S698" i="8"/>
  <c r="U704" i="8"/>
  <c r="L698" i="8"/>
  <c r="P704" i="8"/>
  <c r="S704" i="8"/>
  <c r="V700" i="8"/>
  <c r="T697" i="38"/>
  <c r="O704" i="38"/>
  <c r="X701" i="8"/>
  <c r="W698" i="8"/>
  <c r="P702" i="8"/>
  <c r="S701" i="8"/>
  <c r="L704" i="8"/>
  <c r="X700" i="8"/>
  <c r="V704" i="8"/>
  <c r="L697" i="8"/>
  <c r="B705" i="8"/>
  <c r="I705" i="8"/>
  <c r="J705" i="8"/>
  <c r="P697" i="38"/>
  <c r="O703" i="38"/>
  <c r="X704" i="8"/>
  <c r="U698" i="8"/>
  <c r="P703" i="8"/>
  <c r="W700" i="8"/>
  <c r="P699" i="8"/>
  <c r="L699" i="8"/>
  <c r="U700" i="8"/>
  <c r="X698" i="8"/>
  <c r="R702" i="8"/>
  <c r="U702" i="8"/>
  <c r="O702" i="38"/>
  <c r="U697" i="38"/>
  <c r="Q699" i="8"/>
  <c r="S700" i="8"/>
  <c r="R703" i="8"/>
  <c r="D705" i="8"/>
  <c r="V699" i="8"/>
  <c r="S702" i="8"/>
  <c r="T699" i="8"/>
  <c r="T704" i="8"/>
  <c r="H705" i="8"/>
  <c r="Q703" i="8"/>
  <c r="O699" i="38"/>
  <c r="R697" i="38"/>
  <c r="P701" i="8"/>
  <c r="S703" i="8"/>
  <c r="W699" i="8"/>
  <c r="C705" i="8"/>
  <c r="V702" i="8"/>
  <c r="L702" i="8"/>
  <c r="L705" i="8" s="1"/>
  <c r="R699" i="8"/>
  <c r="T703" i="8"/>
  <c r="V703" i="8"/>
  <c r="W704" i="8"/>
  <c r="L705" i="39" l="1"/>
  <c r="L702" i="39"/>
  <c r="H705" i="39"/>
  <c r="D705" i="39"/>
  <c r="L699" i="39"/>
  <c r="I705" i="39"/>
  <c r="L698" i="39"/>
  <c r="L700" i="39"/>
  <c r="C705" i="39"/>
  <c r="L703" i="39"/>
  <c r="J705" i="39"/>
  <c r="L706" i="8"/>
  <c r="B705" i="39"/>
  <c r="L697" i="39"/>
  <c r="L704" i="39"/>
  <c r="G705" i="39"/>
  <c r="K705" i="39"/>
  <c r="F705" i="39"/>
  <c r="E705" i="39"/>
  <c r="L701" i="39"/>
  <c r="Z321" i="30"/>
  <c r="L330" i="30"/>
  <c r="L339" i="30" s="1"/>
  <c r="L357" i="30" s="1"/>
  <c r="V319" i="30"/>
  <c r="H328" i="30"/>
  <c r="H337" i="30" s="1"/>
  <c r="H355" i="30" s="1"/>
  <c r="S323" i="30"/>
  <c r="E332" i="30"/>
  <c r="E341" i="30" s="1"/>
  <c r="E359" i="30" s="1"/>
  <c r="R320" i="30"/>
  <c r="D329" i="30"/>
  <c r="D338" i="30" s="1"/>
  <c r="D356" i="30" s="1"/>
  <c r="R325" i="30"/>
  <c r="D334" i="30"/>
  <c r="D343" i="30" s="1"/>
  <c r="D361" i="30" s="1"/>
  <c r="J704" i="39"/>
  <c r="B702" i="39"/>
  <c r="J699" i="39"/>
  <c r="R319" i="30"/>
  <c r="D328" i="30"/>
  <c r="D337" i="30" s="1"/>
  <c r="D355" i="30" s="1"/>
  <c r="W326" i="30"/>
  <c r="I335" i="30"/>
  <c r="I344" i="30" s="1"/>
  <c r="I362" i="30" s="1"/>
  <c r="T324" i="30"/>
  <c r="F333" i="30"/>
  <c r="F342" i="30" s="1"/>
  <c r="F360" i="30" s="1"/>
  <c r="Y322" i="30"/>
  <c r="K331" i="30"/>
  <c r="K340" i="30" s="1"/>
  <c r="K358" i="30" s="1"/>
  <c r="Z322" i="30"/>
  <c r="L331" i="30"/>
  <c r="L340" i="30" s="1"/>
  <c r="L358" i="30" s="1"/>
  <c r="U319" i="30"/>
  <c r="G328" i="30"/>
  <c r="G337" i="30" s="1"/>
  <c r="G355" i="30" s="1"/>
  <c r="D703" i="39"/>
  <c r="H697" i="39"/>
  <c r="G704" i="39"/>
  <c r="G699" i="39"/>
  <c r="F702" i="39"/>
  <c r="I699" i="39"/>
  <c r="D697" i="39"/>
  <c r="E703" i="39"/>
  <c r="F700" i="39"/>
  <c r="D699" i="39"/>
  <c r="S324" i="30"/>
  <c r="E333" i="30"/>
  <c r="E342" i="30" s="1"/>
  <c r="E360" i="30" s="1"/>
  <c r="U320" i="30"/>
  <c r="G329" i="30"/>
  <c r="G338" i="30" s="1"/>
  <c r="G356" i="30" s="1"/>
  <c r="V326" i="30"/>
  <c r="H335" i="30"/>
  <c r="H344" i="30" s="1"/>
  <c r="H362" i="30" s="1"/>
  <c r="V325" i="30"/>
  <c r="H334" i="30"/>
  <c r="H343" i="30" s="1"/>
  <c r="H361" i="30" s="1"/>
  <c r="T321" i="30"/>
  <c r="F330" i="30"/>
  <c r="F339" i="30" s="1"/>
  <c r="F357" i="30" s="1"/>
  <c r="Q320" i="30"/>
  <c r="C329" i="30"/>
  <c r="C338" i="30" s="1"/>
  <c r="C356" i="30" s="1"/>
  <c r="Y319" i="30"/>
  <c r="K328" i="30"/>
  <c r="K337" i="30" s="1"/>
  <c r="K355" i="30" s="1"/>
  <c r="W320" i="30"/>
  <c r="I329" i="30"/>
  <c r="I338" i="30" s="1"/>
  <c r="I356" i="30" s="1"/>
  <c r="W322" i="30"/>
  <c r="I331" i="30"/>
  <c r="I340" i="30" s="1"/>
  <c r="I358" i="30" s="1"/>
  <c r="S322" i="30"/>
  <c r="E331" i="30"/>
  <c r="E340" i="30" s="1"/>
  <c r="E358" i="30" s="1"/>
  <c r="H702" i="39"/>
  <c r="E702" i="39"/>
  <c r="K698" i="39"/>
  <c r="H700" i="39"/>
  <c r="B699" i="39"/>
  <c r="C699" i="39"/>
  <c r="J700" i="39"/>
  <c r="C703" i="39"/>
  <c r="H698" i="39"/>
  <c r="K704" i="39"/>
  <c r="X321" i="30"/>
  <c r="J330" i="30"/>
  <c r="J339" i="30" s="1"/>
  <c r="J357" i="30" s="1"/>
  <c r="U321" i="30"/>
  <c r="G330" i="30"/>
  <c r="G339" i="30" s="1"/>
  <c r="G357" i="30" s="1"/>
  <c r="Y323" i="30"/>
  <c r="K332" i="30"/>
  <c r="K341" i="30" s="1"/>
  <c r="K359" i="30" s="1"/>
  <c r="U325" i="30"/>
  <c r="G334" i="30"/>
  <c r="G343" i="30" s="1"/>
  <c r="G361" i="30" s="1"/>
  <c r="C701" i="39"/>
  <c r="V320" i="30"/>
  <c r="H329" i="30"/>
  <c r="H338" i="30" s="1"/>
  <c r="H356" i="30" s="1"/>
  <c r="Y324" i="30"/>
  <c r="K333" i="30"/>
  <c r="K342" i="30" s="1"/>
  <c r="K360" i="30" s="1"/>
  <c r="Z323" i="30"/>
  <c r="L332" i="30"/>
  <c r="L341" i="30" s="1"/>
  <c r="L359" i="30" s="1"/>
  <c r="I697" i="39"/>
  <c r="F701" i="39"/>
  <c r="Q322" i="30"/>
  <c r="C331" i="30"/>
  <c r="C340" i="30" s="1"/>
  <c r="C358" i="30" s="1"/>
  <c r="T320" i="30"/>
  <c r="F329" i="30"/>
  <c r="F338" i="30" s="1"/>
  <c r="F356" i="30" s="1"/>
  <c r="Z325" i="30"/>
  <c r="L334" i="30"/>
  <c r="L343" i="30" s="1"/>
  <c r="L361" i="30" s="1"/>
  <c r="W323" i="30"/>
  <c r="I332" i="30"/>
  <c r="I341" i="30" s="1"/>
  <c r="I359" i="30" s="1"/>
  <c r="X323" i="30"/>
  <c r="J332" i="30"/>
  <c r="J341" i="30" s="1"/>
  <c r="J359" i="30" s="1"/>
  <c r="Y326" i="30"/>
  <c r="K335" i="30"/>
  <c r="K344" i="30" s="1"/>
  <c r="K362" i="30" s="1"/>
  <c r="Z326" i="30"/>
  <c r="L335" i="30"/>
  <c r="L344" i="30" s="1"/>
  <c r="L362" i="30" s="1"/>
  <c r="I700" i="39"/>
  <c r="F704" i="39"/>
  <c r="C704" i="39"/>
  <c r="B698" i="39"/>
  <c r="H704" i="39"/>
  <c r="F698" i="39"/>
  <c r="I701" i="39"/>
  <c r="K699" i="39"/>
  <c r="B700" i="39"/>
  <c r="G702" i="39"/>
  <c r="U323" i="30"/>
  <c r="G332" i="30"/>
  <c r="G341" i="30" s="1"/>
  <c r="G359" i="30" s="1"/>
  <c r="X325" i="30"/>
  <c r="J334" i="30"/>
  <c r="J343" i="30" s="1"/>
  <c r="J361" i="30" s="1"/>
  <c r="U324" i="30"/>
  <c r="G333" i="30"/>
  <c r="G342" i="30" s="1"/>
  <c r="G360" i="30" s="1"/>
  <c r="U322" i="30"/>
  <c r="G331" i="30"/>
  <c r="G340" i="30" s="1"/>
  <c r="G358" i="30" s="1"/>
  <c r="Q321" i="30"/>
  <c r="C330" i="30"/>
  <c r="C339" i="30" s="1"/>
  <c r="C357" i="30" s="1"/>
  <c r="T326" i="30"/>
  <c r="F335" i="30"/>
  <c r="F344" i="30" s="1"/>
  <c r="F362" i="30" s="1"/>
  <c r="I703" i="39"/>
  <c r="G703" i="39"/>
  <c r="E699" i="39"/>
  <c r="I702" i="39"/>
  <c r="C697" i="39"/>
  <c r="F703" i="39"/>
  <c r="U326" i="30"/>
  <c r="G335" i="30"/>
  <c r="G344" i="30" s="1"/>
  <c r="G362" i="30" s="1"/>
  <c r="V322" i="30"/>
  <c r="H331" i="30"/>
  <c r="H340" i="30" s="1"/>
  <c r="H358" i="30" s="1"/>
  <c r="T322" i="30"/>
  <c r="F331" i="30"/>
  <c r="F340" i="30" s="1"/>
  <c r="F358" i="30" s="1"/>
  <c r="S325" i="30"/>
  <c r="E334" i="30"/>
  <c r="E343" i="30" s="1"/>
  <c r="E361" i="30" s="1"/>
  <c r="Z319" i="30"/>
  <c r="L328" i="30"/>
  <c r="L337" i="30" s="1"/>
  <c r="L355" i="30" s="1"/>
  <c r="Q325" i="30"/>
  <c r="C334" i="30"/>
  <c r="C343" i="30" s="1"/>
  <c r="C361" i="30" s="1"/>
  <c r="X322" i="30"/>
  <c r="J331" i="30"/>
  <c r="J340" i="30" s="1"/>
  <c r="J358" i="30" s="1"/>
  <c r="S321" i="30"/>
  <c r="E330" i="30"/>
  <c r="E339" i="30" s="1"/>
  <c r="E357" i="30" s="1"/>
  <c r="W324" i="30"/>
  <c r="I333" i="30"/>
  <c r="I342" i="30" s="1"/>
  <c r="I360" i="30" s="1"/>
  <c r="R324" i="30"/>
  <c r="D333" i="30"/>
  <c r="D342" i="30" s="1"/>
  <c r="D360" i="30" s="1"/>
  <c r="Q319" i="30"/>
  <c r="C328" i="30"/>
  <c r="W319" i="30"/>
  <c r="I328" i="30"/>
  <c r="I337" i="30" s="1"/>
  <c r="I355" i="30" s="1"/>
  <c r="T325" i="30"/>
  <c r="F334" i="30"/>
  <c r="F343" i="30" s="1"/>
  <c r="F361" i="30" s="1"/>
  <c r="V324" i="30"/>
  <c r="H333" i="30"/>
  <c r="H342" i="30" s="1"/>
  <c r="H360" i="30" s="1"/>
  <c r="R323" i="30"/>
  <c r="D332" i="30"/>
  <c r="D341" i="30" s="1"/>
  <c r="D359" i="30" s="1"/>
  <c r="R322" i="30"/>
  <c r="D331" i="30"/>
  <c r="D340" i="30" s="1"/>
  <c r="D358" i="30" s="1"/>
  <c r="R321" i="30"/>
  <c r="D330" i="30"/>
  <c r="D339" i="30" s="1"/>
  <c r="D357" i="30" s="1"/>
  <c r="D701" i="39"/>
  <c r="G701" i="39"/>
  <c r="E700" i="39"/>
  <c r="E698" i="39"/>
  <c r="H699" i="39"/>
  <c r="G698" i="39"/>
  <c r="J702" i="39"/>
  <c r="K703" i="39"/>
  <c r="D700" i="39"/>
  <c r="E704" i="39"/>
  <c r="Y325" i="30"/>
  <c r="K334" i="30"/>
  <c r="K343" i="30" s="1"/>
  <c r="K361" i="30" s="1"/>
  <c r="X324" i="30"/>
  <c r="J333" i="30"/>
  <c r="J342" i="30" s="1"/>
  <c r="J360" i="30" s="1"/>
  <c r="Q323" i="30"/>
  <c r="C332" i="30"/>
  <c r="C341" i="30" s="1"/>
  <c r="C359" i="30" s="1"/>
  <c r="I698" i="39"/>
  <c r="H701" i="39"/>
  <c r="D702" i="39"/>
  <c r="D698" i="39"/>
  <c r="C700" i="39"/>
  <c r="K702" i="39"/>
  <c r="G700" i="39"/>
  <c r="B703" i="39"/>
  <c r="J701" i="39"/>
  <c r="H703" i="39"/>
  <c r="Y320" i="30"/>
  <c r="K329" i="30"/>
  <c r="K338" i="30" s="1"/>
  <c r="K356" i="30" s="1"/>
  <c r="R326" i="30"/>
  <c r="D335" i="30"/>
  <c r="D344" i="30" s="1"/>
  <c r="D362" i="30" s="1"/>
  <c r="T323" i="30"/>
  <c r="F332" i="30"/>
  <c r="F341" i="30" s="1"/>
  <c r="F359" i="30" s="1"/>
  <c r="T319" i="30"/>
  <c r="F328" i="30"/>
  <c r="F337" i="30" s="1"/>
  <c r="F355" i="30" s="1"/>
  <c r="Q326" i="30"/>
  <c r="C335" i="30"/>
  <c r="C344" i="30" s="1"/>
  <c r="C362" i="30" s="1"/>
  <c r="V321" i="30"/>
  <c r="H330" i="30"/>
  <c r="H339" i="30" s="1"/>
  <c r="H357" i="30" s="1"/>
  <c r="S326" i="30"/>
  <c r="E335" i="30"/>
  <c r="E344" i="30" s="1"/>
  <c r="E362" i="30" s="1"/>
  <c r="W321" i="30"/>
  <c r="I330" i="30"/>
  <c r="I339" i="30" s="1"/>
  <c r="I357" i="30" s="1"/>
  <c r="J697" i="39"/>
  <c r="B697" i="39"/>
  <c r="I704" i="39"/>
  <c r="K700" i="39"/>
  <c r="B704" i="39"/>
  <c r="C702" i="39"/>
  <c r="J698" i="39"/>
  <c r="K701" i="39"/>
  <c r="S320" i="30"/>
  <c r="E329" i="30"/>
  <c r="E338" i="30" s="1"/>
  <c r="E356" i="30" s="1"/>
  <c r="X319" i="30"/>
  <c r="J328" i="30"/>
  <c r="J337" i="30" s="1"/>
  <c r="J355" i="30" s="1"/>
  <c r="X320" i="30"/>
  <c r="J329" i="30"/>
  <c r="J338" i="30" s="1"/>
  <c r="J356" i="30" s="1"/>
  <c r="Z324" i="30"/>
  <c r="L333" i="30"/>
  <c r="L342" i="30" s="1"/>
  <c r="L360" i="30" s="1"/>
  <c r="S319" i="30"/>
  <c r="E328" i="30"/>
  <c r="E337" i="30" s="1"/>
  <c r="E355" i="30" s="1"/>
  <c r="Q324" i="30"/>
  <c r="C333" i="30"/>
  <c r="C342" i="30" s="1"/>
  <c r="C360" i="30" s="1"/>
  <c r="Z320" i="30"/>
  <c r="L329" i="30"/>
  <c r="L338" i="30" s="1"/>
  <c r="L356" i="30" s="1"/>
  <c r="X326" i="30"/>
  <c r="J335" i="30"/>
  <c r="J344" i="30" s="1"/>
  <c r="J362" i="30" s="1"/>
  <c r="Y321" i="30"/>
  <c r="K330" i="30"/>
  <c r="K339" i="30" s="1"/>
  <c r="K357" i="30" s="1"/>
  <c r="W325" i="30"/>
  <c r="I334" i="30"/>
  <c r="I343" i="30" s="1"/>
  <c r="I361" i="30" s="1"/>
  <c r="V323" i="30"/>
  <c r="H332" i="30"/>
  <c r="H341" i="30" s="1"/>
  <c r="H359" i="30" s="1"/>
  <c r="I253" i="6"/>
  <c r="D249" i="6"/>
  <c r="H249" i="6"/>
  <c r="L254" i="6"/>
  <c r="D247" i="6"/>
  <c r="G254" i="6"/>
  <c r="D254" i="6"/>
  <c r="F254" i="6"/>
  <c r="K248" i="6"/>
  <c r="C249" i="6"/>
  <c r="C238" i="34"/>
  <c r="E251" i="6"/>
  <c r="H254" i="6"/>
  <c r="G249" i="6"/>
  <c r="D251" i="6"/>
  <c r="G250" i="6"/>
  <c r="K254" i="6"/>
  <c r="L253" i="6"/>
  <c r="E250" i="6"/>
  <c r="K249" i="6"/>
  <c r="D250" i="6"/>
  <c r="C250" i="6"/>
  <c r="I251" i="6"/>
  <c r="F253" i="6"/>
  <c r="I250" i="6"/>
  <c r="C247" i="6"/>
  <c r="C251" i="6"/>
  <c r="L248" i="6"/>
  <c r="C252" i="6"/>
  <c r="J248" i="6"/>
  <c r="J250" i="6"/>
  <c r="I247" i="6"/>
  <c r="E254" i="6"/>
  <c r="F247" i="6"/>
  <c r="K247" i="6"/>
  <c r="F251" i="6"/>
  <c r="L247" i="6"/>
  <c r="K253" i="6"/>
  <c r="D248" i="6"/>
  <c r="E249" i="6"/>
  <c r="J254" i="6"/>
  <c r="F250" i="6"/>
  <c r="G251" i="6"/>
  <c r="D253" i="6"/>
  <c r="E248" i="6"/>
  <c r="G253" i="6"/>
  <c r="E252" i="6"/>
  <c r="F252" i="6"/>
  <c r="J249" i="6"/>
  <c r="E253" i="6"/>
  <c r="K252" i="6"/>
  <c r="H250" i="6"/>
  <c r="D252" i="6"/>
  <c r="F248" i="6"/>
  <c r="G247" i="6"/>
  <c r="I254" i="6"/>
  <c r="G248" i="6"/>
  <c r="J247" i="6"/>
  <c r="J253" i="6"/>
  <c r="E247" i="6"/>
  <c r="I249" i="6"/>
  <c r="I252" i="6"/>
  <c r="I248" i="6"/>
  <c r="J252" i="6"/>
  <c r="H247" i="6"/>
  <c r="L251" i="6"/>
  <c r="K251" i="6"/>
  <c r="H248" i="6"/>
  <c r="L249" i="6"/>
  <c r="J251" i="6"/>
  <c r="C248" i="6"/>
  <c r="F249" i="6"/>
  <c r="H252" i="6"/>
  <c r="K250" i="6"/>
  <c r="G252" i="6"/>
  <c r="H253" i="6"/>
  <c r="L252" i="6"/>
  <c r="L250" i="6"/>
  <c r="C253" i="6"/>
  <c r="C254" i="6"/>
  <c r="H251" i="6"/>
  <c r="G697" i="39"/>
  <c r="D704" i="39"/>
  <c r="K697" i="39"/>
  <c r="J703" i="39"/>
  <c r="F699" i="39"/>
  <c r="F697" i="39"/>
  <c r="E697" i="39"/>
  <c r="E701" i="39"/>
  <c r="B701" i="39"/>
  <c r="C698" i="39"/>
  <c r="O702" i="8"/>
  <c r="O704" i="8"/>
  <c r="O703" i="8"/>
  <c r="P697" i="8"/>
  <c r="O698" i="8"/>
  <c r="U697" i="8"/>
  <c r="O700" i="8"/>
  <c r="S697" i="8"/>
  <c r="Q697" i="8"/>
  <c r="T697" i="8"/>
  <c r="W697" i="8"/>
  <c r="R697" i="8"/>
  <c r="O699" i="8"/>
  <c r="X697" i="8"/>
  <c r="L10" i="9"/>
  <c r="V697" i="8"/>
  <c r="O697" i="8"/>
  <c r="O701" i="8"/>
  <c r="L250" i="34" l="1"/>
  <c r="L259" i="6"/>
  <c r="K262" i="6"/>
  <c r="K253" i="34"/>
  <c r="G254" i="34"/>
  <c r="G263" i="6"/>
  <c r="D261" i="6"/>
  <c r="D252" i="34"/>
  <c r="D250" i="34"/>
  <c r="D259" i="6"/>
  <c r="H262" i="6"/>
  <c r="H253" i="34"/>
  <c r="D253" i="34"/>
  <c r="D262" i="6"/>
  <c r="F251" i="34"/>
  <c r="F260" i="6"/>
  <c r="L248" i="34"/>
  <c r="L257" i="6"/>
  <c r="K249" i="34"/>
  <c r="K258" i="6"/>
  <c r="E251" i="34"/>
  <c r="E260" i="6"/>
  <c r="L263" i="6"/>
  <c r="L254" i="34"/>
  <c r="C337" i="30"/>
  <c r="C355" i="30" s="1"/>
  <c r="C364" i="30" s="1" a="1"/>
  <c r="G252" i="34"/>
  <c r="G261" i="6"/>
  <c r="K251" i="34"/>
  <c r="K260" i="6"/>
  <c r="J262" i="6"/>
  <c r="J253" i="34"/>
  <c r="K261" i="6"/>
  <c r="K252" i="34"/>
  <c r="G251" i="34"/>
  <c r="G260" i="6"/>
  <c r="K256" i="6"/>
  <c r="K247" i="34"/>
  <c r="C251" i="34"/>
  <c r="C260" i="6"/>
  <c r="E250" i="34"/>
  <c r="E259" i="6"/>
  <c r="H249" i="34"/>
  <c r="H258" i="6"/>
  <c r="AA326" i="30"/>
  <c r="AA319" i="30"/>
  <c r="I252" i="34"/>
  <c r="I261" i="6"/>
  <c r="J257" i="6"/>
  <c r="J248" i="34"/>
  <c r="I258" i="6"/>
  <c r="I249" i="34"/>
  <c r="C252" i="34"/>
  <c r="C261" i="6"/>
  <c r="H259" i="6"/>
  <c r="H250" i="34"/>
  <c r="F250" i="34"/>
  <c r="F259" i="6"/>
  <c r="L262" i="6"/>
  <c r="L253" i="34"/>
  <c r="H251" i="34"/>
  <c r="H260" i="6"/>
  <c r="J249" i="34"/>
  <c r="J258" i="6"/>
  <c r="J263" i="6"/>
  <c r="J254" i="34"/>
  <c r="E254" i="34"/>
  <c r="E263" i="6"/>
  <c r="I259" i="6"/>
  <c r="I250" i="34"/>
  <c r="K254" i="34"/>
  <c r="K263" i="6"/>
  <c r="K257" i="6"/>
  <c r="K248" i="34"/>
  <c r="I262" i="6"/>
  <c r="I253" i="34"/>
  <c r="AA325" i="30"/>
  <c r="J251" i="34"/>
  <c r="J260" i="6"/>
  <c r="G262" i="6"/>
  <c r="G253" i="34"/>
  <c r="G249" i="34"/>
  <c r="G258" i="6"/>
  <c r="L261" i="6"/>
  <c r="L252" i="34"/>
  <c r="E257" i="6"/>
  <c r="E248" i="34"/>
  <c r="D256" i="6"/>
  <c r="D247" i="34"/>
  <c r="AA321" i="30"/>
  <c r="AA322" i="30"/>
  <c r="H248" i="34"/>
  <c r="H257" i="6"/>
  <c r="K250" i="34"/>
  <c r="K259" i="6"/>
  <c r="J247" i="34"/>
  <c r="J256" i="6"/>
  <c r="F256" i="6"/>
  <c r="F247" i="34"/>
  <c r="D258" i="6"/>
  <c r="D249" i="34"/>
  <c r="L706" i="39"/>
  <c r="H256" i="6"/>
  <c r="H247" i="34"/>
  <c r="C254" i="34"/>
  <c r="C263" i="6"/>
  <c r="F258" i="6"/>
  <c r="F249" i="34"/>
  <c r="J261" i="6"/>
  <c r="J252" i="34"/>
  <c r="I254" i="34"/>
  <c r="I263" i="6"/>
  <c r="F261" i="6"/>
  <c r="F252" i="34"/>
  <c r="E258" i="6"/>
  <c r="E249" i="34"/>
  <c r="I256" i="6"/>
  <c r="I247" i="34"/>
  <c r="F253" i="34"/>
  <c r="F262" i="6"/>
  <c r="G259" i="6"/>
  <c r="G250" i="34"/>
  <c r="F254" i="34"/>
  <c r="F263" i="6"/>
  <c r="AA320" i="30"/>
  <c r="F248" i="34"/>
  <c r="F257" i="6"/>
  <c r="C259" i="6"/>
  <c r="C250" i="34"/>
  <c r="L258" i="6"/>
  <c r="L249" i="34"/>
  <c r="L247" i="34"/>
  <c r="L256" i="6"/>
  <c r="H263" i="6"/>
  <c r="H254" i="34"/>
  <c r="AA324" i="30"/>
  <c r="E256" i="6"/>
  <c r="E247" i="34"/>
  <c r="L251" i="34"/>
  <c r="L260" i="6"/>
  <c r="E262" i="6"/>
  <c r="E253" i="34"/>
  <c r="C256" i="6"/>
  <c r="C247" i="34"/>
  <c r="C258" i="6"/>
  <c r="C249" i="34"/>
  <c r="H261" i="6"/>
  <c r="H252" i="34"/>
  <c r="G257" i="6"/>
  <c r="G248" i="34"/>
  <c r="C262" i="6"/>
  <c r="C253" i="34"/>
  <c r="C248" i="34"/>
  <c r="C257" i="6"/>
  <c r="I248" i="34"/>
  <c r="I257" i="6"/>
  <c r="G247" i="34"/>
  <c r="G256" i="6"/>
  <c r="E261" i="6"/>
  <c r="E252" i="34"/>
  <c r="D257" i="6"/>
  <c r="D248" i="34"/>
  <c r="J259" i="6"/>
  <c r="J250" i="34"/>
  <c r="I260" i="6"/>
  <c r="I251" i="34"/>
  <c r="D251" i="34"/>
  <c r="D260" i="6"/>
  <c r="D254" i="34"/>
  <c r="D263" i="6"/>
  <c r="AA323" i="30"/>
  <c r="AA327" i="30"/>
  <c r="L32" i="9"/>
  <c r="I272" i="6" l="1"/>
  <c r="I263" i="34"/>
  <c r="K272" i="6"/>
  <c r="K263" i="34"/>
  <c r="F260" i="34"/>
  <c r="F269" i="6"/>
  <c r="F266" i="6"/>
  <c r="F257" i="34"/>
  <c r="J260" i="34"/>
  <c r="J269" i="6"/>
  <c r="D261" i="34"/>
  <c r="D270" i="6"/>
  <c r="E257" i="34"/>
  <c r="E266" i="6"/>
  <c r="H269" i="6"/>
  <c r="H260" i="34"/>
  <c r="C270" i="6"/>
  <c r="C261" i="34"/>
  <c r="K260" i="34"/>
  <c r="K269" i="6"/>
  <c r="E260" i="34"/>
  <c r="E269" i="6"/>
  <c r="D271" i="6"/>
  <c r="D262" i="34"/>
  <c r="G272" i="6"/>
  <c r="G263" i="34"/>
  <c r="I269" i="6"/>
  <c r="I260" i="34"/>
  <c r="G266" i="6"/>
  <c r="G257" i="34"/>
  <c r="E262" i="34"/>
  <c r="E271" i="6"/>
  <c r="L265" i="6"/>
  <c r="L256" i="34"/>
  <c r="I265" i="6"/>
  <c r="I256" i="34"/>
  <c r="J261" i="34"/>
  <c r="J270" i="6"/>
  <c r="H266" i="6"/>
  <c r="H257" i="34"/>
  <c r="I268" i="6"/>
  <c r="I259" i="34"/>
  <c r="K256" i="34"/>
  <c r="K265" i="6"/>
  <c r="D269" i="6"/>
  <c r="D260" i="34"/>
  <c r="J258" i="34"/>
  <c r="J267" i="6"/>
  <c r="C256" i="34"/>
  <c r="C265" i="6"/>
  <c r="J271" i="6"/>
  <c r="J262" i="34"/>
  <c r="I257" i="34"/>
  <c r="I266" i="6"/>
  <c r="E272" i="6"/>
  <c r="E263" i="34"/>
  <c r="J268" i="6"/>
  <c r="J259" i="34"/>
  <c r="F258" i="34"/>
  <c r="F267" i="6"/>
  <c r="G258" i="34"/>
  <c r="G267" i="6"/>
  <c r="I271" i="6"/>
  <c r="I262" i="34"/>
  <c r="L271" i="6"/>
  <c r="L262" i="34"/>
  <c r="I267" i="6"/>
  <c r="I258" i="34"/>
  <c r="H271" i="6"/>
  <c r="H262" i="34"/>
  <c r="K271" i="6"/>
  <c r="K262" i="34"/>
  <c r="F262" i="34"/>
  <c r="F271" i="6"/>
  <c r="G262" i="34"/>
  <c r="G271" i="6"/>
  <c r="C260" i="34"/>
  <c r="C269" i="6"/>
  <c r="C271" i="6"/>
  <c r="C262" i="34"/>
  <c r="K268" i="6"/>
  <c r="K259" i="34"/>
  <c r="L263" i="34"/>
  <c r="L272" i="6"/>
  <c r="H263" i="34"/>
  <c r="H272" i="6"/>
  <c r="F272" i="6"/>
  <c r="F263" i="34"/>
  <c r="D267" i="6"/>
  <c r="D258" i="34"/>
  <c r="H267" i="6"/>
  <c r="H258" i="34"/>
  <c r="G261" i="34"/>
  <c r="G270" i="6"/>
  <c r="H261" i="34"/>
  <c r="H270" i="6"/>
  <c r="D263" i="34"/>
  <c r="D272" i="6"/>
  <c r="C257" i="34"/>
  <c r="C266" i="6"/>
  <c r="L267" i="6"/>
  <c r="L258" i="34"/>
  <c r="C272" i="6"/>
  <c r="C263" i="34"/>
  <c r="F256" i="34"/>
  <c r="F265" i="6"/>
  <c r="F268" i="6"/>
  <c r="F259" i="34"/>
  <c r="E259" i="34"/>
  <c r="E268" i="6"/>
  <c r="C371" i="30"/>
  <c r="D371" i="30" s="1"/>
  <c r="E371" i="30" s="1"/>
  <c r="F371" i="30" s="1"/>
  <c r="G371" i="30" s="1"/>
  <c r="H371" i="30" s="1"/>
  <c r="I371" i="30" s="1"/>
  <c r="J371" i="30" s="1"/>
  <c r="K371" i="30" s="1"/>
  <c r="L371" i="30" s="1"/>
  <c r="C365" i="30"/>
  <c r="D365" i="30" s="1"/>
  <c r="E365" i="30" s="1"/>
  <c r="F365" i="30" s="1"/>
  <c r="G365" i="30" s="1"/>
  <c r="H365" i="30" s="1"/>
  <c r="I365" i="30" s="1"/>
  <c r="J365" i="30" s="1"/>
  <c r="K365" i="30" s="1"/>
  <c r="L365" i="30" s="1"/>
  <c r="C367" i="30"/>
  <c r="D367" i="30" s="1"/>
  <c r="E367" i="30" s="1"/>
  <c r="F367" i="30" s="1"/>
  <c r="G367" i="30" s="1"/>
  <c r="H367" i="30" s="1"/>
  <c r="I367" i="30" s="1"/>
  <c r="J367" i="30" s="1"/>
  <c r="K367" i="30" s="1"/>
  <c r="L367" i="30" s="1"/>
  <c r="C370" i="30"/>
  <c r="D370" i="30" s="1"/>
  <c r="E370" i="30" s="1"/>
  <c r="F370" i="30" s="1"/>
  <c r="G370" i="30" s="1"/>
  <c r="H370" i="30" s="1"/>
  <c r="I370" i="30" s="1"/>
  <c r="J370" i="30" s="1"/>
  <c r="K370" i="30" s="1"/>
  <c r="L370" i="30" s="1"/>
  <c r="C366" i="30"/>
  <c r="D366" i="30" s="1"/>
  <c r="E366" i="30" s="1"/>
  <c r="F366" i="30" s="1"/>
  <c r="G366" i="30" s="1"/>
  <c r="H366" i="30" s="1"/>
  <c r="I366" i="30" s="1"/>
  <c r="J366" i="30" s="1"/>
  <c r="K366" i="30" s="1"/>
  <c r="L366" i="30" s="1"/>
  <c r="C368" i="30"/>
  <c r="D368" i="30" s="1"/>
  <c r="E368" i="30" s="1"/>
  <c r="F368" i="30" s="1"/>
  <c r="G368" i="30" s="1"/>
  <c r="H368" i="30" s="1"/>
  <c r="I368" i="30" s="1"/>
  <c r="J368" i="30" s="1"/>
  <c r="K368" i="30" s="1"/>
  <c r="L368" i="30" s="1"/>
  <c r="C369" i="30"/>
  <c r="D369" i="30" s="1"/>
  <c r="E369" i="30" s="1"/>
  <c r="F369" i="30" s="1"/>
  <c r="G369" i="30" s="1"/>
  <c r="H369" i="30" s="1"/>
  <c r="I369" i="30" s="1"/>
  <c r="J369" i="30" s="1"/>
  <c r="K369" i="30" s="1"/>
  <c r="L369" i="30" s="1"/>
  <c r="C364" i="30"/>
  <c r="L257" i="34"/>
  <c r="L266" i="6"/>
  <c r="D268" i="6"/>
  <c r="D259" i="34"/>
  <c r="L259" i="34"/>
  <c r="L268" i="6"/>
  <c r="C268" i="6"/>
  <c r="C259" i="34"/>
  <c r="D265" i="6"/>
  <c r="D256" i="34"/>
  <c r="I270" i="6"/>
  <c r="I261" i="34"/>
  <c r="E270" i="6"/>
  <c r="E261" i="34"/>
  <c r="H265" i="6"/>
  <c r="H256" i="34"/>
  <c r="H268" i="6"/>
  <c r="H259" i="34"/>
  <c r="G265" i="6"/>
  <c r="G256" i="34"/>
  <c r="L260" i="34"/>
  <c r="L269" i="6"/>
  <c r="L270" i="6"/>
  <c r="L261" i="34"/>
  <c r="G260" i="34"/>
  <c r="G269" i="6"/>
  <c r="K267" i="6"/>
  <c r="K258" i="34"/>
  <c r="E258" i="34"/>
  <c r="E267" i="6"/>
  <c r="D266" i="6"/>
  <c r="D257" i="34"/>
  <c r="C267" i="6"/>
  <c r="C258" i="34"/>
  <c r="E265" i="6"/>
  <c r="E256" i="34"/>
  <c r="G259" i="34"/>
  <c r="G268" i="6"/>
  <c r="F270" i="6"/>
  <c r="F261" i="34"/>
  <c r="J256" i="34"/>
  <c r="J265" i="6"/>
  <c r="K257" i="34"/>
  <c r="K266" i="6"/>
  <c r="J272" i="6"/>
  <c r="J263" i="34"/>
  <c r="J257" i="34"/>
  <c r="J266" i="6"/>
  <c r="K270" i="6"/>
  <c r="K261" i="34"/>
  <c r="L37" i="9"/>
  <c r="J268" i="34" l="1"/>
  <c r="X268" i="6"/>
  <c r="J277" i="6"/>
  <c r="Z265" i="6"/>
  <c r="L265" i="34"/>
  <c r="L274" i="6"/>
  <c r="X265" i="6"/>
  <c r="J265" i="34"/>
  <c r="J274" i="6"/>
  <c r="U269" i="6"/>
  <c r="G269" i="34"/>
  <c r="G278" i="6"/>
  <c r="C267" i="34"/>
  <c r="Q267" i="6"/>
  <c r="C276" i="6"/>
  <c r="D265" i="34"/>
  <c r="R265" i="6"/>
  <c r="D274" i="6"/>
  <c r="I271" i="34"/>
  <c r="W271" i="6"/>
  <c r="I280" i="6"/>
  <c r="H266" i="34"/>
  <c r="V266" i="6"/>
  <c r="H275" i="6"/>
  <c r="D271" i="34"/>
  <c r="R271" i="6"/>
  <c r="D280" i="6"/>
  <c r="U270" i="6"/>
  <c r="G270" i="34"/>
  <c r="G279" i="6"/>
  <c r="S269" i="6"/>
  <c r="E269" i="34"/>
  <c r="E278" i="6"/>
  <c r="L267" i="34"/>
  <c r="Z267" i="6"/>
  <c r="L276" i="6"/>
  <c r="H271" i="34"/>
  <c r="V271" i="6"/>
  <c r="H280" i="6"/>
  <c r="D269" i="34"/>
  <c r="R269" i="6"/>
  <c r="D278" i="6"/>
  <c r="U266" i="6"/>
  <c r="G266" i="34"/>
  <c r="G275" i="6"/>
  <c r="X269" i="6"/>
  <c r="J269" i="34"/>
  <c r="J278" i="6"/>
  <c r="K267" i="34"/>
  <c r="Y267" i="6"/>
  <c r="K276" i="6"/>
  <c r="D268" i="34"/>
  <c r="R268" i="6"/>
  <c r="D277" i="6"/>
  <c r="D267" i="34"/>
  <c r="R267" i="6"/>
  <c r="D276" i="6"/>
  <c r="F272" i="34"/>
  <c r="T272" i="6"/>
  <c r="F281" i="6"/>
  <c r="Y271" i="6"/>
  <c r="K271" i="34"/>
  <c r="K280" i="6"/>
  <c r="E272" i="34"/>
  <c r="S272" i="6"/>
  <c r="E281" i="6"/>
  <c r="H269" i="34"/>
  <c r="V269" i="6"/>
  <c r="H278" i="6"/>
  <c r="J266" i="34"/>
  <c r="X266" i="6"/>
  <c r="J275" i="6"/>
  <c r="S268" i="6"/>
  <c r="E268" i="34"/>
  <c r="E277" i="6"/>
  <c r="H272" i="34"/>
  <c r="V272" i="6"/>
  <c r="H281" i="6"/>
  <c r="I266" i="34"/>
  <c r="W266" i="6"/>
  <c r="I275" i="6"/>
  <c r="J270" i="34"/>
  <c r="X270" i="6"/>
  <c r="J279" i="6"/>
  <c r="T269" i="6"/>
  <c r="F269" i="34"/>
  <c r="F278" i="6"/>
  <c r="F270" i="34"/>
  <c r="T270" i="6"/>
  <c r="F279" i="6"/>
  <c r="L270" i="34"/>
  <c r="Z270" i="6"/>
  <c r="L279" i="6"/>
  <c r="Q268" i="6"/>
  <c r="C268" i="34"/>
  <c r="C277" i="6"/>
  <c r="S267" i="6"/>
  <c r="E267" i="34"/>
  <c r="E276" i="6"/>
  <c r="Z269" i="6"/>
  <c r="L269" i="34"/>
  <c r="L278" i="6"/>
  <c r="L268" i="34"/>
  <c r="Z268" i="6"/>
  <c r="L277" i="6"/>
  <c r="C266" i="34"/>
  <c r="Q266" i="6"/>
  <c r="C275" i="6"/>
  <c r="L272" i="34"/>
  <c r="Z272" i="6"/>
  <c r="L281" i="6"/>
  <c r="U271" i="6"/>
  <c r="G271" i="34"/>
  <c r="G280" i="6"/>
  <c r="T267" i="6"/>
  <c r="F267" i="34"/>
  <c r="F276" i="6"/>
  <c r="K265" i="34"/>
  <c r="Y265" i="6"/>
  <c r="K274" i="6"/>
  <c r="Y269" i="6"/>
  <c r="K269" i="34"/>
  <c r="K278" i="6"/>
  <c r="D270" i="34"/>
  <c r="R270" i="6"/>
  <c r="D279" i="6"/>
  <c r="Y266" i="6"/>
  <c r="K266" i="34"/>
  <c r="K275" i="6"/>
  <c r="R272" i="6"/>
  <c r="D272" i="34"/>
  <c r="D281" i="6"/>
  <c r="E265" i="34"/>
  <c r="S265" i="6"/>
  <c r="E274" i="6"/>
  <c r="I270" i="34"/>
  <c r="W270" i="6"/>
  <c r="I279" i="6"/>
  <c r="Y268" i="6"/>
  <c r="K268" i="34"/>
  <c r="K277" i="6"/>
  <c r="Z271" i="6"/>
  <c r="L271" i="34"/>
  <c r="L280" i="6"/>
  <c r="I268" i="34"/>
  <c r="W268" i="6"/>
  <c r="I277" i="6"/>
  <c r="G272" i="34"/>
  <c r="U272" i="6"/>
  <c r="G281" i="6"/>
  <c r="C270" i="34"/>
  <c r="Q270" i="6"/>
  <c r="C279" i="6"/>
  <c r="I272" i="34"/>
  <c r="W272" i="6"/>
  <c r="I281" i="6"/>
  <c r="L266" i="34"/>
  <c r="Z266" i="6"/>
  <c r="L275" i="6"/>
  <c r="Y270" i="6"/>
  <c r="K270" i="34"/>
  <c r="K279" i="6"/>
  <c r="H268" i="34"/>
  <c r="V268" i="6"/>
  <c r="H277" i="6"/>
  <c r="Q272" i="6"/>
  <c r="C272" i="34"/>
  <c r="C281" i="6"/>
  <c r="Q271" i="6"/>
  <c r="C271" i="34"/>
  <c r="C280" i="6"/>
  <c r="F266" i="34"/>
  <c r="T266" i="6"/>
  <c r="F275" i="6"/>
  <c r="L375" i="30"/>
  <c r="L384" i="30" s="1"/>
  <c r="Z384" i="30" s="1"/>
  <c r="L380" i="30"/>
  <c r="L389" i="30" s="1"/>
  <c r="Z389" i="30" s="1"/>
  <c r="E374" i="30"/>
  <c r="E383" i="30" s="1"/>
  <c r="S383" i="30" s="1"/>
  <c r="K374" i="30"/>
  <c r="K383" i="30" s="1"/>
  <c r="Y383" i="30" s="1"/>
  <c r="F377" i="30"/>
  <c r="F386" i="30" s="1"/>
  <c r="T386" i="30" s="1"/>
  <c r="H377" i="30"/>
  <c r="H386" i="30" s="1"/>
  <c r="V386" i="30" s="1"/>
  <c r="G374" i="30"/>
  <c r="G383" i="30" s="1"/>
  <c r="U383" i="30" s="1"/>
  <c r="J379" i="30"/>
  <c r="J388" i="30" s="1"/>
  <c r="X388" i="30" s="1"/>
  <c r="G378" i="30"/>
  <c r="G387" i="30" s="1"/>
  <c r="U387" i="30" s="1"/>
  <c r="C374" i="30"/>
  <c r="C383" i="30" s="1"/>
  <c r="Q383" i="30" s="1"/>
  <c r="E378" i="30"/>
  <c r="E387" i="30" s="1"/>
  <c r="S387" i="30" s="1"/>
  <c r="L374" i="30"/>
  <c r="L383" i="30" s="1"/>
  <c r="Z383" i="30" s="1"/>
  <c r="D377" i="30"/>
  <c r="D386" i="30" s="1"/>
  <c r="R386" i="30" s="1"/>
  <c r="I378" i="30"/>
  <c r="I387" i="30" s="1"/>
  <c r="W387" i="30" s="1"/>
  <c r="D380" i="30"/>
  <c r="D389" i="30" s="1"/>
  <c r="R389" i="30" s="1"/>
  <c r="J377" i="30"/>
  <c r="J386" i="30" s="1"/>
  <c r="X386" i="30" s="1"/>
  <c r="C378" i="30"/>
  <c r="C387" i="30" s="1"/>
  <c r="Q387" i="30" s="1"/>
  <c r="G379" i="30"/>
  <c r="G388" i="30" s="1"/>
  <c r="U388" i="30" s="1"/>
  <c r="E380" i="30"/>
  <c r="E389" i="30" s="1"/>
  <c r="S389" i="30" s="1"/>
  <c r="G375" i="30"/>
  <c r="G384" i="30" s="1"/>
  <c r="U384" i="30" s="1"/>
  <c r="K376" i="30"/>
  <c r="K385" i="30" s="1"/>
  <c r="Y385" i="30" s="1"/>
  <c r="H374" i="30"/>
  <c r="H383" i="30" s="1"/>
  <c r="V383" i="30" s="1"/>
  <c r="D379" i="30"/>
  <c r="D388" i="30" s="1"/>
  <c r="R388" i="30" s="1"/>
  <c r="H378" i="30"/>
  <c r="H387" i="30" s="1"/>
  <c r="V387" i="30" s="1"/>
  <c r="E379" i="30"/>
  <c r="E388" i="30" s="1"/>
  <c r="S388" i="30" s="1"/>
  <c r="K380" i="30"/>
  <c r="K389" i="30" s="1"/>
  <c r="Y389" i="30" s="1"/>
  <c r="I375" i="30"/>
  <c r="I384" i="30" s="1"/>
  <c r="W384" i="30" s="1"/>
  <c r="C376" i="30"/>
  <c r="C385" i="30" s="1"/>
  <c r="Q385" i="30" s="1"/>
  <c r="J374" i="30"/>
  <c r="J383" i="30" s="1"/>
  <c r="X383" i="30" s="1"/>
  <c r="I377" i="30"/>
  <c r="I386" i="30" s="1"/>
  <c r="W386" i="30" s="1"/>
  <c r="G377" i="30"/>
  <c r="G386" i="30" s="1"/>
  <c r="U386" i="30" s="1"/>
  <c r="F379" i="30"/>
  <c r="F388" i="30" s="1"/>
  <c r="T388" i="30" s="1"/>
  <c r="C377" i="30"/>
  <c r="C386" i="30" s="1"/>
  <c r="Q386" i="30" s="1"/>
  <c r="I379" i="30"/>
  <c r="I388" i="30" s="1"/>
  <c r="W388" i="30" s="1"/>
  <c r="H379" i="30"/>
  <c r="H388" i="30" s="1"/>
  <c r="V388" i="30" s="1"/>
  <c r="C380" i="30"/>
  <c r="C389" i="30" s="1"/>
  <c r="Q389" i="30" s="1"/>
  <c r="H375" i="30"/>
  <c r="H384" i="30" s="1"/>
  <c r="V384" i="30" s="1"/>
  <c r="H376" i="30"/>
  <c r="H385" i="30" s="1"/>
  <c r="V385" i="30" s="1"/>
  <c r="D378" i="30"/>
  <c r="D387" i="30" s="1"/>
  <c r="R387" i="30" s="1"/>
  <c r="E377" i="30"/>
  <c r="E386" i="30" s="1"/>
  <c r="S386" i="30" s="1"/>
  <c r="F380" i="30"/>
  <c r="F389" i="30" s="1"/>
  <c r="T389" i="30" s="1"/>
  <c r="J375" i="30"/>
  <c r="J384" i="30" s="1"/>
  <c r="X384" i="30" s="1"/>
  <c r="D374" i="30"/>
  <c r="D383" i="30" s="1"/>
  <c r="R383" i="30" s="1"/>
  <c r="L378" i="30"/>
  <c r="L387" i="30" s="1"/>
  <c r="Z387" i="30" s="1"/>
  <c r="H380" i="30"/>
  <c r="H389" i="30" s="1"/>
  <c r="V389" i="30" s="1"/>
  <c r="D375" i="30"/>
  <c r="D384" i="30" s="1"/>
  <c r="R384" i="30" s="1"/>
  <c r="D376" i="30"/>
  <c r="D385" i="30" s="1"/>
  <c r="R385" i="30" s="1"/>
  <c r="C373" i="30"/>
  <c r="C382" i="30" s="1"/>
  <c r="D364" i="30"/>
  <c r="E364" i="30" s="1"/>
  <c r="F364" i="30" s="1"/>
  <c r="G364" i="30" s="1"/>
  <c r="H364" i="30" s="1"/>
  <c r="I364" i="30" s="1"/>
  <c r="J364" i="30" s="1"/>
  <c r="K364" i="30" s="1"/>
  <c r="L364" i="30" s="1"/>
  <c r="L373" i="30" s="1"/>
  <c r="L382" i="30" s="1"/>
  <c r="Z382" i="30" s="1"/>
  <c r="L379" i="30"/>
  <c r="L388" i="30" s="1"/>
  <c r="Z388" i="30" s="1"/>
  <c r="K379" i="30"/>
  <c r="K388" i="30" s="1"/>
  <c r="Y388" i="30" s="1"/>
  <c r="E376" i="30"/>
  <c r="E385" i="30" s="1"/>
  <c r="S385" i="30" s="1"/>
  <c r="F378" i="30"/>
  <c r="F387" i="30" s="1"/>
  <c r="T387" i="30" s="1"/>
  <c r="J376" i="30"/>
  <c r="J385" i="30" s="1"/>
  <c r="X385" i="30" s="1"/>
  <c r="L376" i="30"/>
  <c r="L385" i="30" s="1"/>
  <c r="Z385" i="30" s="1"/>
  <c r="J378" i="30"/>
  <c r="J387" i="30" s="1"/>
  <c r="X387" i="30" s="1"/>
  <c r="K377" i="30"/>
  <c r="K386" i="30" s="1"/>
  <c r="Y386" i="30" s="1"/>
  <c r="J380" i="30"/>
  <c r="J389" i="30" s="1"/>
  <c r="X389" i="30" s="1"/>
  <c r="C379" i="30"/>
  <c r="C388" i="30" s="1"/>
  <c r="Q388" i="30" s="1"/>
  <c r="F375" i="30"/>
  <c r="F384" i="30" s="1"/>
  <c r="T384" i="30" s="1"/>
  <c r="I376" i="30"/>
  <c r="I385" i="30" s="1"/>
  <c r="W385" i="30" s="1"/>
  <c r="K378" i="30"/>
  <c r="K387" i="30" s="1"/>
  <c r="Y387" i="30" s="1"/>
  <c r="K375" i="30"/>
  <c r="K384" i="30" s="1"/>
  <c r="Y384" i="30" s="1"/>
  <c r="L377" i="30"/>
  <c r="L386" i="30" s="1"/>
  <c r="Z386" i="30" s="1"/>
  <c r="C375" i="30"/>
  <c r="C384" i="30" s="1"/>
  <c r="Q384" i="30" s="1"/>
  <c r="F374" i="30"/>
  <c r="F383" i="30" s="1"/>
  <c r="T383" i="30" s="1"/>
  <c r="G380" i="30"/>
  <c r="G389" i="30" s="1"/>
  <c r="U389" i="30" s="1"/>
  <c r="G376" i="30"/>
  <c r="G385" i="30" s="1"/>
  <c r="U385" i="30" s="1"/>
  <c r="I374" i="30"/>
  <c r="I383" i="30" s="1"/>
  <c r="W383" i="30" s="1"/>
  <c r="F376" i="30"/>
  <c r="F385" i="30" s="1"/>
  <c r="T385" i="30" s="1"/>
  <c r="I380" i="30"/>
  <c r="I389" i="30" s="1"/>
  <c r="W389" i="30" s="1"/>
  <c r="E375" i="30"/>
  <c r="E384" i="30" s="1"/>
  <c r="S384" i="30" s="1"/>
  <c r="Q269" i="6"/>
  <c r="C269" i="34"/>
  <c r="C278" i="6"/>
  <c r="G267" i="34"/>
  <c r="U267" i="6"/>
  <c r="G276" i="6"/>
  <c r="E266" i="34"/>
  <c r="S266" i="6"/>
  <c r="E275" i="6"/>
  <c r="D266" i="34"/>
  <c r="R266" i="6"/>
  <c r="D275" i="6"/>
  <c r="V265" i="6"/>
  <c r="H265" i="34"/>
  <c r="H274" i="6"/>
  <c r="G268" i="34"/>
  <c r="U268" i="6"/>
  <c r="G277" i="6"/>
  <c r="J272" i="34"/>
  <c r="X272" i="6"/>
  <c r="J281" i="6"/>
  <c r="E270" i="34"/>
  <c r="S270" i="6"/>
  <c r="E279" i="6"/>
  <c r="F268" i="34"/>
  <c r="T268" i="6"/>
  <c r="F277" i="6"/>
  <c r="H267" i="34"/>
  <c r="V267" i="6"/>
  <c r="H276" i="6"/>
  <c r="W267" i="6"/>
  <c r="I267" i="34"/>
  <c r="I276" i="6"/>
  <c r="X271" i="6"/>
  <c r="J271" i="34"/>
  <c r="J280" i="6"/>
  <c r="W265" i="6"/>
  <c r="I265" i="34"/>
  <c r="I274" i="6"/>
  <c r="W269" i="6"/>
  <c r="I269" i="34"/>
  <c r="I278" i="6"/>
  <c r="K272" i="34"/>
  <c r="Y272" i="6"/>
  <c r="K281" i="6"/>
  <c r="F265" i="34"/>
  <c r="T265" i="6"/>
  <c r="F274" i="6"/>
  <c r="T271" i="6"/>
  <c r="F271" i="34"/>
  <c r="F280" i="6"/>
  <c r="C265" i="34"/>
  <c r="Q265" i="6"/>
  <c r="C274" i="6"/>
  <c r="U265" i="6"/>
  <c r="G265" i="34"/>
  <c r="G274" i="6"/>
  <c r="V270" i="6"/>
  <c r="H270" i="34"/>
  <c r="H279" i="6"/>
  <c r="X267" i="6"/>
  <c r="J267" i="34"/>
  <c r="J276" i="6"/>
  <c r="S271" i="6"/>
  <c r="E271" i="34"/>
  <c r="E280" i="6"/>
  <c r="D373" i="30" l="1"/>
  <c r="D382" i="30" s="1"/>
  <c r="R382" i="30" s="1"/>
  <c r="H373" i="30"/>
  <c r="H382" i="30" s="1"/>
  <c r="V382" i="30" s="1"/>
  <c r="K373" i="30"/>
  <c r="K382" i="30" s="1"/>
  <c r="Y382" i="30" s="1"/>
  <c r="AA269" i="6"/>
  <c r="J373" i="30"/>
  <c r="J382" i="30" s="1"/>
  <c r="X382" i="30" s="1"/>
  <c r="F373" i="30"/>
  <c r="F382" i="30" s="1"/>
  <c r="T382" i="30" s="1"/>
  <c r="AA388" i="30"/>
  <c r="E373" i="30"/>
  <c r="E382" i="30" s="1"/>
  <c r="S382" i="30" s="1"/>
  <c r="G373" i="30"/>
  <c r="G382" i="30" s="1"/>
  <c r="U382" i="30" s="1"/>
  <c r="AA270" i="6"/>
  <c r="AA383" i="30"/>
  <c r="AA384" i="30"/>
  <c r="G274" i="34"/>
  <c r="G283" i="6"/>
  <c r="I285" i="6"/>
  <c r="I276" i="34"/>
  <c r="E284" i="6"/>
  <c r="E275" i="34"/>
  <c r="J278" i="34"/>
  <c r="J287" i="6"/>
  <c r="AA387" i="30"/>
  <c r="F275" i="34"/>
  <c r="F284" i="6"/>
  <c r="AA272" i="6"/>
  <c r="G281" i="34"/>
  <c r="G290" i="6"/>
  <c r="D279" i="34"/>
  <c r="D288" i="6"/>
  <c r="L278" i="34"/>
  <c r="L287" i="6"/>
  <c r="AA268" i="6"/>
  <c r="H281" i="34"/>
  <c r="H290" i="6"/>
  <c r="D277" i="34"/>
  <c r="D286" i="6"/>
  <c r="G279" i="34"/>
  <c r="G288" i="6"/>
  <c r="AA267" i="6"/>
  <c r="L274" i="34"/>
  <c r="L283" i="6"/>
  <c r="C283" i="6"/>
  <c r="C274" i="34"/>
  <c r="H276" i="34"/>
  <c r="H285" i="6"/>
  <c r="G285" i="6"/>
  <c r="G276" i="34"/>
  <c r="H286" i="6"/>
  <c r="H277" i="34"/>
  <c r="K277" i="34"/>
  <c r="K286" i="6"/>
  <c r="F285" i="6"/>
  <c r="F276" i="34"/>
  <c r="L279" i="34"/>
  <c r="L288" i="6"/>
  <c r="H287" i="6"/>
  <c r="H278" i="34"/>
  <c r="G275" i="34"/>
  <c r="G284" i="6"/>
  <c r="I280" i="34"/>
  <c r="I289" i="6"/>
  <c r="C277" i="34"/>
  <c r="C286" i="6"/>
  <c r="L275" i="34"/>
  <c r="L284" i="6"/>
  <c r="E283" i="6"/>
  <c r="E274" i="34"/>
  <c r="L281" i="34"/>
  <c r="L290" i="6"/>
  <c r="F278" i="34"/>
  <c r="F287" i="6"/>
  <c r="H280" i="34"/>
  <c r="H289" i="6"/>
  <c r="J285" i="6"/>
  <c r="J276" i="34"/>
  <c r="I274" i="34"/>
  <c r="I283" i="6"/>
  <c r="H274" i="34"/>
  <c r="H283" i="6"/>
  <c r="AA385" i="30"/>
  <c r="C280" i="34"/>
  <c r="C289" i="6"/>
  <c r="I286" i="6"/>
  <c r="I277" i="34"/>
  <c r="K278" i="34"/>
  <c r="K287" i="6"/>
  <c r="AA266" i="6"/>
  <c r="E285" i="6"/>
  <c r="E276" i="34"/>
  <c r="E286" i="6"/>
  <c r="E277" i="34"/>
  <c r="K285" i="6"/>
  <c r="K276" i="34"/>
  <c r="D280" i="34"/>
  <c r="D289" i="6"/>
  <c r="J286" i="6"/>
  <c r="J277" i="34"/>
  <c r="C281" i="34"/>
  <c r="C290" i="6"/>
  <c r="AA265" i="6"/>
  <c r="K281" i="34"/>
  <c r="K290" i="6"/>
  <c r="J281" i="34"/>
  <c r="J290" i="6"/>
  <c r="AA389" i="30"/>
  <c r="F280" i="34"/>
  <c r="F289" i="6"/>
  <c r="F286" i="6"/>
  <c r="F277" i="34"/>
  <c r="C287" i="6"/>
  <c r="C278" i="34"/>
  <c r="I373" i="30"/>
  <c r="I382" i="30" s="1"/>
  <c r="W382" i="30" s="1"/>
  <c r="K288" i="6"/>
  <c r="K279" i="34"/>
  <c r="I288" i="6"/>
  <c r="I279" i="34"/>
  <c r="G280" i="34"/>
  <c r="G289" i="6"/>
  <c r="F288" i="6"/>
  <c r="F279" i="34"/>
  <c r="E281" i="34"/>
  <c r="E290" i="6"/>
  <c r="D287" i="6"/>
  <c r="D278" i="34"/>
  <c r="D283" i="6"/>
  <c r="D274" i="34"/>
  <c r="L280" i="34"/>
  <c r="L289" i="6"/>
  <c r="K283" i="6"/>
  <c r="K274" i="34"/>
  <c r="J275" i="34"/>
  <c r="J284" i="6"/>
  <c r="H284" i="6"/>
  <c r="H275" i="34"/>
  <c r="F274" i="34"/>
  <c r="F283" i="6"/>
  <c r="E279" i="34"/>
  <c r="E288" i="6"/>
  <c r="K289" i="6"/>
  <c r="K280" i="34"/>
  <c r="C276" i="34"/>
  <c r="C285" i="6"/>
  <c r="Q382" i="30"/>
  <c r="I290" i="6"/>
  <c r="I281" i="34"/>
  <c r="D281" i="34"/>
  <c r="D290" i="6"/>
  <c r="C275" i="34"/>
  <c r="C284" i="6"/>
  <c r="J288" i="6"/>
  <c r="J279" i="34"/>
  <c r="F290" i="6"/>
  <c r="F281" i="34"/>
  <c r="L276" i="34"/>
  <c r="L285" i="6"/>
  <c r="G287" i="6"/>
  <c r="G278" i="34"/>
  <c r="H288" i="6"/>
  <c r="H279" i="34"/>
  <c r="J280" i="34"/>
  <c r="J289" i="6"/>
  <c r="D275" i="34"/>
  <c r="D284" i="6"/>
  <c r="E289" i="6"/>
  <c r="E280" i="34"/>
  <c r="I287" i="6"/>
  <c r="I278" i="34"/>
  <c r="G286" i="6"/>
  <c r="G277" i="34"/>
  <c r="AA386" i="30"/>
  <c r="AA271" i="6"/>
  <c r="C279" i="34"/>
  <c r="C288" i="6"/>
  <c r="K284" i="6"/>
  <c r="K275" i="34"/>
  <c r="L277" i="34"/>
  <c r="L286" i="6"/>
  <c r="I275" i="34"/>
  <c r="I284" i="6"/>
  <c r="D276" i="34"/>
  <c r="D285" i="6"/>
  <c r="E287" i="6"/>
  <c r="E278" i="34"/>
  <c r="J274" i="34"/>
  <c r="J283" i="6"/>
  <c r="AA273" i="6"/>
  <c r="D289" i="34" l="1"/>
  <c r="D307" i="6"/>
  <c r="D307" i="34" s="1"/>
  <c r="F284" i="34"/>
  <c r="F302" i="6"/>
  <c r="F302" i="34" s="1"/>
  <c r="L289" i="34"/>
  <c r="L307" i="6"/>
  <c r="L307" i="34" s="1"/>
  <c r="D288" i="34"/>
  <c r="D306" i="6"/>
  <c r="D306" i="34" s="1"/>
  <c r="AA382" i="30"/>
  <c r="E288" i="34"/>
  <c r="E306" i="6"/>
  <c r="E306" i="34" s="1"/>
  <c r="C290" i="34"/>
  <c r="C308" i="6"/>
  <c r="C308" i="34" s="1"/>
  <c r="E285" i="34"/>
  <c r="E303" i="6"/>
  <c r="E303" i="34" s="1"/>
  <c r="I286" i="34"/>
  <c r="I304" i="6"/>
  <c r="I304" i="34" s="1"/>
  <c r="I283" i="34"/>
  <c r="I301" i="6"/>
  <c r="I301" i="34" s="1"/>
  <c r="H287" i="34"/>
  <c r="H305" i="6"/>
  <c r="H305" i="34" s="1"/>
  <c r="H285" i="34"/>
  <c r="H303" i="6"/>
  <c r="H303" i="34" s="1"/>
  <c r="K284" i="34"/>
  <c r="K302" i="6"/>
  <c r="K302" i="34" s="1"/>
  <c r="H288" i="34"/>
  <c r="H306" i="6"/>
  <c r="H306" i="34" s="1"/>
  <c r="C285" i="34"/>
  <c r="C303" i="6"/>
  <c r="C303" i="34" s="1"/>
  <c r="J284" i="34"/>
  <c r="J302" i="6"/>
  <c r="J302" i="34" s="1"/>
  <c r="C287" i="34"/>
  <c r="C305" i="6"/>
  <c r="C305" i="34" s="1"/>
  <c r="C289" i="34"/>
  <c r="C307" i="6"/>
  <c r="C307" i="34" s="1"/>
  <c r="E283" i="34"/>
  <c r="E301" i="6"/>
  <c r="E301" i="34" s="1"/>
  <c r="I289" i="34"/>
  <c r="I307" i="6"/>
  <c r="I307" i="34" s="1"/>
  <c r="L288" i="34"/>
  <c r="L306" i="6"/>
  <c r="L306" i="34" s="1"/>
  <c r="H290" i="34"/>
  <c r="H308" i="6"/>
  <c r="H308" i="34" s="1"/>
  <c r="I285" i="34"/>
  <c r="I303" i="6"/>
  <c r="I303" i="34" s="1"/>
  <c r="L286" i="34"/>
  <c r="L304" i="6"/>
  <c r="L304" i="34" s="1"/>
  <c r="K289" i="34"/>
  <c r="K307" i="6"/>
  <c r="K307" i="34" s="1"/>
  <c r="D287" i="34"/>
  <c r="D305" i="6"/>
  <c r="D305" i="34" s="1"/>
  <c r="H289" i="34"/>
  <c r="H307" i="6"/>
  <c r="H307" i="34" s="1"/>
  <c r="G285" i="34"/>
  <c r="G303" i="6"/>
  <c r="G303" i="34" s="1"/>
  <c r="D285" i="34"/>
  <c r="D303" i="6"/>
  <c r="D303" i="34" s="1"/>
  <c r="F283" i="34"/>
  <c r="F301" i="6"/>
  <c r="F301" i="34" s="1"/>
  <c r="K285" i="34"/>
  <c r="K303" i="6"/>
  <c r="K303" i="34" s="1"/>
  <c r="K287" i="34"/>
  <c r="K305" i="6"/>
  <c r="K305" i="34" s="1"/>
  <c r="L284" i="34"/>
  <c r="L302" i="6"/>
  <c r="L302" i="34" s="1"/>
  <c r="G284" i="34"/>
  <c r="G302" i="6"/>
  <c r="G302" i="34" s="1"/>
  <c r="H286" i="34"/>
  <c r="H304" i="6"/>
  <c r="H304" i="34" s="1"/>
  <c r="G290" i="34"/>
  <c r="G308" i="6"/>
  <c r="G308" i="34" s="1"/>
  <c r="J287" i="34"/>
  <c r="J305" i="6"/>
  <c r="J305" i="34" s="1"/>
  <c r="G283" i="34"/>
  <c r="G301" i="6"/>
  <c r="G301" i="34" s="1"/>
  <c r="G289" i="34"/>
  <c r="G307" i="6"/>
  <c r="G307" i="34" s="1"/>
  <c r="E286" i="34"/>
  <c r="E304" i="6"/>
  <c r="E304" i="34" s="1"/>
  <c r="C286" i="34"/>
  <c r="C304" i="6"/>
  <c r="C304" i="34" s="1"/>
  <c r="F285" i="34"/>
  <c r="F303" i="6"/>
  <c r="F303" i="34" s="1"/>
  <c r="E284" i="34"/>
  <c r="E302" i="6"/>
  <c r="E302" i="34" s="1"/>
  <c r="C284" i="34"/>
  <c r="C302" i="6"/>
  <c r="C302" i="34" s="1"/>
  <c r="H284" i="34"/>
  <c r="H302" i="6"/>
  <c r="H302" i="34" s="1"/>
  <c r="K286" i="34"/>
  <c r="K304" i="6"/>
  <c r="K304" i="34" s="1"/>
  <c r="L283" i="34"/>
  <c r="L301" i="6"/>
  <c r="L301" i="34" s="1"/>
  <c r="E289" i="34"/>
  <c r="E307" i="6"/>
  <c r="E307" i="34" s="1"/>
  <c r="D284" i="34"/>
  <c r="D302" i="6"/>
  <c r="D302" i="34" s="1"/>
  <c r="F290" i="34"/>
  <c r="F308" i="6"/>
  <c r="F308" i="34" s="1"/>
  <c r="F287" i="34"/>
  <c r="F305" i="6"/>
  <c r="F305" i="34" s="1"/>
  <c r="G288" i="34"/>
  <c r="G306" i="6"/>
  <c r="G306" i="34" s="1"/>
  <c r="C288" i="34"/>
  <c r="C306" i="6"/>
  <c r="C306" i="34" s="1"/>
  <c r="I287" i="34"/>
  <c r="I305" i="6"/>
  <c r="I305" i="34" s="1"/>
  <c r="G287" i="34"/>
  <c r="G305" i="6"/>
  <c r="G305" i="34" s="1"/>
  <c r="J288" i="34"/>
  <c r="J306" i="6"/>
  <c r="J306" i="34" s="1"/>
  <c r="K283" i="34"/>
  <c r="K301" i="6"/>
  <c r="K301" i="34" s="1"/>
  <c r="F288" i="34"/>
  <c r="F306" i="6"/>
  <c r="F306" i="34" s="1"/>
  <c r="F286" i="34"/>
  <c r="F304" i="6"/>
  <c r="F304" i="34" s="1"/>
  <c r="I290" i="34"/>
  <c r="I308" i="6"/>
  <c r="I308" i="34" s="1"/>
  <c r="C391" i="30" a="1"/>
  <c r="E290" i="34"/>
  <c r="E308" i="6"/>
  <c r="E308" i="34" s="1"/>
  <c r="J283" i="34"/>
  <c r="J301" i="6"/>
  <c r="J301" i="34" s="1"/>
  <c r="G286" i="34"/>
  <c r="G304" i="6"/>
  <c r="G304" i="34" s="1"/>
  <c r="D290" i="34"/>
  <c r="D308" i="6"/>
  <c r="D308" i="34" s="1"/>
  <c r="I288" i="34"/>
  <c r="I306" i="6"/>
  <c r="I306" i="34" s="1"/>
  <c r="J290" i="34"/>
  <c r="J308" i="6"/>
  <c r="J308" i="34" s="1"/>
  <c r="I284" i="34"/>
  <c r="I302" i="6"/>
  <c r="I302" i="34" s="1"/>
  <c r="D283" i="34"/>
  <c r="D301" i="6"/>
  <c r="D301" i="34" s="1"/>
  <c r="E287" i="34"/>
  <c r="E305" i="6"/>
  <c r="E305" i="34" s="1"/>
  <c r="J289" i="34"/>
  <c r="J307" i="6"/>
  <c r="J307" i="34" s="1"/>
  <c r="L285" i="34"/>
  <c r="L303" i="6"/>
  <c r="L303" i="34" s="1"/>
  <c r="K288" i="34"/>
  <c r="K306" i="6"/>
  <c r="K306" i="34" s="1"/>
  <c r="F289" i="34"/>
  <c r="F307" i="6"/>
  <c r="F307" i="34" s="1"/>
  <c r="K290" i="34"/>
  <c r="K308" i="6"/>
  <c r="K308" i="34" s="1"/>
  <c r="J286" i="34"/>
  <c r="J304" i="6"/>
  <c r="J304" i="34" s="1"/>
  <c r="H283" i="34"/>
  <c r="H301" i="6"/>
  <c r="H301" i="34" s="1"/>
  <c r="J285" i="34"/>
  <c r="J303" i="6"/>
  <c r="J303" i="34" s="1"/>
  <c r="L290" i="34"/>
  <c r="L308" i="6"/>
  <c r="L308" i="34" s="1"/>
  <c r="C283" i="34"/>
  <c r="C301" i="6"/>
  <c r="D286" i="34"/>
  <c r="D304" i="6"/>
  <c r="D304" i="34" s="1"/>
  <c r="L287" i="34"/>
  <c r="L305" i="6"/>
  <c r="L305" i="34" s="1"/>
  <c r="AA390" i="30"/>
  <c r="J398" i="30" l="1"/>
  <c r="I395" i="30"/>
  <c r="C391" i="30"/>
  <c r="C398" i="30"/>
  <c r="K398" i="30"/>
  <c r="L397" i="30"/>
  <c r="H395" i="30"/>
  <c r="D393" i="30"/>
  <c r="H398" i="30"/>
  <c r="K396" i="30"/>
  <c r="D396" i="30"/>
  <c r="G392" i="30"/>
  <c r="E391" i="30"/>
  <c r="L393" i="30"/>
  <c r="I392" i="30"/>
  <c r="L394" i="30"/>
  <c r="C393" i="30"/>
  <c r="E394" i="30"/>
  <c r="D391" i="30"/>
  <c r="F396" i="30"/>
  <c r="G394" i="30"/>
  <c r="G393" i="30"/>
  <c r="H397" i="30"/>
  <c r="H391" i="30"/>
  <c r="J391" i="30"/>
  <c r="F397" i="30"/>
  <c r="K392" i="30"/>
  <c r="E396" i="30"/>
  <c r="K391" i="30"/>
  <c r="L392" i="30"/>
  <c r="G391" i="30"/>
  <c r="I393" i="30"/>
  <c r="K394" i="30"/>
  <c r="F395" i="30"/>
  <c r="K397" i="30"/>
  <c r="C392" i="30"/>
  <c r="E395" i="30"/>
  <c r="J393" i="30"/>
  <c r="H394" i="30"/>
  <c r="D397" i="30"/>
  <c r="E393" i="30"/>
  <c r="E392" i="30"/>
  <c r="L391" i="30"/>
  <c r="F391" i="30"/>
  <c r="J396" i="30"/>
  <c r="H396" i="30"/>
  <c r="C394" i="30"/>
  <c r="I394" i="30"/>
  <c r="G397" i="30"/>
  <c r="L396" i="30"/>
  <c r="I391" i="30"/>
  <c r="E398" i="30"/>
  <c r="G395" i="30"/>
  <c r="G396" i="30"/>
  <c r="G398" i="30"/>
  <c r="I397" i="30"/>
  <c r="L395" i="30"/>
  <c r="C395" i="30"/>
  <c r="I398" i="30"/>
  <c r="D398" i="30"/>
  <c r="J395" i="30"/>
  <c r="K393" i="30"/>
  <c r="H393" i="30"/>
  <c r="L398" i="30"/>
  <c r="C397" i="30"/>
  <c r="J397" i="30"/>
  <c r="D394" i="30"/>
  <c r="F392" i="30"/>
  <c r="E397" i="30"/>
  <c r="J392" i="30"/>
  <c r="D392" i="30"/>
  <c r="D395" i="30"/>
  <c r="H392" i="30"/>
  <c r="J394" i="30"/>
  <c r="I396" i="30"/>
  <c r="K395" i="30"/>
  <c r="F398" i="30"/>
  <c r="C396" i="30"/>
  <c r="F394" i="30"/>
  <c r="F393" i="30"/>
  <c r="J314" i="6"/>
  <c r="C311" i="6"/>
  <c r="F317" i="6"/>
  <c r="F316" i="6"/>
  <c r="J317" i="6"/>
  <c r="L315" i="6"/>
  <c r="D315" i="6"/>
  <c r="E313" i="6"/>
  <c r="I316" i="6"/>
  <c r="I313" i="6"/>
  <c r="L316" i="6"/>
  <c r="L314" i="6"/>
  <c r="K315" i="6"/>
  <c r="G315" i="6"/>
  <c r="H313" i="6"/>
  <c r="H314" i="6"/>
  <c r="D310" i="6"/>
  <c r="K311" i="6"/>
  <c r="J315" i="6"/>
  <c r="D316" i="6"/>
  <c r="D314" i="6"/>
  <c r="K317" i="6"/>
  <c r="E315" i="6"/>
  <c r="I311" i="6"/>
  <c r="I310" i="6"/>
  <c r="F312" i="6"/>
  <c r="G310" i="6"/>
  <c r="K316" i="6"/>
  <c r="K310" i="6"/>
  <c r="K314" i="6"/>
  <c r="J311" i="6"/>
  <c r="E312" i="6"/>
  <c r="G316" i="6"/>
  <c r="C315" i="6"/>
  <c r="E316" i="6"/>
  <c r="I317" i="6"/>
  <c r="K313" i="6"/>
  <c r="G311" i="6"/>
  <c r="H311" i="6"/>
  <c r="D313" i="6"/>
  <c r="C301" i="34"/>
  <c r="H317" i="6"/>
  <c r="E310" i="6"/>
  <c r="E314" i="6"/>
  <c r="F313" i="6"/>
  <c r="F314" i="6"/>
  <c r="F315" i="6"/>
  <c r="L313" i="6"/>
  <c r="H310" i="6"/>
  <c r="I315" i="6"/>
  <c r="E311" i="6"/>
  <c r="D311" i="6"/>
  <c r="J312" i="6"/>
  <c r="K312" i="6"/>
  <c r="C316" i="6"/>
  <c r="G313" i="6"/>
  <c r="J310" i="6"/>
  <c r="G314" i="6"/>
  <c r="H312" i="6"/>
  <c r="E317" i="6"/>
  <c r="C314" i="6"/>
  <c r="H316" i="6"/>
  <c r="C310" i="6"/>
  <c r="F310" i="6"/>
  <c r="I312" i="6"/>
  <c r="C313" i="6"/>
  <c r="G317" i="6"/>
  <c r="J316" i="6"/>
  <c r="I314" i="6"/>
  <c r="L317" i="6"/>
  <c r="D312" i="6"/>
  <c r="J313" i="6"/>
  <c r="G312" i="6"/>
  <c r="C312" i="6"/>
  <c r="L311" i="6"/>
  <c r="F311" i="6"/>
  <c r="C317" i="6"/>
  <c r="D317" i="6"/>
  <c r="L310" i="6"/>
  <c r="L312" i="6"/>
  <c r="H315" i="6"/>
  <c r="C324" i="6" l="1"/>
  <c r="C315" i="34"/>
  <c r="F319" i="6"/>
  <c r="F310" i="34"/>
  <c r="E322" i="6"/>
  <c r="E313" i="34"/>
  <c r="F315" i="34"/>
  <c r="F324" i="6"/>
  <c r="D326" i="6"/>
  <c r="D317" i="34"/>
  <c r="F323" i="6"/>
  <c r="F314" i="34"/>
  <c r="G311" i="34"/>
  <c r="G320" i="6"/>
  <c r="K314" i="34"/>
  <c r="K323" i="6"/>
  <c r="K317" i="34"/>
  <c r="K326" i="6"/>
  <c r="G324" i="6"/>
  <c r="G315" i="34"/>
  <c r="L324" i="6"/>
  <c r="L315" i="34"/>
  <c r="C322" i="6"/>
  <c r="C313" i="34"/>
  <c r="H317" i="34"/>
  <c r="H326" i="6"/>
  <c r="C311" i="34"/>
  <c r="C320" i="6"/>
  <c r="G322" i="6"/>
  <c r="G313" i="34"/>
  <c r="E321" i="6"/>
  <c r="E312" i="34"/>
  <c r="L310" i="34"/>
  <c r="L319" i="6"/>
  <c r="C316" i="34"/>
  <c r="C325" i="6"/>
  <c r="E315" i="34"/>
  <c r="E324" i="6"/>
  <c r="L326" i="6"/>
  <c r="L317" i="34"/>
  <c r="C326" i="6"/>
  <c r="C317" i="34"/>
  <c r="I323" i="6"/>
  <c r="I314" i="34"/>
  <c r="C314" i="34"/>
  <c r="C323" i="6"/>
  <c r="J321" i="6"/>
  <c r="J312" i="34"/>
  <c r="F313" i="34"/>
  <c r="F322" i="6"/>
  <c r="K322" i="6"/>
  <c r="K313" i="34"/>
  <c r="K310" i="34"/>
  <c r="K319" i="6"/>
  <c r="D314" i="34"/>
  <c r="D323" i="6"/>
  <c r="K324" i="6"/>
  <c r="K315" i="34"/>
  <c r="J326" i="6"/>
  <c r="J317" i="34"/>
  <c r="I315" i="34"/>
  <c r="I324" i="6"/>
  <c r="I322" i="6"/>
  <c r="I313" i="34"/>
  <c r="L312" i="34"/>
  <c r="L321" i="6"/>
  <c r="L322" i="6"/>
  <c r="L313" i="34"/>
  <c r="I320" i="6"/>
  <c r="I311" i="34"/>
  <c r="D312" i="34"/>
  <c r="D321" i="6"/>
  <c r="J311" i="34"/>
  <c r="J320" i="6"/>
  <c r="D324" i="6"/>
  <c r="D315" i="34"/>
  <c r="K321" i="6"/>
  <c r="K312" i="34"/>
  <c r="F311" i="34"/>
  <c r="F320" i="6"/>
  <c r="J316" i="34"/>
  <c r="J325" i="6"/>
  <c r="E326" i="6"/>
  <c r="E317" i="34"/>
  <c r="D320" i="6"/>
  <c r="D311" i="34"/>
  <c r="E323" i="6"/>
  <c r="E314" i="34"/>
  <c r="I326" i="6"/>
  <c r="I317" i="34"/>
  <c r="K316" i="34"/>
  <c r="K325" i="6"/>
  <c r="D316" i="34"/>
  <c r="D325" i="6"/>
  <c r="L314" i="34"/>
  <c r="L323" i="6"/>
  <c r="F316" i="34"/>
  <c r="F325" i="6"/>
  <c r="G314" i="34"/>
  <c r="G323" i="6"/>
  <c r="K320" i="6"/>
  <c r="K311" i="34"/>
  <c r="J313" i="34"/>
  <c r="J322" i="6"/>
  <c r="D322" i="6"/>
  <c r="D313" i="34"/>
  <c r="H314" i="34"/>
  <c r="H323" i="6"/>
  <c r="C319" i="6"/>
  <c r="C310" i="34"/>
  <c r="H320" i="6"/>
  <c r="H311" i="34"/>
  <c r="H322" i="6"/>
  <c r="H313" i="34"/>
  <c r="H316" i="34"/>
  <c r="H325" i="6"/>
  <c r="L320" i="6"/>
  <c r="L311" i="34"/>
  <c r="G326" i="6"/>
  <c r="G317" i="34"/>
  <c r="H321" i="6"/>
  <c r="H312" i="34"/>
  <c r="E311" i="34"/>
  <c r="E320" i="6"/>
  <c r="E310" i="34"/>
  <c r="E319" i="6"/>
  <c r="E316" i="34"/>
  <c r="E325" i="6"/>
  <c r="G319" i="6"/>
  <c r="G310" i="34"/>
  <c r="J315" i="34"/>
  <c r="J324" i="6"/>
  <c r="L316" i="34"/>
  <c r="L325" i="6"/>
  <c r="F317" i="34"/>
  <c r="F326" i="6"/>
  <c r="C400" i="30" a="1"/>
  <c r="C409" i="30" a="1"/>
  <c r="C312" i="34"/>
  <c r="C321" i="6"/>
  <c r="F321" i="6"/>
  <c r="F312" i="34"/>
  <c r="H315" i="34"/>
  <c r="H324" i="6"/>
  <c r="G312" i="34"/>
  <c r="G321" i="6"/>
  <c r="I321" i="6"/>
  <c r="I312" i="34"/>
  <c r="J310" i="34"/>
  <c r="J319" i="6"/>
  <c r="H319" i="6"/>
  <c r="H310" i="34"/>
  <c r="G325" i="6"/>
  <c r="G316" i="34"/>
  <c r="I319" i="6"/>
  <c r="I310" i="34"/>
  <c r="D310" i="34"/>
  <c r="D319" i="6"/>
  <c r="I316" i="34"/>
  <c r="I325" i="6"/>
  <c r="J323" i="6"/>
  <c r="J314" i="34"/>
  <c r="V324" i="6" l="1"/>
  <c r="H324" i="34"/>
  <c r="H333" i="6"/>
  <c r="T320" i="6"/>
  <c r="F320" i="34"/>
  <c r="F329" i="6"/>
  <c r="L326" i="34"/>
  <c r="Z326" i="6"/>
  <c r="L335" i="6"/>
  <c r="D319" i="34"/>
  <c r="R319" i="6"/>
  <c r="D328" i="6"/>
  <c r="X319" i="6"/>
  <c r="J319" i="34"/>
  <c r="J328" i="6"/>
  <c r="L325" i="34"/>
  <c r="Z325" i="6"/>
  <c r="L334" i="6"/>
  <c r="S319" i="6"/>
  <c r="E319" i="34"/>
  <c r="E328" i="6"/>
  <c r="D325" i="34"/>
  <c r="R325" i="6"/>
  <c r="D334" i="6"/>
  <c r="W324" i="6"/>
  <c r="I324" i="34"/>
  <c r="I333" i="6"/>
  <c r="Y319" i="6"/>
  <c r="K319" i="34"/>
  <c r="K328" i="6"/>
  <c r="Q323" i="6"/>
  <c r="C323" i="34"/>
  <c r="C332" i="6"/>
  <c r="S324" i="6"/>
  <c r="E324" i="34"/>
  <c r="E333" i="6"/>
  <c r="G320" i="34"/>
  <c r="U320" i="6"/>
  <c r="G329" i="6"/>
  <c r="R323" i="6"/>
  <c r="D323" i="34"/>
  <c r="D332" i="6"/>
  <c r="Y323" i="6"/>
  <c r="K323" i="34"/>
  <c r="K332" i="6"/>
  <c r="I322" i="34"/>
  <c r="W322" i="6"/>
  <c r="I331" i="6"/>
  <c r="J321" i="34"/>
  <c r="X321" i="6"/>
  <c r="J330" i="6"/>
  <c r="E321" i="34"/>
  <c r="S321" i="6"/>
  <c r="E330" i="6"/>
  <c r="C322" i="34"/>
  <c r="Q322" i="6"/>
  <c r="C331" i="6"/>
  <c r="F321" i="34"/>
  <c r="T321" i="6"/>
  <c r="F330" i="6"/>
  <c r="L320" i="34"/>
  <c r="Z320" i="6"/>
  <c r="L329" i="6"/>
  <c r="C319" i="34"/>
  <c r="Q319" i="6"/>
  <c r="C328" i="6"/>
  <c r="K320" i="34"/>
  <c r="Y320" i="6"/>
  <c r="K329" i="6"/>
  <c r="R320" i="6"/>
  <c r="D320" i="34"/>
  <c r="D329" i="6"/>
  <c r="K321" i="34"/>
  <c r="Y321" i="6"/>
  <c r="K330" i="6"/>
  <c r="I320" i="34"/>
  <c r="W320" i="6"/>
  <c r="I329" i="6"/>
  <c r="G322" i="34"/>
  <c r="U322" i="6"/>
  <c r="G331" i="6"/>
  <c r="L324" i="34"/>
  <c r="Z324" i="6"/>
  <c r="L333" i="6"/>
  <c r="E322" i="34"/>
  <c r="S322" i="6"/>
  <c r="E331" i="6"/>
  <c r="F326" i="34"/>
  <c r="T326" i="6"/>
  <c r="F335" i="6"/>
  <c r="J322" i="34"/>
  <c r="X322" i="6"/>
  <c r="J331" i="6"/>
  <c r="T324" i="6"/>
  <c r="F324" i="34"/>
  <c r="F333" i="6"/>
  <c r="H319" i="34"/>
  <c r="V319" i="6"/>
  <c r="H328" i="6"/>
  <c r="H320" i="34"/>
  <c r="V320" i="6"/>
  <c r="H329" i="6"/>
  <c r="S323" i="6"/>
  <c r="E323" i="34"/>
  <c r="E332" i="6"/>
  <c r="C321" i="34"/>
  <c r="Q321" i="6"/>
  <c r="C330" i="6"/>
  <c r="J324" i="34"/>
  <c r="X324" i="6"/>
  <c r="J333" i="6"/>
  <c r="S320" i="6"/>
  <c r="E320" i="34"/>
  <c r="E329" i="6"/>
  <c r="V325" i="6"/>
  <c r="H325" i="34"/>
  <c r="H334" i="6"/>
  <c r="V323" i="6"/>
  <c r="H323" i="34"/>
  <c r="H332" i="6"/>
  <c r="G323" i="34"/>
  <c r="U323" i="6"/>
  <c r="G332" i="6"/>
  <c r="K325" i="34"/>
  <c r="Y325" i="6"/>
  <c r="K334" i="6"/>
  <c r="C325" i="34"/>
  <c r="Q325" i="6"/>
  <c r="C334" i="6"/>
  <c r="Q320" i="6"/>
  <c r="C320" i="34"/>
  <c r="C329" i="6"/>
  <c r="I319" i="34"/>
  <c r="W319" i="6"/>
  <c r="I328" i="6"/>
  <c r="I321" i="34"/>
  <c r="W321" i="6"/>
  <c r="I330" i="6"/>
  <c r="S326" i="6"/>
  <c r="E326" i="34"/>
  <c r="E335" i="6"/>
  <c r="D324" i="34"/>
  <c r="R324" i="6"/>
  <c r="D333" i="6"/>
  <c r="Z322" i="6"/>
  <c r="L322" i="34"/>
  <c r="L331" i="6"/>
  <c r="J326" i="34"/>
  <c r="X326" i="6"/>
  <c r="J335" i="6"/>
  <c r="K322" i="34"/>
  <c r="Y322" i="6"/>
  <c r="K331" i="6"/>
  <c r="I323" i="34"/>
  <c r="W323" i="6"/>
  <c r="I332" i="6"/>
  <c r="G324" i="34"/>
  <c r="U324" i="6"/>
  <c r="G333" i="6"/>
  <c r="F323" i="34"/>
  <c r="T323" i="6"/>
  <c r="F332" i="6"/>
  <c r="F319" i="34"/>
  <c r="T319" i="6"/>
  <c r="F328" i="6"/>
  <c r="I413" i="30"/>
  <c r="C414" i="30"/>
  <c r="H416" i="30"/>
  <c r="K411" i="30"/>
  <c r="K412" i="30"/>
  <c r="K409" i="30"/>
  <c r="I410" i="30"/>
  <c r="F413" i="30"/>
  <c r="D415" i="30"/>
  <c r="G416" i="30"/>
  <c r="K415" i="30"/>
  <c r="I414" i="30"/>
  <c r="E410" i="30"/>
  <c r="D411" i="30"/>
  <c r="G410" i="30"/>
  <c r="G414" i="30"/>
  <c r="G411" i="30"/>
  <c r="E413" i="30"/>
  <c r="H414" i="30"/>
  <c r="L409" i="30"/>
  <c r="K413" i="30"/>
  <c r="C412" i="30"/>
  <c r="G412" i="30"/>
  <c r="L410" i="30"/>
  <c r="D416" i="30"/>
  <c r="G415" i="30"/>
  <c r="H413" i="30"/>
  <c r="J412" i="30"/>
  <c r="H409" i="30"/>
  <c r="F412" i="30"/>
  <c r="J410" i="30"/>
  <c r="F415" i="30"/>
  <c r="C413" i="30"/>
  <c r="D410" i="30"/>
  <c r="I412" i="30"/>
  <c r="E412" i="30"/>
  <c r="F409" i="30"/>
  <c r="L411" i="30"/>
  <c r="J414" i="30"/>
  <c r="I416" i="30"/>
  <c r="I411" i="30"/>
  <c r="C411" i="30"/>
  <c r="E411" i="30"/>
  <c r="F411" i="30"/>
  <c r="J409" i="30"/>
  <c r="C410" i="30"/>
  <c r="D413" i="30"/>
  <c r="C409" i="30"/>
  <c r="C416" i="30"/>
  <c r="J411" i="30"/>
  <c r="L412" i="30"/>
  <c r="L416" i="30"/>
  <c r="J413" i="30"/>
  <c r="E414" i="30"/>
  <c r="E409" i="30"/>
  <c r="G413" i="30"/>
  <c r="J415" i="30"/>
  <c r="L413" i="30"/>
  <c r="D409" i="30"/>
  <c r="G409" i="30"/>
  <c r="I409" i="30"/>
  <c r="H412" i="30"/>
  <c r="L414" i="30"/>
  <c r="J416" i="30"/>
  <c r="L415" i="30"/>
  <c r="E415" i="30"/>
  <c r="F414" i="30"/>
  <c r="F410" i="30"/>
  <c r="D412" i="30"/>
  <c r="I415" i="30"/>
  <c r="K416" i="30"/>
  <c r="D414" i="30"/>
  <c r="K410" i="30"/>
  <c r="F416" i="30"/>
  <c r="C415" i="30"/>
  <c r="H411" i="30"/>
  <c r="H415" i="30"/>
  <c r="K414" i="30"/>
  <c r="H410" i="30"/>
  <c r="E416" i="30"/>
  <c r="T325" i="6"/>
  <c r="F325" i="34"/>
  <c r="F334" i="6"/>
  <c r="X325" i="6"/>
  <c r="J325" i="34"/>
  <c r="J334" i="6"/>
  <c r="X320" i="6"/>
  <c r="J320" i="34"/>
  <c r="J329" i="6"/>
  <c r="Z321" i="6"/>
  <c r="L321" i="34"/>
  <c r="L330" i="6"/>
  <c r="T322" i="6"/>
  <c r="F322" i="34"/>
  <c r="F331" i="6"/>
  <c r="Z319" i="6"/>
  <c r="L319" i="34"/>
  <c r="L328" i="6"/>
  <c r="V326" i="6"/>
  <c r="H326" i="34"/>
  <c r="H335" i="6"/>
  <c r="K326" i="34"/>
  <c r="Y326" i="6"/>
  <c r="K335" i="6"/>
  <c r="I325" i="34"/>
  <c r="W325" i="6"/>
  <c r="I334" i="6"/>
  <c r="S325" i="6"/>
  <c r="E325" i="34"/>
  <c r="E334" i="6"/>
  <c r="Z323" i="6"/>
  <c r="L323" i="34"/>
  <c r="L332" i="6"/>
  <c r="D321" i="34"/>
  <c r="R321" i="6"/>
  <c r="D330" i="6"/>
  <c r="U326" i="6"/>
  <c r="G326" i="34"/>
  <c r="G335" i="6"/>
  <c r="G321" i="34"/>
  <c r="U321" i="6"/>
  <c r="G330" i="6"/>
  <c r="X323" i="6"/>
  <c r="J323" i="34"/>
  <c r="J332" i="6"/>
  <c r="U325" i="6"/>
  <c r="G325" i="34"/>
  <c r="G334" i="6"/>
  <c r="C400" i="30"/>
  <c r="K403" i="30"/>
  <c r="L401" i="30"/>
  <c r="D404" i="30"/>
  <c r="E405" i="30"/>
  <c r="C405" i="30"/>
  <c r="D402" i="30"/>
  <c r="C407" i="30"/>
  <c r="J404" i="30"/>
  <c r="D406" i="30"/>
  <c r="C402" i="30"/>
  <c r="L406" i="30"/>
  <c r="J405" i="30"/>
  <c r="G404" i="30"/>
  <c r="G407" i="30"/>
  <c r="K400" i="30"/>
  <c r="H407" i="30"/>
  <c r="F406" i="30"/>
  <c r="K406" i="30"/>
  <c r="K407" i="30"/>
  <c r="C404" i="30"/>
  <c r="I401" i="30"/>
  <c r="C401" i="30"/>
  <c r="K402" i="30"/>
  <c r="D400" i="30"/>
  <c r="K401" i="30"/>
  <c r="G400" i="30"/>
  <c r="K404" i="30"/>
  <c r="L403" i="30"/>
  <c r="E406" i="30"/>
  <c r="J407" i="30"/>
  <c r="E402" i="30"/>
  <c r="H400" i="30"/>
  <c r="J403" i="30"/>
  <c r="I403" i="30"/>
  <c r="H405" i="30"/>
  <c r="H401" i="30"/>
  <c r="F401" i="30"/>
  <c r="H404" i="30"/>
  <c r="D405" i="30"/>
  <c r="E403" i="30"/>
  <c r="G406" i="30"/>
  <c r="G403" i="30"/>
  <c r="E407" i="30"/>
  <c r="L405" i="30"/>
  <c r="J400" i="30"/>
  <c r="I405" i="30"/>
  <c r="J406" i="30"/>
  <c r="L400" i="30"/>
  <c r="E400" i="30"/>
  <c r="D403" i="30"/>
  <c r="H406" i="30"/>
  <c r="G402" i="30"/>
  <c r="E404" i="30"/>
  <c r="F400" i="30"/>
  <c r="G401" i="30"/>
  <c r="D401" i="30"/>
  <c r="F407" i="30"/>
  <c r="E401" i="30"/>
  <c r="L402" i="30"/>
  <c r="K405" i="30"/>
  <c r="J402" i="30"/>
  <c r="I402" i="30"/>
  <c r="G405" i="30"/>
  <c r="F405" i="30"/>
  <c r="H402" i="30"/>
  <c r="D407" i="30"/>
  <c r="I400" i="30"/>
  <c r="I404" i="30"/>
  <c r="I407" i="30"/>
  <c r="F404" i="30"/>
  <c r="I406" i="30"/>
  <c r="L407" i="30"/>
  <c r="C403" i="30"/>
  <c r="F403" i="30"/>
  <c r="F402" i="30"/>
  <c r="H403" i="30"/>
  <c r="J401" i="30"/>
  <c r="C406" i="30"/>
  <c r="L404" i="30"/>
  <c r="G319" i="34"/>
  <c r="U319" i="6"/>
  <c r="G328" i="6"/>
  <c r="H321" i="34"/>
  <c r="V321" i="6"/>
  <c r="H330" i="6"/>
  <c r="H322" i="34"/>
  <c r="V322" i="6"/>
  <c r="H331" i="6"/>
  <c r="D322" i="34"/>
  <c r="R322" i="6"/>
  <c r="D331" i="6"/>
  <c r="I326" i="34"/>
  <c r="W326" i="6"/>
  <c r="I335" i="6"/>
  <c r="Y324" i="6"/>
  <c r="K324" i="34"/>
  <c r="K333" i="6"/>
  <c r="C326" i="34"/>
  <c r="Q326" i="6"/>
  <c r="C335" i="6"/>
  <c r="D326" i="34"/>
  <c r="R326" i="6"/>
  <c r="D335" i="6"/>
  <c r="C324" i="34"/>
  <c r="Q324" i="6"/>
  <c r="C333" i="6"/>
  <c r="R410" i="30"/>
  <c r="H417" i="30"/>
  <c r="J417" i="30"/>
  <c r="I417" i="30"/>
  <c r="U415" i="30"/>
  <c r="K417" i="30"/>
  <c r="Q411" i="30"/>
  <c r="P412" i="30"/>
  <c r="S412" i="30"/>
  <c r="Y411" i="30"/>
  <c r="P410" i="30"/>
  <c r="R414" i="30"/>
  <c r="U412" i="30"/>
  <c r="V415" i="30"/>
  <c r="X414" i="30"/>
  <c r="Q415" i="30"/>
  <c r="V411" i="30"/>
  <c r="W415" i="30"/>
  <c r="X410" i="30"/>
  <c r="P414" i="30"/>
  <c r="R413" i="30"/>
  <c r="Q410" i="30"/>
  <c r="W411" i="30"/>
  <c r="R415" i="30"/>
  <c r="V410" i="30"/>
  <c r="T410" i="30"/>
  <c r="T412" i="30"/>
  <c r="W410" i="30"/>
  <c r="W414" i="30"/>
  <c r="Q413" i="30"/>
  <c r="E417" i="30"/>
  <c r="Y414" i="30"/>
  <c r="X416" i="30"/>
  <c r="U410" i="30"/>
  <c r="T411" i="30"/>
  <c r="P413" i="30"/>
  <c r="S413" i="30"/>
  <c r="T414" i="30"/>
  <c r="Y410" i="30"/>
  <c r="S415" i="30"/>
  <c r="V416" i="30"/>
  <c r="C417" i="30"/>
  <c r="T413" i="30"/>
  <c r="W416" i="30"/>
  <c r="Q414" i="30"/>
  <c r="R416" i="30"/>
  <c r="V413" i="30"/>
  <c r="Q416" i="30"/>
  <c r="P416" i="30"/>
  <c r="Y415" i="30"/>
  <c r="T416" i="30"/>
  <c r="T415" i="30"/>
  <c r="P411" i="30"/>
  <c r="Y413" i="30"/>
  <c r="S416" i="30"/>
  <c r="Q412" i="30"/>
  <c r="U416" i="30"/>
  <c r="X415" i="30"/>
  <c r="U414" i="30"/>
  <c r="U413" i="30"/>
  <c r="V412" i="30"/>
  <c r="R411" i="30"/>
  <c r="Y412" i="30"/>
  <c r="D417" i="30"/>
  <c r="S414" i="30"/>
  <c r="P415" i="30"/>
  <c r="X411" i="30"/>
  <c r="V414" i="30"/>
  <c r="L417" i="30"/>
  <c r="W412" i="30"/>
  <c r="R412" i="30"/>
  <c r="S411" i="30"/>
  <c r="Y416" i="30"/>
  <c r="G417" i="30"/>
  <c r="S410" i="30"/>
  <c r="U411" i="30"/>
  <c r="X412" i="30"/>
  <c r="X413" i="30"/>
  <c r="F417" i="30"/>
  <c r="W413" i="30"/>
  <c r="AA324" i="6" l="1"/>
  <c r="AA325" i="6"/>
  <c r="AA320" i="6"/>
  <c r="B15" i="9"/>
  <c r="D15" i="9"/>
  <c r="C15" i="9"/>
  <c r="J15" i="9"/>
  <c r="H15" i="9"/>
  <c r="I15" i="9"/>
  <c r="E15" i="9"/>
  <c r="G15" i="9"/>
  <c r="F15" i="9"/>
  <c r="K15" i="9"/>
  <c r="J341" i="6"/>
  <c r="J332" i="34"/>
  <c r="I343" i="6"/>
  <c r="I334" i="34"/>
  <c r="D333" i="34"/>
  <c r="D342" i="6"/>
  <c r="AA322" i="6"/>
  <c r="K342" i="6"/>
  <c r="K333" i="34"/>
  <c r="G330" i="34"/>
  <c r="G339" i="6"/>
  <c r="L328" i="34"/>
  <c r="L337" i="6"/>
  <c r="G333" i="34"/>
  <c r="G342" i="6"/>
  <c r="I328" i="34"/>
  <c r="I337" i="6"/>
  <c r="J333" i="34"/>
  <c r="J342" i="6"/>
  <c r="E331" i="34"/>
  <c r="E340" i="6"/>
  <c r="L338" i="6"/>
  <c r="L329" i="34"/>
  <c r="G329" i="34"/>
  <c r="G338" i="6"/>
  <c r="AA323" i="6"/>
  <c r="J328" i="34"/>
  <c r="J337" i="6"/>
  <c r="G328" i="34"/>
  <c r="G337" i="6"/>
  <c r="H341" i="6"/>
  <c r="H332" i="34"/>
  <c r="I340" i="6"/>
  <c r="I331" i="34"/>
  <c r="L341" i="6"/>
  <c r="L332" i="34"/>
  <c r="J329" i="34"/>
  <c r="J338" i="6"/>
  <c r="J335" i="34"/>
  <c r="J344" i="6"/>
  <c r="K343" i="6"/>
  <c r="K334" i="34"/>
  <c r="H338" i="6"/>
  <c r="H329" i="34"/>
  <c r="I329" i="34"/>
  <c r="I338" i="6"/>
  <c r="K337" i="6"/>
  <c r="K328" i="34"/>
  <c r="F338" i="6"/>
  <c r="F329" i="34"/>
  <c r="D335" i="34"/>
  <c r="D344" i="6"/>
  <c r="G334" i="34"/>
  <c r="G343" i="6"/>
  <c r="K335" i="34"/>
  <c r="K344" i="6"/>
  <c r="I420" i="30"/>
  <c r="I430" i="30" s="1"/>
  <c r="F419" i="30"/>
  <c r="D420" i="30"/>
  <c r="D430" i="30" s="1"/>
  <c r="J420" i="30"/>
  <c r="J430" i="30" s="1"/>
  <c r="D426" i="30"/>
  <c r="D436" i="30" s="1"/>
  <c r="L419" i="30"/>
  <c r="G424" i="30"/>
  <c r="G434" i="30" s="1"/>
  <c r="I424" i="30"/>
  <c r="I434" i="30" s="1"/>
  <c r="K420" i="30"/>
  <c r="K430" i="30" s="1"/>
  <c r="E424" i="30"/>
  <c r="E434" i="30" s="1"/>
  <c r="D425" i="30"/>
  <c r="D435" i="30" s="1"/>
  <c r="J425" i="30"/>
  <c r="J435" i="30" s="1"/>
  <c r="C419" i="30"/>
  <c r="L422" i="30"/>
  <c r="L432" i="30" s="1"/>
  <c r="C423" i="30"/>
  <c r="C433" i="30" s="1"/>
  <c r="J424" i="30"/>
  <c r="J434" i="30" s="1"/>
  <c r="L420" i="30"/>
  <c r="L430" i="30" s="1"/>
  <c r="H424" i="30"/>
  <c r="H434" i="30" s="1"/>
  <c r="G420" i="30"/>
  <c r="G430" i="30" s="1"/>
  <c r="K425" i="30"/>
  <c r="K435" i="30" s="1"/>
  <c r="F426" i="30"/>
  <c r="F436" i="30" s="1"/>
  <c r="H425" i="30"/>
  <c r="H435" i="30" s="1"/>
  <c r="F423" i="30"/>
  <c r="F433" i="30" s="1"/>
  <c r="C424" i="30"/>
  <c r="C434" i="30" s="1"/>
  <c r="E421" i="30"/>
  <c r="E431" i="30" s="1"/>
  <c r="D422" i="30"/>
  <c r="D432" i="30" s="1"/>
  <c r="L425" i="30"/>
  <c r="L435" i="30" s="1"/>
  <c r="H421" i="30"/>
  <c r="H431" i="30" s="1"/>
  <c r="G422" i="30"/>
  <c r="G432" i="30" s="1"/>
  <c r="F424" i="30"/>
  <c r="F434" i="30" s="1"/>
  <c r="F422" i="30"/>
  <c r="F432" i="30" s="1"/>
  <c r="I423" i="30"/>
  <c r="I433" i="30" s="1"/>
  <c r="E419" i="30"/>
  <c r="L424" i="30"/>
  <c r="L434" i="30" s="1"/>
  <c r="D423" i="30"/>
  <c r="D433" i="30" s="1"/>
  <c r="L426" i="30"/>
  <c r="L436" i="30" s="1"/>
  <c r="J419" i="30"/>
  <c r="E422" i="30"/>
  <c r="E432" i="30" s="1"/>
  <c r="J421" i="30"/>
  <c r="J431" i="30" s="1"/>
  <c r="J422" i="30"/>
  <c r="J432" i="30" s="1"/>
  <c r="K423" i="30"/>
  <c r="K433" i="30" s="1"/>
  <c r="E423" i="30"/>
  <c r="E433" i="30" s="1"/>
  <c r="D421" i="30"/>
  <c r="D431" i="30" s="1"/>
  <c r="H420" i="30"/>
  <c r="H430" i="30" s="1"/>
  <c r="D419" i="30"/>
  <c r="D424" i="30"/>
  <c r="D434" i="30" s="1"/>
  <c r="K419" i="30"/>
  <c r="K422" i="30"/>
  <c r="K432" i="30" s="1"/>
  <c r="C425" i="30"/>
  <c r="C435" i="30" s="1"/>
  <c r="K424" i="30"/>
  <c r="K434" i="30" s="1"/>
  <c r="I421" i="30"/>
  <c r="I431" i="30" s="1"/>
  <c r="E420" i="30"/>
  <c r="E430" i="30" s="1"/>
  <c r="C426" i="30"/>
  <c r="C436" i="30" s="1"/>
  <c r="H419" i="30"/>
  <c r="C421" i="30"/>
  <c r="C431" i="30" s="1"/>
  <c r="I422" i="30"/>
  <c r="I432" i="30" s="1"/>
  <c r="G426" i="30"/>
  <c r="G436" i="30" s="1"/>
  <c r="C420" i="30"/>
  <c r="C430" i="30" s="1"/>
  <c r="L423" i="30"/>
  <c r="L433" i="30" s="1"/>
  <c r="I426" i="30"/>
  <c r="I436" i="30" s="1"/>
  <c r="F421" i="30"/>
  <c r="F431" i="30" s="1"/>
  <c r="K426" i="30"/>
  <c r="K436" i="30" s="1"/>
  <c r="H423" i="30"/>
  <c r="H433" i="30" s="1"/>
  <c r="I419" i="30"/>
  <c r="K421" i="30"/>
  <c r="K431" i="30" s="1"/>
  <c r="F420" i="30"/>
  <c r="F430" i="30" s="1"/>
  <c r="C422" i="30"/>
  <c r="C432" i="30" s="1"/>
  <c r="G423" i="30"/>
  <c r="G433" i="30" s="1"/>
  <c r="J426" i="30"/>
  <c r="J436" i="30" s="1"/>
  <c r="G419" i="30"/>
  <c r="I425" i="30"/>
  <c r="I435" i="30" s="1"/>
  <c r="L421" i="30"/>
  <c r="L431" i="30" s="1"/>
  <c r="H422" i="30"/>
  <c r="H432" i="30" s="1"/>
  <c r="G425" i="30"/>
  <c r="G435" i="30" s="1"/>
  <c r="F425" i="30"/>
  <c r="F435" i="30" s="1"/>
  <c r="E425" i="30"/>
  <c r="E435" i="30" s="1"/>
  <c r="G421" i="30"/>
  <c r="G431" i="30" s="1"/>
  <c r="J423" i="30"/>
  <c r="J433" i="30" s="1"/>
  <c r="H426" i="30"/>
  <c r="H436" i="30" s="1"/>
  <c r="E426" i="30"/>
  <c r="E436" i="30" s="1"/>
  <c r="F337" i="6"/>
  <c r="F328" i="34"/>
  <c r="E335" i="34"/>
  <c r="E344" i="6"/>
  <c r="H334" i="34"/>
  <c r="H343" i="6"/>
  <c r="J331" i="34"/>
  <c r="J340" i="6"/>
  <c r="K338" i="6"/>
  <c r="K329" i="34"/>
  <c r="K332" i="34"/>
  <c r="K341" i="6"/>
  <c r="E328" i="34"/>
  <c r="E337" i="6"/>
  <c r="H335" i="34"/>
  <c r="H344" i="6"/>
  <c r="F334" i="34"/>
  <c r="F343" i="6"/>
  <c r="F333" i="34"/>
  <c r="F342" i="6"/>
  <c r="D329" i="34"/>
  <c r="D338" i="6"/>
  <c r="E330" i="34"/>
  <c r="E339" i="6"/>
  <c r="I335" i="34"/>
  <c r="I344" i="6"/>
  <c r="G344" i="6"/>
  <c r="G335" i="34"/>
  <c r="F331" i="34"/>
  <c r="F340" i="6"/>
  <c r="I332" i="34"/>
  <c r="I341" i="6"/>
  <c r="C338" i="6"/>
  <c r="C329" i="34"/>
  <c r="C330" i="34"/>
  <c r="C339" i="6"/>
  <c r="L333" i="34"/>
  <c r="L342" i="6"/>
  <c r="F339" i="6"/>
  <c r="F330" i="34"/>
  <c r="E342" i="6"/>
  <c r="E333" i="34"/>
  <c r="D337" i="6"/>
  <c r="D328" i="34"/>
  <c r="C333" i="34"/>
  <c r="C342" i="6"/>
  <c r="D334" i="34"/>
  <c r="D343" i="6"/>
  <c r="H340" i="6"/>
  <c r="H331" i="34"/>
  <c r="H330" i="34"/>
  <c r="H339" i="6"/>
  <c r="E343" i="6"/>
  <c r="E334" i="34"/>
  <c r="J343" i="6"/>
  <c r="J334" i="34"/>
  <c r="L340" i="6"/>
  <c r="L331" i="34"/>
  <c r="G341" i="6"/>
  <c r="G332" i="34"/>
  <c r="AA321" i="6"/>
  <c r="H328" i="34"/>
  <c r="H337" i="6"/>
  <c r="K330" i="34"/>
  <c r="K339" i="6"/>
  <c r="J330" i="34"/>
  <c r="J339" i="6"/>
  <c r="I342" i="6"/>
  <c r="I333" i="34"/>
  <c r="H342" i="6"/>
  <c r="H333" i="34"/>
  <c r="C344" i="6"/>
  <c r="C335" i="34"/>
  <c r="F341" i="6"/>
  <c r="F332" i="34"/>
  <c r="I330" i="34"/>
  <c r="I339" i="6"/>
  <c r="E329" i="34"/>
  <c r="E338" i="6"/>
  <c r="F344" i="6"/>
  <c r="F335" i="34"/>
  <c r="C337" i="6"/>
  <c r="C328" i="34"/>
  <c r="D332" i="34"/>
  <c r="D341" i="6"/>
  <c r="L334" i="34"/>
  <c r="L343" i="6"/>
  <c r="AA326" i="6"/>
  <c r="D340" i="6"/>
  <c r="D331" i="34"/>
  <c r="D339" i="6"/>
  <c r="D330" i="34"/>
  <c r="L330" i="34"/>
  <c r="L339" i="6"/>
  <c r="K331" i="34"/>
  <c r="K340" i="6"/>
  <c r="C343" i="6"/>
  <c r="C334" i="34"/>
  <c r="E341" i="6"/>
  <c r="E332" i="34"/>
  <c r="G331" i="34"/>
  <c r="G340" i="6"/>
  <c r="AA319" i="6"/>
  <c r="C340" i="6"/>
  <c r="C331" i="34"/>
  <c r="C332" i="34"/>
  <c r="C341" i="6"/>
  <c r="L335" i="34"/>
  <c r="L344" i="6"/>
  <c r="S409" i="30"/>
  <c r="W409" i="30"/>
  <c r="M430" i="30"/>
  <c r="Q409" i="30"/>
  <c r="M436" i="30"/>
  <c r="AA327" i="6"/>
  <c r="M435" i="30"/>
  <c r="T409" i="30"/>
  <c r="U409" i="30"/>
  <c r="M432" i="30"/>
  <c r="Y409" i="30"/>
  <c r="M431" i="30"/>
  <c r="P409" i="30"/>
  <c r="R409" i="30"/>
  <c r="M433" i="30"/>
  <c r="X409" i="30"/>
  <c r="M434" i="30"/>
  <c r="V409" i="30"/>
  <c r="G342" i="34" l="1"/>
  <c r="G360" i="6"/>
  <c r="G360" i="34" s="1"/>
  <c r="F429" i="30"/>
  <c r="F427" i="30"/>
  <c r="H342" i="34"/>
  <c r="H360" i="6"/>
  <c r="H360" i="34" s="1"/>
  <c r="E427" i="30"/>
  <c r="E429" i="30"/>
  <c r="K343" i="34"/>
  <c r="K361" i="6"/>
  <c r="K361" i="34" s="1"/>
  <c r="G338" i="34"/>
  <c r="G356" i="6"/>
  <c r="G356" i="34" s="1"/>
  <c r="J342" i="34"/>
  <c r="J360" i="6"/>
  <c r="J360" i="34" s="1"/>
  <c r="K342" i="34"/>
  <c r="K360" i="6"/>
  <c r="K360" i="34" s="1"/>
  <c r="I342" i="34"/>
  <c r="I360" i="6"/>
  <c r="I360" i="34" s="1"/>
  <c r="J427" i="30"/>
  <c r="J429" i="30"/>
  <c r="C344" i="34"/>
  <c r="C362" i="6"/>
  <c r="C362" i="34" s="1"/>
  <c r="L343" i="34"/>
  <c r="L361" i="6"/>
  <c r="L361" i="34" s="1"/>
  <c r="F339" i="34"/>
  <c r="F357" i="6"/>
  <c r="F357" i="34" s="1"/>
  <c r="F343" i="34"/>
  <c r="F361" i="6"/>
  <c r="F361" i="34" s="1"/>
  <c r="K341" i="34"/>
  <c r="K359" i="6"/>
  <c r="K359" i="34" s="1"/>
  <c r="F337" i="34"/>
  <c r="F355" i="6"/>
  <c r="F355" i="34" s="1"/>
  <c r="K337" i="34"/>
  <c r="K355" i="6"/>
  <c r="K355" i="34" s="1"/>
  <c r="H340" i="34"/>
  <c r="H358" i="6"/>
  <c r="H358" i="34" s="1"/>
  <c r="C338" i="34"/>
  <c r="C356" i="6"/>
  <c r="C356" i="34" s="1"/>
  <c r="D338" i="34"/>
  <c r="D356" i="6"/>
  <c r="D356" i="34" s="1"/>
  <c r="H343" i="34"/>
  <c r="H361" i="6"/>
  <c r="H361" i="34" s="1"/>
  <c r="D337" i="34"/>
  <c r="D355" i="6"/>
  <c r="D355" i="34" s="1"/>
  <c r="K344" i="34"/>
  <c r="K362" i="6"/>
  <c r="K362" i="34" s="1"/>
  <c r="I338" i="34"/>
  <c r="I356" i="6"/>
  <c r="I356" i="34" s="1"/>
  <c r="L341" i="34"/>
  <c r="L359" i="6"/>
  <c r="L359" i="34" s="1"/>
  <c r="G337" i="34"/>
  <c r="G355" i="6"/>
  <c r="G355" i="34" s="1"/>
  <c r="L340" i="34"/>
  <c r="L358" i="6"/>
  <c r="L358" i="34" s="1"/>
  <c r="C342" i="34"/>
  <c r="C360" i="6"/>
  <c r="C360" i="34" s="1"/>
  <c r="E342" i="34"/>
  <c r="E360" i="6"/>
  <c r="E360" i="34" s="1"/>
  <c r="E337" i="34"/>
  <c r="E355" i="6"/>
  <c r="E355" i="34" s="1"/>
  <c r="K338" i="34"/>
  <c r="K356" i="6"/>
  <c r="K356" i="34" s="1"/>
  <c r="E344" i="34"/>
  <c r="E362" i="6"/>
  <c r="E362" i="34" s="1"/>
  <c r="C337" i="34"/>
  <c r="C355" i="6"/>
  <c r="I339" i="34"/>
  <c r="I357" i="6"/>
  <c r="I357" i="34" s="1"/>
  <c r="I343" i="34"/>
  <c r="I361" i="6"/>
  <c r="I361" i="34" s="1"/>
  <c r="C343" i="34"/>
  <c r="C361" i="6"/>
  <c r="C361" i="34" s="1"/>
  <c r="G341" i="34"/>
  <c r="G359" i="6"/>
  <c r="G359" i="34" s="1"/>
  <c r="I341" i="34"/>
  <c r="I359" i="6"/>
  <c r="I359" i="34" s="1"/>
  <c r="C341" i="34"/>
  <c r="C359" i="6"/>
  <c r="C359" i="34" s="1"/>
  <c r="K340" i="34"/>
  <c r="K358" i="6"/>
  <c r="K358" i="34" s="1"/>
  <c r="D339" i="34"/>
  <c r="D357" i="6"/>
  <c r="D357" i="34" s="1"/>
  <c r="F344" i="34"/>
  <c r="F362" i="6"/>
  <c r="F362" i="34" s="1"/>
  <c r="E343" i="34"/>
  <c r="E361" i="6"/>
  <c r="E361" i="34" s="1"/>
  <c r="D343" i="34"/>
  <c r="D361" i="6"/>
  <c r="D361" i="34" s="1"/>
  <c r="I344" i="34"/>
  <c r="I362" i="6"/>
  <c r="I362" i="34" s="1"/>
  <c r="K427" i="30"/>
  <c r="K429" i="30"/>
  <c r="J344" i="34"/>
  <c r="J362" i="6"/>
  <c r="J362" i="34" s="1"/>
  <c r="L337" i="34"/>
  <c r="L355" i="6"/>
  <c r="L355" i="34" s="1"/>
  <c r="J341" i="34"/>
  <c r="J359" i="6"/>
  <c r="J359" i="34" s="1"/>
  <c r="D429" i="30"/>
  <c r="D427" i="30"/>
  <c r="C340" i="34"/>
  <c r="C358" i="6"/>
  <c r="C358" i="34" s="1"/>
  <c r="J339" i="34"/>
  <c r="J357" i="6"/>
  <c r="J357" i="34" s="1"/>
  <c r="L344" i="34"/>
  <c r="L362" i="6"/>
  <c r="L362" i="34" s="1"/>
  <c r="J343" i="34"/>
  <c r="J361" i="6"/>
  <c r="J361" i="34" s="1"/>
  <c r="D344" i="34"/>
  <c r="D362" i="6"/>
  <c r="D362" i="34" s="1"/>
  <c r="H341" i="34"/>
  <c r="H359" i="6"/>
  <c r="H359" i="34" s="1"/>
  <c r="K339" i="34"/>
  <c r="K357" i="6"/>
  <c r="K357" i="34" s="1"/>
  <c r="G340" i="34"/>
  <c r="G358" i="6"/>
  <c r="G358" i="34" s="1"/>
  <c r="L342" i="34"/>
  <c r="L360" i="6"/>
  <c r="L360" i="34" s="1"/>
  <c r="G344" i="34"/>
  <c r="G362" i="6"/>
  <c r="G362" i="34" s="1"/>
  <c r="H344" i="34"/>
  <c r="H362" i="6"/>
  <c r="H362" i="34" s="1"/>
  <c r="I427" i="30"/>
  <c r="I429" i="30"/>
  <c r="D341" i="34"/>
  <c r="D359" i="6"/>
  <c r="D359" i="34" s="1"/>
  <c r="E338" i="34"/>
  <c r="E356" i="6"/>
  <c r="E356" i="34" s="1"/>
  <c r="F341" i="34"/>
  <c r="F359" i="6"/>
  <c r="F359" i="34" s="1"/>
  <c r="H337" i="34"/>
  <c r="H355" i="6"/>
  <c r="H355" i="34" s="1"/>
  <c r="H339" i="34"/>
  <c r="H357" i="6"/>
  <c r="H357" i="34" s="1"/>
  <c r="C339" i="34"/>
  <c r="C357" i="6"/>
  <c r="C357" i="34" s="1"/>
  <c r="F342" i="34"/>
  <c r="F360" i="6"/>
  <c r="F360" i="34" s="1"/>
  <c r="G429" i="30"/>
  <c r="G427" i="30"/>
  <c r="H429" i="30"/>
  <c r="H427" i="30"/>
  <c r="L427" i="30"/>
  <c r="L429" i="30"/>
  <c r="J337" i="34"/>
  <c r="J355" i="6"/>
  <c r="J355" i="34" s="1"/>
  <c r="I337" i="34"/>
  <c r="I355" i="6"/>
  <c r="I355" i="34" s="1"/>
  <c r="D342" i="34"/>
  <c r="D360" i="6"/>
  <c r="D360" i="34" s="1"/>
  <c r="C429" i="30"/>
  <c r="C427" i="30"/>
  <c r="G343" i="34"/>
  <c r="G361" i="6"/>
  <c r="G361" i="34" s="1"/>
  <c r="F338" i="34"/>
  <c r="F356" i="6"/>
  <c r="F356" i="34" s="1"/>
  <c r="I340" i="34"/>
  <c r="I358" i="6"/>
  <c r="I358" i="34" s="1"/>
  <c r="L338" i="34"/>
  <c r="L356" i="6"/>
  <c r="L356" i="34" s="1"/>
  <c r="G339" i="34"/>
  <c r="G357" i="6"/>
  <c r="G357" i="34" s="1"/>
  <c r="E341" i="34"/>
  <c r="E359" i="6"/>
  <c r="E359" i="34" s="1"/>
  <c r="L339" i="34"/>
  <c r="L357" i="6"/>
  <c r="L357" i="34" s="1"/>
  <c r="D340" i="34"/>
  <c r="D358" i="6"/>
  <c r="D358" i="34" s="1"/>
  <c r="F340" i="34"/>
  <c r="F358" i="6"/>
  <c r="F358" i="34" s="1"/>
  <c r="E339" i="34"/>
  <c r="E357" i="6"/>
  <c r="E357" i="34" s="1"/>
  <c r="J340" i="34"/>
  <c r="J358" i="6"/>
  <c r="J358" i="34" s="1"/>
  <c r="H338" i="34"/>
  <c r="H356" i="6"/>
  <c r="H356" i="34" s="1"/>
  <c r="J338" i="34"/>
  <c r="J356" i="6"/>
  <c r="J356" i="34" s="1"/>
  <c r="E340" i="34"/>
  <c r="E358" i="6"/>
  <c r="E358" i="34" s="1"/>
  <c r="K437" i="30"/>
  <c r="I437" i="30"/>
  <c r="H437" i="30"/>
  <c r="F437" i="30"/>
  <c r="D437" i="30"/>
  <c r="G437" i="30"/>
  <c r="J437" i="30"/>
  <c r="M429" i="30"/>
  <c r="M437" i="30" s="1"/>
  <c r="C437" i="30"/>
  <c r="E437" i="30"/>
  <c r="L437" i="30"/>
  <c r="B17" i="9" l="1" a="1"/>
  <c r="F17" i="9" s="1"/>
  <c r="D19" i="9"/>
  <c r="G19" i="9"/>
  <c r="H19" i="9"/>
  <c r="J19" i="9"/>
  <c r="I19" i="9"/>
  <c r="F19" i="9"/>
  <c r="C19" i="9"/>
  <c r="E19" i="9"/>
  <c r="B19" i="9"/>
  <c r="M438" i="30"/>
  <c r="K19" i="9"/>
  <c r="C355" i="34"/>
  <c r="C364" i="6" a="1"/>
  <c r="E21" i="9"/>
  <c r="D21" i="9"/>
  <c r="B21" i="9"/>
  <c r="G21" i="9"/>
  <c r="L20" i="9"/>
  <c r="L23" i="9" s="1"/>
  <c r="J21" i="9"/>
  <c r="I21" i="9"/>
  <c r="F21" i="9"/>
  <c r="C21" i="9"/>
  <c r="H21" i="9"/>
  <c r="K21" i="9"/>
  <c r="C35" i="57"/>
  <c r="C34" i="57"/>
  <c r="C39" i="57"/>
  <c r="C37" i="57"/>
  <c r="C36" i="57"/>
  <c r="C33" i="57"/>
  <c r="C17" i="9" l="1"/>
  <c r="K17" i="9"/>
  <c r="B17" i="9"/>
  <c r="I17" i="9"/>
  <c r="E17" i="9"/>
  <c r="G17" i="9"/>
  <c r="H17" i="9"/>
  <c r="D17" i="9"/>
  <c r="J17" i="9"/>
  <c r="C368" i="6"/>
  <c r="C366" i="6"/>
  <c r="C364" i="6"/>
  <c r="C371" i="6"/>
  <c r="C367" i="6"/>
  <c r="C370" i="6"/>
  <c r="C369" i="6"/>
  <c r="C365" i="6"/>
  <c r="M442" i="30"/>
  <c r="L19" i="9"/>
  <c r="D368" i="6" l="1"/>
  <c r="D377" i="6" s="1"/>
  <c r="C368" i="34"/>
  <c r="C365" i="34"/>
  <c r="D365" i="6"/>
  <c r="D374" i="6" s="1"/>
  <c r="D369" i="6"/>
  <c r="D378" i="6" s="1"/>
  <c r="C369" i="34"/>
  <c r="C370" i="34"/>
  <c r="D370" i="6"/>
  <c r="D379" i="6" s="1"/>
  <c r="C367" i="34"/>
  <c r="D367" i="6"/>
  <c r="D376" i="6" s="1"/>
  <c r="C371" i="34"/>
  <c r="D371" i="6"/>
  <c r="D380" i="6" s="1"/>
  <c r="D366" i="6"/>
  <c r="D375" i="6" s="1"/>
  <c r="C366" i="34"/>
  <c r="C376" i="6"/>
  <c r="C378" i="6"/>
  <c r="C379" i="6"/>
  <c r="C377" i="6"/>
  <c r="C374" i="6"/>
  <c r="C364" i="34"/>
  <c r="C373" i="6"/>
  <c r="C380" i="6"/>
  <c r="D364" i="6"/>
  <c r="D373" i="6" s="1"/>
  <c r="C375" i="6"/>
  <c r="C383" i="6" l="1"/>
  <c r="C374" i="34"/>
  <c r="E364" i="6"/>
  <c r="D364" i="34"/>
  <c r="C382" i="6"/>
  <c r="C373" i="34"/>
  <c r="C388" i="6"/>
  <c r="C379" i="34"/>
  <c r="C375" i="34"/>
  <c r="C384" i="6"/>
  <c r="D378" i="34"/>
  <c r="D387" i="6"/>
  <c r="D385" i="6"/>
  <c r="D376" i="34"/>
  <c r="C378" i="34"/>
  <c r="C387" i="6"/>
  <c r="D366" i="34"/>
  <c r="E366" i="6"/>
  <c r="E369" i="6"/>
  <c r="D369" i="34"/>
  <c r="C380" i="34"/>
  <c r="C389" i="6"/>
  <c r="D384" i="6"/>
  <c r="D375" i="34"/>
  <c r="D370" i="34"/>
  <c r="E370" i="6"/>
  <c r="D383" i="6"/>
  <c r="D374" i="34"/>
  <c r="D382" i="6"/>
  <c r="D373" i="34"/>
  <c r="C376" i="34"/>
  <c r="C385" i="6"/>
  <c r="D371" i="34"/>
  <c r="E371" i="6"/>
  <c r="D365" i="34"/>
  <c r="E365" i="6"/>
  <c r="C386" i="6"/>
  <c r="C377" i="34"/>
  <c r="D388" i="6"/>
  <c r="D379" i="34"/>
  <c r="D367" i="34"/>
  <c r="E367" i="6"/>
  <c r="D389" i="6"/>
  <c r="D380" i="34"/>
  <c r="D377" i="34"/>
  <c r="D386" i="6"/>
  <c r="D368" i="34"/>
  <c r="E368" i="6"/>
  <c r="Q385" i="6" l="1"/>
  <c r="C385" i="34"/>
  <c r="C394" i="6"/>
  <c r="Q389" i="6"/>
  <c r="C389" i="34"/>
  <c r="C398" i="6"/>
  <c r="Q386" i="6"/>
  <c r="C386" i="34"/>
  <c r="C395" i="6"/>
  <c r="R382" i="6"/>
  <c r="D382" i="34"/>
  <c r="D391" i="6"/>
  <c r="D385" i="34"/>
  <c r="R385" i="6"/>
  <c r="D394" i="6"/>
  <c r="Q382" i="6"/>
  <c r="C382" i="34"/>
  <c r="C391" i="6"/>
  <c r="C387" i="34"/>
  <c r="Q387" i="6"/>
  <c r="C396" i="6"/>
  <c r="F365" i="6"/>
  <c r="E365" i="34"/>
  <c r="E374" i="6"/>
  <c r="D387" i="34"/>
  <c r="R387" i="6"/>
  <c r="D396" i="6"/>
  <c r="R383" i="6"/>
  <c r="D383" i="34"/>
  <c r="D392" i="6"/>
  <c r="F369" i="6"/>
  <c r="E369" i="34"/>
  <c r="E378" i="6"/>
  <c r="F364" i="6"/>
  <c r="E364" i="34"/>
  <c r="E373" i="6"/>
  <c r="F368" i="6"/>
  <c r="E368" i="34"/>
  <c r="E377" i="6"/>
  <c r="R384" i="6"/>
  <c r="D384" i="34"/>
  <c r="D393" i="6"/>
  <c r="R386" i="6"/>
  <c r="D386" i="34"/>
  <c r="D395" i="6"/>
  <c r="E371" i="34"/>
  <c r="F371" i="6"/>
  <c r="E380" i="6"/>
  <c r="E366" i="34"/>
  <c r="F366" i="6"/>
  <c r="E375" i="6"/>
  <c r="Q384" i="6"/>
  <c r="C384" i="34"/>
  <c r="C393" i="6"/>
  <c r="D388" i="34"/>
  <c r="R388" i="6"/>
  <c r="D397" i="6"/>
  <c r="C388" i="34"/>
  <c r="Q388" i="6"/>
  <c r="C397" i="6"/>
  <c r="R389" i="6"/>
  <c r="D389" i="34"/>
  <c r="D398" i="6"/>
  <c r="F367" i="6"/>
  <c r="E367" i="34"/>
  <c r="E376" i="6"/>
  <c r="E370" i="34"/>
  <c r="F370" i="6"/>
  <c r="E379" i="6"/>
  <c r="C383" i="34"/>
  <c r="Q383" i="6"/>
  <c r="C392" i="6"/>
  <c r="E386" i="6" l="1"/>
  <c r="E377" i="34"/>
  <c r="D403" i="6"/>
  <c r="D403" i="34" s="1"/>
  <c r="D394" i="34"/>
  <c r="C402" i="6"/>
  <c r="C402" i="34" s="1"/>
  <c r="C393" i="34"/>
  <c r="D392" i="34"/>
  <c r="D401" i="6"/>
  <c r="D401" i="34" s="1"/>
  <c r="F365" i="34"/>
  <c r="G365" i="6"/>
  <c r="F374" i="6"/>
  <c r="C398" i="34"/>
  <c r="C407" i="6"/>
  <c r="C407" i="34" s="1"/>
  <c r="E388" i="6"/>
  <c r="E379" i="34"/>
  <c r="D404" i="6"/>
  <c r="D404" i="34" s="1"/>
  <c r="D395" i="34"/>
  <c r="F368" i="34"/>
  <c r="G368" i="6"/>
  <c r="F377" i="6"/>
  <c r="C396" i="34"/>
  <c r="C405" i="6"/>
  <c r="C405" i="34" s="1"/>
  <c r="E389" i="6"/>
  <c r="E380" i="34"/>
  <c r="F369" i="34"/>
  <c r="G369" i="6"/>
  <c r="F378" i="6"/>
  <c r="F370" i="34"/>
  <c r="G370" i="6"/>
  <c r="F379" i="6"/>
  <c r="C397" i="34"/>
  <c r="C406" i="6"/>
  <c r="C406" i="34" s="1"/>
  <c r="E384" i="6"/>
  <c r="E375" i="34"/>
  <c r="D396" i="34"/>
  <c r="D405" i="6"/>
  <c r="D405" i="34" s="1"/>
  <c r="C403" i="6"/>
  <c r="C403" i="34" s="1"/>
  <c r="C394" i="34"/>
  <c r="E374" i="34"/>
  <c r="E383" i="6"/>
  <c r="D407" i="6"/>
  <c r="D407" i="34" s="1"/>
  <c r="D398" i="34"/>
  <c r="G371" i="6"/>
  <c r="F371" i="34"/>
  <c r="F380" i="6"/>
  <c r="E385" i="6"/>
  <c r="E376" i="34"/>
  <c r="F366" i="34"/>
  <c r="G366" i="6"/>
  <c r="F375" i="6"/>
  <c r="D402" i="6"/>
  <c r="D402" i="34" s="1"/>
  <c r="D393" i="34"/>
  <c r="G364" i="6"/>
  <c r="F364" i="34"/>
  <c r="F373" i="6"/>
  <c r="C391" i="34"/>
  <c r="C400" i="6"/>
  <c r="C400" i="34" s="1"/>
  <c r="D412" i="6"/>
  <c r="C412" i="6"/>
  <c r="D415" i="6"/>
  <c r="C413" i="6"/>
  <c r="C411" i="6"/>
  <c r="D413" i="6"/>
  <c r="C415" i="6"/>
  <c r="D414" i="6"/>
  <c r="C414" i="6"/>
  <c r="D411" i="6"/>
  <c r="D410" i="6"/>
  <c r="C409" i="6"/>
  <c r="C416" i="6"/>
  <c r="C410" i="6"/>
  <c r="D416" i="6"/>
  <c r="D409" i="6"/>
  <c r="C401" i="6"/>
  <c r="C401" i="34" s="1"/>
  <c r="C392" i="34"/>
  <c r="F367" i="34"/>
  <c r="G367" i="6"/>
  <c r="F376" i="6"/>
  <c r="E382" i="6"/>
  <c r="E373" i="34"/>
  <c r="D400" i="6"/>
  <c r="D400" i="34" s="1"/>
  <c r="D391" i="34"/>
  <c r="D397" i="34"/>
  <c r="D406" i="6"/>
  <c r="D406" i="34" s="1"/>
  <c r="E378" i="34"/>
  <c r="E387" i="6"/>
  <c r="C404" i="6"/>
  <c r="C404" i="34" s="1"/>
  <c r="C395" i="34"/>
  <c r="Q414" i="6"/>
  <c r="D417" i="6"/>
  <c r="Q411" i="6"/>
  <c r="Q412" i="6"/>
  <c r="P414" i="6"/>
  <c r="P411" i="6"/>
  <c r="Q416" i="6"/>
  <c r="P412" i="6"/>
  <c r="Q415" i="6"/>
  <c r="Q410" i="6"/>
  <c r="P416" i="6"/>
  <c r="P410" i="6"/>
  <c r="P413" i="6"/>
  <c r="C417" i="6"/>
  <c r="Q413" i="6"/>
  <c r="P415" i="6"/>
  <c r="D417" i="34" l="1"/>
  <c r="C417" i="34"/>
  <c r="D411" i="34"/>
  <c r="D413" i="34"/>
  <c r="D416" i="34"/>
  <c r="C411" i="34"/>
  <c r="F384" i="6"/>
  <c r="F375" i="34"/>
  <c r="S388" i="6"/>
  <c r="E388" i="34"/>
  <c r="E397" i="6"/>
  <c r="E387" i="34"/>
  <c r="S387" i="6"/>
  <c r="E396" i="6"/>
  <c r="D409" i="34"/>
  <c r="D414" i="34"/>
  <c r="H366" i="6"/>
  <c r="G366" i="34"/>
  <c r="G375" i="6"/>
  <c r="G371" i="34"/>
  <c r="H371" i="6"/>
  <c r="G380" i="6"/>
  <c r="F378" i="34"/>
  <c r="F387" i="6"/>
  <c r="C416" i="34"/>
  <c r="C421" i="6"/>
  <c r="C424" i="6"/>
  <c r="D423" i="6"/>
  <c r="C420" i="6"/>
  <c r="D425" i="6"/>
  <c r="D422" i="6"/>
  <c r="C426" i="6"/>
  <c r="C409" i="34"/>
  <c r="C422" i="6"/>
  <c r="C419" i="6"/>
  <c r="C423" i="6"/>
  <c r="C425" i="6"/>
  <c r="D420" i="6"/>
  <c r="D419" i="6"/>
  <c r="D424" i="6"/>
  <c r="D426" i="6"/>
  <c r="D421" i="6"/>
  <c r="G369" i="34"/>
  <c r="H369" i="6"/>
  <c r="G378" i="6"/>
  <c r="C413" i="34"/>
  <c r="F382" i="6"/>
  <c r="F373" i="34"/>
  <c r="S384" i="6"/>
  <c r="E384" i="34"/>
  <c r="E393" i="6"/>
  <c r="G368" i="34"/>
  <c r="H368" i="6"/>
  <c r="G377" i="6"/>
  <c r="F374" i="34"/>
  <c r="F383" i="6"/>
  <c r="F379" i="34"/>
  <c r="F388" i="6"/>
  <c r="H370" i="6"/>
  <c r="G370" i="34"/>
  <c r="G379" i="6"/>
  <c r="C410" i="34"/>
  <c r="C415" i="34"/>
  <c r="D415" i="34"/>
  <c r="S385" i="6"/>
  <c r="E385" i="34"/>
  <c r="E394" i="6"/>
  <c r="S383" i="6"/>
  <c r="E383" i="34"/>
  <c r="E392" i="6"/>
  <c r="H365" i="6"/>
  <c r="G365" i="34"/>
  <c r="G374" i="6"/>
  <c r="D412" i="34"/>
  <c r="F380" i="34"/>
  <c r="F389" i="6"/>
  <c r="E389" i="34"/>
  <c r="S389" i="6"/>
  <c r="E398" i="6"/>
  <c r="F377" i="34"/>
  <c r="F386" i="6"/>
  <c r="E382" i="34"/>
  <c r="S382" i="6"/>
  <c r="E391" i="6"/>
  <c r="D410" i="34"/>
  <c r="F385" i="6"/>
  <c r="F376" i="34"/>
  <c r="H367" i="6"/>
  <c r="G367" i="34"/>
  <c r="G376" i="6"/>
  <c r="C414" i="34"/>
  <c r="C412" i="34"/>
  <c r="G364" i="34"/>
  <c r="H364" i="6"/>
  <c r="G373" i="6"/>
  <c r="S386" i="6"/>
  <c r="E386" i="34"/>
  <c r="E395" i="6"/>
  <c r="P409" i="6"/>
  <c r="Q409" i="6"/>
  <c r="I364" i="6" l="1"/>
  <c r="H364" i="34"/>
  <c r="H373" i="6"/>
  <c r="D427" i="6"/>
  <c r="D429" i="6"/>
  <c r="D419" i="34"/>
  <c r="D425" i="34"/>
  <c r="D435" i="6"/>
  <c r="D435" i="34" s="1"/>
  <c r="E405" i="6"/>
  <c r="E405" i="34" s="1"/>
  <c r="E396" i="34"/>
  <c r="E414" i="6"/>
  <c r="C420" i="34"/>
  <c r="C430" i="6"/>
  <c r="I371" i="6"/>
  <c r="H371" i="34"/>
  <c r="H380" i="6"/>
  <c r="E400" i="6"/>
  <c r="E400" i="34" s="1"/>
  <c r="E391" i="34"/>
  <c r="E409" i="6"/>
  <c r="T389" i="6"/>
  <c r="F389" i="34"/>
  <c r="F398" i="6"/>
  <c r="H369" i="34"/>
  <c r="I369" i="6"/>
  <c r="H378" i="6"/>
  <c r="D423" i="34"/>
  <c r="D433" i="6"/>
  <c r="D433" i="34" s="1"/>
  <c r="G382" i="6"/>
  <c r="G373" i="34"/>
  <c r="E407" i="6"/>
  <c r="E407" i="34" s="1"/>
  <c r="E398" i="34"/>
  <c r="E416" i="6"/>
  <c r="I365" i="6"/>
  <c r="H365" i="34"/>
  <c r="H374" i="6"/>
  <c r="F382" i="34"/>
  <c r="T382" i="6"/>
  <c r="F391" i="6"/>
  <c r="G380" i="34"/>
  <c r="G389" i="6"/>
  <c r="C424" i="34"/>
  <c r="C434" i="6"/>
  <c r="E406" i="6"/>
  <c r="E406" i="34" s="1"/>
  <c r="E397" i="34"/>
  <c r="E415" i="6"/>
  <c r="E395" i="34"/>
  <c r="E404" i="6"/>
  <c r="E404" i="34" s="1"/>
  <c r="E413" i="6"/>
  <c r="C425" i="34"/>
  <c r="C435" i="6"/>
  <c r="C431" i="6"/>
  <c r="C421" i="34"/>
  <c r="G386" i="6"/>
  <c r="G377" i="34"/>
  <c r="G379" i="34"/>
  <c r="G388" i="6"/>
  <c r="H368" i="34"/>
  <c r="I368" i="6"/>
  <c r="H377" i="6"/>
  <c r="H370" i="34"/>
  <c r="I370" i="6"/>
  <c r="H379" i="6"/>
  <c r="G385" i="6"/>
  <c r="G376" i="34"/>
  <c r="F388" i="34"/>
  <c r="T388" i="6"/>
  <c r="F397" i="6"/>
  <c r="T386" i="6"/>
  <c r="F386" i="34"/>
  <c r="F395" i="6"/>
  <c r="D426" i="34"/>
  <c r="D436" i="6"/>
  <c r="D436" i="34" s="1"/>
  <c r="D420" i="34"/>
  <c r="D430" i="6"/>
  <c r="D430" i="34" s="1"/>
  <c r="C423" i="34"/>
  <c r="C433" i="6"/>
  <c r="C422" i="34"/>
  <c r="C432" i="6"/>
  <c r="C426" i="34"/>
  <c r="C436" i="6"/>
  <c r="H366" i="34"/>
  <c r="I366" i="6"/>
  <c r="H375" i="6"/>
  <c r="F384" i="34"/>
  <c r="T384" i="6"/>
  <c r="F393" i="6"/>
  <c r="F385" i="34"/>
  <c r="T385" i="6"/>
  <c r="F394" i="6"/>
  <c r="E392" i="34"/>
  <c r="E401" i="6"/>
  <c r="E401" i="34" s="1"/>
  <c r="E410" i="6"/>
  <c r="D434" i="6"/>
  <c r="D434" i="34" s="1"/>
  <c r="D424" i="34"/>
  <c r="G387" i="6"/>
  <c r="G378" i="34"/>
  <c r="E403" i="6"/>
  <c r="E403" i="34" s="1"/>
  <c r="E394" i="34"/>
  <c r="E412" i="6"/>
  <c r="E393" i="34"/>
  <c r="E402" i="6"/>
  <c r="E402" i="34" s="1"/>
  <c r="E411" i="6"/>
  <c r="C429" i="6"/>
  <c r="C427" i="6"/>
  <c r="C419" i="34"/>
  <c r="G375" i="34"/>
  <c r="G384" i="6"/>
  <c r="G374" i="34"/>
  <c r="G383" i="6"/>
  <c r="D431" i="6"/>
  <c r="D431" i="34" s="1"/>
  <c r="D421" i="34"/>
  <c r="I367" i="6"/>
  <c r="H367" i="34"/>
  <c r="H376" i="6"/>
  <c r="T383" i="6"/>
  <c r="F383" i="34"/>
  <c r="F392" i="6"/>
  <c r="D432" i="6"/>
  <c r="D432" i="34" s="1"/>
  <c r="D422" i="34"/>
  <c r="T387" i="6"/>
  <c r="F387" i="34"/>
  <c r="F396" i="6"/>
  <c r="E417" i="6"/>
  <c r="R414" i="6"/>
  <c r="R410" i="6"/>
  <c r="D437" i="6"/>
  <c r="R415" i="6"/>
  <c r="R411" i="6"/>
  <c r="C437" i="6"/>
  <c r="R413" i="6"/>
  <c r="R412" i="6"/>
  <c r="R416" i="6"/>
  <c r="D437" i="34" l="1"/>
  <c r="C8" i="9"/>
  <c r="B8" i="9"/>
  <c r="C437" i="34"/>
  <c r="E417" i="34"/>
  <c r="F405" i="6"/>
  <c r="F405" i="34" s="1"/>
  <c r="F396" i="34"/>
  <c r="F414" i="6"/>
  <c r="C433" i="34"/>
  <c r="G386" i="34"/>
  <c r="U386" i="6"/>
  <c r="G395" i="6"/>
  <c r="H384" i="6"/>
  <c r="H375" i="34"/>
  <c r="F406" i="6"/>
  <c r="F406" i="34" s="1"/>
  <c r="F397" i="34"/>
  <c r="F415" i="6"/>
  <c r="U382" i="6"/>
  <c r="G382" i="34"/>
  <c r="G391" i="6"/>
  <c r="J371" i="6"/>
  <c r="I371" i="34"/>
  <c r="I380" i="6"/>
  <c r="F392" i="34"/>
  <c r="F401" i="6"/>
  <c r="F401" i="34" s="1"/>
  <c r="F410" i="6"/>
  <c r="B6" i="9"/>
  <c r="C427" i="34"/>
  <c r="B28" i="9" s="1"/>
  <c r="J366" i="6"/>
  <c r="I366" i="34"/>
  <c r="I375" i="6"/>
  <c r="H386" i="6"/>
  <c r="H377" i="34"/>
  <c r="C431" i="34"/>
  <c r="H374" i="34"/>
  <c r="H383" i="6"/>
  <c r="C430" i="34"/>
  <c r="D429" i="34"/>
  <c r="E415" i="34"/>
  <c r="E425" i="6"/>
  <c r="F407" i="6"/>
  <c r="F407" i="34" s="1"/>
  <c r="F398" i="34"/>
  <c r="F416" i="6"/>
  <c r="F394" i="34"/>
  <c r="F403" i="6"/>
  <c r="F403" i="34" s="1"/>
  <c r="F412" i="6"/>
  <c r="C429" i="34"/>
  <c r="U387" i="6"/>
  <c r="G387" i="34"/>
  <c r="G396" i="6"/>
  <c r="I368" i="34"/>
  <c r="J368" i="6"/>
  <c r="I377" i="6"/>
  <c r="C435" i="34"/>
  <c r="C434" i="34"/>
  <c r="E409" i="34"/>
  <c r="E419" i="6"/>
  <c r="D427" i="34"/>
  <c r="C28" i="9" s="1"/>
  <c r="C6" i="9"/>
  <c r="E411" i="34"/>
  <c r="E421" i="6"/>
  <c r="F402" i="6"/>
  <c r="F402" i="34" s="1"/>
  <c r="F393" i="34"/>
  <c r="F411" i="6"/>
  <c r="C436" i="34"/>
  <c r="I365" i="34"/>
  <c r="J365" i="6"/>
  <c r="I374" i="6"/>
  <c r="H387" i="6"/>
  <c r="H378" i="34"/>
  <c r="E414" i="34"/>
  <c r="E424" i="6"/>
  <c r="H376" i="34"/>
  <c r="H385" i="6"/>
  <c r="G383" i="34"/>
  <c r="U383" i="6"/>
  <c r="G392" i="6"/>
  <c r="G385" i="34"/>
  <c r="U385" i="6"/>
  <c r="G394" i="6"/>
  <c r="U388" i="6"/>
  <c r="G388" i="34"/>
  <c r="G397" i="6"/>
  <c r="E413" i="34"/>
  <c r="E423" i="6"/>
  <c r="G389" i="34"/>
  <c r="U389" i="6"/>
  <c r="G398" i="6"/>
  <c r="E416" i="34"/>
  <c r="E426" i="6"/>
  <c r="J369" i="6"/>
  <c r="I369" i="34"/>
  <c r="I378" i="6"/>
  <c r="H373" i="34"/>
  <c r="H382" i="6"/>
  <c r="E410" i="34"/>
  <c r="E420" i="6"/>
  <c r="C432" i="34"/>
  <c r="F404" i="6"/>
  <c r="F404" i="34" s="1"/>
  <c r="F395" i="34"/>
  <c r="F413" i="6"/>
  <c r="H379" i="34"/>
  <c r="H388" i="6"/>
  <c r="J367" i="6"/>
  <c r="I367" i="34"/>
  <c r="I376" i="6"/>
  <c r="U384" i="6"/>
  <c r="G384" i="34"/>
  <c r="G393" i="6"/>
  <c r="E412" i="34"/>
  <c r="E422" i="6"/>
  <c r="I370" i="34"/>
  <c r="J370" i="6"/>
  <c r="I379" i="6"/>
  <c r="F391" i="34"/>
  <c r="F400" i="6"/>
  <c r="F400" i="34" s="1"/>
  <c r="F409" i="6"/>
  <c r="H380" i="34"/>
  <c r="H389" i="6"/>
  <c r="J364" i="6"/>
  <c r="I364" i="34"/>
  <c r="I373" i="6"/>
  <c r="R409" i="6"/>
  <c r="S414" i="6"/>
  <c r="S411" i="6"/>
  <c r="S415" i="6"/>
  <c r="C10" i="9"/>
  <c r="S410" i="6"/>
  <c r="B10" i="9"/>
  <c r="S416" i="6"/>
  <c r="S412" i="6"/>
  <c r="F417" i="6"/>
  <c r="S413" i="6"/>
  <c r="F417" i="34" l="1"/>
  <c r="F416" i="34"/>
  <c r="F426" i="6"/>
  <c r="I376" i="34"/>
  <c r="I385" i="6"/>
  <c r="E436" i="6"/>
  <c r="E426" i="34"/>
  <c r="V385" i="6"/>
  <c r="H385" i="34"/>
  <c r="H394" i="6"/>
  <c r="G396" i="34"/>
  <c r="G405" i="6"/>
  <c r="G405" i="34" s="1"/>
  <c r="G414" i="6"/>
  <c r="F410" i="34"/>
  <c r="F420" i="6"/>
  <c r="K370" i="6"/>
  <c r="J370" i="34"/>
  <c r="J379" i="6"/>
  <c r="E430" i="6"/>
  <c r="E420" i="34"/>
  <c r="E427" i="6"/>
  <c r="E429" i="6"/>
  <c r="E419" i="34"/>
  <c r="F415" i="34"/>
  <c r="F425" i="6"/>
  <c r="I382" i="6"/>
  <c r="I373" i="34"/>
  <c r="J367" i="34"/>
  <c r="K367" i="6"/>
  <c r="J376" i="6"/>
  <c r="E434" i="6"/>
  <c r="E424" i="34"/>
  <c r="F414" i="34"/>
  <c r="F424" i="6"/>
  <c r="I375" i="34"/>
  <c r="I384" i="6"/>
  <c r="I380" i="34"/>
  <c r="I389" i="6"/>
  <c r="I383" i="6"/>
  <c r="I374" i="34"/>
  <c r="K368" i="6"/>
  <c r="J368" i="34"/>
  <c r="J377" i="6"/>
  <c r="V383" i="6"/>
  <c r="H383" i="34"/>
  <c r="H392" i="6"/>
  <c r="G391" i="34"/>
  <c r="G400" i="6"/>
  <c r="G400" i="34" s="1"/>
  <c r="G409" i="6"/>
  <c r="G404" i="6"/>
  <c r="G404" i="34" s="1"/>
  <c r="G395" i="34"/>
  <c r="G413" i="6"/>
  <c r="J369" i="34"/>
  <c r="K369" i="6"/>
  <c r="J378" i="6"/>
  <c r="G397" i="34"/>
  <c r="G406" i="6"/>
  <c r="G406" i="34" s="1"/>
  <c r="G415" i="6"/>
  <c r="K365" i="6"/>
  <c r="J365" i="34"/>
  <c r="J374" i="6"/>
  <c r="F411" i="34"/>
  <c r="F421" i="6"/>
  <c r="E435" i="6"/>
  <c r="E425" i="34"/>
  <c r="H386" i="34"/>
  <c r="V386" i="6"/>
  <c r="H395" i="6"/>
  <c r="H389" i="34"/>
  <c r="V389" i="6"/>
  <c r="H398" i="6"/>
  <c r="E432" i="6"/>
  <c r="E422" i="34"/>
  <c r="V388" i="6"/>
  <c r="H388" i="34"/>
  <c r="H397" i="6"/>
  <c r="H382" i="34"/>
  <c r="V382" i="6"/>
  <c r="H391" i="6"/>
  <c r="F412" i="34"/>
  <c r="F422" i="6"/>
  <c r="I379" i="34"/>
  <c r="I388" i="6"/>
  <c r="K364" i="6"/>
  <c r="J364" i="34"/>
  <c r="J373" i="6"/>
  <c r="G398" i="34"/>
  <c r="G407" i="6"/>
  <c r="G407" i="34" s="1"/>
  <c r="G416" i="6"/>
  <c r="G403" i="6"/>
  <c r="G403" i="34" s="1"/>
  <c r="G394" i="34"/>
  <c r="G412" i="6"/>
  <c r="F409" i="34"/>
  <c r="F419" i="6"/>
  <c r="G393" i="34"/>
  <c r="G402" i="6"/>
  <c r="G402" i="34" s="1"/>
  <c r="G411" i="6"/>
  <c r="F413" i="34"/>
  <c r="F423" i="6"/>
  <c r="I387" i="6"/>
  <c r="I378" i="34"/>
  <c r="E433" i="6"/>
  <c r="E423" i="34"/>
  <c r="G392" i="34"/>
  <c r="G401" i="6"/>
  <c r="G401" i="34" s="1"/>
  <c r="G410" i="6"/>
  <c r="V387" i="6"/>
  <c r="H387" i="34"/>
  <c r="H396" i="6"/>
  <c r="E431" i="6"/>
  <c r="E421" i="34"/>
  <c r="I377" i="34"/>
  <c r="I386" i="6"/>
  <c r="J366" i="34"/>
  <c r="K366" i="6"/>
  <c r="J375" i="6"/>
  <c r="J371" i="34"/>
  <c r="K371" i="6"/>
  <c r="J380" i="6"/>
  <c r="V384" i="6"/>
  <c r="H384" i="34"/>
  <c r="H393" i="6"/>
  <c r="S409" i="6"/>
  <c r="G417" i="6"/>
  <c r="T411" i="6"/>
  <c r="T416" i="6"/>
  <c r="T410" i="6"/>
  <c r="T415" i="6"/>
  <c r="T413" i="6"/>
  <c r="T412" i="6"/>
  <c r="E437" i="6"/>
  <c r="T414" i="6"/>
  <c r="G417" i="34" l="1"/>
  <c r="E437" i="34"/>
  <c r="D8" i="9"/>
  <c r="E432" i="34"/>
  <c r="K365" i="34"/>
  <c r="L365" i="6"/>
  <c r="K374" i="6"/>
  <c r="G415" i="34"/>
  <c r="G425" i="6"/>
  <c r="J375" i="34"/>
  <c r="J384" i="6"/>
  <c r="W387" i="6"/>
  <c r="I387" i="34"/>
  <c r="I396" i="6"/>
  <c r="G412" i="34"/>
  <c r="G422" i="6"/>
  <c r="L364" i="6"/>
  <c r="K364" i="34"/>
  <c r="K373" i="6"/>
  <c r="F431" i="6"/>
  <c r="F421" i="34"/>
  <c r="G409" i="34"/>
  <c r="G419" i="6"/>
  <c r="L368" i="6"/>
  <c r="K368" i="34"/>
  <c r="K377" i="6"/>
  <c r="F424" i="34"/>
  <c r="F434" i="6"/>
  <c r="I382" i="34"/>
  <c r="W382" i="6"/>
  <c r="I391" i="6"/>
  <c r="G413" i="34"/>
  <c r="G423" i="6"/>
  <c r="K367" i="34"/>
  <c r="L367" i="6"/>
  <c r="K376" i="6"/>
  <c r="E429" i="34"/>
  <c r="K371" i="34"/>
  <c r="L371" i="6"/>
  <c r="K380" i="6"/>
  <c r="E431" i="34"/>
  <c r="E433" i="34"/>
  <c r="G414" i="34"/>
  <c r="G424" i="6"/>
  <c r="W385" i="6"/>
  <c r="I385" i="34"/>
  <c r="I394" i="6"/>
  <c r="K366" i="34"/>
  <c r="L366" i="6"/>
  <c r="K375" i="6"/>
  <c r="G410" i="34"/>
  <c r="G420" i="6"/>
  <c r="H404" i="6"/>
  <c r="H404" i="34" s="1"/>
  <c r="H395" i="34"/>
  <c r="H413" i="6"/>
  <c r="K369" i="34"/>
  <c r="L369" i="6"/>
  <c r="K378" i="6"/>
  <c r="I383" i="34"/>
  <c r="W383" i="6"/>
  <c r="I392" i="6"/>
  <c r="F425" i="34"/>
  <c r="F435" i="6"/>
  <c r="J388" i="6"/>
  <c r="J379" i="34"/>
  <c r="H403" i="6"/>
  <c r="H403" i="34" s="1"/>
  <c r="H394" i="34"/>
  <c r="H412" i="6"/>
  <c r="J382" i="6"/>
  <c r="J373" i="34"/>
  <c r="H400" i="6"/>
  <c r="H400" i="34" s="1"/>
  <c r="H391" i="34"/>
  <c r="H409" i="6"/>
  <c r="H407" i="6"/>
  <c r="H407" i="34" s="1"/>
  <c r="H398" i="34"/>
  <c r="H416" i="6"/>
  <c r="E435" i="34"/>
  <c r="J387" i="6"/>
  <c r="J378" i="34"/>
  <c r="G411" i="34"/>
  <c r="G421" i="6"/>
  <c r="J383" i="6"/>
  <c r="J374" i="34"/>
  <c r="H392" i="34"/>
  <c r="H401" i="6"/>
  <c r="H401" i="34" s="1"/>
  <c r="H410" i="6"/>
  <c r="E434" i="34"/>
  <c r="J389" i="6"/>
  <c r="J380" i="34"/>
  <c r="F420" i="34"/>
  <c r="F430" i="6"/>
  <c r="F427" i="6"/>
  <c r="F429" i="6"/>
  <c r="F419" i="34"/>
  <c r="J386" i="6"/>
  <c r="J377" i="34"/>
  <c r="W384" i="6"/>
  <c r="I384" i="34"/>
  <c r="I393" i="6"/>
  <c r="D6" i="9"/>
  <c r="E427" i="34"/>
  <c r="D28" i="9" s="1"/>
  <c r="E436" i="34"/>
  <c r="H405" i="6"/>
  <c r="H405" i="34" s="1"/>
  <c r="H396" i="34"/>
  <c r="H414" i="6"/>
  <c r="F423" i="34"/>
  <c r="F433" i="6"/>
  <c r="W388" i="6"/>
  <c r="I388" i="34"/>
  <c r="I397" i="6"/>
  <c r="H406" i="6"/>
  <c r="H406" i="34" s="1"/>
  <c r="H397" i="34"/>
  <c r="H415" i="6"/>
  <c r="E430" i="34"/>
  <c r="F436" i="6"/>
  <c r="F426" i="34"/>
  <c r="H402" i="6"/>
  <c r="H402" i="34" s="1"/>
  <c r="H393" i="34"/>
  <c r="H411" i="6"/>
  <c r="W386" i="6"/>
  <c r="I386" i="34"/>
  <c r="I395" i="6"/>
  <c r="G416" i="34"/>
  <c r="G426" i="6"/>
  <c r="F422" i="34"/>
  <c r="F432" i="6"/>
  <c r="W389" i="6"/>
  <c r="I389" i="34"/>
  <c r="I398" i="6"/>
  <c r="J376" i="34"/>
  <c r="J385" i="6"/>
  <c r="K370" i="34"/>
  <c r="L370" i="6"/>
  <c r="K379" i="6"/>
  <c r="T409" i="6"/>
  <c r="U414" i="6"/>
  <c r="H417" i="6"/>
  <c r="U415" i="6"/>
  <c r="D10" i="9"/>
  <c r="U412" i="6"/>
  <c r="U416" i="6"/>
  <c r="F437" i="6"/>
  <c r="U410" i="6"/>
  <c r="U413" i="6"/>
  <c r="U411" i="6"/>
  <c r="E8" i="9" l="1"/>
  <c r="F437" i="34"/>
  <c r="H417" i="34"/>
  <c r="H410" i="34"/>
  <c r="H420" i="6"/>
  <c r="L365" i="34"/>
  <c r="L374" i="6"/>
  <c r="G426" i="34"/>
  <c r="G436" i="6"/>
  <c r="H416" i="34"/>
  <c r="H426" i="6"/>
  <c r="H412" i="34"/>
  <c r="H422" i="6"/>
  <c r="G420" i="34"/>
  <c r="G430" i="6"/>
  <c r="G424" i="34"/>
  <c r="G434" i="6"/>
  <c r="K385" i="6"/>
  <c r="K376" i="34"/>
  <c r="F434" i="34"/>
  <c r="F431" i="34"/>
  <c r="H413" i="34"/>
  <c r="H423" i="6"/>
  <c r="I403" i="6"/>
  <c r="I403" i="34" s="1"/>
  <c r="I394" i="34"/>
  <c r="I412" i="6"/>
  <c r="L371" i="34"/>
  <c r="L380" i="6"/>
  <c r="I391" i="34"/>
  <c r="I400" i="6"/>
  <c r="I400" i="34" s="1"/>
  <c r="I409" i="6"/>
  <c r="G427" i="6"/>
  <c r="G429" i="6"/>
  <c r="G419" i="34"/>
  <c r="K382" i="6"/>
  <c r="K373" i="34"/>
  <c r="J384" i="34"/>
  <c r="X384" i="6"/>
  <c r="J393" i="6"/>
  <c r="I404" i="6"/>
  <c r="I404" i="34" s="1"/>
  <c r="I395" i="34"/>
  <c r="I413" i="6"/>
  <c r="J383" i="34"/>
  <c r="X383" i="6"/>
  <c r="J392" i="6"/>
  <c r="K384" i="6"/>
  <c r="K375" i="34"/>
  <c r="K386" i="6"/>
  <c r="K377" i="34"/>
  <c r="K379" i="34"/>
  <c r="K388" i="6"/>
  <c r="I397" i="34"/>
  <c r="I406" i="6"/>
  <c r="I406" i="34" s="1"/>
  <c r="I415" i="6"/>
  <c r="J387" i="34"/>
  <c r="X387" i="6"/>
  <c r="J396" i="6"/>
  <c r="I405" i="6"/>
  <c r="I405" i="34" s="1"/>
  <c r="I396" i="34"/>
  <c r="I414" i="6"/>
  <c r="F429" i="34"/>
  <c r="I401" i="6"/>
  <c r="I401" i="34" s="1"/>
  <c r="I392" i="34"/>
  <c r="I410" i="6"/>
  <c r="H415" i="34"/>
  <c r="H425" i="6"/>
  <c r="H409" i="34"/>
  <c r="H419" i="6"/>
  <c r="L369" i="34"/>
  <c r="L378" i="6"/>
  <c r="L366" i="34"/>
  <c r="L375" i="6"/>
  <c r="G433" i="6"/>
  <c r="G423" i="34"/>
  <c r="L364" i="34"/>
  <c r="L373" i="6"/>
  <c r="G425" i="34"/>
  <c r="G435" i="6"/>
  <c r="H411" i="34"/>
  <c r="H421" i="6"/>
  <c r="X386" i="6"/>
  <c r="J386" i="34"/>
  <c r="J395" i="6"/>
  <c r="F435" i="34"/>
  <c r="K383" i="6"/>
  <c r="K374" i="34"/>
  <c r="F432" i="34"/>
  <c r="L370" i="34"/>
  <c r="L379" i="6"/>
  <c r="J382" i="34"/>
  <c r="X382" i="6"/>
  <c r="J391" i="6"/>
  <c r="F427" i="34"/>
  <c r="E28" i="9" s="1"/>
  <c r="E6" i="9"/>
  <c r="X385" i="6"/>
  <c r="J385" i="34"/>
  <c r="J394" i="6"/>
  <c r="F436" i="34"/>
  <c r="F433" i="34"/>
  <c r="I402" i="6"/>
  <c r="I402" i="34" s="1"/>
  <c r="I393" i="34"/>
  <c r="I411" i="6"/>
  <c r="F430" i="34"/>
  <c r="L367" i="34"/>
  <c r="L376" i="6"/>
  <c r="K387" i="6"/>
  <c r="K378" i="34"/>
  <c r="I407" i="6"/>
  <c r="I407" i="34" s="1"/>
  <c r="I398" i="34"/>
  <c r="I416" i="6"/>
  <c r="H414" i="34"/>
  <c r="H424" i="6"/>
  <c r="G421" i="34"/>
  <c r="G431" i="6"/>
  <c r="X389" i="6"/>
  <c r="J389" i="34"/>
  <c r="J398" i="6"/>
  <c r="J388" i="34"/>
  <c r="X388" i="6"/>
  <c r="J397" i="6"/>
  <c r="K380" i="34"/>
  <c r="K389" i="6"/>
  <c r="L368" i="34"/>
  <c r="L377" i="6"/>
  <c r="G422" i="34"/>
  <c r="G432" i="6"/>
  <c r="U409" i="6"/>
  <c r="V410" i="6"/>
  <c r="E10" i="9"/>
  <c r="G437" i="6"/>
  <c r="V412" i="6"/>
  <c r="V413" i="6"/>
  <c r="V416" i="6"/>
  <c r="V414" i="6"/>
  <c r="V411" i="6"/>
  <c r="V415" i="6"/>
  <c r="I417" i="6"/>
  <c r="G437" i="34" l="1"/>
  <c r="F8" i="9"/>
  <c r="I417" i="34"/>
  <c r="L383" i="6"/>
  <c r="L374" i="34"/>
  <c r="L382" i="6"/>
  <c r="L373" i="34"/>
  <c r="H427" i="6"/>
  <c r="H429" i="6"/>
  <c r="H419" i="34"/>
  <c r="I414" i="34"/>
  <c r="I424" i="6"/>
  <c r="J401" i="6"/>
  <c r="J401" i="34" s="1"/>
  <c r="J392" i="34"/>
  <c r="J410" i="6"/>
  <c r="J395" i="34"/>
  <c r="J404" i="6"/>
  <c r="J404" i="34" s="1"/>
  <c r="J413" i="6"/>
  <c r="K388" i="34"/>
  <c r="Y388" i="6"/>
  <c r="K397" i="6"/>
  <c r="H432" i="6"/>
  <c r="H422" i="34"/>
  <c r="H420" i="34"/>
  <c r="H430" i="6"/>
  <c r="K389" i="34"/>
  <c r="Y389" i="6"/>
  <c r="K398" i="6"/>
  <c r="G431" i="34"/>
  <c r="Y387" i="6"/>
  <c r="K387" i="34"/>
  <c r="K396" i="6"/>
  <c r="H435" i="6"/>
  <c r="H425" i="34"/>
  <c r="L380" i="34"/>
  <c r="L389" i="6"/>
  <c r="L386" i="6"/>
  <c r="L377" i="34"/>
  <c r="J391" i="34"/>
  <c r="J400" i="6"/>
  <c r="J400" i="34" s="1"/>
  <c r="J409" i="6"/>
  <c r="I413" i="34"/>
  <c r="I423" i="6"/>
  <c r="K382" i="34"/>
  <c r="Y382" i="6"/>
  <c r="K391" i="6"/>
  <c r="J397" i="34"/>
  <c r="J406" i="6"/>
  <c r="J406" i="34" s="1"/>
  <c r="J415" i="6"/>
  <c r="L375" i="34"/>
  <c r="L384" i="6"/>
  <c r="I412" i="34"/>
  <c r="I422" i="6"/>
  <c r="K385" i="34"/>
  <c r="Y385" i="6"/>
  <c r="K394" i="6"/>
  <c r="J398" i="34"/>
  <c r="J407" i="6"/>
  <c r="J407" i="34" s="1"/>
  <c r="J416" i="6"/>
  <c r="Y383" i="6"/>
  <c r="K383" i="34"/>
  <c r="K392" i="6"/>
  <c r="Y384" i="6"/>
  <c r="K384" i="34"/>
  <c r="K393" i="6"/>
  <c r="J393" i="34"/>
  <c r="J402" i="6"/>
  <c r="J402" i="34" s="1"/>
  <c r="J411" i="6"/>
  <c r="H433" i="6"/>
  <c r="H423" i="34"/>
  <c r="L388" i="6"/>
  <c r="L379" i="34"/>
  <c r="G433" i="34"/>
  <c r="J396" i="34"/>
  <c r="J405" i="6"/>
  <c r="J405" i="34" s="1"/>
  <c r="J414" i="6"/>
  <c r="H426" i="34"/>
  <c r="H436" i="6"/>
  <c r="H424" i="34"/>
  <c r="H434" i="6"/>
  <c r="H421" i="34"/>
  <c r="H431" i="6"/>
  <c r="I410" i="34"/>
  <c r="I420" i="6"/>
  <c r="K386" i="34"/>
  <c r="Y386" i="6"/>
  <c r="K395" i="6"/>
  <c r="G429" i="34"/>
  <c r="G434" i="34"/>
  <c r="G436" i="34"/>
  <c r="I409" i="34"/>
  <c r="I419" i="6"/>
  <c r="G430" i="34"/>
  <c r="L385" i="6"/>
  <c r="L376" i="34"/>
  <c r="J394" i="34"/>
  <c r="J403" i="6"/>
  <c r="J403" i="34" s="1"/>
  <c r="J412" i="6"/>
  <c r="G432" i="34"/>
  <c r="I416" i="34"/>
  <c r="I426" i="6"/>
  <c r="I411" i="34"/>
  <c r="I421" i="6"/>
  <c r="G435" i="34"/>
  <c r="L378" i="34"/>
  <c r="L387" i="6"/>
  <c r="I415" i="34"/>
  <c r="I425" i="6"/>
  <c r="G427" i="34"/>
  <c r="F28" i="9" s="1"/>
  <c r="F6" i="9"/>
  <c r="V409" i="6"/>
  <c r="W415" i="6"/>
  <c r="H437" i="6"/>
  <c r="J417" i="6"/>
  <c r="F10" i="9"/>
  <c r="W413" i="6"/>
  <c r="W412" i="6"/>
  <c r="W416" i="6"/>
  <c r="W411" i="6"/>
  <c r="W410" i="6"/>
  <c r="W414" i="6"/>
  <c r="J417" i="34" l="1"/>
  <c r="H437" i="34"/>
  <c r="G8" i="9"/>
  <c r="J414" i="34"/>
  <c r="J424" i="6"/>
  <c r="Z387" i="6"/>
  <c r="AA387" i="6" s="1"/>
  <c r="L387" i="34"/>
  <c r="L396" i="6"/>
  <c r="H434" i="34"/>
  <c r="K403" i="6"/>
  <c r="K403" i="34" s="1"/>
  <c r="K394" i="34"/>
  <c r="K412" i="6"/>
  <c r="K396" i="34"/>
  <c r="K405" i="6"/>
  <c r="K405" i="34" s="1"/>
  <c r="K414" i="6"/>
  <c r="H427" i="34"/>
  <c r="G28" i="9" s="1"/>
  <c r="G6" i="9"/>
  <c r="I421" i="34"/>
  <c r="I431" i="6"/>
  <c r="K404" i="6"/>
  <c r="K404" i="34" s="1"/>
  <c r="K395" i="34"/>
  <c r="K413" i="6"/>
  <c r="L388" i="34"/>
  <c r="Z388" i="6"/>
  <c r="AA388" i="6" s="1"/>
  <c r="L397" i="6"/>
  <c r="J410" i="34"/>
  <c r="J420" i="6"/>
  <c r="Z385" i="6"/>
  <c r="AA385" i="6" s="1"/>
  <c r="L385" i="34"/>
  <c r="L394" i="6"/>
  <c r="H436" i="34"/>
  <c r="K392" i="34"/>
  <c r="K401" i="6"/>
  <c r="K401" i="34" s="1"/>
  <c r="K410" i="6"/>
  <c r="K400" i="6"/>
  <c r="K400" i="34" s="1"/>
  <c r="K391" i="34"/>
  <c r="K409" i="6"/>
  <c r="H432" i="34"/>
  <c r="Z382" i="6"/>
  <c r="AA382" i="6" s="1"/>
  <c r="L382" i="34"/>
  <c r="L391" i="6"/>
  <c r="I436" i="6"/>
  <c r="I426" i="34"/>
  <c r="H433" i="34"/>
  <c r="I432" i="6"/>
  <c r="I422" i="34"/>
  <c r="Z386" i="6"/>
  <c r="AA386" i="6" s="1"/>
  <c r="L386" i="34"/>
  <c r="L395" i="6"/>
  <c r="K397" i="34"/>
  <c r="K406" i="6"/>
  <c r="K406" i="34" s="1"/>
  <c r="K415" i="6"/>
  <c r="J411" i="34"/>
  <c r="J421" i="6"/>
  <c r="Z389" i="6"/>
  <c r="AA389" i="6" s="1"/>
  <c r="L389" i="34"/>
  <c r="L398" i="6"/>
  <c r="K407" i="6"/>
  <c r="K407" i="34" s="1"/>
  <c r="K398" i="34"/>
  <c r="K416" i="6"/>
  <c r="I434" i="6"/>
  <c r="I424" i="34"/>
  <c r="Z383" i="6"/>
  <c r="AA383" i="6" s="1"/>
  <c r="L383" i="34"/>
  <c r="L392" i="6"/>
  <c r="J416" i="34"/>
  <c r="J426" i="6"/>
  <c r="L384" i="34"/>
  <c r="Z384" i="6"/>
  <c r="AA384" i="6" s="1"/>
  <c r="L393" i="6"/>
  <c r="I423" i="34"/>
  <c r="I433" i="6"/>
  <c r="I425" i="34"/>
  <c r="I435" i="6"/>
  <c r="I430" i="6"/>
  <c r="I420" i="34"/>
  <c r="J413" i="34"/>
  <c r="J423" i="6"/>
  <c r="I419" i="34"/>
  <c r="I429" i="6"/>
  <c r="I427" i="6"/>
  <c r="J412" i="34"/>
  <c r="J422" i="6"/>
  <c r="H431" i="34"/>
  <c r="K402" i="6"/>
  <c r="K402" i="34" s="1"/>
  <c r="K393" i="34"/>
  <c r="K411" i="6"/>
  <c r="J415" i="34"/>
  <c r="J425" i="6"/>
  <c r="J409" i="34"/>
  <c r="J419" i="6"/>
  <c r="H435" i="34"/>
  <c r="H430" i="34"/>
  <c r="H429" i="34"/>
  <c r="W409" i="6"/>
  <c r="I437" i="6"/>
  <c r="X415" i="6"/>
  <c r="X413" i="6"/>
  <c r="X410" i="6"/>
  <c r="G10" i="9"/>
  <c r="X416" i="6"/>
  <c r="X412" i="6"/>
  <c r="K417" i="6"/>
  <c r="X414" i="6"/>
  <c r="AA390" i="6"/>
  <c r="X411" i="6"/>
  <c r="K417" i="34" l="1"/>
  <c r="H8" i="9"/>
  <c r="I437" i="34"/>
  <c r="L393" i="34"/>
  <c r="L402" i="6"/>
  <c r="L402" i="34" s="1"/>
  <c r="L411" i="6"/>
  <c r="K411" i="34"/>
  <c r="K421" i="6"/>
  <c r="I433" i="34"/>
  <c r="L396" i="34"/>
  <c r="L405" i="6"/>
  <c r="L405" i="34" s="1"/>
  <c r="L414" i="6"/>
  <c r="J433" i="6"/>
  <c r="J423" i="34"/>
  <c r="J431" i="6"/>
  <c r="J421" i="34"/>
  <c r="L394" i="34"/>
  <c r="L403" i="6"/>
  <c r="L403" i="34" s="1"/>
  <c r="L412" i="6"/>
  <c r="K413" i="34"/>
  <c r="K423" i="6"/>
  <c r="I434" i="34"/>
  <c r="I432" i="34"/>
  <c r="K409" i="34"/>
  <c r="K419" i="6"/>
  <c r="J424" i="34"/>
  <c r="J434" i="6"/>
  <c r="K414" i="34"/>
  <c r="K424" i="6"/>
  <c r="J429" i="6"/>
  <c r="J419" i="34"/>
  <c r="J427" i="6"/>
  <c r="J432" i="6"/>
  <c r="J422" i="34"/>
  <c r="K415" i="34"/>
  <c r="K425" i="6"/>
  <c r="K410" i="34"/>
  <c r="K420" i="6"/>
  <c r="K416" i="34"/>
  <c r="K426" i="6"/>
  <c r="K412" i="34"/>
  <c r="K422" i="6"/>
  <c r="I430" i="34"/>
  <c r="J436" i="6"/>
  <c r="J426" i="34"/>
  <c r="J430" i="6"/>
  <c r="J420" i="34"/>
  <c r="I431" i="34"/>
  <c r="J425" i="34"/>
  <c r="J435" i="6"/>
  <c r="I427" i="34"/>
  <c r="H28" i="9" s="1"/>
  <c r="H6" i="9"/>
  <c r="I435" i="34"/>
  <c r="I436" i="34"/>
  <c r="I429" i="34"/>
  <c r="L392" i="34"/>
  <c r="L401" i="6"/>
  <c r="L401" i="34" s="1"/>
  <c r="L410" i="6"/>
  <c r="L407" i="6"/>
  <c r="L407" i="34" s="1"/>
  <c r="L398" i="34"/>
  <c r="L416" i="6"/>
  <c r="L395" i="34"/>
  <c r="L404" i="6"/>
  <c r="L404" i="34" s="1"/>
  <c r="L413" i="6"/>
  <c r="L400" i="6"/>
  <c r="L400" i="34" s="1"/>
  <c r="L391" i="34"/>
  <c r="L409" i="6"/>
  <c r="L397" i="34"/>
  <c r="L406" i="6"/>
  <c r="L406" i="34" s="1"/>
  <c r="L415" i="6"/>
  <c r="X409" i="6"/>
  <c r="Y413" i="6"/>
  <c r="Y410" i="6"/>
  <c r="H10" i="9"/>
  <c r="L417" i="6"/>
  <c r="Y412" i="6"/>
  <c r="Y414" i="6"/>
  <c r="J437" i="6"/>
  <c r="Y415" i="6"/>
  <c r="Y416" i="6"/>
  <c r="Y411" i="6"/>
  <c r="J437" i="34" l="1"/>
  <c r="I8" i="9"/>
  <c r="L417" i="34"/>
  <c r="B26" i="9" s="1" a="1"/>
  <c r="B4" i="9" a="1"/>
  <c r="L413" i="34"/>
  <c r="L423" i="6"/>
  <c r="L411" i="34"/>
  <c r="L421" i="6"/>
  <c r="K423" i="34"/>
  <c r="K433" i="6"/>
  <c r="J436" i="34"/>
  <c r="K435" i="6"/>
  <c r="K425" i="34"/>
  <c r="L414" i="34"/>
  <c r="L424" i="6"/>
  <c r="L415" i="34"/>
  <c r="L425" i="6"/>
  <c r="J430" i="34"/>
  <c r="K420" i="34"/>
  <c r="K430" i="6"/>
  <c r="J429" i="34"/>
  <c r="L412" i="34"/>
  <c r="L422" i="6"/>
  <c r="I6" i="9"/>
  <c r="J427" i="34"/>
  <c r="I28" i="9" s="1"/>
  <c r="K431" i="6"/>
  <c r="K421" i="34"/>
  <c r="J431" i="34"/>
  <c r="L409" i="34"/>
  <c r="L419" i="6"/>
  <c r="L410" i="34"/>
  <c r="L420" i="6"/>
  <c r="J435" i="34"/>
  <c r="K422" i="34"/>
  <c r="K432" i="6"/>
  <c r="K426" i="34"/>
  <c r="K436" i="6"/>
  <c r="L416" i="34"/>
  <c r="L426" i="6"/>
  <c r="K434" i="6"/>
  <c r="K424" i="34"/>
  <c r="J433" i="34"/>
  <c r="J434" i="34"/>
  <c r="J432" i="34"/>
  <c r="K427" i="6"/>
  <c r="K429" i="6"/>
  <c r="K419" i="34"/>
  <c r="Y409" i="6"/>
  <c r="I10" i="9"/>
  <c r="K437" i="6"/>
  <c r="K437" i="34" l="1"/>
  <c r="J8" i="9"/>
  <c r="L421" i="34"/>
  <c r="L431" i="6"/>
  <c r="K429" i="34"/>
  <c r="L433" i="6"/>
  <c r="L423" i="34"/>
  <c r="L419" i="34"/>
  <c r="L427" i="6"/>
  <c r="L429" i="6"/>
  <c r="C26" i="9"/>
  <c r="B26" i="9"/>
  <c r="F26" i="9"/>
  <c r="G26" i="9"/>
  <c r="H26" i="9"/>
  <c r="J26" i="9"/>
  <c r="D26" i="9"/>
  <c r="I26" i="9"/>
  <c r="K26" i="9"/>
  <c r="E26" i="9"/>
  <c r="L430" i="6"/>
  <c r="L420" i="34"/>
  <c r="L432" i="6"/>
  <c r="L422" i="34"/>
  <c r="K436" i="34"/>
  <c r="B4" i="9"/>
  <c r="I4" i="9"/>
  <c r="F4" i="9"/>
  <c r="G4" i="9"/>
  <c r="E4" i="9"/>
  <c r="H4" i="9"/>
  <c r="D4" i="9"/>
  <c r="C4" i="9"/>
  <c r="J4" i="9"/>
  <c r="K4" i="9"/>
  <c r="K432" i="34"/>
  <c r="K431" i="34"/>
  <c r="K433" i="34"/>
  <c r="L426" i="34"/>
  <c r="L436" i="6"/>
  <c r="L434" i="6"/>
  <c r="L424" i="34"/>
  <c r="J6" i="9"/>
  <c r="K427" i="34"/>
  <c r="J28" i="9" s="1"/>
  <c r="K430" i="34"/>
  <c r="K435" i="34"/>
  <c r="K434" i="34"/>
  <c r="L435" i="6"/>
  <c r="L425" i="34"/>
  <c r="M434" i="6"/>
  <c r="M432" i="6"/>
  <c r="J10" i="9"/>
  <c r="M429" i="6"/>
  <c r="L437" i="6"/>
  <c r="M431" i="6"/>
  <c r="M430" i="6"/>
  <c r="M433" i="6"/>
  <c r="M436" i="6"/>
  <c r="M435" i="6"/>
  <c r="M437" i="6"/>
  <c r="M438" i="6" l="1"/>
  <c r="L437" i="34"/>
  <c r="B30" i="9" s="1" a="1"/>
  <c r="K8" i="9"/>
  <c r="L435" i="34"/>
  <c r="L432" i="34"/>
  <c r="L433" i="34"/>
  <c r="L430" i="34"/>
  <c r="L436" i="34"/>
  <c r="L431" i="34"/>
  <c r="L429" i="34"/>
  <c r="L434" i="34"/>
  <c r="K6" i="9"/>
  <c r="L427" i="34"/>
  <c r="K28" i="9" s="1"/>
  <c r="M437" i="34"/>
  <c r="M434" i="34"/>
  <c r="M435" i="34"/>
  <c r="L9" i="9"/>
  <c r="L12" i="9" s="1"/>
  <c r="M436" i="34"/>
  <c r="M433" i="34"/>
  <c r="K10" i="9"/>
  <c r="M430" i="34"/>
  <c r="M431" i="34"/>
  <c r="M432" i="34"/>
  <c r="M429" i="34"/>
  <c r="B37" i="57"/>
  <c r="B33" i="57"/>
  <c r="B35" i="57"/>
  <c r="B39" i="57"/>
  <c r="B34" i="57"/>
  <c r="B36" i="57"/>
  <c r="K30" i="9" l="1"/>
  <c r="G30" i="9"/>
  <c r="I30" i="9"/>
  <c r="D30" i="9"/>
  <c r="E30" i="9"/>
  <c r="B30" i="9"/>
  <c r="J30" i="9"/>
  <c r="H30" i="9"/>
  <c r="F30" i="9"/>
  <c r="C30" i="9"/>
  <c r="L8" i="9"/>
  <c r="M438" i="34"/>
  <c r="M442" i="6"/>
  <c r="M442" i="34" s="1"/>
  <c r="L34" i="9"/>
  <c r="L31" i="9"/>
  <c r="D39" i="57"/>
  <c r="D35" i="57"/>
  <c r="D41" i="57"/>
  <c r="D37" i="57"/>
  <c r="D34" i="57"/>
  <c r="D36" i="57"/>
  <c r="D40" i="57"/>
  <c r="D33" i="57"/>
  <c r="D42" i="57" l="1"/>
  <c r="F39" i="57"/>
  <c r="L30" i="9"/>
  <c r="L36" i="9"/>
  <c r="L39" i="9"/>
</calcChain>
</file>

<file path=xl/comments1.xml><?xml version="1.0" encoding="utf-8"?>
<comments xmlns="http://schemas.openxmlformats.org/spreadsheetml/2006/main">
  <authors>
    <author>hopec</author>
    <author>Chris Hope</author>
    <author>Yumashev, Dmitry</author>
    <author>LAB</author>
  </authors>
  <commentList>
    <comment ref="A4" authorId="0" shapeId="0">
      <text>
        <r>
          <rPr>
            <b/>
            <sz val="8"/>
            <color indexed="81"/>
            <rFont val="Tahoma"/>
            <family val="2"/>
          </rPr>
          <t>hopec:</t>
        </r>
        <r>
          <rPr>
            <sz val="8"/>
            <color indexed="81"/>
            <rFont val="Tahoma"/>
            <family val="2"/>
          </rPr>
          <t xml:space="preserve">
Only analysis years before the last will work.</t>
        </r>
      </text>
    </comment>
    <comment ref="A11" authorId="1" shapeId="0">
      <text>
        <r>
          <rPr>
            <b/>
            <sz val="8"/>
            <color indexed="81"/>
            <rFont val="Tahoma"/>
            <family val="2"/>
          </rPr>
          <t>Chris Hope:</t>
        </r>
        <r>
          <rPr>
            <sz val="8"/>
            <color indexed="81"/>
            <rFont val="Tahoma"/>
            <family val="2"/>
          </rPr>
          <t xml:space="preserve">
Absolute value of EMUC. Used in equity weights</t>
        </r>
      </text>
    </comment>
    <comment ref="E12" authorId="0" shapeId="0">
      <text>
        <r>
          <rPr>
            <b/>
            <sz val="8"/>
            <color indexed="81"/>
            <rFont val="Tahoma"/>
            <family val="2"/>
          </rPr>
          <t>hopec:</t>
        </r>
        <r>
          <rPr>
            <sz val="8"/>
            <color indexed="81"/>
            <rFont val="Tahoma"/>
            <family val="2"/>
          </rPr>
          <t xml:space="preserve">
PFCs, HFC and SF6. Sometimes known as High GWP gases.</t>
        </r>
      </text>
    </comment>
    <comment ref="B13" authorId="1" shapeId="0">
      <text>
        <r>
          <rPr>
            <b/>
            <sz val="8"/>
            <color indexed="81"/>
            <rFont val="Tahoma"/>
            <family val="2"/>
          </rPr>
          <t>Chris Hope:</t>
        </r>
        <r>
          <rPr>
            <sz val="8"/>
            <color indexed="81"/>
            <rFont val="Tahoma"/>
            <family val="2"/>
          </rPr>
          <t xml:space="preserve">
As in PAGE2002.
IPCC TAR WGI, p358.
</t>
        </r>
      </text>
    </comment>
    <comment ref="C13" authorId="1" shapeId="0">
      <text>
        <r>
          <rPr>
            <b/>
            <sz val="8"/>
            <color indexed="81"/>
            <rFont val="Tahoma"/>
            <family val="2"/>
          </rPr>
          <t>Chris Hope:</t>
        </r>
        <r>
          <rPr>
            <sz val="8"/>
            <color indexed="81"/>
            <rFont val="Tahoma"/>
            <family val="2"/>
          </rPr>
          <t xml:space="preserve">
As in PAGE2002.
IPCC TAR WGI, p358.
</t>
        </r>
      </text>
    </comment>
    <comment ref="D13" authorId="1" shapeId="0">
      <text>
        <r>
          <rPr>
            <b/>
            <sz val="8"/>
            <color indexed="81"/>
            <rFont val="Tahoma"/>
            <family val="2"/>
          </rPr>
          <t>Chris Hope:</t>
        </r>
        <r>
          <rPr>
            <sz val="8"/>
            <color indexed="81"/>
            <rFont val="Tahoma"/>
            <family val="2"/>
          </rPr>
          <t xml:space="preserve">
IPCC TAR WGI, p358.</t>
        </r>
      </text>
    </comment>
    <comment ref="E13" authorId="1" shapeId="0">
      <text>
        <r>
          <rPr>
            <b/>
            <sz val="8"/>
            <color indexed="81"/>
            <rFont val="Tahoma"/>
            <family val="2"/>
          </rPr>
          <t>Chris Hope:</t>
        </r>
        <r>
          <rPr>
            <sz val="8"/>
            <color indexed="81"/>
            <rFont val="Tahoma"/>
            <family val="2"/>
          </rPr>
          <t xml:space="preserve">
Not naturally occuring. IPCC TAR WGI, p358.</t>
        </r>
      </text>
    </comment>
    <comment ref="B14" authorId="1" shapeId="0">
      <text>
        <r>
          <rPr>
            <b/>
            <sz val="8"/>
            <color indexed="81"/>
            <rFont val="Tahoma"/>
            <family val="2"/>
          </rPr>
          <t>Chris Hope:</t>
        </r>
        <r>
          <rPr>
            <sz val="8"/>
            <color indexed="81"/>
            <rFont val="Tahoma"/>
            <family val="2"/>
          </rPr>
          <t xml:space="preserve">
As in PAGE2002.</t>
        </r>
      </text>
    </comment>
    <comment ref="C14" authorId="1" shapeId="0">
      <text>
        <r>
          <rPr>
            <b/>
            <sz val="8"/>
            <color indexed="81"/>
            <rFont val="Tahoma"/>
            <family val="2"/>
          </rPr>
          <t xml:space="preserve">Chris Hope:
</t>
        </r>
        <r>
          <rPr>
            <sz val="8"/>
            <color indexed="81"/>
            <rFont val="Tahoma"/>
            <family val="2"/>
          </rPr>
          <t xml:space="preserve">As in PAGE2002,
IPCC TAR WGI, p250.
</t>
        </r>
      </text>
    </comment>
    <comment ref="D14" authorId="1" shapeId="0">
      <text>
        <r>
          <rPr>
            <b/>
            <sz val="8"/>
            <color indexed="81"/>
            <rFont val="Tahoma"/>
            <family val="2"/>
          </rPr>
          <t>Chris Hope:</t>
        </r>
        <r>
          <rPr>
            <sz val="8"/>
            <color indexed="81"/>
            <rFont val="Tahoma"/>
            <family val="2"/>
          </rPr>
          <t xml:space="preserve">
Emissions are for N2O, so same molecular weight as CO2.</t>
        </r>
      </text>
    </comment>
    <comment ref="E14" authorId="1" shapeId="0">
      <text>
        <r>
          <rPr>
            <b/>
            <sz val="8"/>
            <color indexed="81"/>
            <rFont val="Tahoma"/>
            <family val="2"/>
          </rPr>
          <t>Chris Hope:</t>
        </r>
        <r>
          <rPr>
            <sz val="8"/>
            <color indexed="81"/>
            <rFont val="Tahoma"/>
            <family val="2"/>
          </rPr>
          <t xml:space="preserve">
Assume 5 times the density, 20000 GWP approx. 
IPCC TAR WGI p388-389.
Gives the right ball-park results for 2100 in A2 scenario.</t>
        </r>
      </text>
    </comment>
    <comment ref="A15" authorId="1" shapeId="0">
      <text>
        <r>
          <rPr>
            <b/>
            <sz val="8"/>
            <color indexed="81"/>
            <rFont val="Tahoma"/>
            <family val="2"/>
          </rPr>
          <t>Chris Hope:</t>
        </r>
        <r>
          <rPr>
            <sz val="8"/>
            <color indexed="81"/>
            <rFont val="Tahoma"/>
            <family val="2"/>
          </rPr>
          <t xml:space="preserve">
FSLOPE</t>
        </r>
      </text>
    </comment>
    <comment ref="B15" authorId="1" shapeId="0">
      <text>
        <r>
          <rPr>
            <b/>
            <sz val="8"/>
            <color indexed="81"/>
            <rFont val="Tahoma"/>
            <family val="2"/>
          </rPr>
          <t>Chris Hope:</t>
        </r>
        <r>
          <rPr>
            <sz val="8"/>
            <color indexed="81"/>
            <rFont val="Tahoma"/>
            <family val="2"/>
          </rPr>
          <t xml:space="preserve">
To match MAGICC TCR results from Andrews and Allen, 2008
</t>
        </r>
      </text>
    </comment>
    <comment ref="C15" authorId="1" shapeId="0">
      <text>
        <r>
          <rPr>
            <b/>
            <sz val="8"/>
            <color indexed="81"/>
            <rFont val="Tahoma"/>
            <family val="2"/>
          </rPr>
          <t>Chris Hope:</t>
        </r>
        <r>
          <rPr>
            <sz val="8"/>
            <color indexed="81"/>
            <rFont val="Tahoma"/>
            <family val="2"/>
          </rPr>
          <t xml:space="preserve">
As in PAGE2002.
Gives a good simulation of scenario A2 in IPCC TAR WGI, p818 augmented by indirect effects. </t>
        </r>
      </text>
    </comment>
    <comment ref="D15" authorId="1" shapeId="0">
      <text>
        <r>
          <rPr>
            <b/>
            <sz val="8"/>
            <color indexed="81"/>
            <rFont val="Tahoma"/>
            <family val="2"/>
          </rPr>
          <t>Chris Hope:</t>
        </r>
        <r>
          <rPr>
            <sz val="8"/>
            <color indexed="81"/>
            <rFont val="Tahoma"/>
            <family val="2"/>
          </rPr>
          <t xml:space="preserve">
IPCC TAR WGI, p358.</t>
        </r>
      </text>
    </comment>
    <comment ref="E15" authorId="1" shapeId="0">
      <text>
        <r>
          <rPr>
            <b/>
            <sz val="8"/>
            <color indexed="81"/>
            <rFont val="Tahoma"/>
            <family val="2"/>
          </rPr>
          <t>Chris Hope:</t>
        </r>
        <r>
          <rPr>
            <sz val="8"/>
            <color indexed="81"/>
            <rFont val="Tahoma"/>
            <family val="2"/>
          </rPr>
          <t xml:space="preserve">
IPCC TAR WGI, p389. Rough average of the species.</t>
        </r>
      </text>
    </comment>
    <comment ref="C16" authorId="1" shapeId="0">
      <text>
        <r>
          <rPr>
            <b/>
            <sz val="8"/>
            <color indexed="81"/>
            <rFont val="Tahoma"/>
            <family val="2"/>
          </rPr>
          <t>Chris Hope:</t>
        </r>
        <r>
          <rPr>
            <sz val="8"/>
            <color indexed="81"/>
            <rFont val="Tahoma"/>
            <family val="2"/>
          </rPr>
          <t xml:space="preserve">
Not temperature dependent</t>
        </r>
      </text>
    </comment>
    <comment ref="D16" authorId="1" shapeId="0">
      <text>
        <r>
          <rPr>
            <b/>
            <sz val="8"/>
            <color indexed="81"/>
            <rFont val="Tahoma"/>
            <family val="2"/>
          </rPr>
          <t>Chris Hope:</t>
        </r>
        <r>
          <rPr>
            <sz val="8"/>
            <color indexed="81"/>
            <rFont val="Tahoma"/>
            <family val="2"/>
          </rPr>
          <t xml:space="preserve">
Not temperature dependent</t>
        </r>
      </text>
    </comment>
    <comment ref="E16" authorId="1" shapeId="0">
      <text>
        <r>
          <rPr>
            <b/>
            <sz val="8"/>
            <color indexed="81"/>
            <rFont val="Tahoma"/>
            <family val="2"/>
          </rPr>
          <t>Chris Hope:</t>
        </r>
        <r>
          <rPr>
            <sz val="8"/>
            <color indexed="81"/>
            <rFont val="Tahoma"/>
            <family val="2"/>
          </rPr>
          <t xml:space="preserve">
Not temperature dependent</t>
        </r>
      </text>
    </comment>
    <comment ref="C17" authorId="1" shapeId="0">
      <text>
        <r>
          <rPr>
            <b/>
            <sz val="8"/>
            <color indexed="81"/>
            <rFont val="Tahoma"/>
            <family val="2"/>
          </rPr>
          <t>Chris Hope:</t>
        </r>
        <r>
          <rPr>
            <sz val="8"/>
            <color indexed="81"/>
            <rFont val="Tahoma"/>
            <family val="2"/>
          </rPr>
          <t xml:space="preserve">
All emissions get into atmosphere</t>
        </r>
      </text>
    </comment>
    <comment ref="D17" authorId="1" shapeId="0">
      <text>
        <r>
          <rPr>
            <b/>
            <sz val="8"/>
            <color indexed="81"/>
            <rFont val="Tahoma"/>
            <family val="2"/>
          </rPr>
          <t>Chris Hope:</t>
        </r>
        <r>
          <rPr>
            <sz val="8"/>
            <color indexed="81"/>
            <rFont val="Tahoma"/>
            <family val="2"/>
          </rPr>
          <t xml:space="preserve">
All emissions get into atmosphere</t>
        </r>
      </text>
    </comment>
    <comment ref="E17" authorId="1" shapeId="0">
      <text>
        <r>
          <rPr>
            <b/>
            <sz val="8"/>
            <color indexed="81"/>
            <rFont val="Tahoma"/>
            <family val="2"/>
          </rPr>
          <t>Chris Hope:</t>
        </r>
        <r>
          <rPr>
            <sz val="8"/>
            <color indexed="81"/>
            <rFont val="Tahoma"/>
            <family val="2"/>
          </rPr>
          <t xml:space="preserve">
All emissions get into atmosphere</t>
        </r>
      </text>
    </comment>
    <comment ref="A18" authorId="1" shapeId="0">
      <text>
        <r>
          <rPr>
            <b/>
            <sz val="8"/>
            <color indexed="81"/>
            <rFont val="Tahoma"/>
            <family val="2"/>
          </rPr>
          <t>Chris Hope:</t>
        </r>
        <r>
          <rPr>
            <sz val="8"/>
            <color indexed="81"/>
            <rFont val="Tahoma"/>
            <family val="2"/>
          </rPr>
          <t xml:space="preserve">
Characterisic time of atmospheric residence.</t>
        </r>
      </text>
    </comment>
    <comment ref="C18" authorId="1" shapeId="0">
      <text>
        <r>
          <rPr>
            <b/>
            <sz val="8"/>
            <color indexed="81"/>
            <rFont val="Tahoma"/>
            <family val="2"/>
          </rPr>
          <t>Chris Hope:</t>
        </r>
        <r>
          <rPr>
            <sz val="8"/>
            <color indexed="81"/>
            <rFont val="Tahoma"/>
            <family val="2"/>
          </rPr>
          <t xml:space="preserve">
As in PAGE2002.
IPCC TAR WGI, p247 gives 12 years, but this gives too high concentrations in A2 marker scenario.
</t>
        </r>
      </text>
    </comment>
    <comment ref="D18" authorId="1" shapeId="0">
      <text>
        <r>
          <rPr>
            <b/>
            <sz val="8"/>
            <color indexed="81"/>
            <rFont val="Tahoma"/>
            <family val="2"/>
          </rPr>
          <t>Chris Hope:</t>
        </r>
        <r>
          <rPr>
            <sz val="8"/>
            <color indexed="81"/>
            <rFont val="Tahoma"/>
            <family val="2"/>
          </rPr>
          <t xml:space="preserve">
IPCC TAR WGI, p389</t>
        </r>
      </text>
    </comment>
    <comment ref="E18" authorId="1" shapeId="0">
      <text>
        <r>
          <rPr>
            <b/>
            <sz val="8"/>
            <color indexed="81"/>
            <rFont val="Tahoma"/>
            <family val="2"/>
          </rPr>
          <t>Chris Hope:</t>
        </r>
        <r>
          <rPr>
            <sz val="8"/>
            <color indexed="81"/>
            <rFont val="Tahoma"/>
            <family val="2"/>
          </rPr>
          <t xml:space="preserve">
IPCC TAR WGI, p389. Rough average of the species.</t>
        </r>
      </text>
    </comment>
    <comment ref="B19" authorId="2" shapeId="0">
      <text>
        <r>
          <rPr>
            <b/>
            <sz val="9"/>
            <color indexed="81"/>
            <rFont val="Tahoma"/>
            <family val="2"/>
          </rPr>
          <t>Yumashev, Dmitry:</t>
        </r>
        <r>
          <rPr>
            <sz val="9"/>
            <color indexed="81"/>
            <rFont val="Tahoma"/>
            <family val="2"/>
          </rPr>
          <t xml:space="preserve">
Annual means for NOAA and SCRIPPS data: https://www.co2.earth/monthly-co2</t>
        </r>
      </text>
    </comment>
    <comment ref="C19" authorId="1" shapeId="0">
      <text>
        <r>
          <rPr>
            <b/>
            <sz val="8"/>
            <color indexed="81"/>
            <rFont val="Tahoma"/>
            <family val="2"/>
          </rPr>
          <t>Chris Hope:</t>
        </r>
        <r>
          <rPr>
            <sz val="8"/>
            <color indexed="81"/>
            <rFont val="Tahoma"/>
            <family val="2"/>
          </rPr>
          <t xml:space="preserve">
https://www.ipcc.ch/pdf/assessment-report/ar5/wg1/WGIAR5_SPM_brochure_en.pdf
</t>
        </r>
      </text>
    </comment>
    <comment ref="D19" authorId="1" shapeId="0">
      <text>
        <r>
          <rPr>
            <b/>
            <sz val="8"/>
            <color indexed="81"/>
            <rFont val="Tahoma"/>
            <family val="2"/>
          </rPr>
          <t>Chris Hope:</t>
        </r>
        <r>
          <rPr>
            <sz val="8"/>
            <color indexed="81"/>
            <rFont val="Tahoma"/>
            <family val="2"/>
          </rPr>
          <t xml:space="preserve">
https://www.ipcc.ch/pdf/assessment-report/ar5/wg1/WGIAR5_SPM_brochure_en.pdf
</t>
        </r>
      </text>
    </comment>
    <comment ref="E19" authorId="1" shapeId="0">
      <text>
        <r>
          <rPr>
            <b/>
            <sz val="8"/>
            <color indexed="81"/>
            <rFont val="Tahoma"/>
            <family val="2"/>
          </rPr>
          <t>Chris Hope:</t>
        </r>
        <r>
          <rPr>
            <sz val="8"/>
            <color indexed="81"/>
            <rFont val="Tahoma"/>
            <family val="2"/>
          </rPr>
          <t xml:space="preserve">
IPCC TAR WGI, p244.</t>
        </r>
      </text>
    </comment>
    <comment ref="B20" authorId="2" shapeId="0">
      <text>
        <r>
          <rPr>
            <b/>
            <sz val="9"/>
            <color indexed="81"/>
            <rFont val="Tahoma"/>
            <family val="2"/>
          </rPr>
          <t>Yumashev, Dmitry:</t>
        </r>
        <r>
          <rPr>
            <sz val="9"/>
            <color indexed="81"/>
            <rFont val="Tahoma"/>
            <family val="2"/>
          </rPr>
          <t xml:space="preserve">
http://www.metoffice.gov.uk/research/news/2016/the-global-carbon-budget-2016</t>
        </r>
      </text>
    </comment>
    <comment ref="B21" authorId="1" shapeId="0">
      <text>
        <r>
          <rPr>
            <b/>
            <sz val="8"/>
            <color indexed="81"/>
            <rFont val="Tahoma"/>
            <family val="2"/>
          </rPr>
          <t>Chris Hope:</t>
        </r>
        <r>
          <rPr>
            <sz val="8"/>
            <color indexed="81"/>
            <rFont val="Tahoma"/>
            <family val="2"/>
          </rPr>
          <t xml:space="preserve">
From IPCC AR5 WG1 SPM5</t>
        </r>
      </text>
    </comment>
    <comment ref="C21" authorId="1" shapeId="0">
      <text>
        <r>
          <rPr>
            <b/>
            <sz val="8"/>
            <color indexed="81"/>
            <rFont val="Tahoma"/>
            <family val="2"/>
          </rPr>
          <t>Chris Hope:</t>
        </r>
        <r>
          <rPr>
            <sz val="8"/>
            <color indexed="81"/>
            <rFont val="Tahoma"/>
            <family val="2"/>
          </rPr>
          <t xml:space="preserve">
From IPCC AR5 WG1 SPM5. Concentration based forcing only.</t>
        </r>
      </text>
    </comment>
    <comment ref="D21" authorId="1" shapeId="0">
      <text>
        <r>
          <rPr>
            <b/>
            <sz val="8"/>
            <color indexed="81"/>
            <rFont val="Tahoma"/>
            <family val="2"/>
          </rPr>
          <t>Chris Hope:</t>
        </r>
        <r>
          <rPr>
            <sz val="8"/>
            <color indexed="81"/>
            <rFont val="Tahoma"/>
            <family val="2"/>
          </rPr>
          <t xml:space="preserve">
From IPCC AR5 WG1 SPM5</t>
        </r>
      </text>
    </comment>
    <comment ref="E21" authorId="1" shapeId="0">
      <text>
        <r>
          <rPr>
            <b/>
            <sz val="8"/>
            <color indexed="81"/>
            <rFont val="Tahoma"/>
            <family val="2"/>
          </rPr>
          <t>Chris Hope:</t>
        </r>
        <r>
          <rPr>
            <sz val="8"/>
            <color indexed="81"/>
            <rFont val="Tahoma"/>
            <family val="2"/>
          </rPr>
          <t xml:space="preserve">
IPCC TAR WGI p819-821. A1B marker scenario interpolated for 2008.</t>
        </r>
      </text>
    </comment>
    <comment ref="B23" authorId="1" shapeId="0">
      <text>
        <r>
          <rPr>
            <b/>
            <sz val="8"/>
            <color indexed="81"/>
            <rFont val="Tahoma"/>
            <family val="2"/>
          </rPr>
          <t>Chris Hope:</t>
        </r>
        <r>
          <rPr>
            <sz val="8"/>
            <color indexed="81"/>
            <rFont val="Tahoma"/>
            <family val="2"/>
          </rPr>
          <t xml:space="preserve">
Base year from SRES A1B scenario Trop O3, BC Aerosols, OC aerosols, CFCs and HCFCs</t>
        </r>
      </text>
    </comment>
    <comment ref="C25" authorId="1" shapeId="0">
      <text>
        <r>
          <rPr>
            <b/>
            <sz val="8"/>
            <color indexed="81"/>
            <rFont val="Tahoma"/>
            <family val="2"/>
          </rPr>
          <t>Chris Hope:</t>
        </r>
        <r>
          <rPr>
            <sz val="8"/>
            <color indexed="81"/>
            <rFont val="Tahoma"/>
            <family val="2"/>
          </rPr>
          <t xml:space="preserve">
EU now EU27. EE reduced by same amount. LA now includes Antarctica. All others unchanged from from PAGE2002.
</t>
        </r>
      </text>
    </comment>
    <comment ref="D25" authorId="1" shapeId="0">
      <text>
        <r>
          <rPr>
            <b/>
            <sz val="8"/>
            <color indexed="81"/>
            <rFont val="Tahoma"/>
            <family val="2"/>
          </rPr>
          <t xml:space="preserve">Aobo Liu:
</t>
        </r>
        <r>
          <rPr>
            <sz val="8"/>
            <color indexed="81"/>
            <rFont val="Tahoma"/>
            <family val="2"/>
          </rPr>
          <t>data from GDP growth historical datas( World bank)</t>
        </r>
      </text>
    </comment>
    <comment ref="E25" authorId="1" shapeId="0">
      <text>
        <r>
          <rPr>
            <b/>
            <sz val="8"/>
            <color indexed="81"/>
            <rFont val="Tahoma"/>
            <family val="2"/>
          </rPr>
          <t>Aobo liu:</t>
        </r>
        <r>
          <rPr>
            <sz val="8"/>
            <color indexed="81"/>
            <rFont val="Tahoma"/>
            <family val="2"/>
          </rPr>
          <t xml:space="preserve">
data from averaged SSP1-SSP5 in 2015</t>
        </r>
      </text>
    </comment>
    <comment ref="F25" authorId="2" shapeId="0">
      <text>
        <r>
          <rPr>
            <b/>
            <sz val="9"/>
            <color indexed="81"/>
            <rFont val="Tahoma"/>
            <family val="2"/>
          </rPr>
          <t>Aobo Liu:</t>
        </r>
        <r>
          <rPr>
            <sz val="9"/>
            <color indexed="81"/>
            <rFont val="Tahoma"/>
            <family val="2"/>
          </rPr>
          <t xml:space="preserve">
data from History - van Marle et al. (2017) &amp; Hoesly et al. (2018)</t>
        </r>
      </text>
    </comment>
    <comment ref="G25" authorId="2" shapeId="0">
      <text>
        <r>
          <rPr>
            <b/>
            <sz val="9"/>
            <color indexed="81"/>
            <rFont val="Tahoma"/>
            <family val="2"/>
          </rPr>
          <t xml:space="preserve">Aobo Liu:
</t>
        </r>
        <r>
          <rPr>
            <sz val="9"/>
            <color indexed="81"/>
            <rFont val="Tahoma"/>
            <family val="2"/>
          </rPr>
          <t>data from History - van Marle et al. (2017) &amp; Hoesly et al. (2018)</t>
        </r>
      </text>
    </comment>
    <comment ref="H25" authorId="2" shapeId="0">
      <text>
        <r>
          <rPr>
            <b/>
            <sz val="9"/>
            <color indexed="81"/>
            <rFont val="Tahoma"/>
            <family val="2"/>
          </rPr>
          <t>Aobo Liu:</t>
        </r>
        <r>
          <rPr>
            <sz val="9"/>
            <color indexed="81"/>
            <rFont val="Tahoma"/>
            <family val="2"/>
          </rPr>
          <t xml:space="preserve">
data from History - Gutschow et al. 2016</t>
        </r>
      </text>
    </comment>
    <comment ref="I25" authorId="2" shapeId="0">
      <text>
        <r>
          <rPr>
            <b/>
            <sz val="9"/>
            <color indexed="81"/>
            <rFont val="Tahoma"/>
            <family val="2"/>
          </rPr>
          <t>Yumashev, Dmitry:</t>
        </r>
        <r>
          <rPr>
            <sz val="9"/>
            <color indexed="81"/>
            <rFont val="Tahoma"/>
            <family val="2"/>
          </rPr>
          <t xml:space="preserve">
From Jimena Alvarez dissertation; average between RCP4.5 and RCP8.5 interpolated between 2010 and 2020.</t>
        </r>
      </text>
    </comment>
    <comment ref="J25" authorId="2" shapeId="0">
      <text>
        <r>
          <rPr>
            <b/>
            <sz val="9"/>
            <color indexed="81"/>
            <rFont val="Tahoma"/>
            <family val="2"/>
          </rPr>
          <t xml:space="preserve">Aobo Liu:
</t>
        </r>
        <r>
          <rPr>
            <sz val="9"/>
            <color indexed="81"/>
            <rFont val="Tahoma"/>
            <family val="2"/>
          </rPr>
          <t>data from History - van Marle et al. (2017) &amp; Hoesly et al. (2018)</t>
        </r>
      </text>
    </comment>
    <comment ref="K25" authorId="1" shapeId="0">
      <text>
        <r>
          <rPr>
            <b/>
            <sz val="8"/>
            <color indexed="81"/>
            <rFont val="Tahoma"/>
            <family val="2"/>
          </rPr>
          <t>Chris Hope:</t>
        </r>
        <r>
          <rPr>
            <sz val="8"/>
            <color indexed="81"/>
            <rFont val="Tahoma"/>
            <family val="2"/>
          </rPr>
          <t xml:space="preserve">
As in PAGE2002.
Middle of range from IPCC TAR WGI, volcanoes and oceans, p296,averaged across the globe. Confirmed by implied range of 25 - 36 TgS for natural emissions in AR4 WG1, ch2, p160</t>
        </r>
      </text>
    </comment>
    <comment ref="L25" authorId="2" shapeId="0">
      <text>
        <r>
          <rPr>
            <b/>
            <sz val="9"/>
            <color indexed="81"/>
            <rFont val="Tahoma"/>
            <family val="2"/>
          </rPr>
          <t>Yumashev, Dmitry:</t>
        </r>
        <r>
          <rPr>
            <sz val="9"/>
            <color indexed="81"/>
            <rFont val="Tahoma"/>
            <family val="2"/>
          </rPr>
          <t xml:space="preserve">
Based on the CMIP5 amplification factor defined in 'Library data' and global mean temperature rise from IPCC AR5</t>
        </r>
      </text>
    </comment>
    <comment ref="F34" authorId="2" shapeId="0">
      <text>
        <r>
          <rPr>
            <b/>
            <sz val="9"/>
            <color indexed="81"/>
            <rFont val="Tahoma"/>
            <family val="2"/>
          </rPr>
          <t>Yumashev, Dmitry:</t>
        </r>
        <r>
          <rPr>
            <sz val="9"/>
            <color indexed="81"/>
            <rFont val="Tahoma"/>
            <family val="2"/>
          </rPr>
          <t xml:space="preserve">
Matches closely with the central 2015 estimates of 9.9 GtC fossil fuels + 1.3 GtC land use from https://www.metoffice.gov.uk/research/news/2016/the-global-carbon-budget-2016</t>
        </r>
      </text>
    </comment>
    <comment ref="I115" authorId="0" shapeId="0">
      <text>
        <r>
          <rPr>
            <b/>
            <sz val="8"/>
            <color indexed="81"/>
            <rFont val="Tahoma"/>
            <family val="2"/>
          </rPr>
          <t>hopec:</t>
        </r>
        <r>
          <rPr>
            <sz val="8"/>
            <color indexed="81"/>
            <rFont val="Tahoma"/>
            <family val="2"/>
          </rPr>
          <t xml:space="preserve">
Assumed small. Upper end of range from FUND in Warren et al, 2007.</t>
        </r>
      </text>
    </comment>
    <comment ref="I116" authorId="0" shapeId="0">
      <text>
        <r>
          <rPr>
            <b/>
            <sz val="8"/>
            <color indexed="81"/>
            <rFont val="Tahoma"/>
            <family val="2"/>
          </rPr>
          <t xml:space="preserve">hopec:
</t>
        </r>
        <r>
          <rPr>
            <sz val="8"/>
            <color indexed="81"/>
            <rFont val="Tahoma"/>
            <family val="2"/>
          </rPr>
          <t>http://ipcc-wg2.gov/AR5/images/uploads/WGIIAR5-Chap10_FGDall.pdf</t>
        </r>
        <r>
          <rPr>
            <b/>
            <sz val="8"/>
            <color indexed="81"/>
            <rFont val="Tahoma"/>
            <family val="2"/>
          </rPr>
          <t xml:space="preserve">
</t>
        </r>
        <r>
          <rPr>
            <sz val="8"/>
            <color indexed="81"/>
            <rFont val="Tahoma"/>
            <family val="2"/>
          </rPr>
          <t>Slightly broadened from range in PAGE09, which had range from Mastrandrea and FUND in Warren et al, 2007, assuming half of impacts are sea level, one-quarter economic, and one quarter non-economic. Mean total is about 2% of GDP.</t>
        </r>
      </text>
    </comment>
    <comment ref="I117" authorId="0" shapeId="0">
      <text>
        <r>
          <rPr>
            <b/>
            <sz val="8"/>
            <color indexed="81"/>
            <rFont val="Tahoma"/>
            <family val="2"/>
          </rPr>
          <t>hopec:</t>
        </r>
        <r>
          <rPr>
            <sz val="8"/>
            <color indexed="81"/>
            <rFont val="Tahoma"/>
            <family val="2"/>
          </rPr>
          <t xml:space="preserve">
From CCC and Ackerman et al.</t>
        </r>
      </text>
    </comment>
    <comment ref="I118" authorId="0" shapeId="0">
      <text>
        <r>
          <rPr>
            <b/>
            <sz val="8"/>
            <color indexed="81"/>
            <rFont val="Tahoma"/>
            <family val="2"/>
          </rPr>
          <t>hopec:</t>
        </r>
        <r>
          <rPr>
            <sz val="8"/>
            <color indexed="81"/>
            <rFont val="Tahoma"/>
            <family val="2"/>
          </rPr>
          <t xml:space="preserve">
Assume a bit less sensitive than sea level</t>
        </r>
      </text>
    </comment>
    <comment ref="I124" authorId="0" shapeId="0">
      <text>
        <r>
          <rPr>
            <b/>
            <sz val="8"/>
            <color indexed="81"/>
            <rFont val="Tahoma"/>
            <family val="2"/>
          </rPr>
          <t>hopec:</t>
        </r>
        <r>
          <rPr>
            <sz val="8"/>
            <color indexed="81"/>
            <rFont val="Tahoma"/>
            <family val="2"/>
          </rPr>
          <t xml:space="preserve">
Assume a bit less sensitive than sea level</t>
        </r>
      </text>
    </comment>
    <comment ref="A151" authorId="1" shapeId="0">
      <text>
        <r>
          <rPr>
            <b/>
            <sz val="8"/>
            <color indexed="81"/>
            <rFont val="Tahoma"/>
            <family val="2"/>
          </rPr>
          <t>Chris Hope:</t>
        </r>
        <r>
          <rPr>
            <sz val="8"/>
            <color indexed="81"/>
            <rFont val="Tahoma"/>
            <family val="2"/>
          </rPr>
          <t xml:space="preserve">
SSP2 from Nigel Arnell 27JA15
</t>
        </r>
      </text>
    </comment>
    <comment ref="A161" authorId="1" shapeId="0">
      <text>
        <r>
          <rPr>
            <b/>
            <sz val="8"/>
            <color indexed="81"/>
            <rFont val="Tahoma"/>
            <family val="2"/>
          </rPr>
          <t>Chris Hope:</t>
        </r>
        <r>
          <rPr>
            <sz val="8"/>
            <color indexed="81"/>
            <rFont val="Tahoma"/>
            <family val="2"/>
          </rPr>
          <t xml:space="preserve">
Consumption discount rates for costs.  Only used if equity switch for costs is set to zero.
Discount rates are ptp + elasticity of utility*per capita growth rates.</t>
        </r>
      </text>
    </comment>
    <comment ref="A184" authorId="1" shapeId="0">
      <text>
        <r>
          <rPr>
            <b/>
            <sz val="8"/>
            <color indexed="81"/>
            <rFont val="Tahoma"/>
            <family val="2"/>
          </rPr>
          <t>Chris Hope:</t>
        </r>
        <r>
          <rPr>
            <sz val="8"/>
            <color indexed="81"/>
            <rFont val="Tahoma"/>
            <family val="2"/>
          </rPr>
          <t xml:space="preserve">
SSP2 from Nigel Arnell 27JA15
</t>
        </r>
      </text>
    </comment>
    <comment ref="A194" authorId="1" shapeId="0">
      <text>
        <r>
          <rPr>
            <b/>
            <sz val="8"/>
            <color indexed="81"/>
            <rFont val="Tahoma"/>
            <family val="2"/>
          </rPr>
          <t>Chris Hope:</t>
        </r>
        <r>
          <rPr>
            <sz val="8"/>
            <color indexed="81"/>
            <rFont val="Tahoma"/>
            <family val="2"/>
          </rPr>
          <t xml:space="preserve">
Consumption discount rates for costs.  Only used if equity switch for costs is set to zero.
Discount rates are ptp + elasticity of utility*per capita growth rates.</t>
        </r>
      </text>
    </comment>
    <comment ref="A481" authorId="1" shapeId="0">
      <text>
        <r>
          <rPr>
            <b/>
            <sz val="8"/>
            <color indexed="81"/>
            <rFont val="Tahoma"/>
            <family val="2"/>
          </rPr>
          <t>Aobo Liu:</t>
        </r>
        <r>
          <rPr>
            <sz val="8"/>
            <color indexed="81"/>
            <rFont val="Tahoma"/>
            <family val="2"/>
          </rPr>
          <t xml:space="preserve">
Scaled from CMIP6 Emissions of BC.</t>
        </r>
      </text>
    </comment>
    <comment ref="A531" authorId="3" shapeId="0">
      <text>
        <r>
          <rPr>
            <b/>
            <sz val="9"/>
            <color indexed="81"/>
            <rFont val="宋体"/>
            <family val="3"/>
            <charset val="134"/>
          </rPr>
          <t>Aobo Liu:</t>
        </r>
        <r>
          <rPr>
            <sz val="9"/>
            <color indexed="81"/>
            <rFont val="宋体"/>
            <family val="3"/>
            <charset val="134"/>
          </rPr>
          <t xml:space="preserve">
Scaled from CMIP6 Emissions of BC.</t>
        </r>
      </text>
    </comment>
    <comment ref="A581" authorId="1" shapeId="0">
      <text>
        <r>
          <rPr>
            <b/>
            <sz val="8"/>
            <color indexed="81"/>
            <rFont val="Tahoma"/>
            <family val="2"/>
          </rPr>
          <t xml:space="preserve">Aobo Liu:
</t>
        </r>
        <r>
          <rPr>
            <sz val="8"/>
            <color indexed="81"/>
            <rFont val="Tahoma"/>
            <family val="2"/>
          </rPr>
          <t>Scaled from CMIP6 Emissions of BC.</t>
        </r>
      </text>
    </comment>
  </commentList>
</comments>
</file>

<file path=xl/comments2.xml><?xml version="1.0" encoding="utf-8"?>
<comments xmlns="http://schemas.openxmlformats.org/spreadsheetml/2006/main">
  <authors>
    <author>Yumashev, Dmitry</author>
    <author>Chris Hope</author>
    <author>hopec</author>
    <author>Windows User</author>
  </authors>
  <commentList>
    <comment ref="G4" authorId="0" shapeId="0">
      <text>
        <r>
          <rPr>
            <b/>
            <sz val="9"/>
            <color indexed="81"/>
            <rFont val="Tahoma"/>
            <family val="2"/>
          </rPr>
          <t>Yumashev, Dmitry:</t>
        </r>
        <r>
          <rPr>
            <sz val="9"/>
            <color indexed="81"/>
            <rFont val="Tahoma"/>
            <family val="2"/>
          </rPr>
          <t xml:space="preserve">
4 terms fitting (with 
3 exponentials) of the multi-model CO2 pulse response simulations from Joos et al. (2013)</t>
        </r>
      </text>
    </comment>
    <comment ref="G5" authorId="0" shapeId="0">
      <text>
        <r>
          <rPr>
            <b/>
            <sz val="9"/>
            <color indexed="81"/>
            <rFont val="Tahoma"/>
            <family val="2"/>
          </rPr>
          <t>Yumashev, Dmitry:</t>
        </r>
        <r>
          <rPr>
            <sz val="9"/>
            <color indexed="81"/>
            <rFont val="Tahoma"/>
            <family val="2"/>
          </rPr>
          <t xml:space="preserve">
4 terms fitting (with 
3 exponentials) of the multi-model CO2 pulse response simulations from Joos et al. (2013)</t>
        </r>
      </text>
    </comment>
    <comment ref="G6" authorId="0" shapeId="0">
      <text>
        <r>
          <rPr>
            <b/>
            <sz val="9"/>
            <color indexed="81"/>
            <rFont val="Tahoma"/>
            <family val="2"/>
          </rPr>
          <t>Yumashev, Dmitry:</t>
        </r>
        <r>
          <rPr>
            <sz val="9"/>
            <color indexed="81"/>
            <rFont val="Tahoma"/>
            <family val="2"/>
          </rPr>
          <t xml:space="preserve">
4 terms fitting (with 
3 exponentials) of the multi-model CO2 pulse response simulations from Joos et al. (2013)</t>
        </r>
      </text>
    </comment>
    <comment ref="G7" authorId="0" shapeId="0">
      <text>
        <r>
          <rPr>
            <b/>
            <sz val="9"/>
            <color indexed="81"/>
            <rFont val="Tahoma"/>
            <family val="2"/>
          </rPr>
          <t>Yumashev, Dmitry:</t>
        </r>
        <r>
          <rPr>
            <sz val="9"/>
            <color indexed="81"/>
            <rFont val="Tahoma"/>
            <family val="2"/>
          </rPr>
          <t xml:space="preserve">
4 terms fitting (with 
3 exponentials) of the multi-model CO2 pulse response simulations from Joos et al. (2013)</t>
        </r>
      </text>
    </comment>
    <comment ref="G8" authorId="0" shapeId="0">
      <text>
        <r>
          <rPr>
            <b/>
            <sz val="9"/>
            <color indexed="81"/>
            <rFont val="Tahoma"/>
            <family val="2"/>
          </rPr>
          <t>Yumashev, Dmitry:</t>
        </r>
        <r>
          <rPr>
            <sz val="9"/>
            <color indexed="81"/>
            <rFont val="Tahoma"/>
            <family val="2"/>
          </rPr>
          <t xml:space="preserve">
4 terms fitting (with 
3 exponentials) of the multi-model CO2 pulse response simulations from Joos et al. (2013)</t>
        </r>
      </text>
    </comment>
    <comment ref="G9" authorId="0" shapeId="0">
      <text>
        <r>
          <rPr>
            <b/>
            <sz val="9"/>
            <color indexed="81"/>
            <rFont val="Tahoma"/>
            <family val="2"/>
          </rPr>
          <t>Yumashev, Dmitry:</t>
        </r>
        <r>
          <rPr>
            <sz val="9"/>
            <color indexed="81"/>
            <rFont val="Tahoma"/>
            <family val="2"/>
          </rPr>
          <t xml:space="preserve">
4 terms fitting (with 
3 exponentials) of the multi-model CO2 pulse response simulations from Joos et al. (2013)</t>
        </r>
      </text>
    </comment>
    <comment ref="G10" authorId="0" shapeId="0">
      <text>
        <r>
          <rPr>
            <b/>
            <sz val="9"/>
            <color indexed="81"/>
            <rFont val="Tahoma"/>
            <family val="2"/>
          </rPr>
          <t xml:space="preserve">Yumashev, Dmitry:
</t>
        </r>
        <r>
          <rPr>
            <sz val="9"/>
            <color indexed="81"/>
            <rFont val="Tahoma"/>
            <family val="2"/>
          </rPr>
          <t>Downscaled significantly from PAGE09 to provide a better match for the MC-mean RF in 2100 under RCP2.6, 4.5 and 8.5 with a new CO2 cycle</t>
        </r>
      </text>
    </comment>
    <comment ref="G11" authorId="0" shapeId="0">
      <text>
        <r>
          <rPr>
            <b/>
            <sz val="9"/>
            <color indexed="81"/>
            <rFont val="Tahoma"/>
            <family val="2"/>
          </rPr>
          <t>Yumashev, Dmitry:</t>
        </r>
        <r>
          <rPr>
            <sz val="9"/>
            <color indexed="81"/>
            <rFont val="Tahoma"/>
            <family val="2"/>
          </rPr>
          <t xml:space="preserve">
Downscaled from PAGE09</t>
        </r>
      </text>
    </comment>
    <comment ref="G13" authorId="1" shapeId="0">
      <text>
        <r>
          <rPr>
            <b/>
            <sz val="8"/>
            <color indexed="81"/>
            <rFont val="Tahoma"/>
            <family val="2"/>
          </rPr>
          <t>Chris Hope:</t>
        </r>
        <r>
          <rPr>
            <sz val="8"/>
            <color indexed="81"/>
            <rFont val="Tahoma"/>
            <family val="2"/>
          </rPr>
          <t xml:space="preserve">
IPCC TAR WGI, p8-9.
Changed units from PAGE2002, but the same effect.</t>
        </r>
      </text>
    </comment>
    <comment ref="G14" authorId="1" shapeId="0">
      <text>
        <r>
          <rPr>
            <b/>
            <sz val="8"/>
            <color indexed="81"/>
            <rFont val="Tahoma"/>
            <family val="2"/>
          </rPr>
          <t>Chris Hope:</t>
        </r>
        <r>
          <rPr>
            <sz val="8"/>
            <color indexed="81"/>
            <rFont val="Tahoma"/>
            <family val="2"/>
          </rPr>
          <t xml:space="preserve">
To match base year global mean forcing of 0 to -1.3 W/m2, with a most likely value of -0.5 W/m2 from IPCC AR5 WG1 SPM5</t>
        </r>
      </text>
    </comment>
    <comment ref="G15" authorId="2" shapeId="0">
      <text>
        <r>
          <rPr>
            <b/>
            <sz val="8"/>
            <color indexed="81"/>
            <rFont val="Tahoma"/>
            <family val="2"/>
          </rPr>
          <t>hopec:</t>
        </r>
        <r>
          <rPr>
            <sz val="8"/>
            <color indexed="81"/>
            <rFont val="Tahoma"/>
            <family val="2"/>
          </rPr>
          <t xml:space="preserve">
From IPCC AR5 WGI fig SPM3</t>
        </r>
      </text>
    </comment>
    <comment ref="G16" authorId="2" shapeId="0">
      <text>
        <r>
          <rPr>
            <b/>
            <sz val="8"/>
            <color indexed="81"/>
            <rFont val="Tahoma"/>
            <family val="2"/>
          </rPr>
          <t>hopec:</t>
        </r>
        <r>
          <rPr>
            <sz val="8"/>
            <color indexed="81"/>
            <rFont val="Tahoma"/>
            <family val="2"/>
          </rPr>
          <t xml:space="preserve">
Consistent with Grinsted et al, 2009.</t>
        </r>
      </text>
    </comment>
    <comment ref="G17" authorId="2" shapeId="0">
      <text>
        <r>
          <rPr>
            <b/>
            <sz val="8"/>
            <color indexed="81"/>
            <rFont val="Tahoma"/>
            <family val="2"/>
          </rPr>
          <t>hopec:</t>
        </r>
        <r>
          <rPr>
            <sz val="8"/>
            <color indexed="81"/>
            <rFont val="Tahoma"/>
            <family val="2"/>
          </rPr>
          <t xml:space="preserve">
Consistent with Grinsted et al, 2009.</t>
        </r>
      </text>
    </comment>
    <comment ref="G18" authorId="2" shapeId="0">
      <text>
        <r>
          <rPr>
            <b/>
            <sz val="8"/>
            <color indexed="81"/>
            <rFont val="Tahoma"/>
            <family val="2"/>
          </rPr>
          <t>hopec:</t>
        </r>
        <r>
          <rPr>
            <sz val="8"/>
            <color indexed="81"/>
            <rFont val="Tahoma"/>
            <family val="2"/>
          </rPr>
          <t xml:space="preserve">
Consistent with Grinsted et al, 2009.</t>
        </r>
      </text>
    </comment>
    <comment ref="G20" authorId="2" shapeId="0">
      <text>
        <r>
          <rPr>
            <b/>
            <sz val="8"/>
            <color indexed="81"/>
            <rFont val="Tahoma"/>
            <family val="2"/>
          </rPr>
          <t>hopec:</t>
        </r>
        <r>
          <rPr>
            <sz val="8"/>
            <color indexed="81"/>
            <rFont val="Tahoma"/>
            <family val="2"/>
          </rPr>
          <t xml:space="preserve">
Adapted slightly from IPCC 4AR WGI p749, to make SENS compatible with current thinking.</t>
        </r>
      </text>
    </comment>
    <comment ref="G21" authorId="1" shapeId="0">
      <text>
        <r>
          <rPr>
            <b/>
            <sz val="8"/>
            <color indexed="81"/>
            <rFont val="Tahoma"/>
            <family val="2"/>
          </rPr>
          <t>Chris Hope:</t>
        </r>
        <r>
          <rPr>
            <sz val="8"/>
            <color indexed="81"/>
            <rFont val="Tahoma"/>
            <family val="2"/>
          </rPr>
          <t xml:space="preserve">
Reduced from PAGE09, to make SENS distribution compatible with current thinking.</t>
        </r>
      </text>
    </comment>
    <comment ref="B22" authorId="3" shapeId="0">
      <text>
        <r>
          <rPr>
            <b/>
            <sz val="9"/>
            <color indexed="81"/>
            <rFont val="Tahoma"/>
            <family val="2"/>
          </rPr>
          <t>Windows User:</t>
        </r>
        <r>
          <rPr>
            <sz val="9"/>
            <color indexed="81"/>
            <rFont val="Tahoma"/>
            <family val="2"/>
          </rPr>
          <t xml:space="preserve">
Calculated from TCR and FRT</t>
        </r>
      </text>
    </comment>
    <comment ref="G24"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25"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26"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27"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28"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29"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30"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31"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58" authorId="1" shapeId="0">
      <text>
        <r>
          <rPr>
            <b/>
            <sz val="8"/>
            <color indexed="81"/>
            <rFont val="Tahoma"/>
            <family val="2"/>
          </rPr>
          <t>Chris Hope:</t>
        </r>
        <r>
          <rPr>
            <sz val="8"/>
            <color indexed="81"/>
            <rFont val="Tahoma"/>
            <family val="2"/>
          </rPr>
          <t xml:space="preserve">
Fromhttps://www.ipcc.ch/pdf/assessment-report/ar5/wg1/WG1AR5_TS_FINAL.pdf</t>
        </r>
      </text>
    </comment>
    <comment ref="G59" authorId="1" shapeId="0">
      <text>
        <r>
          <rPr>
            <b/>
            <sz val="8"/>
            <color indexed="81"/>
            <rFont val="Tahoma"/>
            <family val="2"/>
          </rPr>
          <t>Chris Hope:</t>
        </r>
        <r>
          <rPr>
            <sz val="8"/>
            <color indexed="81"/>
            <rFont val="Tahoma"/>
            <family val="2"/>
          </rPr>
          <t xml:space="preserve">
From Ackerman et al</t>
        </r>
      </text>
    </comment>
    <comment ref="G63" authorId="2" shapeId="0">
      <text>
        <r>
          <rPr>
            <b/>
            <sz val="8"/>
            <color indexed="81"/>
            <rFont val="Tahoma"/>
            <family val="2"/>
          </rPr>
          <t>hopec:</t>
        </r>
        <r>
          <rPr>
            <sz val="8"/>
            <color indexed="81"/>
            <rFont val="Tahoma"/>
            <family val="2"/>
          </rPr>
          <t xml:space="preserve">
From Nicholls et al simulated in SL rise impacts.xls</t>
        </r>
      </text>
    </comment>
    <comment ref="G64" authorId="2" shapeId="0">
      <text>
        <r>
          <rPr>
            <b/>
            <sz val="8"/>
            <color indexed="81"/>
            <rFont val="Tahoma"/>
            <family val="2"/>
          </rPr>
          <t>hopec:</t>
        </r>
        <r>
          <rPr>
            <sz val="8"/>
            <color indexed="81"/>
            <rFont val="Tahoma"/>
            <family val="2"/>
          </rPr>
          <t xml:space="preserve">
Approximate best guess for a doubling of CO2 concentration.</t>
        </r>
      </text>
    </comment>
    <comment ref="G66" authorId="2" shapeId="0">
      <text>
        <r>
          <rPr>
            <b/>
            <sz val="8"/>
            <color indexed="81"/>
            <rFont val="Tahoma"/>
            <family val="2"/>
          </rPr>
          <t>hopec:</t>
        </r>
        <r>
          <rPr>
            <sz val="8"/>
            <color indexed="81"/>
            <rFont val="Tahoma"/>
            <family val="2"/>
          </rPr>
          <t xml:space="preserve">
From Nicholls et al simulated in SL rise impacts.xls</t>
        </r>
      </text>
    </comment>
    <comment ref="G67" authorId="2" shapeId="0">
      <text>
        <r>
          <rPr>
            <b/>
            <sz val="8"/>
            <color indexed="81"/>
            <rFont val="Tahoma"/>
            <family val="2"/>
          </rPr>
          <t>hopec:</t>
        </r>
        <r>
          <rPr>
            <sz val="8"/>
            <color indexed="81"/>
            <rFont val="Tahoma"/>
            <family val="2"/>
          </rPr>
          <t xml:space="preserve">
From Nicholls et al simulated in SL rise impacts.xls</t>
        </r>
      </text>
    </comment>
    <comment ref="G68" authorId="2" shapeId="0">
      <text>
        <r>
          <rPr>
            <b/>
            <sz val="8"/>
            <color indexed="81"/>
            <rFont val="Tahoma"/>
            <family val="2"/>
          </rPr>
          <t>hopec:</t>
        </r>
        <r>
          <rPr>
            <sz val="8"/>
            <color indexed="81"/>
            <rFont val="Tahoma"/>
            <family val="2"/>
          </rPr>
          <t xml:space="preserve">
From Nicholls et al simulated in SL rise impacts.xls</t>
        </r>
      </text>
    </comment>
    <comment ref="G69" authorId="2" shapeId="0">
      <text>
        <r>
          <rPr>
            <b/>
            <sz val="8"/>
            <color indexed="81"/>
            <rFont val="Tahoma"/>
            <family val="2"/>
          </rPr>
          <t>hopec:</t>
        </r>
        <r>
          <rPr>
            <sz val="8"/>
            <color indexed="81"/>
            <rFont val="Tahoma"/>
            <family val="2"/>
          </rPr>
          <t xml:space="preserve">
From Nicholls et al simulated in SL rise impacts.xls</t>
        </r>
      </text>
    </comment>
    <comment ref="G79" authorId="2" shapeId="0">
      <text>
        <r>
          <rPr>
            <b/>
            <sz val="8"/>
            <color indexed="81"/>
            <rFont val="Tahoma"/>
            <family val="2"/>
          </rPr>
          <t>hopec:</t>
        </r>
        <r>
          <rPr>
            <sz val="8"/>
            <color indexed="81"/>
            <rFont val="Tahoma"/>
            <family val="2"/>
          </rPr>
          <t xml:space="preserve">
Possibility of small benefit from health.</t>
        </r>
      </text>
    </comment>
    <comment ref="G80" authorId="2" shapeId="0">
      <text>
        <r>
          <rPr>
            <b/>
            <sz val="8"/>
            <color indexed="81"/>
            <rFont val="Tahoma"/>
            <family val="2"/>
          </rPr>
          <t xml:space="preserve">hopec:
</t>
        </r>
        <r>
          <rPr>
            <sz val="8"/>
            <color indexed="81"/>
            <rFont val="Tahoma"/>
            <family val="2"/>
          </rPr>
          <t>http://ipcc-wg2.gov/AR5/images/uploads/WGIIAR5-Chap10_FGDall.pdf</t>
        </r>
        <r>
          <rPr>
            <b/>
            <sz val="8"/>
            <color indexed="81"/>
            <rFont val="Tahoma"/>
            <family val="2"/>
          </rPr>
          <t xml:space="preserve">
</t>
        </r>
        <r>
          <rPr>
            <sz val="8"/>
            <color indexed="81"/>
            <rFont val="Tahoma"/>
            <family val="2"/>
          </rPr>
          <t>Slightly broadened from range in PAGE09, which had range from Mastrandrea and FUND in Warren et al, 2007, assuming half of impacts are sea level, one-quarter economic, and one quarter non-economic. Mean total is about 2% of GDP.</t>
        </r>
      </text>
    </comment>
    <comment ref="G81" authorId="2" shapeId="0">
      <text>
        <r>
          <rPr>
            <b/>
            <sz val="8"/>
            <color indexed="81"/>
            <rFont val="Tahoma"/>
            <family val="2"/>
          </rPr>
          <t>hopec:</t>
        </r>
        <r>
          <rPr>
            <sz val="8"/>
            <color indexed="81"/>
            <rFont val="Tahoma"/>
            <family val="2"/>
          </rPr>
          <t xml:space="preserve">
From CCC and Ackerman et al.</t>
        </r>
      </text>
    </comment>
    <comment ref="G82" authorId="2" shapeId="0">
      <text>
        <r>
          <rPr>
            <b/>
            <sz val="8"/>
            <color indexed="81"/>
            <rFont val="Tahoma"/>
            <family val="2"/>
          </rPr>
          <t>hopec:</t>
        </r>
        <r>
          <rPr>
            <sz val="8"/>
            <color indexed="81"/>
            <rFont val="Tahoma"/>
            <family val="2"/>
          </rPr>
          <t xml:space="preserve">
WTP for ecosystems higher at higher GDP/cap. Assume mirror image of economic.</t>
        </r>
      </text>
    </comment>
    <comment ref="G83" authorId="0" shapeId="0">
      <text>
        <r>
          <rPr>
            <b/>
            <sz val="9"/>
            <color indexed="81"/>
            <rFont val="Tahoma"/>
            <family val="2"/>
          </rPr>
          <t>Yumashev, Dmitry:</t>
        </r>
        <r>
          <rPr>
            <sz val="9"/>
            <color indexed="81"/>
            <rFont val="Tahoma"/>
            <family val="2"/>
          </rPr>
          <t xml:space="preserve">
Downscaled following introduction of fat-tail distributions in SLR </t>
        </r>
      </text>
    </comment>
    <comment ref="G84" authorId="2" shapeId="0">
      <text>
        <r>
          <rPr>
            <b/>
            <sz val="8"/>
            <color indexed="81"/>
            <rFont val="Tahoma"/>
            <family val="2"/>
          </rPr>
          <t>hopec:</t>
        </r>
        <r>
          <rPr>
            <sz val="8"/>
            <color indexed="81"/>
            <rFont val="Tahoma"/>
            <family val="2"/>
          </rPr>
          <t xml:space="preserve">
Assumed same as economic impacts.</t>
        </r>
      </text>
    </comment>
    <comment ref="G85" authorId="0" shapeId="0">
      <text>
        <r>
          <rPr>
            <b/>
            <sz val="9"/>
            <color indexed="81"/>
            <rFont val="Tahoma"/>
            <family val="2"/>
          </rPr>
          <t>Yumashev, Dmitry:</t>
        </r>
        <r>
          <rPr>
            <sz val="9"/>
            <color indexed="81"/>
            <rFont val="Tahoma"/>
            <family val="2"/>
          </rPr>
          <t xml:space="preserve">
Downscaled following introduction of fat-tail distributions in SLR. Updated on 29/08/2017</t>
        </r>
      </text>
    </comment>
    <comment ref="G86" authorId="0" shapeId="0">
      <text>
        <r>
          <rPr>
            <b/>
            <sz val="9"/>
            <color indexed="81"/>
            <rFont val="Tahoma"/>
            <family val="2"/>
          </rPr>
          <t>Yumashev, Dmitry:</t>
        </r>
        <r>
          <rPr>
            <sz val="9"/>
            <color indexed="81"/>
            <rFont val="Tahoma"/>
            <family val="2"/>
          </rPr>
          <t xml:space="preserve">
Reduced compared to PAGE09, with the upper limit of the order of the estimated US GDP loss at the height of the Great Depression in 1933</t>
        </r>
      </text>
    </comment>
    <comment ref="G87" authorId="2" shapeId="0">
      <text>
        <r>
          <rPr>
            <b/>
            <sz val="8"/>
            <color indexed="81"/>
            <rFont val="Tahoma"/>
            <family val="2"/>
          </rPr>
          <t>hopec:</t>
        </r>
        <r>
          <rPr>
            <sz val="8"/>
            <color indexed="81"/>
            <rFont val="Tahoma"/>
            <family val="2"/>
          </rPr>
          <t xml:space="preserve">
From Weitzman, which has 100 to 1000 times per capita annual consumption. </t>
        </r>
      </text>
    </comment>
    <comment ref="G89" authorId="2" shapeId="0">
      <text>
        <r>
          <rPr>
            <b/>
            <sz val="8"/>
            <color indexed="81"/>
            <rFont val="Tahoma"/>
            <family val="2"/>
          </rPr>
          <t>hopec:</t>
        </r>
        <r>
          <rPr>
            <sz val="8"/>
            <color indexed="81"/>
            <rFont val="Tahoma"/>
            <family val="2"/>
          </rPr>
          <t xml:space="preserve">
From Nicholls et al simulated in SL rise impacts.xls decreased slightly for other impacts than sea level.</t>
        </r>
      </text>
    </comment>
    <comment ref="G90" authorId="2" shapeId="0">
      <text>
        <r>
          <rPr>
            <b/>
            <sz val="8"/>
            <color indexed="81"/>
            <rFont val="Tahoma"/>
            <family val="2"/>
          </rPr>
          <t>hopec:</t>
        </r>
        <r>
          <rPr>
            <sz val="8"/>
            <color indexed="81"/>
            <rFont val="Tahoma"/>
            <family val="2"/>
          </rPr>
          <t xml:space="preserve">
From Nicholls et al simulated in SL rise impacts.xls</t>
        </r>
      </text>
    </comment>
    <comment ref="G91" authorId="2" shapeId="0">
      <text>
        <r>
          <rPr>
            <b/>
            <sz val="8"/>
            <color indexed="81"/>
            <rFont val="Tahoma"/>
            <family val="2"/>
          </rPr>
          <t>hopec:</t>
        </r>
        <r>
          <rPr>
            <sz val="8"/>
            <color indexed="81"/>
            <rFont val="Tahoma"/>
            <family val="2"/>
          </rPr>
          <t xml:space="preserve">
From Nicholls et al simulated in SL rise impacts.xls</t>
        </r>
      </text>
    </comment>
    <comment ref="G92" authorId="2" shapeId="0">
      <text>
        <r>
          <rPr>
            <b/>
            <sz val="8"/>
            <color indexed="81"/>
            <rFont val="Tahoma"/>
            <family val="2"/>
          </rPr>
          <t>hopec:</t>
        </r>
        <r>
          <rPr>
            <sz val="8"/>
            <color indexed="81"/>
            <rFont val="Tahoma"/>
            <family val="2"/>
          </rPr>
          <t xml:space="preserve">
From Nicholls et al simulated in SL rise impacts.xls</t>
        </r>
      </text>
    </comment>
    <comment ref="G93" authorId="2" shapeId="0">
      <text>
        <r>
          <rPr>
            <b/>
            <sz val="8"/>
            <color indexed="81"/>
            <rFont val="Tahoma"/>
            <family val="2"/>
          </rPr>
          <t>hopec:</t>
        </r>
        <r>
          <rPr>
            <sz val="8"/>
            <color indexed="81"/>
            <rFont val="Tahoma"/>
            <family val="2"/>
          </rPr>
          <t xml:space="preserve">
From Nicholls et al simulated in SL rise impacts.xls increased to allow for high existing temp.</t>
        </r>
      </text>
    </comment>
    <comment ref="G94" authorId="2" shapeId="0">
      <text>
        <r>
          <rPr>
            <b/>
            <sz val="8"/>
            <color indexed="81"/>
            <rFont val="Tahoma"/>
            <family val="2"/>
          </rPr>
          <t>hopec:</t>
        </r>
        <r>
          <rPr>
            <sz val="8"/>
            <color indexed="81"/>
            <rFont val="Tahoma"/>
            <family val="2"/>
          </rPr>
          <t xml:space="preserve">
From Nicholls et al simulated in SL rise impacts.xls increased for other impacts than sea level.</t>
        </r>
      </text>
    </comment>
    <comment ref="G95" authorId="2" shapeId="0">
      <text>
        <r>
          <rPr>
            <b/>
            <sz val="8"/>
            <color indexed="81"/>
            <rFont val="Tahoma"/>
            <family val="2"/>
          </rPr>
          <t>hopec:</t>
        </r>
        <r>
          <rPr>
            <sz val="8"/>
            <color indexed="81"/>
            <rFont val="Tahoma"/>
            <family val="2"/>
          </rPr>
          <t xml:space="preserve">
From Nicholls et al simulated in SL rise impacts.xls</t>
        </r>
      </text>
    </comment>
    <comment ref="G115" authorId="2" shapeId="0">
      <text>
        <r>
          <rPr>
            <b/>
            <sz val="8"/>
            <color indexed="81"/>
            <rFont val="Tahoma"/>
            <family val="2"/>
          </rPr>
          <t>hopec:</t>
        </r>
        <r>
          <rPr>
            <sz val="8"/>
            <color indexed="81"/>
            <rFont val="Tahoma"/>
            <family val="2"/>
          </rPr>
          <t xml:space="preserve">
Calibrated to coastal costs in IIED report.</t>
        </r>
      </text>
    </comment>
    <comment ref="G116" authorId="2" shapeId="0">
      <text>
        <r>
          <rPr>
            <b/>
            <sz val="8"/>
            <color indexed="81"/>
            <rFont val="Tahoma"/>
            <family val="2"/>
          </rPr>
          <t>hopec:</t>
        </r>
        <r>
          <rPr>
            <sz val="8"/>
            <color indexed="81"/>
            <rFont val="Tahoma"/>
            <family val="2"/>
          </rPr>
          <t xml:space="preserve">
Calibrated to coastal costs in IIED report.</t>
        </r>
      </text>
    </comment>
    <comment ref="G117" authorId="2" shapeId="0">
      <text>
        <r>
          <rPr>
            <b/>
            <sz val="8"/>
            <color indexed="81"/>
            <rFont val="Tahoma"/>
            <family val="2"/>
          </rPr>
          <t>hopec:</t>
        </r>
        <r>
          <rPr>
            <sz val="8"/>
            <color indexed="81"/>
            <rFont val="Tahoma"/>
            <family val="2"/>
          </rPr>
          <t xml:space="preserve">
Calibrated to give total costs of about $100 - $300 bn per year by 2030 as in IIED report.</t>
        </r>
      </text>
    </comment>
    <comment ref="G118" authorId="2" shapeId="0">
      <text>
        <r>
          <rPr>
            <b/>
            <sz val="8"/>
            <color indexed="81"/>
            <rFont val="Tahoma"/>
            <family val="2"/>
          </rPr>
          <t>hopec:</t>
        </r>
        <r>
          <rPr>
            <sz val="8"/>
            <color indexed="81"/>
            <rFont val="Tahoma"/>
            <family val="2"/>
          </rPr>
          <t xml:space="preserve">
Calibrated to give total costs of about $100 - $300 bn per year by 2030 as in IIED report.</t>
        </r>
      </text>
    </comment>
    <comment ref="G119" authorId="2" shapeId="0">
      <text>
        <r>
          <rPr>
            <b/>
            <sz val="8"/>
            <color indexed="81"/>
            <rFont val="Tahoma"/>
            <family val="2"/>
          </rPr>
          <t>hopec:</t>
        </r>
        <r>
          <rPr>
            <sz val="8"/>
            <color indexed="81"/>
            <rFont val="Tahoma"/>
            <family val="2"/>
          </rPr>
          <t xml:space="preserve">
Calibrated to ecosystem costs in IIED report.</t>
        </r>
      </text>
    </comment>
    <comment ref="G120" authorId="2" shapeId="0">
      <text>
        <r>
          <rPr>
            <b/>
            <sz val="8"/>
            <color indexed="81"/>
            <rFont val="Tahoma"/>
            <family val="2"/>
          </rPr>
          <t>hopec:</t>
        </r>
        <r>
          <rPr>
            <sz val="8"/>
            <color indexed="81"/>
            <rFont val="Tahoma"/>
            <family val="2"/>
          </rPr>
          <t xml:space="preserve">
Calibrated to ecosystem costs in IIED report.</t>
        </r>
      </text>
    </comment>
    <comment ref="G121" authorId="2" shapeId="0">
      <text>
        <r>
          <rPr>
            <b/>
            <sz val="8"/>
            <color indexed="81"/>
            <rFont val="Tahoma"/>
            <family val="2"/>
          </rPr>
          <t>hopec:</t>
        </r>
        <r>
          <rPr>
            <sz val="8"/>
            <color indexed="81"/>
            <rFont val="Tahoma"/>
            <family val="2"/>
          </rPr>
          <t xml:space="preserve">
All regional weights assumed the same as impact weights.</t>
        </r>
      </text>
    </comment>
    <comment ref="G131" authorId="0" shapeId="0">
      <text>
        <r>
          <rPr>
            <b/>
            <sz val="9"/>
            <color indexed="81"/>
            <rFont val="Tahoma"/>
            <family val="2"/>
          </rPr>
          <t>Yumashev, Dmitry:</t>
        </r>
        <r>
          <rPr>
            <sz val="9"/>
            <color indexed="81"/>
            <rFont val="Tahoma"/>
            <family val="2"/>
          </rPr>
          <t xml:space="preserve"> The upper bound is based on Christensen et al (2018) &lt;=&gt; 35% chance of exceeding the concentration levels of RCP8.5 in 2100 (see PAGE-ICE v6.15). The lower bound is assumed to correspond to RCP6.0. The figures are derived based on the corresponding global emissions in 2100 under RCP8.5 and RCP6.0 from the RCP Database, https://tntcat.iiasa.ac.at/RcpDb/dsd?Action=htmlpage&amp;page=compare  </t>
        </r>
      </text>
    </comment>
    <comment ref="G132" authorId="0" shapeId="0">
      <text>
        <r>
          <rPr>
            <b/>
            <sz val="9"/>
            <color indexed="81"/>
            <rFont val="Tahoma"/>
            <family val="2"/>
          </rPr>
          <t>Yumashev, Dmitry:</t>
        </r>
        <r>
          <rPr>
            <sz val="9"/>
            <color indexed="81"/>
            <rFont val="Tahoma"/>
            <family val="2"/>
          </rPr>
          <t xml:space="preserve">
Updated by Chris Hope on 11/05/2017</t>
        </r>
      </text>
    </comment>
    <comment ref="G133" authorId="0" shapeId="0">
      <text>
        <r>
          <rPr>
            <b/>
            <sz val="9"/>
            <color indexed="81"/>
            <rFont val="Tahoma"/>
            <family val="2"/>
          </rPr>
          <t>Yumashev, Dmitry:</t>
        </r>
        <r>
          <rPr>
            <sz val="9"/>
            <color indexed="81"/>
            <rFont val="Tahoma"/>
            <family val="2"/>
          </rPr>
          <t xml:space="preserve">
Updated by Chris Hope on 11/05/2017</t>
        </r>
      </text>
    </comment>
    <comment ref="G134" authorId="0" shapeId="0">
      <text>
        <r>
          <rPr>
            <b/>
            <sz val="9"/>
            <color indexed="81"/>
            <rFont val="Tahoma"/>
            <family val="2"/>
          </rPr>
          <t>Yumashev, Dmitry:</t>
        </r>
        <r>
          <rPr>
            <sz val="9"/>
            <color indexed="81"/>
            <rFont val="Tahoma"/>
            <family val="2"/>
          </rPr>
          <t xml:space="preserve">
Updated by Chris Hope on 11/05/2017</t>
        </r>
      </text>
    </comment>
    <comment ref="G135" authorId="0" shapeId="0">
      <text>
        <r>
          <rPr>
            <b/>
            <sz val="9"/>
            <color indexed="81"/>
            <rFont val="Tahoma"/>
            <family val="2"/>
          </rPr>
          <t>Yumashev, Dmitry:</t>
        </r>
        <r>
          <rPr>
            <sz val="9"/>
            <color indexed="81"/>
            <rFont val="Tahoma"/>
            <family val="2"/>
          </rPr>
          <t xml:space="preserve">
Updated by Chris Hope on 11/05/2017</t>
        </r>
      </text>
    </comment>
    <comment ref="G138" authorId="0" shapeId="0">
      <text>
        <r>
          <rPr>
            <b/>
            <sz val="9"/>
            <color indexed="81"/>
            <rFont val="Tahoma"/>
            <family val="2"/>
          </rPr>
          <t>Yumashev, Dmitry:</t>
        </r>
        <r>
          <rPr>
            <sz val="9"/>
            <color indexed="81"/>
            <rFont val="Tahoma"/>
            <family val="2"/>
          </rPr>
          <t xml:space="preserve"> The upper bound is based on Christensen et al (2018) &lt;=&gt; 35% chance of exceeding the concentration levels of RCP8.5 in 2100 (see PAGE-ICE v6.15). The lower bound is assumed to correspond to RCP6.0. The figures are derived based on the corresponding global emissions in 2100 under RCP8.5 and RCP6.0 from the RCP Database, https://tntcat.iiasa.ac.at/RcpDb/dsd?Action=htmlpage&amp;page=compare  </t>
        </r>
      </text>
    </comment>
    <comment ref="G145" authorId="0" shapeId="0">
      <text>
        <r>
          <rPr>
            <b/>
            <sz val="9"/>
            <color indexed="81"/>
            <rFont val="Tahoma"/>
            <family val="2"/>
          </rPr>
          <t>Yumashev, Dmitry:</t>
        </r>
        <r>
          <rPr>
            <sz val="9"/>
            <color indexed="81"/>
            <rFont val="Tahoma"/>
            <family val="2"/>
          </rPr>
          <t xml:space="preserve"> The upper bound is based on Christensen et al (2018) &lt;=&gt; 35% chance of exceeding the concentration levels of RCP8.5 in 2100 (see PAGE-ICE v6.15). The lower bound is assumed to correspond to RCP6.0. The figures are derived based on the corresponding global emissions in 2100 under RCP8.5 and RCP6.0 from the RCP Database, https://tntcat.iiasa.ac.at/RcpDb/dsd?Action=htmlpage&amp;page=compare  </t>
        </r>
      </text>
    </comment>
    <comment ref="G152" authorId="0" shapeId="0">
      <text>
        <r>
          <rPr>
            <b/>
            <sz val="9"/>
            <color indexed="81"/>
            <rFont val="Tahoma"/>
            <family val="2"/>
          </rPr>
          <t>Yumashev, Dmitry:</t>
        </r>
        <r>
          <rPr>
            <sz val="9"/>
            <color indexed="81"/>
            <rFont val="Tahoma"/>
            <family val="2"/>
          </rPr>
          <t xml:space="preserve"> This category of GHG has multiple components with no clear direction of change from RCP8.5 to RCP6.0 in 2100, so significant changes in both directions are possible. See the RCP Database, https://tntcat.iiasa.ac.at/RcpDb/dsd?Action=htmlpage&amp;page=compare  </t>
        </r>
      </text>
    </comment>
    <comment ref="G183" authorId="2" shapeId="0">
      <text>
        <r>
          <rPr>
            <b/>
            <sz val="8"/>
            <color indexed="81"/>
            <rFont val="Tahoma"/>
            <family val="2"/>
          </rPr>
          <t>hopec:</t>
        </r>
        <r>
          <rPr>
            <sz val="8"/>
            <color indexed="81"/>
            <rFont val="Tahoma"/>
            <family val="2"/>
          </rPr>
          <t xml:space="preserve">
Assumed to reduce as free cutbacks are taken up.</t>
        </r>
      </text>
    </comment>
    <comment ref="G185" authorId="2" shapeId="0">
      <text>
        <r>
          <rPr>
            <b/>
            <sz val="8"/>
            <color indexed="81"/>
            <rFont val="Tahoma"/>
            <family val="2"/>
          </rPr>
          <t>hopec:</t>
        </r>
        <r>
          <rPr>
            <sz val="8"/>
            <color indexed="81"/>
            <rFont val="Tahoma"/>
            <family val="2"/>
          </rPr>
          <t xml:space="preserve">
Assumed to reduce as free cutbacks are taken up.</t>
        </r>
      </text>
    </comment>
    <comment ref="G187" authorId="2" shapeId="0">
      <text>
        <r>
          <rPr>
            <b/>
            <sz val="8"/>
            <color indexed="81"/>
            <rFont val="Tahoma"/>
            <family val="2"/>
          </rPr>
          <t>hopec:</t>
        </r>
        <r>
          <rPr>
            <sz val="8"/>
            <color indexed="81"/>
            <rFont val="Tahoma"/>
            <family val="2"/>
          </rPr>
          <t xml:space="preserve">
Eventually becomes possible to cutback more than 100% of emissions with reforestation etc.</t>
        </r>
      </text>
    </comment>
    <comment ref="B189" authorId="2" shapeId="0">
      <text>
        <r>
          <rPr>
            <b/>
            <sz val="8"/>
            <color indexed="81"/>
            <rFont val="Tahoma"/>
            <family val="2"/>
          </rPr>
          <t>hopec:</t>
        </r>
        <r>
          <rPr>
            <sz val="8"/>
            <color indexed="81"/>
            <rFont val="Tahoma"/>
            <family val="2"/>
          </rPr>
          <t xml:space="preserve">
Must be strictly greater than zero and less than 1. OK to have zero as the lower bound and 1 as the upper bound.</t>
        </r>
      </text>
    </comment>
    <comment ref="B190" authorId="2" shapeId="0">
      <text>
        <r>
          <rPr>
            <b/>
            <sz val="8"/>
            <color indexed="81"/>
            <rFont val="Tahoma"/>
            <family val="2"/>
          </rPr>
          <t>hopec:</t>
        </r>
        <r>
          <rPr>
            <sz val="8"/>
            <color indexed="81"/>
            <rFont val="Tahoma"/>
            <family val="2"/>
          </rPr>
          <t xml:space="preserve">
Must be strictly greater than zero and less than 1. OK to have zero as the lower bound and 1 as the upper bound.</t>
        </r>
      </text>
    </comment>
    <comment ref="G190" authorId="2" shapeId="0">
      <text>
        <r>
          <rPr>
            <b/>
            <sz val="8"/>
            <color indexed="81"/>
            <rFont val="Tahoma"/>
            <family val="2"/>
          </rPr>
          <t>hopec:</t>
        </r>
        <r>
          <rPr>
            <sz val="8"/>
            <color indexed="81"/>
            <rFont val="Tahoma"/>
            <family val="2"/>
          </rPr>
          <t xml:space="preserve">
Upper end of range from GLOCAF.</t>
        </r>
      </text>
    </comment>
    <comment ref="B192" authorId="3" shapeId="0">
      <text>
        <r>
          <rPr>
            <sz val="8"/>
            <color indexed="81"/>
            <rFont val="Tahoma"/>
            <family val="2"/>
          </rPr>
          <t>Proportional drop in costs for a doubling of experience</t>
        </r>
      </text>
    </comment>
    <comment ref="G192" authorId="2" shapeId="0">
      <text>
        <r>
          <rPr>
            <b/>
            <sz val="8"/>
            <color indexed="81"/>
            <rFont val="Tahoma"/>
            <family val="2"/>
          </rPr>
          <t>hopec:</t>
        </r>
        <r>
          <rPr>
            <sz val="8"/>
            <color indexed="81"/>
            <rFont val="Tahoma"/>
            <family val="2"/>
          </rPr>
          <t xml:space="preserve">
Consistent with other energy sector learning rates.</t>
        </r>
      </text>
    </comment>
    <comment ref="G194" authorId="0" shapeId="0">
      <text>
        <r>
          <rPr>
            <b/>
            <sz val="9"/>
            <color indexed="81"/>
            <rFont val="Tahoma"/>
            <family val="2"/>
          </rPr>
          <t>Yumashev, Dmitry:</t>
        </r>
        <r>
          <rPr>
            <sz val="9"/>
            <color indexed="81"/>
            <rFont val="Tahoma"/>
            <family val="2"/>
          </rPr>
          <t xml:space="preserve">
Values adjusted to give the annual rates consistent with autonomous energy efficiency improvements in global industry (IEA 2012). We use the range of annual rates of 0.4 to 0.6%/year, with mod of 0.5%/year. </t>
        </r>
      </text>
    </comment>
    <comment ref="G196" authorId="2" shapeId="0">
      <text>
        <r>
          <rPr>
            <b/>
            <sz val="8"/>
            <color indexed="81"/>
            <rFont val="Tahoma"/>
            <family val="2"/>
          </rPr>
          <t>hopec:</t>
        </r>
        <r>
          <rPr>
            <sz val="8"/>
            <color indexed="81"/>
            <rFont val="Tahoma"/>
            <family val="2"/>
          </rPr>
          <t xml:space="preserve">
All costs are fully equity weighted.</t>
        </r>
      </text>
    </comment>
  </commentList>
</comments>
</file>

<file path=xl/comments3.xml><?xml version="1.0" encoding="utf-8"?>
<comments xmlns="http://schemas.openxmlformats.org/spreadsheetml/2006/main">
  <authors>
    <author>hopec</author>
  </authors>
  <commentList>
    <comment ref="F56" authorId="0" shapeId="0">
      <text>
        <r>
          <rPr>
            <b/>
            <sz val="8"/>
            <color indexed="81"/>
            <rFont val="Tahoma"/>
            <family val="2"/>
          </rPr>
          <t>hopec:</t>
        </r>
        <r>
          <rPr>
            <sz val="8"/>
            <color indexed="81"/>
            <rFont val="Tahoma"/>
            <family val="2"/>
          </rPr>
          <t xml:space="preserve">
Aggressive adaptation reduces impacts to low levels, as in Nicholls.</t>
        </r>
      </text>
    </comment>
  </commentList>
</comments>
</file>

<file path=xl/comments4.xml><?xml version="1.0" encoding="utf-8"?>
<comments xmlns="http://schemas.openxmlformats.org/spreadsheetml/2006/main">
  <authors>
    <author>hopec</author>
  </authors>
  <commentList>
    <comment ref="L2" authorId="0" shapeId="0">
      <text>
        <r>
          <rPr>
            <b/>
            <sz val="8"/>
            <color indexed="81"/>
            <rFont val="Tahoma"/>
            <family val="2"/>
          </rPr>
          <t>hopec:</t>
        </r>
        <r>
          <rPr>
            <sz val="8"/>
            <color indexed="81"/>
            <rFont val="Tahoma"/>
            <family val="2"/>
          </rPr>
          <t xml:space="preserve">
Cannot calculate for final analysis year</t>
        </r>
      </text>
    </comment>
  </commentList>
</comments>
</file>

<file path=xl/comments5.xml><?xml version="1.0" encoding="utf-8"?>
<comments xmlns="http://schemas.openxmlformats.org/spreadsheetml/2006/main">
  <authors>
    <author>hopec</author>
    <author>Chris Hope</author>
  </authors>
  <commentList>
    <comment ref="A8" authorId="0" shapeId="0">
      <text>
        <r>
          <rPr>
            <b/>
            <sz val="8"/>
            <color indexed="81"/>
            <rFont val="Tahoma"/>
            <family val="2"/>
          </rPr>
          <t>hopec:</t>
        </r>
        <r>
          <rPr>
            <sz val="8"/>
            <color indexed="81"/>
            <rFont val="Tahoma"/>
            <family val="2"/>
          </rPr>
          <t xml:space="preserve">
Not capped by civ_value</t>
        </r>
      </text>
    </comment>
    <comment ref="A9" authorId="0" shapeId="0">
      <text>
        <r>
          <rPr>
            <b/>
            <sz val="8"/>
            <color indexed="81"/>
            <rFont val="Tahoma"/>
            <family val="2"/>
          </rPr>
          <t>hopec:</t>
        </r>
        <r>
          <rPr>
            <sz val="8"/>
            <color indexed="81"/>
            <rFont val="Tahoma"/>
            <family val="2"/>
          </rPr>
          <t xml:space="preserve">
capped at civ_value</t>
        </r>
      </text>
    </comment>
    <comment ref="A12" authorId="1" shapeId="0">
      <text>
        <r>
          <rPr>
            <b/>
            <sz val="8"/>
            <color indexed="81"/>
            <rFont val="Tahoma"/>
            <family val="2"/>
          </rPr>
          <t>Chris Hope:</t>
        </r>
        <r>
          <rPr>
            <sz val="8"/>
            <color indexed="81"/>
            <rFont val="Tahoma"/>
            <family val="2"/>
          </rPr>
          <t xml:space="preserve">
This is the quantity that an optimal policy would seek to minimize.
It is capped at the statistical value of civilisation.</t>
        </r>
      </text>
    </comment>
    <comment ref="A19" authorId="0" shapeId="0">
      <text>
        <r>
          <rPr>
            <b/>
            <sz val="8"/>
            <color indexed="81"/>
            <rFont val="Tahoma"/>
            <family val="2"/>
          </rPr>
          <t>hopec:</t>
        </r>
        <r>
          <rPr>
            <sz val="8"/>
            <color indexed="81"/>
            <rFont val="Tahoma"/>
            <family val="2"/>
          </rPr>
          <t xml:space="preserve">
Not capped by civ_value</t>
        </r>
      </text>
    </comment>
    <comment ref="A20" authorId="0" shapeId="0">
      <text>
        <r>
          <rPr>
            <b/>
            <sz val="8"/>
            <color indexed="81"/>
            <rFont val="Tahoma"/>
            <family val="2"/>
          </rPr>
          <t>hopec:</t>
        </r>
        <r>
          <rPr>
            <sz val="8"/>
            <color indexed="81"/>
            <rFont val="Tahoma"/>
            <family val="2"/>
          </rPr>
          <t xml:space="preserve">
capped at civ_value</t>
        </r>
      </text>
    </comment>
    <comment ref="A23" authorId="1" shapeId="0">
      <text>
        <r>
          <rPr>
            <b/>
            <sz val="8"/>
            <color indexed="81"/>
            <rFont val="Tahoma"/>
            <family val="2"/>
          </rPr>
          <t>Chris Hope:</t>
        </r>
        <r>
          <rPr>
            <sz val="8"/>
            <color indexed="81"/>
            <rFont val="Tahoma"/>
            <family val="2"/>
          </rPr>
          <t xml:space="preserve">
This is the quantity that an optimal policy would seek to minimize.
It is capped at the statistical value of civilisation.</t>
        </r>
      </text>
    </comment>
    <comment ref="A31" authorId="0" shapeId="0">
      <text>
        <r>
          <rPr>
            <b/>
            <sz val="8"/>
            <color indexed="81"/>
            <rFont val="Tahoma"/>
            <family val="2"/>
          </rPr>
          <t>hopec:</t>
        </r>
        <r>
          <rPr>
            <sz val="8"/>
            <color indexed="81"/>
            <rFont val="Tahoma"/>
            <family val="2"/>
          </rPr>
          <t xml:space="preserve">
capped at civ_value</t>
        </r>
      </text>
    </comment>
    <comment ref="A34" authorId="1" shapeId="0">
      <text>
        <r>
          <rPr>
            <b/>
            <sz val="8"/>
            <color indexed="81"/>
            <rFont val="Tahoma"/>
            <family val="2"/>
          </rPr>
          <t>Chris Hope:</t>
        </r>
        <r>
          <rPr>
            <sz val="8"/>
            <color indexed="81"/>
            <rFont val="Tahoma"/>
            <family val="2"/>
          </rPr>
          <t xml:space="preserve">
This is the quantity that an optimal policy would seek to minimize.
It is capped at the statistical value of civilisation.</t>
        </r>
      </text>
    </comment>
  </commentList>
</comments>
</file>

<file path=xl/comments6.xml><?xml version="1.0" encoding="utf-8"?>
<comments xmlns="http://schemas.openxmlformats.org/spreadsheetml/2006/main">
  <authors>
    <author>Yumashev, Dmitry</author>
    <author>Windows User</author>
    <author>Chris Hope</author>
  </authors>
  <commentList>
    <comment ref="A38" authorId="0" shapeId="0">
      <text>
        <r>
          <rPr>
            <b/>
            <sz val="9"/>
            <color indexed="81"/>
            <rFont val="Tahoma"/>
            <family val="2"/>
          </rPr>
          <t>Yumashev, Dmitry:</t>
        </r>
        <r>
          <rPr>
            <sz val="9"/>
            <color indexed="81"/>
            <rFont val="Tahoma"/>
            <family val="2"/>
          </rPr>
          <t xml:space="preserve">
Based on global temperature from the same timestep</t>
        </r>
      </text>
    </comment>
    <comment ref="A39" authorId="0" shapeId="0">
      <text>
        <r>
          <rPr>
            <b/>
            <sz val="9"/>
            <color indexed="81"/>
            <rFont val="Tahoma"/>
            <family val="2"/>
          </rPr>
          <t>Yumashev, Dmitry:</t>
        </r>
        <r>
          <rPr>
            <sz val="9"/>
            <color indexed="81"/>
            <rFont val="Tahoma"/>
            <family val="2"/>
          </rPr>
          <t xml:space="preserve">
Based on permafrost temperature from the same timestep</t>
        </r>
      </text>
    </comment>
    <comment ref="A40" authorId="0" shapeId="0">
      <text>
        <r>
          <rPr>
            <b/>
            <sz val="9"/>
            <color indexed="81"/>
            <rFont val="Tahoma"/>
            <family val="2"/>
          </rPr>
          <t>Yumashev, Dmitry:</t>
        </r>
        <r>
          <rPr>
            <sz val="9"/>
            <color indexed="81"/>
            <rFont val="Tahoma"/>
            <family val="2"/>
          </rPr>
          <t xml:space="preserve">
Based on permafrost temperature from the same timestep</t>
        </r>
      </text>
    </comment>
    <comment ref="A41" authorId="0" shapeId="0">
      <text>
        <r>
          <rPr>
            <b/>
            <sz val="9"/>
            <color indexed="81"/>
            <rFont val="Tahoma"/>
            <family val="2"/>
          </rPr>
          <t>Yumashev, Dmitry:</t>
        </r>
        <r>
          <rPr>
            <sz val="9"/>
            <color indexed="81"/>
            <rFont val="Tahoma"/>
            <family val="2"/>
          </rPr>
          <t xml:space="preserve">
Based on permafrost temperature from the same timestep</t>
        </r>
      </text>
    </comment>
    <comment ref="A42" authorId="0" shapeId="0">
      <text>
        <r>
          <rPr>
            <b/>
            <sz val="9"/>
            <color indexed="81"/>
            <rFont val="Tahoma"/>
            <family val="2"/>
          </rPr>
          <t>Yumashev, Dmitry:</t>
        </r>
        <r>
          <rPr>
            <sz val="9"/>
            <color indexed="81"/>
            <rFont val="Tahoma"/>
            <family val="2"/>
          </rPr>
          <t xml:space="preserve">
Based on permafrost temperature from the same timestep</t>
        </r>
      </text>
    </comment>
    <comment ref="A43" authorId="0" shapeId="0">
      <text>
        <r>
          <rPr>
            <b/>
            <sz val="9"/>
            <color indexed="81"/>
            <rFont val="Tahoma"/>
            <family val="2"/>
          </rPr>
          <t>Yumashev, Dmitry:</t>
        </r>
        <r>
          <rPr>
            <sz val="9"/>
            <color indexed="81"/>
            <rFont val="Tahoma"/>
            <family val="2"/>
          </rPr>
          <t xml:space="preserve">
Based on permafrost temperature from the same timestep</t>
        </r>
      </text>
    </comment>
    <comment ref="A45" authorId="0" shapeId="0">
      <text>
        <r>
          <rPr>
            <b/>
            <sz val="9"/>
            <color indexed="81"/>
            <rFont val="Tahoma"/>
            <family val="2"/>
          </rPr>
          <t>Yumashev, Dmitry:</t>
        </r>
        <r>
          <rPr>
            <sz val="9"/>
            <color indexed="81"/>
            <rFont val="Tahoma"/>
            <family val="2"/>
          </rPr>
          <t xml:space="preserve">
Yumashev, Dmitry:
Use the original ODE for dC/dt. Then multiply by 44/12</t>
        </r>
      </text>
    </comment>
    <comment ref="A47" authorId="0" shapeId="0">
      <text>
        <r>
          <rPr>
            <b/>
            <sz val="9"/>
            <color indexed="81"/>
            <rFont val="Tahoma"/>
            <family val="2"/>
          </rPr>
          <t>Yumashev, Dmitry:</t>
        </r>
        <r>
          <rPr>
            <sz val="9"/>
            <color indexed="81"/>
            <rFont val="Tahoma"/>
            <family val="2"/>
          </rPr>
          <t xml:space="preserve">
Based on permafrost temperature from the same timestep</t>
        </r>
      </text>
    </comment>
    <comment ref="A48" authorId="0" shapeId="0">
      <text>
        <r>
          <rPr>
            <b/>
            <sz val="9"/>
            <color indexed="81"/>
            <rFont val="Tahoma"/>
            <family val="2"/>
          </rPr>
          <t>Yumashev, Dmitry:</t>
        </r>
        <r>
          <rPr>
            <sz val="9"/>
            <color indexed="81"/>
            <rFont val="Tahoma"/>
            <family val="2"/>
          </rPr>
          <t xml:space="preserve">
Based on permafrost temperature from the same timestep</t>
        </r>
      </text>
    </comment>
    <comment ref="A49" authorId="0" shapeId="0">
      <text>
        <r>
          <rPr>
            <b/>
            <sz val="9"/>
            <color indexed="81"/>
            <rFont val="Tahoma"/>
            <family val="2"/>
          </rPr>
          <t>Yumashev, Dmitry:</t>
        </r>
        <r>
          <rPr>
            <sz val="9"/>
            <color indexed="81"/>
            <rFont val="Tahoma"/>
            <family val="2"/>
          </rPr>
          <t xml:space="preserve">
Based on permafrost temperature from the same timestep</t>
        </r>
      </text>
    </comment>
    <comment ref="A50" authorId="0" shapeId="0">
      <text>
        <r>
          <rPr>
            <b/>
            <sz val="9"/>
            <color indexed="81"/>
            <rFont val="Tahoma"/>
            <family val="2"/>
          </rPr>
          <t>Yumashev, Dmitry:</t>
        </r>
        <r>
          <rPr>
            <sz val="9"/>
            <color indexed="81"/>
            <rFont val="Tahoma"/>
            <family val="2"/>
          </rPr>
          <t xml:space="preserve">
Based on permafrost temperature from the same timestep</t>
        </r>
      </text>
    </comment>
    <comment ref="A51" authorId="0" shapeId="0">
      <text>
        <r>
          <rPr>
            <b/>
            <sz val="9"/>
            <color indexed="81"/>
            <rFont val="Tahoma"/>
            <family val="2"/>
          </rPr>
          <t>Yumashev, Dmitry:</t>
        </r>
        <r>
          <rPr>
            <sz val="9"/>
            <color indexed="81"/>
            <rFont val="Tahoma"/>
            <family val="2"/>
          </rPr>
          <t xml:space="preserve">
Based on permafrost temperature from the same timestep</t>
        </r>
      </text>
    </comment>
    <comment ref="A62" authorId="0" shapeId="0">
      <text>
        <r>
          <rPr>
            <b/>
            <sz val="9"/>
            <color indexed="81"/>
            <rFont val="Tahoma"/>
            <family val="2"/>
          </rPr>
          <t>Yumashev, Dmitry:</t>
        </r>
        <r>
          <rPr>
            <sz val="9"/>
            <color indexed="81"/>
            <rFont val="Tahoma"/>
            <family val="2"/>
          </rPr>
          <t xml:space="preserve">
Yumashev, Dmitry:
Use the original ODE for dC/dt. Then multiply by 44/12</t>
        </r>
      </text>
    </comment>
    <comment ref="C82" authorId="0" shapeId="0">
      <text>
        <r>
          <rPr>
            <b/>
            <sz val="9"/>
            <color indexed="81"/>
            <rFont val="Tahoma"/>
            <family val="2"/>
          </rPr>
          <t>Yumashev, Dmitry:</t>
        </r>
        <r>
          <rPr>
            <sz val="9"/>
            <color indexed="81"/>
            <rFont val="Tahoma"/>
            <family val="2"/>
          </rPr>
          <t xml:space="preserve">
Fixed input</t>
        </r>
      </text>
    </comment>
    <comment ref="C83" authorId="0" shapeId="0">
      <text>
        <r>
          <rPr>
            <b/>
            <sz val="9"/>
            <color indexed="81"/>
            <rFont val="Tahoma"/>
            <family val="2"/>
          </rPr>
          <t>Yumashev, Dmitry:</t>
        </r>
        <r>
          <rPr>
            <sz val="9"/>
            <color indexed="81"/>
            <rFont val="Tahoma"/>
            <family val="2"/>
          </rPr>
          <t xml:space="preserve">
Fixed input</t>
        </r>
      </text>
    </comment>
    <comment ref="C84" authorId="0" shapeId="0">
      <text>
        <r>
          <rPr>
            <b/>
            <sz val="9"/>
            <color indexed="81"/>
            <rFont val="Tahoma"/>
            <family val="2"/>
          </rPr>
          <t>Yumashev, Dmitry:</t>
        </r>
        <r>
          <rPr>
            <sz val="9"/>
            <color indexed="81"/>
            <rFont val="Tahoma"/>
            <family val="2"/>
          </rPr>
          <t xml:space="preserve">
Fixed input</t>
        </r>
      </text>
    </comment>
    <comment ref="C85" authorId="0" shapeId="0">
      <text>
        <r>
          <rPr>
            <b/>
            <sz val="9"/>
            <color indexed="81"/>
            <rFont val="Tahoma"/>
            <family val="2"/>
          </rPr>
          <t>Yumashev, Dmitry:</t>
        </r>
        <r>
          <rPr>
            <sz val="9"/>
            <color indexed="81"/>
            <rFont val="Tahoma"/>
            <family val="2"/>
          </rPr>
          <t xml:space="preserve">
Fixed input</t>
        </r>
      </text>
    </comment>
    <comment ref="A89"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94"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107"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116" authorId="1" shapeId="0">
      <text>
        <r>
          <rPr>
            <b/>
            <sz val="9"/>
            <color indexed="81"/>
            <rFont val="Tahoma"/>
            <family val="2"/>
          </rPr>
          <t>Windows User:</t>
        </r>
        <r>
          <rPr>
            <sz val="9"/>
            <color indexed="81"/>
            <rFont val="Tahoma"/>
            <family val="2"/>
          </rPr>
          <t xml:space="preserve">
Can't be calculated until we know the concentration of N2O</t>
        </r>
      </text>
    </comment>
    <comment ref="A117" authorId="1" shapeId="0">
      <text>
        <r>
          <rPr>
            <b/>
            <sz val="9"/>
            <color indexed="81"/>
            <rFont val="Tahoma"/>
            <family val="2"/>
          </rPr>
          <t>Windows User:</t>
        </r>
        <r>
          <rPr>
            <sz val="9"/>
            <color indexed="81"/>
            <rFont val="Tahoma"/>
            <family val="2"/>
          </rPr>
          <t xml:space="preserve">
Both overlap terms from IPCC TAR WGI, table 6.2</t>
        </r>
      </text>
    </comment>
    <comment ref="A121"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129" authorId="2" shapeId="0">
      <text>
        <r>
          <rPr>
            <b/>
            <sz val="8"/>
            <color indexed="81"/>
            <rFont val="Tahoma"/>
            <family val="2"/>
          </rPr>
          <t>Chris Hope:</t>
        </r>
        <r>
          <rPr>
            <sz val="8"/>
            <color indexed="81"/>
            <rFont val="Tahoma"/>
            <family val="2"/>
          </rPr>
          <t xml:space="preserve">
Assumed linear in concentration</t>
        </r>
      </text>
    </comment>
    <comment ref="B141"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t>
        </r>
      </text>
    </comment>
    <comment ref="A142" authorId="0" shapeId="0">
      <text>
        <r>
          <rPr>
            <b/>
            <sz val="9"/>
            <color indexed="81"/>
            <rFont val="Tahoma"/>
            <family val="2"/>
          </rPr>
          <t>Yumashev, Dmitry:</t>
        </r>
        <r>
          <rPr>
            <sz val="9"/>
            <color indexed="81"/>
            <rFont val="Tahoma"/>
            <family val="2"/>
          </rPr>
          <t xml:space="preserve">
With an additional cap on the argument of the logarithm in case anthropogenic sulphate fluxes become negative</t>
        </r>
      </text>
    </comment>
    <comment ref="B150"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t>
        </r>
      </text>
    </comment>
    <comment ref="C159"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 </t>
        </r>
      </text>
    </comment>
    <comment ref="A164" authorId="0" shapeId="0">
      <text>
        <r>
          <rPr>
            <b/>
            <sz val="9"/>
            <color indexed="81"/>
            <rFont val="Tahoma"/>
            <family val="2"/>
          </rPr>
          <t>Yumashev, Dmitry:</t>
        </r>
        <r>
          <rPr>
            <sz val="9"/>
            <color indexed="81"/>
            <rFont val="Tahoma"/>
            <family val="2"/>
          </rPr>
          <t xml:space="preserve">
Evaluated using radiative forcing from the previous time step to avoid circular references
</t>
        </r>
      </text>
    </comment>
    <comment ref="C168" authorId="0" shapeId="0">
      <text>
        <r>
          <rPr>
            <b/>
            <sz val="9"/>
            <color indexed="81"/>
            <rFont val="Tahoma"/>
            <family val="2"/>
          </rPr>
          <t>Yumashev, Dmitry:</t>
        </r>
        <r>
          <rPr>
            <sz val="9"/>
            <color indexed="81"/>
            <rFont val="Tahoma"/>
            <family val="2"/>
          </rPr>
          <t xml:space="preserve">
Fixed input</t>
        </r>
      </text>
    </comment>
    <comment ref="A172" authorId="0" shapeId="0">
      <text>
        <r>
          <rPr>
            <b/>
            <sz val="9"/>
            <color indexed="81"/>
            <rFont val="Tahoma"/>
            <family val="2"/>
          </rPr>
          <t>Yumashev, Dmitry:</t>
        </r>
        <r>
          <rPr>
            <sz val="9"/>
            <color indexed="81"/>
            <rFont val="Tahoma"/>
            <family val="2"/>
          </rPr>
          <t xml:space="preserve">
Evaluated using radiative forcing from the previous time step to avoid circular references</t>
        </r>
      </text>
    </comment>
    <comment ref="A177" authorId="0" shapeId="0">
      <text>
        <r>
          <rPr>
            <b/>
            <sz val="9"/>
            <color indexed="81"/>
            <rFont val="Tahoma"/>
            <family val="2"/>
          </rPr>
          <t>Yumashev, Dmitry:</t>
        </r>
        <r>
          <rPr>
            <sz val="9"/>
            <color indexed="81"/>
            <rFont val="Tahoma"/>
            <family val="2"/>
          </rPr>
          <t xml:space="preserve">
Scaled from global mean temperature using CMIP5 regional amplification factors</t>
        </r>
      </text>
    </comment>
    <comment ref="A185" authorId="0" shapeId="0">
      <text>
        <r>
          <rPr>
            <b/>
            <sz val="9"/>
            <color indexed="81"/>
            <rFont val="Tahoma"/>
            <family val="2"/>
          </rPr>
          <t>Yumashev, Dmitry:</t>
        </r>
        <r>
          <rPr>
            <sz val="9"/>
            <color indexed="81"/>
            <rFont val="Tahoma"/>
            <family val="2"/>
          </rPr>
          <t xml:space="preserve">
Area-weighted average land temperature acorss the 8 regions.</t>
        </r>
      </text>
    </comment>
    <comment ref="E191" authorId="1" shapeId="0">
      <text>
        <r>
          <rPr>
            <b/>
            <sz val="9"/>
            <color indexed="81"/>
            <rFont val="Tahoma"/>
            <family val="2"/>
          </rPr>
          <t>Windows User:</t>
        </r>
        <r>
          <rPr>
            <sz val="9"/>
            <color indexed="81"/>
            <rFont val="Tahoma"/>
            <family val="2"/>
          </rPr>
          <t xml:space="preserve">
Needs new formula as does not depend on Y_0</t>
        </r>
      </text>
    </comment>
  </commentList>
</comments>
</file>

<file path=xl/comments7.xml><?xml version="1.0" encoding="utf-8"?>
<comments xmlns="http://schemas.openxmlformats.org/spreadsheetml/2006/main">
  <authors>
    <author>Yumashev, Dmitry</author>
    <author>Windows User</author>
    <author>Chris Hope</author>
  </authors>
  <commentList>
    <comment ref="A38" authorId="0" shapeId="0">
      <text>
        <r>
          <rPr>
            <b/>
            <sz val="9"/>
            <color indexed="81"/>
            <rFont val="Tahoma"/>
            <family val="2"/>
          </rPr>
          <t>Yumashev, Dmitry:</t>
        </r>
        <r>
          <rPr>
            <sz val="9"/>
            <color indexed="81"/>
            <rFont val="Tahoma"/>
            <family val="2"/>
          </rPr>
          <t xml:space="preserve">
Based on global temperature from the same timestep</t>
        </r>
      </text>
    </comment>
    <comment ref="A39" authorId="0" shapeId="0">
      <text>
        <r>
          <rPr>
            <b/>
            <sz val="9"/>
            <color indexed="81"/>
            <rFont val="Tahoma"/>
            <family val="2"/>
          </rPr>
          <t>Yumashev, Dmitry:</t>
        </r>
        <r>
          <rPr>
            <sz val="9"/>
            <color indexed="81"/>
            <rFont val="Tahoma"/>
            <family val="2"/>
          </rPr>
          <t xml:space="preserve">
Based on permafrost temperature from the same timestep</t>
        </r>
      </text>
    </comment>
    <comment ref="A40" authorId="0" shapeId="0">
      <text>
        <r>
          <rPr>
            <b/>
            <sz val="9"/>
            <color indexed="81"/>
            <rFont val="Tahoma"/>
            <family val="2"/>
          </rPr>
          <t>Yumashev, Dmitry:</t>
        </r>
        <r>
          <rPr>
            <sz val="9"/>
            <color indexed="81"/>
            <rFont val="Tahoma"/>
            <family val="2"/>
          </rPr>
          <t xml:space="preserve">
Based on permafrost temperature from the same timestep</t>
        </r>
      </text>
    </comment>
    <comment ref="A41" authorId="0" shapeId="0">
      <text>
        <r>
          <rPr>
            <b/>
            <sz val="9"/>
            <color indexed="81"/>
            <rFont val="Tahoma"/>
            <family val="2"/>
          </rPr>
          <t>Yumashev, Dmitry:</t>
        </r>
        <r>
          <rPr>
            <sz val="9"/>
            <color indexed="81"/>
            <rFont val="Tahoma"/>
            <family val="2"/>
          </rPr>
          <t xml:space="preserve">
Based on permafrost temperature from the same timestep</t>
        </r>
      </text>
    </comment>
    <comment ref="A42" authorId="0" shapeId="0">
      <text>
        <r>
          <rPr>
            <b/>
            <sz val="9"/>
            <color indexed="81"/>
            <rFont val="Tahoma"/>
            <family val="2"/>
          </rPr>
          <t>Yumashev, Dmitry:</t>
        </r>
        <r>
          <rPr>
            <sz val="9"/>
            <color indexed="81"/>
            <rFont val="Tahoma"/>
            <family val="2"/>
          </rPr>
          <t xml:space="preserve">
Based on permafrost temperature from the same timestep</t>
        </r>
      </text>
    </comment>
    <comment ref="A43" authorId="0" shapeId="0">
      <text>
        <r>
          <rPr>
            <b/>
            <sz val="9"/>
            <color indexed="81"/>
            <rFont val="Tahoma"/>
            <family val="2"/>
          </rPr>
          <t>Yumashev, Dmitry:</t>
        </r>
        <r>
          <rPr>
            <sz val="9"/>
            <color indexed="81"/>
            <rFont val="Tahoma"/>
            <family val="2"/>
          </rPr>
          <t xml:space="preserve">
Based on permafrost temperature from the same timestep</t>
        </r>
      </text>
    </comment>
    <comment ref="A45" authorId="0" shapeId="0">
      <text>
        <r>
          <rPr>
            <b/>
            <sz val="9"/>
            <color indexed="81"/>
            <rFont val="Tahoma"/>
            <family val="2"/>
          </rPr>
          <t>Yumashev, Dmitry:</t>
        </r>
        <r>
          <rPr>
            <sz val="9"/>
            <color indexed="81"/>
            <rFont val="Tahoma"/>
            <family val="2"/>
          </rPr>
          <t xml:space="preserve">
Yumashev, Dmitry:
Use the original ODE for dC/dt. Then multiply by 44/12</t>
        </r>
      </text>
    </comment>
    <comment ref="A47" authorId="0" shapeId="0">
      <text>
        <r>
          <rPr>
            <b/>
            <sz val="9"/>
            <color indexed="81"/>
            <rFont val="Tahoma"/>
            <family val="2"/>
          </rPr>
          <t>Yumashev, Dmitry:</t>
        </r>
        <r>
          <rPr>
            <sz val="9"/>
            <color indexed="81"/>
            <rFont val="Tahoma"/>
            <family val="2"/>
          </rPr>
          <t xml:space="preserve">
Based on permafrost temperature from the same timestep</t>
        </r>
      </text>
    </comment>
    <comment ref="A48" authorId="0" shapeId="0">
      <text>
        <r>
          <rPr>
            <b/>
            <sz val="9"/>
            <color indexed="81"/>
            <rFont val="Tahoma"/>
            <family val="2"/>
          </rPr>
          <t>Yumashev, Dmitry:</t>
        </r>
        <r>
          <rPr>
            <sz val="9"/>
            <color indexed="81"/>
            <rFont val="Tahoma"/>
            <family val="2"/>
          </rPr>
          <t xml:space="preserve">
Based on permafrost temperature from the same timestep</t>
        </r>
      </text>
    </comment>
    <comment ref="A49" authorId="0" shapeId="0">
      <text>
        <r>
          <rPr>
            <b/>
            <sz val="9"/>
            <color indexed="81"/>
            <rFont val="Tahoma"/>
            <family val="2"/>
          </rPr>
          <t>Yumashev, Dmitry:</t>
        </r>
        <r>
          <rPr>
            <sz val="9"/>
            <color indexed="81"/>
            <rFont val="Tahoma"/>
            <family val="2"/>
          </rPr>
          <t xml:space="preserve">
Based on permafrost temperature from the same timestep</t>
        </r>
      </text>
    </comment>
    <comment ref="A50" authorId="0" shapeId="0">
      <text>
        <r>
          <rPr>
            <b/>
            <sz val="9"/>
            <color indexed="81"/>
            <rFont val="Tahoma"/>
            <family val="2"/>
          </rPr>
          <t>Yumashev, Dmitry:</t>
        </r>
        <r>
          <rPr>
            <sz val="9"/>
            <color indexed="81"/>
            <rFont val="Tahoma"/>
            <family val="2"/>
          </rPr>
          <t xml:space="preserve">
Based on permafrost temperature from the same timestep</t>
        </r>
      </text>
    </comment>
    <comment ref="A51" authorId="0" shapeId="0">
      <text>
        <r>
          <rPr>
            <b/>
            <sz val="9"/>
            <color indexed="81"/>
            <rFont val="Tahoma"/>
            <family val="2"/>
          </rPr>
          <t>Yumashev, Dmitry:</t>
        </r>
        <r>
          <rPr>
            <sz val="9"/>
            <color indexed="81"/>
            <rFont val="Tahoma"/>
            <family val="2"/>
          </rPr>
          <t xml:space="preserve">
Based on permafrost temperature from the same timestep</t>
        </r>
      </text>
    </comment>
    <comment ref="A89"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94"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107"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116" authorId="1" shapeId="0">
      <text>
        <r>
          <rPr>
            <b/>
            <sz val="9"/>
            <color indexed="81"/>
            <rFont val="Tahoma"/>
            <family val="2"/>
          </rPr>
          <t>Windows User:</t>
        </r>
        <r>
          <rPr>
            <sz val="9"/>
            <color indexed="81"/>
            <rFont val="Tahoma"/>
            <family val="2"/>
          </rPr>
          <t xml:space="preserve">
Can't be calculated until we know the concentration of N2O</t>
        </r>
      </text>
    </comment>
    <comment ref="A117" authorId="1" shapeId="0">
      <text>
        <r>
          <rPr>
            <b/>
            <sz val="9"/>
            <color indexed="81"/>
            <rFont val="Tahoma"/>
            <family val="2"/>
          </rPr>
          <t>Windows User:</t>
        </r>
        <r>
          <rPr>
            <sz val="9"/>
            <color indexed="81"/>
            <rFont val="Tahoma"/>
            <family val="2"/>
          </rPr>
          <t xml:space="preserve">
Both overlap terms from IPCC TAR WGI, table 6.2</t>
        </r>
      </text>
    </comment>
    <comment ref="A121"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129" authorId="2" shapeId="0">
      <text>
        <r>
          <rPr>
            <b/>
            <sz val="8"/>
            <color indexed="81"/>
            <rFont val="Tahoma"/>
            <family val="2"/>
          </rPr>
          <t>Chris Hope:</t>
        </r>
        <r>
          <rPr>
            <sz val="8"/>
            <color indexed="81"/>
            <rFont val="Tahoma"/>
            <family val="2"/>
          </rPr>
          <t xml:space="preserve">
Assumed linear in concentration</t>
        </r>
      </text>
    </comment>
    <comment ref="B141"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 </t>
        </r>
      </text>
    </comment>
    <comment ref="A142" authorId="0" shapeId="0">
      <text>
        <r>
          <rPr>
            <b/>
            <sz val="9"/>
            <color indexed="81"/>
            <rFont val="Tahoma"/>
            <family val="2"/>
          </rPr>
          <t>Yumashev, Dmitry:</t>
        </r>
        <r>
          <rPr>
            <sz val="9"/>
            <color indexed="81"/>
            <rFont val="Tahoma"/>
            <family val="2"/>
          </rPr>
          <t xml:space="preserve">
With an additional cap on the argument of the logarithm in case anthropogenic sulphate fluxes become negative</t>
        </r>
      </text>
    </comment>
    <comment ref="B150"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 </t>
        </r>
      </text>
    </comment>
    <comment ref="C159"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 </t>
        </r>
      </text>
    </comment>
    <comment ref="A164" authorId="0" shapeId="0">
      <text>
        <r>
          <rPr>
            <b/>
            <sz val="9"/>
            <color indexed="81"/>
            <rFont val="Tahoma"/>
            <family val="2"/>
          </rPr>
          <t>Yumashev, Dmitry:</t>
        </r>
        <r>
          <rPr>
            <sz val="9"/>
            <color indexed="81"/>
            <rFont val="Tahoma"/>
            <family val="2"/>
          </rPr>
          <t xml:space="preserve">
Evaluated using radiative forcing from the previous time step to avoid circular references
</t>
        </r>
      </text>
    </comment>
    <comment ref="A172" authorId="0" shapeId="0">
      <text>
        <r>
          <rPr>
            <b/>
            <sz val="9"/>
            <color indexed="81"/>
            <rFont val="Tahoma"/>
            <family val="2"/>
          </rPr>
          <t>Yumashev, Dmitry:</t>
        </r>
        <r>
          <rPr>
            <sz val="9"/>
            <color indexed="81"/>
            <rFont val="Tahoma"/>
            <family val="2"/>
          </rPr>
          <t xml:space="preserve">
Evaluated using radiative forcing from the previous time step to avoid circular references</t>
        </r>
      </text>
    </comment>
    <comment ref="A177" authorId="0" shapeId="0">
      <text>
        <r>
          <rPr>
            <b/>
            <sz val="9"/>
            <color indexed="81"/>
            <rFont val="Tahoma"/>
            <family val="2"/>
          </rPr>
          <t>Yumashev, Dmitry:</t>
        </r>
        <r>
          <rPr>
            <sz val="9"/>
            <color indexed="81"/>
            <rFont val="Tahoma"/>
            <family val="2"/>
          </rPr>
          <t xml:space="preserve">
Scaled from global mean temperature using CMIP5 regional amplification factors</t>
        </r>
      </text>
    </comment>
    <comment ref="A185" authorId="0" shapeId="0">
      <text>
        <r>
          <rPr>
            <b/>
            <sz val="9"/>
            <color indexed="81"/>
            <rFont val="Tahoma"/>
            <family val="2"/>
          </rPr>
          <t>Yumashev, Dmitry:</t>
        </r>
        <r>
          <rPr>
            <sz val="9"/>
            <color indexed="81"/>
            <rFont val="Tahoma"/>
            <family val="2"/>
          </rPr>
          <t xml:space="preserve">
Area-weighted average land temperature acorss the 8 regions.</t>
        </r>
      </text>
    </comment>
    <comment ref="E191" authorId="1" shapeId="0">
      <text>
        <r>
          <rPr>
            <b/>
            <sz val="9"/>
            <color indexed="81"/>
            <rFont val="Tahoma"/>
            <family val="2"/>
          </rPr>
          <t>Windows User:</t>
        </r>
        <r>
          <rPr>
            <sz val="9"/>
            <color indexed="81"/>
            <rFont val="Tahoma"/>
            <family val="2"/>
          </rPr>
          <t xml:space="preserve">
Needs new formula as does not depend on Y_0</t>
        </r>
      </text>
    </comment>
  </commentList>
</comments>
</file>

<file path=xl/comments8.xml><?xml version="1.0" encoding="utf-8"?>
<comments xmlns="http://schemas.openxmlformats.org/spreadsheetml/2006/main">
  <authors>
    <author>Yumashev, Dmitry</author>
    <author>Windows User</author>
    <author>Chris Hope</author>
  </authors>
  <commentList>
    <comment ref="A38" authorId="0" shapeId="0">
      <text>
        <r>
          <rPr>
            <b/>
            <sz val="9"/>
            <color indexed="81"/>
            <rFont val="Tahoma"/>
            <family val="2"/>
          </rPr>
          <t>Yumashev, Dmitry:</t>
        </r>
        <r>
          <rPr>
            <sz val="9"/>
            <color indexed="81"/>
            <rFont val="Tahoma"/>
            <family val="2"/>
          </rPr>
          <t xml:space="preserve">
Based on global temperature from the same timestep</t>
        </r>
      </text>
    </comment>
    <comment ref="A39" authorId="0" shapeId="0">
      <text>
        <r>
          <rPr>
            <b/>
            <sz val="9"/>
            <color indexed="81"/>
            <rFont val="Tahoma"/>
            <family val="2"/>
          </rPr>
          <t>Yumashev, Dmitry:</t>
        </r>
        <r>
          <rPr>
            <sz val="9"/>
            <color indexed="81"/>
            <rFont val="Tahoma"/>
            <family val="2"/>
          </rPr>
          <t xml:space="preserve">
Based on permafrost temperature from the same timestep</t>
        </r>
      </text>
    </comment>
    <comment ref="A40" authorId="0" shapeId="0">
      <text>
        <r>
          <rPr>
            <b/>
            <sz val="9"/>
            <color indexed="81"/>
            <rFont val="Tahoma"/>
            <family val="2"/>
          </rPr>
          <t>Yumashev, Dmitry:</t>
        </r>
        <r>
          <rPr>
            <sz val="9"/>
            <color indexed="81"/>
            <rFont val="Tahoma"/>
            <family val="2"/>
          </rPr>
          <t xml:space="preserve">
Based on permafrost temperature from the same timestep</t>
        </r>
      </text>
    </comment>
    <comment ref="A41" authorId="0" shapeId="0">
      <text>
        <r>
          <rPr>
            <b/>
            <sz val="9"/>
            <color indexed="81"/>
            <rFont val="Tahoma"/>
            <family val="2"/>
          </rPr>
          <t>Yumashev, Dmitry:</t>
        </r>
        <r>
          <rPr>
            <sz val="9"/>
            <color indexed="81"/>
            <rFont val="Tahoma"/>
            <family val="2"/>
          </rPr>
          <t xml:space="preserve">
Based on permafrost temperature from the same timestep</t>
        </r>
      </text>
    </comment>
    <comment ref="A42" authorId="0" shapeId="0">
      <text>
        <r>
          <rPr>
            <b/>
            <sz val="9"/>
            <color indexed="81"/>
            <rFont val="Tahoma"/>
            <family val="2"/>
          </rPr>
          <t>Yumashev, Dmitry:</t>
        </r>
        <r>
          <rPr>
            <sz val="9"/>
            <color indexed="81"/>
            <rFont val="Tahoma"/>
            <family val="2"/>
          </rPr>
          <t xml:space="preserve">
Based on permafrost temperature from the same timestep</t>
        </r>
      </text>
    </comment>
    <comment ref="A43" authorId="0" shapeId="0">
      <text>
        <r>
          <rPr>
            <b/>
            <sz val="9"/>
            <color indexed="81"/>
            <rFont val="Tahoma"/>
            <family val="2"/>
          </rPr>
          <t>Yumashev, Dmitry:</t>
        </r>
        <r>
          <rPr>
            <sz val="9"/>
            <color indexed="81"/>
            <rFont val="Tahoma"/>
            <family val="2"/>
          </rPr>
          <t xml:space="preserve">
Based on permafrost temperature from the same timestep</t>
        </r>
      </text>
    </comment>
    <comment ref="A47" authorId="0" shapeId="0">
      <text>
        <r>
          <rPr>
            <b/>
            <sz val="9"/>
            <color indexed="81"/>
            <rFont val="Tahoma"/>
            <family val="2"/>
          </rPr>
          <t>Yumashev, Dmitry:</t>
        </r>
        <r>
          <rPr>
            <sz val="9"/>
            <color indexed="81"/>
            <rFont val="Tahoma"/>
            <family val="2"/>
          </rPr>
          <t xml:space="preserve">
Based on permafrost temperature from the same timestep</t>
        </r>
      </text>
    </comment>
    <comment ref="A48" authorId="0" shapeId="0">
      <text>
        <r>
          <rPr>
            <b/>
            <sz val="9"/>
            <color indexed="81"/>
            <rFont val="Tahoma"/>
            <family val="2"/>
          </rPr>
          <t>Yumashev, Dmitry:</t>
        </r>
        <r>
          <rPr>
            <sz val="9"/>
            <color indexed="81"/>
            <rFont val="Tahoma"/>
            <family val="2"/>
          </rPr>
          <t xml:space="preserve">
Based on permafrost temperature from the same timestep</t>
        </r>
      </text>
    </comment>
    <comment ref="A49" authorId="0" shapeId="0">
      <text>
        <r>
          <rPr>
            <b/>
            <sz val="9"/>
            <color indexed="81"/>
            <rFont val="Tahoma"/>
            <family val="2"/>
          </rPr>
          <t>Yumashev, Dmitry:</t>
        </r>
        <r>
          <rPr>
            <sz val="9"/>
            <color indexed="81"/>
            <rFont val="Tahoma"/>
            <family val="2"/>
          </rPr>
          <t xml:space="preserve">
Based on permafrost temperature from the same timestep</t>
        </r>
      </text>
    </comment>
    <comment ref="A50" authorId="0" shapeId="0">
      <text>
        <r>
          <rPr>
            <b/>
            <sz val="9"/>
            <color indexed="81"/>
            <rFont val="Tahoma"/>
            <family val="2"/>
          </rPr>
          <t>Yumashev, Dmitry:</t>
        </r>
        <r>
          <rPr>
            <sz val="9"/>
            <color indexed="81"/>
            <rFont val="Tahoma"/>
            <family val="2"/>
          </rPr>
          <t xml:space="preserve">
Based on permafrost temperature from the same timestep</t>
        </r>
      </text>
    </comment>
    <comment ref="A51" authorId="0" shapeId="0">
      <text>
        <r>
          <rPr>
            <b/>
            <sz val="9"/>
            <color indexed="81"/>
            <rFont val="Tahoma"/>
            <family val="2"/>
          </rPr>
          <t>Yumashev, Dmitry:</t>
        </r>
        <r>
          <rPr>
            <sz val="9"/>
            <color indexed="81"/>
            <rFont val="Tahoma"/>
            <family val="2"/>
          </rPr>
          <t xml:space="preserve">
Based on permafrost temperature from the same timestep</t>
        </r>
      </text>
    </comment>
    <comment ref="A116" authorId="1" shapeId="0">
      <text>
        <r>
          <rPr>
            <b/>
            <sz val="9"/>
            <color indexed="81"/>
            <rFont val="Tahoma"/>
            <family val="2"/>
          </rPr>
          <t>Windows User:</t>
        </r>
        <r>
          <rPr>
            <sz val="9"/>
            <color indexed="81"/>
            <rFont val="Tahoma"/>
            <family val="2"/>
          </rPr>
          <t xml:space="preserve">
Can't be calculated until we know the concentration of N2O</t>
        </r>
      </text>
    </comment>
    <comment ref="A117" authorId="1" shapeId="0">
      <text>
        <r>
          <rPr>
            <b/>
            <sz val="9"/>
            <color indexed="81"/>
            <rFont val="Tahoma"/>
            <family val="2"/>
          </rPr>
          <t>Windows User:</t>
        </r>
        <r>
          <rPr>
            <sz val="9"/>
            <color indexed="81"/>
            <rFont val="Tahoma"/>
            <family val="2"/>
          </rPr>
          <t xml:space="preserve">
Both overlap terms from IPCC TAR WGI, table 6.2</t>
        </r>
      </text>
    </comment>
    <comment ref="A129" authorId="2" shapeId="0">
      <text>
        <r>
          <rPr>
            <b/>
            <sz val="8"/>
            <color indexed="81"/>
            <rFont val="Tahoma"/>
            <family val="2"/>
          </rPr>
          <t>Chris Hope:</t>
        </r>
        <r>
          <rPr>
            <sz val="8"/>
            <color indexed="81"/>
            <rFont val="Tahoma"/>
            <family val="2"/>
          </rPr>
          <t xml:space="preserve">
Assumed linear in concentration</t>
        </r>
      </text>
    </comment>
    <comment ref="C159"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 </t>
        </r>
      </text>
    </comment>
    <comment ref="A164" authorId="0" shapeId="0">
      <text>
        <r>
          <rPr>
            <b/>
            <sz val="9"/>
            <color indexed="81"/>
            <rFont val="Tahoma"/>
            <family val="2"/>
          </rPr>
          <t>Yumashev, Dmitry:</t>
        </r>
        <r>
          <rPr>
            <sz val="9"/>
            <color indexed="81"/>
            <rFont val="Tahoma"/>
            <family val="2"/>
          </rPr>
          <t xml:space="preserve">
Evaluated using radiative forcing from the previous time step to avoid circular references
</t>
        </r>
      </text>
    </comment>
    <comment ref="A172" authorId="0" shapeId="0">
      <text>
        <r>
          <rPr>
            <b/>
            <sz val="9"/>
            <color indexed="81"/>
            <rFont val="Tahoma"/>
            <family val="2"/>
          </rPr>
          <t>Yumashev, Dmitry:</t>
        </r>
        <r>
          <rPr>
            <sz val="9"/>
            <color indexed="81"/>
            <rFont val="Tahoma"/>
            <family val="2"/>
          </rPr>
          <t xml:space="preserve">
Evaluated using radiative forcing from the previous time step to avoid circular references</t>
        </r>
      </text>
    </comment>
    <comment ref="E177" authorId="2" shapeId="0">
      <text>
        <r>
          <rPr>
            <b/>
            <sz val="8"/>
            <color indexed="81"/>
            <rFont val="Tahoma"/>
            <family val="2"/>
          </rPr>
          <t>Chris Hope:</t>
        </r>
        <r>
          <rPr>
            <sz val="8"/>
            <color indexed="81"/>
            <rFont val="Tahoma"/>
            <family val="2"/>
          </rPr>
          <t xml:space="preserve">
Can't just copy column D as this depends on RTL_0.
Array formula checked in v0.5 impacts test</t>
        </r>
      </text>
    </comment>
    <comment ref="A182" authorId="0" shapeId="0">
      <text>
        <r>
          <rPr>
            <b/>
            <sz val="9"/>
            <color indexed="81"/>
            <rFont val="Tahoma"/>
            <family val="2"/>
          </rPr>
          <t>Yumashev, Dmitry:</t>
        </r>
        <r>
          <rPr>
            <sz val="9"/>
            <color indexed="81"/>
            <rFont val="Tahoma"/>
            <family val="2"/>
          </rPr>
          <t xml:space="preserve">
Area-weighted average land temperature acorss the 8 regions.</t>
        </r>
      </text>
    </comment>
    <comment ref="E191" authorId="1" shapeId="0">
      <text>
        <r>
          <rPr>
            <b/>
            <sz val="9"/>
            <color indexed="81"/>
            <rFont val="Tahoma"/>
            <family val="2"/>
          </rPr>
          <t>Windows User:</t>
        </r>
        <r>
          <rPr>
            <sz val="9"/>
            <color indexed="81"/>
            <rFont val="Tahoma"/>
            <family val="2"/>
          </rPr>
          <t xml:space="preserve">
Needs new formula as does not depend on Y_0</t>
        </r>
      </text>
    </comment>
  </commentList>
</comments>
</file>

<file path=xl/comments9.xml><?xml version="1.0" encoding="utf-8"?>
<comments xmlns="http://schemas.openxmlformats.org/spreadsheetml/2006/main">
  <authors>
    <author>Windows User</author>
    <author>Chris Hope</author>
  </authors>
  <commentList>
    <comment ref="A35" authorId="0" shapeId="0">
      <text>
        <r>
          <rPr>
            <b/>
            <sz val="9"/>
            <color indexed="81"/>
            <rFont val="Tahoma"/>
            <family val="2"/>
          </rPr>
          <t>Windows User:</t>
        </r>
        <r>
          <rPr>
            <sz val="9"/>
            <color indexed="81"/>
            <rFont val="Tahoma"/>
            <family val="2"/>
          </rPr>
          <t xml:space="preserve">
From difference of GDP and population growth rates</t>
        </r>
      </text>
    </comment>
    <comment ref="A45" authorId="0" shapeId="0">
      <text>
        <r>
          <rPr>
            <b/>
            <sz val="9"/>
            <color indexed="81"/>
            <rFont val="Tahoma"/>
            <family val="2"/>
          </rPr>
          <t>Windows User:</t>
        </r>
        <r>
          <rPr>
            <sz val="9"/>
            <color indexed="81"/>
            <rFont val="Tahoma"/>
            <family val="2"/>
          </rPr>
          <t xml:space="preserve">
Assumes the same savings rate everywhere</t>
        </r>
      </text>
    </comment>
    <comment ref="A46" authorId="0" shapeId="0">
      <text>
        <r>
          <rPr>
            <b/>
            <sz val="9"/>
            <color indexed="81"/>
            <rFont val="Tahoma"/>
            <family val="2"/>
          </rPr>
          <t>Windows User:</t>
        </r>
        <r>
          <rPr>
            <sz val="9"/>
            <color indexed="81"/>
            <rFont val="Tahoma"/>
            <family val="2"/>
          </rPr>
          <t xml:space="preserve">
Calculated; a check on mean GDP per capita growth rates</t>
        </r>
      </text>
    </comment>
    <comment ref="A47" authorId="0" shapeId="0">
      <text>
        <r>
          <rPr>
            <b/>
            <sz val="9"/>
            <color indexed="81"/>
            <rFont val="Tahoma"/>
            <family val="2"/>
          </rPr>
          <t>Windows User:</t>
        </r>
        <r>
          <rPr>
            <sz val="9"/>
            <color indexed="81"/>
            <rFont val="Tahoma"/>
            <family val="2"/>
          </rPr>
          <t xml:space="preserve">
Base year focus region consumption per capita as reference. For illustration only; impacts calculation works out equity weights as a function of remaining consumption.</t>
        </r>
      </text>
    </comment>
    <comment ref="A66" authorId="1" shapeId="0">
      <text>
        <r>
          <rPr>
            <b/>
            <sz val="8"/>
            <color indexed="81"/>
            <rFont val="Tahoma"/>
            <family val="2"/>
          </rPr>
          <t>Chris Hope:</t>
        </r>
        <r>
          <rPr>
            <sz val="8"/>
            <color indexed="81"/>
            <rFont val="Tahoma"/>
            <family val="2"/>
          </rPr>
          <t xml:space="preserve">
The product factor in the eqn for TD. Uses ptp rate.</t>
        </r>
      </text>
    </comment>
  </commentList>
</comments>
</file>

<file path=xl/comments10.xml><?xml version="1.0" encoding="utf-8"?>
<comments xmlns="http://schemas.openxmlformats.org/spreadsheetml/2006/main">
  <authors>
    <author>Windows User</author>
    <author>Chris Hope</author>
  </authors>
  <commentList>
    <comment ref="A35" authorId="0" shapeId="0">
      <text>
        <r>
          <rPr>
            <b/>
            <sz val="9"/>
            <color indexed="81"/>
            <rFont val="Tahoma"/>
            <family val="2"/>
          </rPr>
          <t>Windows User:</t>
        </r>
        <r>
          <rPr>
            <sz val="9"/>
            <color indexed="81"/>
            <rFont val="Tahoma"/>
            <family val="2"/>
          </rPr>
          <t xml:space="preserve">
From difference of GDP and population growth rates</t>
        </r>
      </text>
    </comment>
    <comment ref="A45" authorId="0" shapeId="0">
      <text>
        <r>
          <rPr>
            <b/>
            <sz val="9"/>
            <color indexed="81"/>
            <rFont val="Tahoma"/>
            <family val="2"/>
          </rPr>
          <t>Windows User:</t>
        </r>
        <r>
          <rPr>
            <sz val="9"/>
            <color indexed="81"/>
            <rFont val="Tahoma"/>
            <family val="2"/>
          </rPr>
          <t xml:space="preserve">
Assumes the same savings rate everywhere</t>
        </r>
      </text>
    </comment>
    <comment ref="A46" authorId="0" shapeId="0">
      <text>
        <r>
          <rPr>
            <b/>
            <sz val="9"/>
            <color indexed="81"/>
            <rFont val="Tahoma"/>
            <family val="2"/>
          </rPr>
          <t>Windows User:</t>
        </r>
        <r>
          <rPr>
            <sz val="9"/>
            <color indexed="81"/>
            <rFont val="Tahoma"/>
            <family val="2"/>
          </rPr>
          <t xml:space="preserve">
Calculated; a check on mean GDP per capita growth rates</t>
        </r>
      </text>
    </comment>
    <comment ref="A47" authorId="0" shapeId="0">
      <text>
        <r>
          <rPr>
            <b/>
            <sz val="9"/>
            <color indexed="81"/>
            <rFont val="Tahoma"/>
            <family val="2"/>
          </rPr>
          <t>Windows User:</t>
        </r>
        <r>
          <rPr>
            <sz val="9"/>
            <color indexed="81"/>
            <rFont val="Tahoma"/>
            <family val="2"/>
          </rPr>
          <t xml:space="preserve">
Base year focus region consumption per capita as reference. For illustration only; impacts calculation works out equity weights as a function of remaining consumption.</t>
        </r>
      </text>
    </comment>
    <comment ref="A66" authorId="1" shapeId="0">
      <text>
        <r>
          <rPr>
            <b/>
            <sz val="8"/>
            <color indexed="81"/>
            <rFont val="Tahoma"/>
            <family val="2"/>
          </rPr>
          <t>Chris Hope:</t>
        </r>
        <r>
          <rPr>
            <sz val="8"/>
            <color indexed="81"/>
            <rFont val="Tahoma"/>
            <family val="2"/>
          </rPr>
          <t xml:space="preserve">
The product factor in the eqn for TD. Uses ptp rate.</t>
        </r>
      </text>
    </comment>
  </commentList>
</comments>
</file>

<file path=xl/comments11.xml><?xml version="1.0" encoding="utf-8"?>
<comments xmlns="http://schemas.openxmlformats.org/spreadsheetml/2006/main">
  <authors>
    <author>Windows User</author>
    <author>Chris Hope</author>
  </authors>
  <commentList>
    <comment ref="A35" authorId="0" shapeId="0">
      <text>
        <r>
          <rPr>
            <b/>
            <sz val="9"/>
            <color indexed="81"/>
            <rFont val="Tahoma"/>
            <family val="2"/>
          </rPr>
          <t>Windows User:</t>
        </r>
        <r>
          <rPr>
            <sz val="9"/>
            <color indexed="81"/>
            <rFont val="Tahoma"/>
            <family val="2"/>
          </rPr>
          <t xml:space="preserve">
From difference of GDP and population growth rates</t>
        </r>
      </text>
    </comment>
    <comment ref="A45" authorId="0" shapeId="0">
      <text>
        <r>
          <rPr>
            <b/>
            <sz val="9"/>
            <color indexed="81"/>
            <rFont val="Tahoma"/>
            <family val="2"/>
          </rPr>
          <t>Windows User:</t>
        </r>
        <r>
          <rPr>
            <sz val="9"/>
            <color indexed="81"/>
            <rFont val="Tahoma"/>
            <family val="2"/>
          </rPr>
          <t xml:space="preserve">
Assumes the same savings rate everywhere</t>
        </r>
      </text>
    </comment>
    <comment ref="A46" authorId="0" shapeId="0">
      <text>
        <r>
          <rPr>
            <b/>
            <sz val="9"/>
            <color indexed="81"/>
            <rFont val="Tahoma"/>
            <family val="2"/>
          </rPr>
          <t>Windows User:</t>
        </r>
        <r>
          <rPr>
            <sz val="9"/>
            <color indexed="81"/>
            <rFont val="Tahoma"/>
            <family val="2"/>
          </rPr>
          <t xml:space="preserve">
Calculated; a check on mean GDP per capita growth rates</t>
        </r>
      </text>
    </comment>
    <comment ref="A47" authorId="0" shapeId="0">
      <text>
        <r>
          <rPr>
            <b/>
            <sz val="9"/>
            <color indexed="81"/>
            <rFont val="Tahoma"/>
            <family val="2"/>
          </rPr>
          <t>Windows User:</t>
        </r>
        <r>
          <rPr>
            <sz val="9"/>
            <color indexed="81"/>
            <rFont val="Tahoma"/>
            <family val="2"/>
          </rPr>
          <t xml:space="preserve">
Base year focus region consumption per capita as reference. For illustration only; impacts calculation works out equity weights as a function of remaining consumption.</t>
        </r>
      </text>
    </comment>
    <comment ref="A66" authorId="1" shapeId="0">
      <text>
        <r>
          <rPr>
            <b/>
            <sz val="8"/>
            <color indexed="81"/>
            <rFont val="Tahoma"/>
            <family val="2"/>
          </rPr>
          <t>Chris Hope:</t>
        </r>
        <r>
          <rPr>
            <sz val="8"/>
            <color indexed="81"/>
            <rFont val="Tahoma"/>
            <family val="2"/>
          </rPr>
          <t xml:space="preserve">
The product factor in the eqn for TD. Uses ptp rate.</t>
        </r>
      </text>
    </comment>
  </commentList>
</comments>
</file>

<file path=xl/comments12.xml><?xml version="1.0" encoding="utf-8"?>
<comments xmlns="http://schemas.openxmlformats.org/spreadsheetml/2006/main">
  <authors>
    <author>Chris Hope</author>
    <author>hopec</author>
  </authors>
  <commentList>
    <comment ref="A84" authorId="0" shapeId="0">
      <text>
        <r>
          <rPr>
            <b/>
            <sz val="8"/>
            <color indexed="81"/>
            <rFont val="Tahoma"/>
            <family val="2"/>
          </rPr>
          <t>Chris Hope:</t>
        </r>
        <r>
          <rPr>
            <sz val="8"/>
            <color indexed="81"/>
            <rFont val="Tahoma"/>
            <family val="2"/>
          </rPr>
          <t xml:space="preserve">
Take emissions away from zerocost. </t>
        </r>
      </text>
    </comment>
    <comment ref="C157" authorId="1" shapeId="0">
      <text>
        <r>
          <rPr>
            <b/>
            <sz val="8"/>
            <color indexed="81"/>
            <rFont val="Tahoma"/>
            <family val="2"/>
          </rPr>
          <t>hopec:</t>
        </r>
        <r>
          <rPr>
            <sz val="8"/>
            <color indexed="81"/>
            <rFont val="Tahoma"/>
            <family val="2"/>
          </rPr>
          <t xml:space="preserve">
Array formula checked against relative addressing 04MY09</t>
        </r>
      </text>
    </comment>
    <comment ref="A388" authorId="1" shapeId="0">
      <text>
        <r>
          <rPr>
            <b/>
            <sz val="8"/>
            <color indexed="81"/>
            <rFont val="Tahoma"/>
            <family val="2"/>
          </rPr>
          <t>hopec:</t>
        </r>
        <r>
          <rPr>
            <sz val="8"/>
            <color indexed="81"/>
            <rFont val="Tahoma"/>
            <family val="2"/>
          </rPr>
          <t xml:space="preserve">
If q0 = 0, need to specify as any value to avoid DIV0 error</t>
        </r>
      </text>
    </comment>
    <comment ref="A424" authorId="1" shapeId="0">
      <text>
        <r>
          <rPr>
            <b/>
            <sz val="8"/>
            <color indexed="81"/>
            <rFont val="Tahoma"/>
            <family val="2"/>
          </rPr>
          <t>hopec:</t>
        </r>
        <r>
          <rPr>
            <sz val="8"/>
            <color indexed="81"/>
            <rFont val="Tahoma"/>
            <family val="2"/>
          </rPr>
          <t xml:space="preserve">
If q0 = 0, need to specify as any value to avoid DIV0 error</t>
        </r>
      </text>
    </comment>
    <comment ref="A532" authorId="1" shapeId="0">
      <text>
        <r>
          <rPr>
            <b/>
            <sz val="8"/>
            <color indexed="81"/>
            <rFont val="Tahoma"/>
            <family val="2"/>
          </rPr>
          <t>hopec:</t>
        </r>
        <r>
          <rPr>
            <sz val="8"/>
            <color indexed="81"/>
            <rFont val="Tahoma"/>
            <family val="2"/>
          </rPr>
          <t xml:space="preserve">
need to set to zero if Q0 = 0, otherwise there is a DIV0 error</t>
        </r>
      </text>
    </comment>
    <comment ref="A658" authorId="1" shapeId="0">
      <text>
        <r>
          <rPr>
            <b/>
            <sz val="8"/>
            <color indexed="81"/>
            <rFont val="Tahoma"/>
            <family val="2"/>
          </rPr>
          <t>hopec:</t>
        </r>
        <r>
          <rPr>
            <sz val="8"/>
            <color indexed="81"/>
            <rFont val="Tahoma"/>
            <family val="2"/>
          </rPr>
          <t xml:space="preserve">
Assumes equity_prop = 1. Calculated from tct_per_cap. Almost the same as the sum of the individual gases for small costs likely to be found in practice.</t>
        </r>
      </text>
    </comment>
    <comment ref="A667" authorId="1" shapeId="0">
      <text>
        <r>
          <rPr>
            <b/>
            <sz val="8"/>
            <color indexed="81"/>
            <rFont val="Tahoma"/>
            <family val="2"/>
          </rPr>
          <t>hopec:</t>
        </r>
        <r>
          <rPr>
            <sz val="8"/>
            <color indexed="81"/>
            <rFont val="Tahoma"/>
            <family val="2"/>
          </rPr>
          <t xml:space="preserve">
Calculated from tct_per_cap and wtct_per_cap. Almost the same as the sum of the individual gases for small costs likely to be found in practice.</t>
        </r>
      </text>
    </comment>
    <comment ref="A686" authorId="0" shapeId="0">
      <text>
        <r>
          <rPr>
            <b/>
            <sz val="8"/>
            <color indexed="81"/>
            <rFont val="Tahoma"/>
            <family val="2"/>
          </rPr>
          <t>Chris Hope:</t>
        </r>
        <r>
          <rPr>
            <sz val="8"/>
            <color indexed="81"/>
            <rFont val="Tahoma"/>
            <family val="2"/>
          </rPr>
          <t xml:space="preserve">
For the analysis years. Includes switch to turn equity weighting off.</t>
        </r>
      </text>
    </comment>
  </commentList>
</comments>
</file>

<file path=xl/comments13.xml><?xml version="1.0" encoding="utf-8"?>
<comments xmlns="http://schemas.openxmlformats.org/spreadsheetml/2006/main">
  <authors>
    <author>Chris Hope</author>
    <author>hopec</author>
  </authors>
  <commentList>
    <comment ref="A84" authorId="0" shapeId="0">
      <text>
        <r>
          <rPr>
            <b/>
            <sz val="8"/>
            <color indexed="81"/>
            <rFont val="Tahoma"/>
            <family val="2"/>
          </rPr>
          <t>Chris Hope:</t>
        </r>
        <r>
          <rPr>
            <sz val="8"/>
            <color indexed="81"/>
            <rFont val="Tahoma"/>
            <family val="2"/>
          </rPr>
          <t xml:space="preserve">
Take emissions away from zerocost. </t>
        </r>
      </text>
    </comment>
    <comment ref="C157" authorId="1" shapeId="0">
      <text>
        <r>
          <rPr>
            <b/>
            <sz val="8"/>
            <color indexed="81"/>
            <rFont val="Tahoma"/>
            <family val="2"/>
          </rPr>
          <t>hopec:</t>
        </r>
        <r>
          <rPr>
            <sz val="8"/>
            <color indexed="81"/>
            <rFont val="Tahoma"/>
            <family val="2"/>
          </rPr>
          <t xml:space="preserve">
Array formula checked against relative addressing 04MY09</t>
        </r>
      </text>
    </comment>
    <comment ref="A388" authorId="1" shapeId="0">
      <text>
        <r>
          <rPr>
            <b/>
            <sz val="8"/>
            <color indexed="81"/>
            <rFont val="Tahoma"/>
            <family val="2"/>
          </rPr>
          <t>hopec:</t>
        </r>
        <r>
          <rPr>
            <sz val="8"/>
            <color indexed="81"/>
            <rFont val="Tahoma"/>
            <family val="2"/>
          </rPr>
          <t xml:space="preserve">
If q0 = 0, need to specify as any value to avoid DIV0 error</t>
        </r>
      </text>
    </comment>
    <comment ref="A424" authorId="1" shapeId="0">
      <text>
        <r>
          <rPr>
            <b/>
            <sz val="8"/>
            <color indexed="81"/>
            <rFont val="Tahoma"/>
            <family val="2"/>
          </rPr>
          <t>hopec:</t>
        </r>
        <r>
          <rPr>
            <sz val="8"/>
            <color indexed="81"/>
            <rFont val="Tahoma"/>
            <family val="2"/>
          </rPr>
          <t xml:space="preserve">
If q0 = 0, need to specify as any value to avoid DIV0 error</t>
        </r>
      </text>
    </comment>
    <comment ref="A532" authorId="1" shapeId="0">
      <text>
        <r>
          <rPr>
            <b/>
            <sz val="8"/>
            <color indexed="81"/>
            <rFont val="Tahoma"/>
            <family val="2"/>
          </rPr>
          <t>hopec:</t>
        </r>
        <r>
          <rPr>
            <sz val="8"/>
            <color indexed="81"/>
            <rFont val="Tahoma"/>
            <family val="2"/>
          </rPr>
          <t xml:space="preserve">
need to set to zero if Q0 = 0, otherwise there is a DIV0 error</t>
        </r>
      </text>
    </comment>
    <comment ref="A658" authorId="1" shapeId="0">
      <text>
        <r>
          <rPr>
            <b/>
            <sz val="8"/>
            <color indexed="81"/>
            <rFont val="Tahoma"/>
            <family val="2"/>
          </rPr>
          <t>hopec:</t>
        </r>
        <r>
          <rPr>
            <sz val="8"/>
            <color indexed="81"/>
            <rFont val="Tahoma"/>
            <family val="2"/>
          </rPr>
          <t xml:space="preserve">
Assumes equity_prop = 1. Calculated from tct_per_cap. Almost the same as the sum of the individual gases for small costs likely to be found in practice.</t>
        </r>
      </text>
    </comment>
    <comment ref="A667" authorId="1" shapeId="0">
      <text>
        <r>
          <rPr>
            <b/>
            <sz val="8"/>
            <color indexed="81"/>
            <rFont val="Tahoma"/>
            <family val="2"/>
          </rPr>
          <t>hopec:</t>
        </r>
        <r>
          <rPr>
            <sz val="8"/>
            <color indexed="81"/>
            <rFont val="Tahoma"/>
            <family val="2"/>
          </rPr>
          <t xml:space="preserve">
Calculated from tct_per_cap and wtct_per_cap. Almost the same as the sum of the individual gases for small costs likely to be found in practice.</t>
        </r>
      </text>
    </comment>
    <comment ref="A686" authorId="0" shapeId="0">
      <text>
        <r>
          <rPr>
            <b/>
            <sz val="8"/>
            <color indexed="81"/>
            <rFont val="Tahoma"/>
            <family val="2"/>
          </rPr>
          <t>Chris Hope:</t>
        </r>
        <r>
          <rPr>
            <sz val="8"/>
            <color indexed="81"/>
            <rFont val="Tahoma"/>
            <family val="2"/>
          </rPr>
          <t xml:space="preserve">
For the analysis years. Includes switch to turn equity weighting off.</t>
        </r>
      </text>
    </comment>
  </commentList>
</comments>
</file>

<file path=xl/comments14.xml><?xml version="1.0" encoding="utf-8"?>
<comments xmlns="http://schemas.openxmlformats.org/spreadsheetml/2006/main">
  <authors>
    <author>Chris Hope</author>
    <author>hopec</author>
  </authors>
  <commentList>
    <comment ref="A84" authorId="0" shapeId="0">
      <text>
        <r>
          <rPr>
            <b/>
            <sz val="8"/>
            <color indexed="81"/>
            <rFont val="Tahoma"/>
            <family val="2"/>
          </rPr>
          <t>Chris Hope:</t>
        </r>
        <r>
          <rPr>
            <sz val="8"/>
            <color indexed="81"/>
            <rFont val="Tahoma"/>
            <family val="2"/>
          </rPr>
          <t xml:space="preserve">
Take emissions away from zerocost. </t>
        </r>
      </text>
    </comment>
    <comment ref="C157" authorId="1" shapeId="0">
      <text>
        <r>
          <rPr>
            <b/>
            <sz val="8"/>
            <color indexed="81"/>
            <rFont val="Tahoma"/>
            <family val="2"/>
          </rPr>
          <t>hopec:</t>
        </r>
        <r>
          <rPr>
            <sz val="8"/>
            <color indexed="81"/>
            <rFont val="Tahoma"/>
            <family val="2"/>
          </rPr>
          <t xml:space="preserve">
Array formula checked against relative addressing 04MY09</t>
        </r>
      </text>
    </comment>
    <comment ref="A388" authorId="1" shapeId="0">
      <text>
        <r>
          <rPr>
            <b/>
            <sz val="8"/>
            <color indexed="81"/>
            <rFont val="Tahoma"/>
            <family val="2"/>
          </rPr>
          <t>hopec:</t>
        </r>
        <r>
          <rPr>
            <sz val="8"/>
            <color indexed="81"/>
            <rFont val="Tahoma"/>
            <family val="2"/>
          </rPr>
          <t xml:space="preserve">
If q0 = 0, need to specify as any value to avoid DIV0 error</t>
        </r>
      </text>
    </comment>
    <comment ref="A424" authorId="1" shapeId="0">
      <text>
        <r>
          <rPr>
            <b/>
            <sz val="8"/>
            <color indexed="81"/>
            <rFont val="Tahoma"/>
            <family val="2"/>
          </rPr>
          <t>hopec:</t>
        </r>
        <r>
          <rPr>
            <sz val="8"/>
            <color indexed="81"/>
            <rFont val="Tahoma"/>
            <family val="2"/>
          </rPr>
          <t xml:space="preserve">
If q0 = 0, need to specify as any value to avoid DIV0 error</t>
        </r>
      </text>
    </comment>
    <comment ref="A532" authorId="1" shapeId="0">
      <text>
        <r>
          <rPr>
            <b/>
            <sz val="8"/>
            <color indexed="81"/>
            <rFont val="Tahoma"/>
            <family val="2"/>
          </rPr>
          <t>hopec:</t>
        </r>
        <r>
          <rPr>
            <sz val="8"/>
            <color indexed="81"/>
            <rFont val="Tahoma"/>
            <family val="2"/>
          </rPr>
          <t xml:space="preserve">
need to set to zero if Q0 = 0, otherwise there is a DIV0 error</t>
        </r>
      </text>
    </comment>
    <comment ref="A658" authorId="1" shapeId="0">
      <text>
        <r>
          <rPr>
            <b/>
            <sz val="8"/>
            <color indexed="81"/>
            <rFont val="Tahoma"/>
            <family val="2"/>
          </rPr>
          <t>hopec:</t>
        </r>
        <r>
          <rPr>
            <sz val="8"/>
            <color indexed="81"/>
            <rFont val="Tahoma"/>
            <family val="2"/>
          </rPr>
          <t xml:space="preserve">
Assumes equity_prop = 1. Calculated from tct_per_cap. Almost the same as the sum of the individual gases for small costs likely to be found in practice.</t>
        </r>
      </text>
    </comment>
    <comment ref="A667" authorId="1" shapeId="0">
      <text>
        <r>
          <rPr>
            <b/>
            <sz val="8"/>
            <color indexed="81"/>
            <rFont val="Tahoma"/>
            <family val="2"/>
          </rPr>
          <t>hopec:</t>
        </r>
        <r>
          <rPr>
            <sz val="8"/>
            <color indexed="81"/>
            <rFont val="Tahoma"/>
            <family val="2"/>
          </rPr>
          <t xml:space="preserve">
Calculated from tct_per_cap and wtct_per_cap. Almost the same as the sum of the individual gases for small costs likely to be found in practice.</t>
        </r>
      </text>
    </comment>
    <comment ref="A686" authorId="0" shapeId="0">
      <text>
        <r>
          <rPr>
            <b/>
            <sz val="8"/>
            <color indexed="81"/>
            <rFont val="Tahoma"/>
            <family val="2"/>
          </rPr>
          <t>Chris Hope:</t>
        </r>
        <r>
          <rPr>
            <sz val="8"/>
            <color indexed="81"/>
            <rFont val="Tahoma"/>
            <family val="2"/>
          </rPr>
          <t xml:space="preserve">
For the analysis years. Includes switch to turn equity weighting off.</t>
        </r>
      </text>
    </comment>
  </commentList>
</comments>
</file>

<file path=xl/comments15.xml><?xml version="1.0" encoding="utf-8"?>
<comments xmlns="http://schemas.openxmlformats.org/spreadsheetml/2006/main">
  <authors>
    <author>hopec</author>
    <author>Chris Hope</author>
  </authors>
  <commentList>
    <comment ref="A131" authorId="0" shapeId="0">
      <text>
        <r>
          <rPr>
            <b/>
            <sz val="8"/>
            <color indexed="81"/>
            <rFont val="Tahoma"/>
            <family val="2"/>
          </rPr>
          <t>hopec:</t>
        </r>
        <r>
          <rPr>
            <sz val="8"/>
            <color indexed="81"/>
            <rFont val="Tahoma"/>
            <family val="2"/>
          </rPr>
          <t xml:space="preserve">
When equity proportion = 1</t>
        </r>
      </text>
    </comment>
    <comment ref="A159" authorId="1" shapeId="0">
      <text>
        <r>
          <rPr>
            <b/>
            <sz val="8"/>
            <color indexed="81"/>
            <rFont val="Tahoma"/>
            <family val="2"/>
          </rPr>
          <t>Chris Hope:</t>
        </r>
        <r>
          <rPr>
            <sz val="8"/>
            <color indexed="81"/>
            <rFont val="Tahoma"/>
            <family val="2"/>
          </rPr>
          <t xml:space="preserve">
For the analysis years. Includes switch to turn equity weighting off.</t>
        </r>
      </text>
    </comment>
  </commentList>
</comments>
</file>

<file path=xl/comments16.xml><?xml version="1.0" encoding="utf-8"?>
<comments xmlns="http://schemas.openxmlformats.org/spreadsheetml/2006/main">
  <authors>
    <author>hopec</author>
    <author>Chris Hope</author>
  </authors>
  <commentList>
    <comment ref="A131" authorId="0" shapeId="0">
      <text>
        <r>
          <rPr>
            <b/>
            <sz val="8"/>
            <color indexed="81"/>
            <rFont val="Tahoma"/>
            <family val="2"/>
          </rPr>
          <t>hopec:</t>
        </r>
        <r>
          <rPr>
            <sz val="8"/>
            <color indexed="81"/>
            <rFont val="Tahoma"/>
            <family val="2"/>
          </rPr>
          <t xml:space="preserve">
When equity proportion = 1</t>
        </r>
      </text>
    </comment>
    <comment ref="A159" authorId="1" shapeId="0">
      <text>
        <r>
          <rPr>
            <b/>
            <sz val="8"/>
            <color indexed="81"/>
            <rFont val="Tahoma"/>
            <family val="2"/>
          </rPr>
          <t>Chris Hope:</t>
        </r>
        <r>
          <rPr>
            <sz val="8"/>
            <color indexed="81"/>
            <rFont val="Tahoma"/>
            <family val="2"/>
          </rPr>
          <t xml:space="preserve">
For the analysis years. Includes switch to turn equity weighting off.</t>
        </r>
      </text>
    </comment>
  </commentList>
</comments>
</file>

<file path=xl/comments17.xml><?xml version="1.0" encoding="utf-8"?>
<comments xmlns="http://schemas.openxmlformats.org/spreadsheetml/2006/main">
  <authors>
    <author>hopec</author>
    <author>Chris Hope</author>
  </authors>
  <commentList>
    <comment ref="A131" authorId="0" shapeId="0">
      <text>
        <r>
          <rPr>
            <b/>
            <sz val="8"/>
            <color indexed="81"/>
            <rFont val="Tahoma"/>
            <family val="2"/>
          </rPr>
          <t>hopec:</t>
        </r>
        <r>
          <rPr>
            <sz val="8"/>
            <color indexed="81"/>
            <rFont val="Tahoma"/>
            <family val="2"/>
          </rPr>
          <t xml:space="preserve">
When equity proportion = 1</t>
        </r>
      </text>
    </comment>
    <comment ref="A159" authorId="1" shapeId="0">
      <text>
        <r>
          <rPr>
            <b/>
            <sz val="8"/>
            <color indexed="81"/>
            <rFont val="Tahoma"/>
            <family val="2"/>
          </rPr>
          <t>Chris Hope:</t>
        </r>
        <r>
          <rPr>
            <sz val="8"/>
            <color indexed="81"/>
            <rFont val="Tahoma"/>
            <family val="2"/>
          </rPr>
          <t xml:space="preserve">
For the analysis years. Includes switch to turn equity weighting off.</t>
        </r>
      </text>
    </comment>
  </commentList>
</comments>
</file>

<file path=xl/comments18.xml><?xml version="1.0" encoding="utf-8"?>
<comments xmlns="http://schemas.openxmlformats.org/spreadsheetml/2006/main">
  <authors>
    <author>hopec</author>
    <author>Chris Hope</author>
    <author>Windows User</author>
  </authors>
  <commentList>
    <comment ref="A24" authorId="0" shapeId="0">
      <text>
        <r>
          <rPr>
            <b/>
            <sz val="8"/>
            <color indexed="81"/>
            <rFont val="Tahoma"/>
            <family val="2"/>
          </rPr>
          <t>hopec:</t>
        </r>
        <r>
          <rPr>
            <sz val="8"/>
            <color indexed="81"/>
            <rFont val="Tahoma"/>
            <family val="2"/>
          </rPr>
          <t xml:space="preserve">
Adjusted ISAT to apply to GDP and ensure loss never exceeds 100% of consumption</t>
        </r>
      </text>
    </comment>
    <comment ref="C123" authorId="1" shapeId="0">
      <text>
        <r>
          <rPr>
            <b/>
            <sz val="8"/>
            <color indexed="81"/>
            <rFont val="Tahoma"/>
            <family val="2"/>
          </rPr>
          <t>Chris Hope:</t>
        </r>
        <r>
          <rPr>
            <sz val="8"/>
            <color indexed="81"/>
            <rFont val="Tahoma"/>
            <family val="2"/>
          </rPr>
          <t xml:space="preserve">
Temperature above discontinuity limit and probability of discontinuity; single global value. Does not matter if negative as formula for' occurs?' still correct</t>
        </r>
      </text>
    </comment>
    <comment ref="A127" authorId="2" shapeId="0">
      <text>
        <r>
          <rPr>
            <b/>
            <sz val="9"/>
            <color indexed="81"/>
            <rFont val="Tahoma"/>
            <family val="2"/>
          </rPr>
          <t>Windows User:</t>
        </r>
        <r>
          <rPr>
            <sz val="9"/>
            <color indexed="81"/>
            <rFont val="Tahoma"/>
            <family val="2"/>
          </rPr>
          <t xml:space="preserve">
Continues to occur even if temperature subsequently goes down</t>
        </r>
      </text>
    </comment>
    <comment ref="A165" authorId="2" shapeId="0">
      <text>
        <r>
          <rPr>
            <b/>
            <sz val="9"/>
            <color indexed="81"/>
            <rFont val="Tahoma"/>
            <family val="2"/>
          </rPr>
          <t>Windows User:</t>
        </r>
        <r>
          <rPr>
            <sz val="9"/>
            <color indexed="81"/>
            <rFont val="Tahoma"/>
            <family val="2"/>
          </rPr>
          <t xml:space="preserve">
Saturation now measured against consumption to ensure impacts never exceeds 100% of consumption. Includes impact adaptation</t>
        </r>
      </text>
    </comment>
    <comment ref="A309" authorId="2" shapeId="0">
      <text>
        <r>
          <rPr>
            <b/>
            <sz val="9"/>
            <color indexed="81"/>
            <rFont val="Tahoma"/>
            <family val="2"/>
          </rPr>
          <t>Windows User:</t>
        </r>
        <r>
          <rPr>
            <sz val="9"/>
            <color indexed="81"/>
            <rFont val="Tahoma"/>
            <family val="2"/>
          </rPr>
          <t xml:space="preserve">
Includes impact adaptataion</t>
        </r>
      </text>
    </comment>
    <comment ref="D364" authorId="0" shapeId="0">
      <text>
        <r>
          <rPr>
            <b/>
            <sz val="8"/>
            <color indexed="81"/>
            <rFont val="Tahoma"/>
            <family val="2"/>
          </rPr>
          <t>hopec:</t>
        </r>
        <r>
          <rPr>
            <sz val="8"/>
            <color indexed="81"/>
            <rFont val="Tahoma"/>
            <family val="2"/>
          </rPr>
          <t xml:space="preserve">
Array formula checked in v0.5 impacts test</t>
        </r>
      </text>
    </comment>
    <comment ref="A408" authorId="0" shapeId="0">
      <text>
        <r>
          <rPr>
            <b/>
            <sz val="8"/>
            <color indexed="81"/>
            <rFont val="Tahoma"/>
            <family val="2"/>
          </rPr>
          <t>hopec:</t>
        </r>
        <r>
          <rPr>
            <sz val="8"/>
            <color indexed="81"/>
            <rFont val="Tahoma"/>
            <family val="2"/>
          </rPr>
          <t xml:space="preserve">
from loss of consumption</t>
        </r>
      </text>
    </comment>
    <comment ref="A418" authorId="1" shapeId="0">
      <text>
        <r>
          <rPr>
            <b/>
            <sz val="8"/>
            <color indexed="81"/>
            <rFont val="Tahoma"/>
            <family val="2"/>
          </rPr>
          <t>Chris Hope:</t>
        </r>
        <r>
          <rPr>
            <sz val="8"/>
            <color indexed="81"/>
            <rFont val="Tahoma"/>
            <family val="2"/>
          </rPr>
          <t xml:space="preserve">
For the analysis years</t>
        </r>
      </text>
    </comment>
  </commentList>
</comments>
</file>

<file path=xl/comments19.xml><?xml version="1.0" encoding="utf-8"?>
<comments xmlns="http://schemas.openxmlformats.org/spreadsheetml/2006/main">
  <authors>
    <author>Chris Hope</author>
    <author>Windows User</author>
    <author>hopec</author>
  </authors>
  <commentList>
    <comment ref="C123" authorId="0" shapeId="0">
      <text>
        <r>
          <rPr>
            <b/>
            <sz val="8"/>
            <color indexed="81"/>
            <rFont val="Tahoma"/>
            <family val="2"/>
          </rPr>
          <t>Chris Hope:</t>
        </r>
        <r>
          <rPr>
            <sz val="8"/>
            <color indexed="81"/>
            <rFont val="Tahoma"/>
            <family val="2"/>
          </rPr>
          <t xml:space="preserve">
Temperature above discontinuity limit and probability of discontinuity; single global value. Does not matter if negative as formula for' occurs?' still correct</t>
        </r>
      </text>
    </comment>
    <comment ref="A127" authorId="1" shapeId="0">
      <text>
        <r>
          <rPr>
            <b/>
            <sz val="9"/>
            <color indexed="81"/>
            <rFont val="Tahoma"/>
            <family val="2"/>
          </rPr>
          <t>Windows User:</t>
        </r>
        <r>
          <rPr>
            <sz val="9"/>
            <color indexed="81"/>
            <rFont val="Tahoma"/>
            <family val="2"/>
          </rPr>
          <t xml:space="preserve">
Continues to occur even if temperature subsequently goes down</t>
        </r>
      </text>
    </comment>
    <comment ref="A165" authorId="1" shapeId="0">
      <text>
        <r>
          <rPr>
            <b/>
            <sz val="9"/>
            <color indexed="81"/>
            <rFont val="Tahoma"/>
            <family val="2"/>
          </rPr>
          <t>Windows User:</t>
        </r>
        <r>
          <rPr>
            <sz val="9"/>
            <color indexed="81"/>
            <rFont val="Tahoma"/>
            <family val="2"/>
          </rPr>
          <t xml:space="preserve">
Saturation now measured against consumption to ensure impacts never exceeds 100% of consumption. Includes impact adaptation</t>
        </r>
      </text>
    </comment>
    <comment ref="A309" authorId="1" shapeId="0">
      <text>
        <r>
          <rPr>
            <b/>
            <sz val="9"/>
            <color indexed="81"/>
            <rFont val="Tahoma"/>
            <family val="2"/>
          </rPr>
          <t>Windows User:</t>
        </r>
        <r>
          <rPr>
            <sz val="9"/>
            <color indexed="81"/>
            <rFont val="Tahoma"/>
            <family val="2"/>
          </rPr>
          <t xml:space="preserve">
Includes impact adaptataion</t>
        </r>
      </text>
    </comment>
    <comment ref="D364" authorId="2" shapeId="0">
      <text>
        <r>
          <rPr>
            <b/>
            <sz val="8"/>
            <color indexed="81"/>
            <rFont val="Tahoma"/>
            <family val="2"/>
          </rPr>
          <t>hopec:</t>
        </r>
        <r>
          <rPr>
            <sz val="8"/>
            <color indexed="81"/>
            <rFont val="Tahoma"/>
            <family val="2"/>
          </rPr>
          <t xml:space="preserve">
Array formula checked in v0.5 impacts test</t>
        </r>
      </text>
    </comment>
    <comment ref="A408" authorId="2" shapeId="0">
      <text>
        <r>
          <rPr>
            <b/>
            <sz val="8"/>
            <color indexed="81"/>
            <rFont val="Tahoma"/>
            <family val="2"/>
          </rPr>
          <t>hopec:</t>
        </r>
        <r>
          <rPr>
            <sz val="8"/>
            <color indexed="81"/>
            <rFont val="Tahoma"/>
            <family val="2"/>
          </rPr>
          <t xml:space="preserve">
from loss of consumption</t>
        </r>
      </text>
    </comment>
    <comment ref="A418" authorId="0" shapeId="0">
      <text>
        <r>
          <rPr>
            <b/>
            <sz val="8"/>
            <color indexed="81"/>
            <rFont val="Tahoma"/>
            <family val="2"/>
          </rPr>
          <t>Chris Hope:</t>
        </r>
        <r>
          <rPr>
            <sz val="8"/>
            <color indexed="81"/>
            <rFont val="Tahoma"/>
            <family val="2"/>
          </rPr>
          <t xml:space="preserve">
For the analysis years</t>
        </r>
      </text>
    </comment>
  </commentList>
</comments>
</file>

<file path=xl/comments20.xml><?xml version="1.0" encoding="utf-8"?>
<comments xmlns="http://schemas.openxmlformats.org/spreadsheetml/2006/main">
  <authors>
    <author>Chris Hope</author>
    <author>Windows User</author>
    <author>hopec</author>
  </authors>
  <commentList>
    <comment ref="C123" authorId="0" shapeId="0">
      <text>
        <r>
          <rPr>
            <b/>
            <sz val="8"/>
            <color indexed="81"/>
            <rFont val="Tahoma"/>
            <family val="2"/>
          </rPr>
          <t>Chris Hope:</t>
        </r>
        <r>
          <rPr>
            <sz val="8"/>
            <color indexed="81"/>
            <rFont val="Tahoma"/>
            <family val="2"/>
          </rPr>
          <t xml:space="preserve">
Temperature above discontinuity limit and probability of discontinuity; single global value. Does not matter if negative as formula for' occurs?' still correct</t>
        </r>
      </text>
    </comment>
    <comment ref="A127" authorId="1" shapeId="0">
      <text>
        <r>
          <rPr>
            <b/>
            <sz val="9"/>
            <color indexed="81"/>
            <rFont val="Tahoma"/>
            <family val="2"/>
          </rPr>
          <t>Windows User:</t>
        </r>
        <r>
          <rPr>
            <sz val="9"/>
            <color indexed="81"/>
            <rFont val="Tahoma"/>
            <family val="2"/>
          </rPr>
          <t xml:space="preserve">
Continues to occur even if temperature subsequently goes down</t>
        </r>
      </text>
    </comment>
    <comment ref="A165" authorId="1" shapeId="0">
      <text>
        <r>
          <rPr>
            <b/>
            <sz val="9"/>
            <color indexed="81"/>
            <rFont val="Tahoma"/>
            <family val="2"/>
          </rPr>
          <t>Windows User:</t>
        </r>
        <r>
          <rPr>
            <sz val="9"/>
            <color indexed="81"/>
            <rFont val="Tahoma"/>
            <family val="2"/>
          </rPr>
          <t xml:space="preserve">
Saturation now measured against consumption to ensure impacts never exceeds 100% of consumption. Includes impact adaptation</t>
        </r>
      </text>
    </comment>
    <comment ref="A309" authorId="1" shapeId="0">
      <text>
        <r>
          <rPr>
            <b/>
            <sz val="9"/>
            <color indexed="81"/>
            <rFont val="Tahoma"/>
            <family val="2"/>
          </rPr>
          <t>Windows User:</t>
        </r>
        <r>
          <rPr>
            <sz val="9"/>
            <color indexed="81"/>
            <rFont val="Tahoma"/>
            <family val="2"/>
          </rPr>
          <t xml:space="preserve">
Includes impact adaptataion</t>
        </r>
      </text>
    </comment>
    <comment ref="D364" authorId="2" shapeId="0">
      <text>
        <r>
          <rPr>
            <b/>
            <sz val="8"/>
            <color indexed="81"/>
            <rFont val="Tahoma"/>
            <family val="2"/>
          </rPr>
          <t>hopec:</t>
        </r>
        <r>
          <rPr>
            <sz val="8"/>
            <color indexed="81"/>
            <rFont val="Tahoma"/>
            <family val="2"/>
          </rPr>
          <t xml:space="preserve">
Array formula checked in v0.5 impacts test</t>
        </r>
      </text>
    </comment>
    <comment ref="A408" authorId="2" shapeId="0">
      <text>
        <r>
          <rPr>
            <b/>
            <sz val="8"/>
            <color indexed="81"/>
            <rFont val="Tahoma"/>
            <family val="2"/>
          </rPr>
          <t>hopec:</t>
        </r>
        <r>
          <rPr>
            <sz val="8"/>
            <color indexed="81"/>
            <rFont val="Tahoma"/>
            <family val="2"/>
          </rPr>
          <t xml:space="preserve">
from loss of consumption</t>
        </r>
      </text>
    </comment>
    <comment ref="A418" authorId="0" shapeId="0">
      <text>
        <r>
          <rPr>
            <b/>
            <sz val="8"/>
            <color indexed="81"/>
            <rFont val="Tahoma"/>
            <family val="2"/>
          </rPr>
          <t>Chris Hope:</t>
        </r>
        <r>
          <rPr>
            <sz val="8"/>
            <color indexed="81"/>
            <rFont val="Tahoma"/>
            <family val="2"/>
          </rPr>
          <t xml:space="preserve">
For the analysis years</t>
        </r>
      </text>
    </comment>
  </commentList>
</comments>
</file>

<file path=xl/sharedStrings.xml><?xml version="1.0" encoding="utf-8"?>
<sst xmlns="http://schemas.openxmlformats.org/spreadsheetml/2006/main" count="4685" uniqueCount="1122">
  <si>
    <t>EU</t>
  </si>
  <si>
    <t>EE</t>
  </si>
  <si>
    <t>US</t>
  </si>
  <si>
    <t>USA</t>
  </si>
  <si>
    <t>CA</t>
  </si>
  <si>
    <t>IA</t>
  </si>
  <si>
    <t>AF</t>
  </si>
  <si>
    <t>Africa &amp; ME</t>
  </si>
  <si>
    <t>LA</t>
  </si>
  <si>
    <t>Latin America</t>
  </si>
  <si>
    <t>OT</t>
  </si>
  <si>
    <t xml:space="preserve">Other OECD </t>
  </si>
  <si>
    <t>CO2</t>
  </si>
  <si>
    <t>CH4</t>
  </si>
  <si>
    <t>Analysis Years:</t>
  </si>
  <si>
    <t>Base Year:</t>
  </si>
  <si>
    <t>Impacts:</t>
  </si>
  <si>
    <t>EN</t>
  </si>
  <si>
    <t>Economic</t>
  </si>
  <si>
    <t>CU</t>
  </si>
  <si>
    <t>Area:</t>
  </si>
  <si>
    <t>GDP</t>
  </si>
  <si>
    <t>GDP growth rates:</t>
  </si>
  <si>
    <t>start</t>
  </si>
  <si>
    <t>end</t>
  </si>
  <si>
    <t>Discount rates:</t>
  </si>
  <si>
    <t>Density</t>
  </si>
  <si>
    <t>Pre-industrial conc</t>
  </si>
  <si>
    <t>Forcing slope</t>
  </si>
  <si>
    <t>Base year conc</t>
  </si>
  <si>
    <t>Base year forcing</t>
  </si>
  <si>
    <t>CO2 emit</t>
  </si>
  <si>
    <t>CH4 emit</t>
  </si>
  <si>
    <t>Natural S</t>
  </si>
  <si>
    <t>S emit</t>
  </si>
  <si>
    <t>Excess forcing</t>
  </si>
  <si>
    <t>Regions &amp; baseyear:</t>
  </si>
  <si>
    <t xml:space="preserve">version </t>
  </si>
  <si>
    <t>%</t>
  </si>
  <si>
    <t>years</t>
  </si>
  <si>
    <t>Equilibrium warming for a doubling of CO2</t>
  </si>
  <si>
    <t>degC</t>
  </si>
  <si>
    <t>W/m2</t>
  </si>
  <si>
    <t>Adaptive costs</t>
  </si>
  <si>
    <t>Preventative costs</t>
  </si>
  <si>
    <t>Prevention</t>
  </si>
  <si>
    <t>% per year</t>
  </si>
  <si>
    <t>plateau</t>
  </si>
  <si>
    <t>ppb</t>
  </si>
  <si>
    <t>Mtonnes</t>
  </si>
  <si>
    <t>Km2</t>
  </si>
  <si>
    <t>TgS</t>
  </si>
  <si>
    <t>Remaining emissions of CH4</t>
  </si>
  <si>
    <r>
      <t>RE</t>
    </r>
    <r>
      <rPr>
        <vertAlign val="subscript"/>
        <sz val="10"/>
        <rFont val="Arial"/>
        <family val="2"/>
      </rPr>
      <t>2</t>
    </r>
  </si>
  <si>
    <t>EXC</t>
  </si>
  <si>
    <t>RE</t>
  </si>
  <si>
    <r>
      <t>TEA</t>
    </r>
    <r>
      <rPr>
        <vertAlign val="subscript"/>
        <sz val="10"/>
        <rFont val="Arial"/>
        <family val="2"/>
      </rPr>
      <t>2</t>
    </r>
  </si>
  <si>
    <t>Analysis period</t>
  </si>
  <si>
    <r>
      <t>TEAY</t>
    </r>
    <r>
      <rPr>
        <vertAlign val="subscript"/>
        <sz val="10"/>
        <rFont val="Arial"/>
        <family val="2"/>
      </rPr>
      <t>2</t>
    </r>
  </si>
  <si>
    <t>Excess concentration in</t>
  </si>
  <si>
    <t>Remaining emissions in</t>
  </si>
  <si>
    <t>Natural emissions of CH4</t>
  </si>
  <si>
    <t>Concentration of CO2</t>
  </si>
  <si>
    <r>
      <t>C</t>
    </r>
    <r>
      <rPr>
        <vertAlign val="subscript"/>
        <sz val="10"/>
        <rFont val="Arial"/>
        <family val="2"/>
      </rPr>
      <t>1</t>
    </r>
  </si>
  <si>
    <t>Forcing from CO2</t>
  </si>
  <si>
    <r>
      <t>F</t>
    </r>
    <r>
      <rPr>
        <vertAlign val="subscript"/>
        <sz val="10"/>
        <rFont val="Arial"/>
        <family val="2"/>
      </rPr>
      <t>1</t>
    </r>
  </si>
  <si>
    <t>Exponential factor for CH4</t>
  </si>
  <si>
    <t>Remaining emissions factor for CH4</t>
  </si>
  <si>
    <t>Total this period factor for CH4</t>
  </si>
  <si>
    <t>Concentration of CH4</t>
  </si>
  <si>
    <r>
      <t>C</t>
    </r>
    <r>
      <rPr>
        <vertAlign val="subscript"/>
        <sz val="10"/>
        <rFont val="Arial"/>
        <family val="2"/>
      </rPr>
      <t>2</t>
    </r>
  </si>
  <si>
    <t>Forcing from CH4</t>
  </si>
  <si>
    <r>
      <t>F</t>
    </r>
    <r>
      <rPr>
        <vertAlign val="subscript"/>
        <sz val="10"/>
        <rFont val="Arial"/>
        <family val="2"/>
      </rPr>
      <t>2</t>
    </r>
  </si>
  <si>
    <t>FT</t>
  </si>
  <si>
    <t>Total sulphate forcing</t>
  </si>
  <si>
    <t>FS</t>
  </si>
  <si>
    <t>RT</t>
  </si>
  <si>
    <t>With adaptation</t>
  </si>
  <si>
    <r>
      <t>ATL</t>
    </r>
    <r>
      <rPr>
        <vertAlign val="subscript"/>
        <sz val="10"/>
        <rFont val="Arial"/>
        <family val="2"/>
      </rPr>
      <t>1</t>
    </r>
  </si>
  <si>
    <r>
      <t>ATL</t>
    </r>
    <r>
      <rPr>
        <vertAlign val="subscript"/>
        <sz val="10"/>
        <rFont val="Arial"/>
        <family val="2"/>
      </rPr>
      <t>2</t>
    </r>
  </si>
  <si>
    <r>
      <t>I</t>
    </r>
    <r>
      <rPr>
        <b/>
        <vertAlign val="subscript"/>
        <sz val="10"/>
        <rFont val="Arial"/>
        <family val="2"/>
      </rPr>
      <t>2</t>
    </r>
  </si>
  <si>
    <t>Aggregation period</t>
  </si>
  <si>
    <t>Yhi</t>
  </si>
  <si>
    <t>Ylo</t>
  </si>
  <si>
    <t>Aggregated impact</t>
  </si>
  <si>
    <t>Discounted impact</t>
  </si>
  <si>
    <t>total</t>
  </si>
  <si>
    <t>TD</t>
  </si>
  <si>
    <t>Adaptive cost parameters</t>
  </si>
  <si>
    <r>
      <t>CP</t>
    </r>
    <r>
      <rPr>
        <vertAlign val="subscript"/>
        <sz val="10"/>
        <rFont val="Arial"/>
        <family val="2"/>
      </rPr>
      <t>1</t>
    </r>
  </si>
  <si>
    <r>
      <t>CI</t>
    </r>
    <r>
      <rPr>
        <vertAlign val="subscript"/>
        <sz val="10"/>
        <rFont val="Arial"/>
        <family val="2"/>
      </rPr>
      <t>1</t>
    </r>
  </si>
  <si>
    <r>
      <t>CP</t>
    </r>
    <r>
      <rPr>
        <vertAlign val="subscript"/>
        <sz val="10"/>
        <rFont val="Arial"/>
        <family val="2"/>
      </rPr>
      <t>2</t>
    </r>
  </si>
  <si>
    <r>
      <t>CI</t>
    </r>
    <r>
      <rPr>
        <vertAlign val="subscript"/>
        <sz val="10"/>
        <rFont val="Arial"/>
        <family val="2"/>
      </rPr>
      <t>2</t>
    </r>
  </si>
  <si>
    <r>
      <t>AC</t>
    </r>
    <r>
      <rPr>
        <b/>
        <vertAlign val="subscript"/>
        <sz val="10"/>
        <rFont val="Arial"/>
        <family val="2"/>
      </rPr>
      <t>1</t>
    </r>
  </si>
  <si>
    <r>
      <t>AC</t>
    </r>
    <r>
      <rPr>
        <b/>
        <vertAlign val="subscript"/>
        <sz val="10"/>
        <rFont val="Arial"/>
        <family val="2"/>
      </rPr>
      <t>2</t>
    </r>
  </si>
  <si>
    <t>Discounted adaptive costs</t>
  </si>
  <si>
    <t>Aggregated adaptive costs</t>
  </si>
  <si>
    <r>
      <t>EMIT</t>
    </r>
    <r>
      <rPr>
        <vertAlign val="subscript"/>
        <sz val="10"/>
        <rFont val="Arial"/>
        <family val="2"/>
      </rPr>
      <t>1</t>
    </r>
  </si>
  <si>
    <r>
      <t>EMIT</t>
    </r>
    <r>
      <rPr>
        <vertAlign val="subscript"/>
        <sz val="10"/>
        <rFont val="Arial"/>
        <family val="2"/>
      </rPr>
      <t>2</t>
    </r>
  </si>
  <si>
    <r>
      <t>Y - Y</t>
    </r>
    <r>
      <rPr>
        <vertAlign val="subscript"/>
        <sz val="10"/>
        <rFont val="Arial"/>
        <family val="2"/>
      </rPr>
      <t>0</t>
    </r>
  </si>
  <si>
    <t>Zero cost emissions</t>
  </si>
  <si>
    <r>
      <t>ZC</t>
    </r>
    <r>
      <rPr>
        <b/>
        <vertAlign val="subscript"/>
        <sz val="10"/>
        <rFont val="Arial"/>
        <family val="2"/>
      </rPr>
      <t>1</t>
    </r>
  </si>
  <si>
    <r>
      <t>ZC</t>
    </r>
    <r>
      <rPr>
        <b/>
        <vertAlign val="subscript"/>
        <sz val="10"/>
        <rFont val="Arial"/>
        <family val="2"/>
      </rPr>
      <t>2</t>
    </r>
  </si>
  <si>
    <t>Cutbacks</t>
  </si>
  <si>
    <r>
      <t>CB</t>
    </r>
    <r>
      <rPr>
        <b/>
        <vertAlign val="subscript"/>
        <sz val="10"/>
        <rFont val="Arial"/>
        <family val="2"/>
      </rPr>
      <t>1</t>
    </r>
  </si>
  <si>
    <r>
      <t>CB</t>
    </r>
    <r>
      <rPr>
        <b/>
        <vertAlign val="subscript"/>
        <sz val="10"/>
        <rFont val="Arial"/>
        <family val="2"/>
      </rPr>
      <t>2</t>
    </r>
  </si>
  <si>
    <t>Non-econ</t>
  </si>
  <si>
    <t>Total adaptive costs</t>
  </si>
  <si>
    <t>Tg/Km2</t>
  </si>
  <si>
    <t>Mt/ppb</t>
  </si>
  <si>
    <t>Total</t>
  </si>
  <si>
    <t>Aggregated prev costs</t>
  </si>
  <si>
    <t>Discounted prev costs</t>
  </si>
  <si>
    <t>(Focus region)</t>
  </si>
  <si>
    <t>Total impacts and costs</t>
  </si>
  <si>
    <t xml:space="preserve">Weighted impact </t>
  </si>
  <si>
    <t>Run</t>
  </si>
  <si>
    <t>Discounted:</t>
  </si>
  <si>
    <r>
      <t>TEA</t>
    </r>
    <r>
      <rPr>
        <vertAlign val="subscript"/>
        <sz val="10"/>
        <rFont val="Arial"/>
        <family val="2"/>
      </rPr>
      <t>3</t>
    </r>
  </si>
  <si>
    <r>
      <t>TEAY</t>
    </r>
    <r>
      <rPr>
        <vertAlign val="subscript"/>
        <sz val="10"/>
        <rFont val="Arial"/>
        <family val="2"/>
      </rPr>
      <t>3</t>
    </r>
  </si>
  <si>
    <r>
      <t>RE</t>
    </r>
    <r>
      <rPr>
        <vertAlign val="subscript"/>
        <sz val="10"/>
        <rFont val="Arial"/>
        <family val="2"/>
      </rPr>
      <t>3</t>
    </r>
  </si>
  <si>
    <r>
      <t>C</t>
    </r>
    <r>
      <rPr>
        <vertAlign val="subscript"/>
        <sz val="10"/>
        <rFont val="Arial"/>
        <family val="2"/>
      </rPr>
      <t>3</t>
    </r>
  </si>
  <si>
    <r>
      <t>F</t>
    </r>
    <r>
      <rPr>
        <vertAlign val="subscript"/>
        <sz val="10"/>
        <rFont val="Arial"/>
        <family val="2"/>
      </rPr>
      <t>3</t>
    </r>
  </si>
  <si>
    <t>Forcing from policy gases and excess</t>
  </si>
  <si>
    <r>
      <t>EMIT</t>
    </r>
    <r>
      <rPr>
        <vertAlign val="subscript"/>
        <sz val="10"/>
        <rFont val="Arial"/>
        <family val="2"/>
      </rPr>
      <t>3</t>
    </r>
  </si>
  <si>
    <r>
      <t>ZC</t>
    </r>
    <r>
      <rPr>
        <b/>
        <vertAlign val="subscript"/>
        <sz val="10"/>
        <rFont val="Arial"/>
        <family val="2"/>
      </rPr>
      <t>3</t>
    </r>
  </si>
  <si>
    <r>
      <t>CB</t>
    </r>
    <r>
      <rPr>
        <b/>
        <vertAlign val="subscript"/>
        <sz val="10"/>
        <rFont val="Arial"/>
        <family val="2"/>
      </rPr>
      <t>3</t>
    </r>
  </si>
  <si>
    <t>Difference</t>
  </si>
  <si>
    <t>Tolerable before discontinuity</t>
  </si>
  <si>
    <t>Chance of discontinuity</t>
  </si>
  <si>
    <t>% per degC</t>
  </si>
  <si>
    <t>Loss if discontinuity occurs</t>
  </si>
  <si>
    <t>%GDP</t>
  </si>
  <si>
    <r>
      <t>I</t>
    </r>
    <r>
      <rPr>
        <b/>
        <vertAlign val="subscript"/>
        <sz val="10"/>
        <rFont val="Arial"/>
        <family val="2"/>
      </rPr>
      <t>dis</t>
    </r>
  </si>
  <si>
    <t>temperature</t>
  </si>
  <si>
    <t>probability</t>
  </si>
  <si>
    <t>global</t>
  </si>
  <si>
    <t>Pop</t>
  </si>
  <si>
    <t>million</t>
  </si>
  <si>
    <t>GDP/cap</t>
  </si>
  <si>
    <t>Mean</t>
  </si>
  <si>
    <t>Mean growth rate</t>
  </si>
  <si>
    <t>Equity weights</t>
  </si>
  <si>
    <t>Elasticity of utility</t>
  </si>
  <si>
    <t>N2O</t>
  </si>
  <si>
    <t>N2O emit</t>
  </si>
  <si>
    <t>Natural emissions of N2O</t>
  </si>
  <si>
    <t>Total emissions to air of N2O</t>
  </si>
  <si>
    <t>Total this period of N2O</t>
  </si>
  <si>
    <t>Exponential factor for N2O</t>
  </si>
  <si>
    <t>Remaining emissions factor for N2O</t>
  </si>
  <si>
    <t>Total this period factor for N2O</t>
  </si>
  <si>
    <t>Remaining emissions of N2O</t>
  </si>
  <si>
    <t>Concentration of N2O</t>
  </si>
  <si>
    <t>Forcing from N2O</t>
  </si>
  <si>
    <t>Overlap term for CH4</t>
  </si>
  <si>
    <t>Overlap term for N2O</t>
  </si>
  <si>
    <t>Forcing from CH4 without overlap</t>
  </si>
  <si>
    <t>Forcing from N2O without overlap</t>
  </si>
  <si>
    <t>Stimulation of CO2 concentration</t>
  </si>
  <si>
    <t>%/degC</t>
  </si>
  <si>
    <t>CO2 stimulation limit</t>
  </si>
  <si>
    <t>Carbon cycle feedback factor</t>
  </si>
  <si>
    <t>CCFF</t>
  </si>
  <si>
    <t>Concentration of CO2 before CCFF</t>
  </si>
  <si>
    <t>Remaining emissions of CO2 before CCFF</t>
  </si>
  <si>
    <t>Total land area</t>
  </si>
  <si>
    <t>Ocean proportion</t>
  </si>
  <si>
    <t>RTL</t>
  </si>
  <si>
    <t>Global mean land temperature</t>
  </si>
  <si>
    <r>
      <t>NTE</t>
    </r>
    <r>
      <rPr>
        <vertAlign val="subscript"/>
        <sz val="10"/>
        <rFont val="Arial"/>
        <family val="2"/>
      </rPr>
      <t>2</t>
    </r>
  </si>
  <si>
    <r>
      <t>NTE</t>
    </r>
    <r>
      <rPr>
        <vertAlign val="subscript"/>
        <sz val="10"/>
        <rFont val="Arial"/>
        <family val="2"/>
      </rPr>
      <t>3</t>
    </r>
  </si>
  <si>
    <r>
      <t>NTE</t>
    </r>
    <r>
      <rPr>
        <vertAlign val="subscript"/>
        <sz val="10"/>
        <rFont val="Arial"/>
        <family val="2"/>
      </rPr>
      <t>4</t>
    </r>
  </si>
  <si>
    <r>
      <t>TEA</t>
    </r>
    <r>
      <rPr>
        <vertAlign val="subscript"/>
        <sz val="10"/>
        <rFont val="Arial"/>
        <family val="2"/>
      </rPr>
      <t>4</t>
    </r>
  </si>
  <si>
    <r>
      <t>TEAY</t>
    </r>
    <r>
      <rPr>
        <vertAlign val="subscript"/>
        <sz val="10"/>
        <rFont val="Arial"/>
        <family val="2"/>
      </rPr>
      <t>4</t>
    </r>
  </si>
  <si>
    <r>
      <t>RE</t>
    </r>
    <r>
      <rPr>
        <vertAlign val="subscript"/>
        <sz val="10"/>
        <rFont val="Arial"/>
        <family val="2"/>
      </rPr>
      <t>4</t>
    </r>
  </si>
  <si>
    <r>
      <t>C</t>
    </r>
    <r>
      <rPr>
        <vertAlign val="subscript"/>
        <sz val="10"/>
        <rFont val="Arial"/>
        <family val="2"/>
      </rPr>
      <t>4</t>
    </r>
  </si>
  <si>
    <r>
      <t>F</t>
    </r>
    <r>
      <rPr>
        <vertAlign val="subscript"/>
        <sz val="10"/>
        <rFont val="Arial"/>
        <family val="2"/>
      </rPr>
      <t>4</t>
    </r>
  </si>
  <si>
    <t>RTL_G</t>
  </si>
  <si>
    <t>RT_G</t>
  </si>
  <si>
    <t>m</t>
  </si>
  <si>
    <t>Sea level rise with temperature</t>
  </si>
  <si>
    <t>m/degC</t>
  </si>
  <si>
    <t>Sea level asymptote</t>
  </si>
  <si>
    <t>Equilibrium sea level rise</t>
  </si>
  <si>
    <t>ES</t>
  </si>
  <si>
    <t>Exponential factor for sea level</t>
  </si>
  <si>
    <t>EXPFS</t>
  </si>
  <si>
    <t>Sea level rise</t>
  </si>
  <si>
    <t>S</t>
  </si>
  <si>
    <t>Sulphate flux (SFX)</t>
  </si>
  <si>
    <t>Direct sulphate forcing (FSD)</t>
  </si>
  <si>
    <t>Indirect sulphate forcing (FSI)</t>
  </si>
  <si>
    <t>Sulfate indirect (log) effect for a doubling of sulphates</t>
  </si>
  <si>
    <t>Transient climate response</t>
  </si>
  <si>
    <t>New adaptation</t>
  </si>
  <si>
    <t>Pstart</t>
  </si>
  <si>
    <t>Pyears</t>
  </si>
  <si>
    <t>Istart</t>
  </si>
  <si>
    <t>Iyears</t>
  </si>
  <si>
    <t>Plateau</t>
  </si>
  <si>
    <r>
      <t>ATL</t>
    </r>
    <r>
      <rPr>
        <vertAlign val="subscript"/>
        <sz val="10"/>
        <rFont val="Arial"/>
        <family val="2"/>
      </rPr>
      <t>s</t>
    </r>
  </si>
  <si>
    <r>
      <t>I</t>
    </r>
    <r>
      <rPr>
        <b/>
        <vertAlign val="subscript"/>
        <sz val="10"/>
        <rFont val="Arial"/>
        <family val="2"/>
      </rPr>
      <t>s</t>
    </r>
  </si>
  <si>
    <t>occurs?</t>
  </si>
  <si>
    <t>Global</t>
  </si>
  <si>
    <t>Global growth rate</t>
  </si>
  <si>
    <t>Savings rate</t>
  </si>
  <si>
    <t>Calibration temperature</t>
  </si>
  <si>
    <t>Sea level impact at calibration sea level rise</t>
  </si>
  <si>
    <t>Calibration sea level rise</t>
  </si>
  <si>
    <t>%GDP per m</t>
  </si>
  <si>
    <t>Sea level exponent with income</t>
  </si>
  <si>
    <t>Sea level initial benefit</t>
  </si>
  <si>
    <t>%GDP per degC</t>
  </si>
  <si>
    <t>Impacts saturate beyond</t>
  </si>
  <si>
    <t>Discontinuity exponent with income</t>
  </si>
  <si>
    <t>Sea level impact function exponent</t>
  </si>
  <si>
    <t>Consumption/cap</t>
  </si>
  <si>
    <r>
      <t>IREF</t>
    </r>
    <r>
      <rPr>
        <b/>
        <vertAlign val="subscript"/>
        <sz val="10"/>
        <rFont val="Arial"/>
        <family val="2"/>
      </rPr>
      <t>s</t>
    </r>
  </si>
  <si>
    <t>Impact at actual GDP/cap</t>
  </si>
  <si>
    <t>Impact at focus GDP/cap</t>
  </si>
  <si>
    <r>
      <t>IGDP</t>
    </r>
    <r>
      <rPr>
        <b/>
        <vertAlign val="subscript"/>
        <sz val="10"/>
        <rFont val="Arial"/>
        <family val="2"/>
      </rPr>
      <t>s</t>
    </r>
  </si>
  <si>
    <r>
      <t>ISAT</t>
    </r>
    <r>
      <rPr>
        <b/>
        <vertAlign val="subscript"/>
        <sz val="10"/>
        <rFont val="Arial"/>
        <family val="2"/>
      </rPr>
      <t>s</t>
    </r>
  </si>
  <si>
    <t>Impact with saturation</t>
  </si>
  <si>
    <t>Impact with saturation/cap</t>
  </si>
  <si>
    <r>
      <t>ISAT</t>
    </r>
    <r>
      <rPr>
        <b/>
        <vertAlign val="subscript"/>
        <sz val="10"/>
        <rFont val="Arial"/>
        <family val="2"/>
      </rPr>
      <t xml:space="preserve">s </t>
    </r>
    <r>
      <rPr>
        <b/>
        <sz val="10"/>
        <rFont val="Arial"/>
        <family val="2"/>
      </rPr>
      <t>per cap</t>
    </r>
  </si>
  <si>
    <t>Remaining consumption/cap</t>
  </si>
  <si>
    <r>
      <t>RCONS</t>
    </r>
    <r>
      <rPr>
        <b/>
        <vertAlign val="subscript"/>
        <sz val="10"/>
        <rFont val="Arial"/>
        <family val="2"/>
      </rPr>
      <t xml:space="preserve">s </t>
    </r>
    <r>
      <rPr>
        <b/>
        <sz val="10"/>
        <rFont val="Arial"/>
        <family val="2"/>
      </rPr>
      <t>per cap</t>
    </r>
  </si>
  <si>
    <t>Remaining GDP/cap</t>
  </si>
  <si>
    <r>
      <t>RGDP</t>
    </r>
    <r>
      <rPr>
        <b/>
        <vertAlign val="subscript"/>
        <sz val="10"/>
        <rFont val="Arial"/>
        <family val="2"/>
      </rPr>
      <t xml:space="preserve">s </t>
    </r>
    <r>
      <rPr>
        <b/>
        <sz val="10"/>
        <rFont val="Arial"/>
        <family val="2"/>
      </rPr>
      <t>per cap</t>
    </r>
  </si>
  <si>
    <r>
      <rPr>
        <sz val="10"/>
        <rFont val="Arial"/>
        <family val="2"/>
      </rPr>
      <t>IMP</t>
    </r>
    <r>
      <rPr>
        <vertAlign val="subscript"/>
        <sz val="10"/>
        <rFont val="Arial"/>
        <family val="2"/>
      </rPr>
      <t>s</t>
    </r>
  </si>
  <si>
    <r>
      <rPr>
        <sz val="10"/>
        <rFont val="Arial"/>
        <family val="2"/>
      </rPr>
      <t>IMP</t>
    </r>
    <r>
      <rPr>
        <vertAlign val="subscript"/>
        <sz val="10"/>
        <rFont val="Arial"/>
        <family val="2"/>
      </rPr>
      <t>1</t>
    </r>
  </si>
  <si>
    <r>
      <rPr>
        <sz val="10"/>
        <rFont val="Arial"/>
        <family val="2"/>
      </rPr>
      <t>IMP</t>
    </r>
    <r>
      <rPr>
        <vertAlign val="subscript"/>
        <sz val="10"/>
        <rFont val="Arial"/>
        <family val="2"/>
      </rPr>
      <t>2</t>
    </r>
  </si>
  <si>
    <r>
      <t>IGDP</t>
    </r>
    <r>
      <rPr>
        <b/>
        <vertAlign val="subscript"/>
        <sz val="10"/>
        <rFont val="Arial"/>
        <family val="2"/>
      </rPr>
      <t>1</t>
    </r>
  </si>
  <si>
    <r>
      <t>ISAT</t>
    </r>
    <r>
      <rPr>
        <b/>
        <vertAlign val="subscript"/>
        <sz val="10"/>
        <rFont val="Arial"/>
        <family val="2"/>
      </rPr>
      <t>1</t>
    </r>
  </si>
  <si>
    <r>
      <t>RGDP</t>
    </r>
    <r>
      <rPr>
        <b/>
        <vertAlign val="subscript"/>
        <sz val="10"/>
        <rFont val="Arial"/>
        <family val="2"/>
      </rPr>
      <t xml:space="preserve">1 </t>
    </r>
    <r>
      <rPr>
        <b/>
        <sz val="10"/>
        <rFont val="Arial"/>
        <family val="2"/>
      </rPr>
      <t>per cap</t>
    </r>
  </si>
  <si>
    <r>
      <t>RCONS</t>
    </r>
    <r>
      <rPr>
        <b/>
        <vertAlign val="subscript"/>
        <sz val="10"/>
        <rFont val="Arial"/>
        <family val="2"/>
      </rPr>
      <t xml:space="preserve">1 </t>
    </r>
    <r>
      <rPr>
        <b/>
        <sz val="10"/>
        <rFont val="Arial"/>
        <family val="2"/>
      </rPr>
      <t>per cap</t>
    </r>
  </si>
  <si>
    <r>
      <t>IREF</t>
    </r>
    <r>
      <rPr>
        <b/>
        <vertAlign val="subscript"/>
        <sz val="10"/>
        <rFont val="Arial"/>
        <family val="2"/>
      </rPr>
      <t>2</t>
    </r>
  </si>
  <si>
    <r>
      <t>IGDP</t>
    </r>
    <r>
      <rPr>
        <b/>
        <vertAlign val="subscript"/>
        <sz val="10"/>
        <rFont val="Arial"/>
        <family val="2"/>
      </rPr>
      <t>2</t>
    </r>
  </si>
  <si>
    <r>
      <t>ISAT</t>
    </r>
    <r>
      <rPr>
        <b/>
        <vertAlign val="subscript"/>
        <sz val="10"/>
        <rFont val="Arial"/>
        <family val="2"/>
      </rPr>
      <t>2</t>
    </r>
  </si>
  <si>
    <r>
      <t>ISAT</t>
    </r>
    <r>
      <rPr>
        <b/>
        <vertAlign val="subscript"/>
        <sz val="10"/>
        <rFont val="Arial"/>
        <family val="2"/>
      </rPr>
      <t xml:space="preserve">2 </t>
    </r>
    <r>
      <rPr>
        <b/>
        <sz val="10"/>
        <rFont val="Arial"/>
        <family val="2"/>
      </rPr>
      <t>per cap</t>
    </r>
  </si>
  <si>
    <r>
      <t>RGDP</t>
    </r>
    <r>
      <rPr>
        <b/>
        <vertAlign val="subscript"/>
        <sz val="10"/>
        <rFont val="Arial"/>
        <family val="2"/>
      </rPr>
      <t xml:space="preserve">2 </t>
    </r>
    <r>
      <rPr>
        <b/>
        <sz val="10"/>
        <rFont val="Arial"/>
        <family val="2"/>
      </rPr>
      <t>per cap</t>
    </r>
  </si>
  <si>
    <r>
      <t>RCONS</t>
    </r>
    <r>
      <rPr>
        <b/>
        <vertAlign val="subscript"/>
        <sz val="10"/>
        <rFont val="Arial"/>
        <family val="2"/>
      </rPr>
      <t xml:space="preserve">2 </t>
    </r>
    <r>
      <rPr>
        <b/>
        <sz val="10"/>
        <rFont val="Arial"/>
        <family val="2"/>
      </rPr>
      <t>per cap</t>
    </r>
  </si>
  <si>
    <t>Eq Impact at focus GDP/cap</t>
  </si>
  <si>
    <r>
      <t>IREFEQ</t>
    </r>
    <r>
      <rPr>
        <b/>
        <vertAlign val="subscript"/>
        <sz val="10"/>
        <rFont val="Arial"/>
        <family val="2"/>
      </rPr>
      <t>dis</t>
    </r>
  </si>
  <si>
    <t>Eq Impact at actual GDP/cap</t>
  </si>
  <si>
    <r>
      <t>IGDPEQ</t>
    </r>
    <r>
      <rPr>
        <b/>
        <vertAlign val="subscript"/>
        <sz val="10"/>
        <rFont val="Arial"/>
        <family val="2"/>
      </rPr>
      <t>dis</t>
    </r>
  </si>
  <si>
    <r>
      <t>IGDP</t>
    </r>
    <r>
      <rPr>
        <b/>
        <vertAlign val="subscript"/>
        <sz val="10"/>
        <rFont val="Arial"/>
        <family val="2"/>
      </rPr>
      <t>dis</t>
    </r>
  </si>
  <si>
    <t>exponential factor</t>
  </si>
  <si>
    <r>
      <t>ISAT</t>
    </r>
    <r>
      <rPr>
        <b/>
        <vertAlign val="subscript"/>
        <sz val="10"/>
        <rFont val="Arial"/>
        <family val="2"/>
      </rPr>
      <t>dis</t>
    </r>
  </si>
  <si>
    <r>
      <t>ISAT</t>
    </r>
    <r>
      <rPr>
        <b/>
        <vertAlign val="subscript"/>
        <sz val="10"/>
        <rFont val="Arial"/>
        <family val="2"/>
      </rPr>
      <t xml:space="preserve">dis </t>
    </r>
    <r>
      <rPr>
        <b/>
        <sz val="10"/>
        <rFont val="Arial"/>
        <family val="2"/>
      </rPr>
      <t>per cap</t>
    </r>
  </si>
  <si>
    <r>
      <t>RGDP</t>
    </r>
    <r>
      <rPr>
        <b/>
        <vertAlign val="subscript"/>
        <sz val="10"/>
        <rFont val="Arial"/>
        <family val="2"/>
      </rPr>
      <t xml:space="preserve">dis </t>
    </r>
    <r>
      <rPr>
        <b/>
        <sz val="10"/>
        <rFont val="Arial"/>
        <family val="2"/>
      </rPr>
      <t>per cap</t>
    </r>
  </si>
  <si>
    <r>
      <t>RCONS</t>
    </r>
    <r>
      <rPr>
        <b/>
        <vertAlign val="subscript"/>
        <sz val="10"/>
        <rFont val="Arial"/>
        <family val="2"/>
      </rPr>
      <t xml:space="preserve">dis </t>
    </r>
    <r>
      <rPr>
        <b/>
        <sz val="10"/>
        <rFont val="Arial"/>
        <family val="2"/>
      </rPr>
      <t>per cap</t>
    </r>
  </si>
  <si>
    <r>
      <t>WI</t>
    </r>
    <r>
      <rPr>
        <b/>
        <vertAlign val="subscript"/>
        <sz val="10"/>
        <rFont val="Arial"/>
        <family val="2"/>
      </rPr>
      <t>T</t>
    </r>
  </si>
  <si>
    <r>
      <t>WID</t>
    </r>
    <r>
      <rPr>
        <b/>
        <vertAlign val="subscript"/>
        <sz val="10"/>
        <rFont val="Arial"/>
        <family val="2"/>
      </rPr>
      <t>T</t>
    </r>
  </si>
  <si>
    <t>Global total</t>
  </si>
  <si>
    <r>
      <t>ADD</t>
    </r>
    <r>
      <rPr>
        <b/>
        <vertAlign val="subscript"/>
        <sz val="10"/>
        <rFont val="Arial"/>
        <family val="2"/>
      </rPr>
      <t>T</t>
    </r>
  </si>
  <si>
    <t>%consumption</t>
  </si>
  <si>
    <t>ISATG</t>
  </si>
  <si>
    <t>difference</t>
  </si>
  <si>
    <r>
      <t>ZC</t>
    </r>
    <r>
      <rPr>
        <b/>
        <vertAlign val="subscript"/>
        <sz val="10"/>
        <rFont val="Arial"/>
        <family val="2"/>
      </rPr>
      <t>4</t>
    </r>
  </si>
  <si>
    <r>
      <t>CB</t>
    </r>
    <r>
      <rPr>
        <b/>
        <vertAlign val="subscript"/>
        <sz val="10"/>
        <rFont val="Arial"/>
        <family val="2"/>
      </rPr>
      <t>4</t>
    </r>
  </si>
  <si>
    <t>% of emissions</t>
  </si>
  <si>
    <t>Initial experience stock</t>
  </si>
  <si>
    <t>Mtonne</t>
  </si>
  <si>
    <t>Cutbacks at negative cost growth rate</t>
  </si>
  <si>
    <t>Maximum cutbacks growth rate</t>
  </si>
  <si>
    <t>Most negative cost growth rate</t>
  </si>
  <si>
    <t>Curvature below zero cost</t>
  </si>
  <si>
    <t>Curvature above zero cost</t>
  </si>
  <si>
    <t>Experience crossover ratio</t>
  </si>
  <si>
    <t>Autonomous technical change</t>
  </si>
  <si>
    <t>Equity weights proportion</t>
  </si>
  <si>
    <t>Initial cutbacks at negative cost</t>
  </si>
  <si>
    <t>Initial maximum cost cutback</t>
  </si>
  <si>
    <r>
      <t>CMAXINIT</t>
    </r>
    <r>
      <rPr>
        <vertAlign val="subscript"/>
        <sz val="8"/>
        <rFont val="Arial"/>
        <family val="2"/>
      </rPr>
      <t>1</t>
    </r>
  </si>
  <si>
    <r>
      <t>CMAXINIT</t>
    </r>
    <r>
      <rPr>
        <vertAlign val="subscript"/>
        <sz val="8"/>
        <rFont val="Arial"/>
        <family val="2"/>
      </rPr>
      <t>2</t>
    </r>
  </si>
  <si>
    <r>
      <t>CMAXINIT</t>
    </r>
    <r>
      <rPr>
        <vertAlign val="subscript"/>
        <sz val="8"/>
        <rFont val="Arial"/>
        <family val="2"/>
      </rPr>
      <t>3</t>
    </r>
  </si>
  <si>
    <r>
      <t>CMAXINIT</t>
    </r>
    <r>
      <rPr>
        <vertAlign val="subscript"/>
        <sz val="8"/>
        <rFont val="Arial"/>
        <family val="2"/>
      </rPr>
      <t>4</t>
    </r>
  </si>
  <si>
    <r>
      <t>Q0PROPINIT</t>
    </r>
    <r>
      <rPr>
        <vertAlign val="subscript"/>
        <sz val="7"/>
        <rFont val="Arial"/>
        <family val="2"/>
      </rPr>
      <t>1</t>
    </r>
  </si>
  <si>
    <r>
      <t>Q0PROPINIT</t>
    </r>
    <r>
      <rPr>
        <vertAlign val="subscript"/>
        <sz val="7"/>
        <rFont val="Arial"/>
        <family val="2"/>
      </rPr>
      <t>2</t>
    </r>
  </si>
  <si>
    <r>
      <t>Q0PROPINIT</t>
    </r>
    <r>
      <rPr>
        <vertAlign val="subscript"/>
        <sz val="7"/>
        <rFont val="Arial"/>
        <family val="2"/>
      </rPr>
      <t>3</t>
    </r>
  </si>
  <si>
    <r>
      <t>Q0PROPINIT</t>
    </r>
    <r>
      <rPr>
        <vertAlign val="subscript"/>
        <sz val="7"/>
        <rFont val="Arial"/>
        <family val="2"/>
      </rPr>
      <t>4</t>
    </r>
  </si>
  <si>
    <t>Cumulative cutbacks</t>
  </si>
  <si>
    <r>
      <t>CBE</t>
    </r>
    <r>
      <rPr>
        <b/>
        <vertAlign val="subscript"/>
        <sz val="10"/>
        <rFont val="Arial"/>
        <family val="2"/>
      </rPr>
      <t>1</t>
    </r>
  </si>
  <si>
    <r>
      <t>CBE</t>
    </r>
    <r>
      <rPr>
        <b/>
        <vertAlign val="subscript"/>
        <sz val="10"/>
        <rFont val="Arial"/>
        <family val="2"/>
      </rPr>
      <t>2</t>
    </r>
  </si>
  <si>
    <r>
      <t>CBE</t>
    </r>
    <r>
      <rPr>
        <b/>
        <vertAlign val="subscript"/>
        <sz val="10"/>
        <rFont val="Arial"/>
        <family val="2"/>
      </rPr>
      <t>3</t>
    </r>
  </si>
  <si>
    <r>
      <t>CBE</t>
    </r>
    <r>
      <rPr>
        <b/>
        <vertAlign val="subscript"/>
        <sz val="10"/>
        <rFont val="Arial"/>
        <family val="2"/>
      </rPr>
      <t>4</t>
    </r>
  </si>
  <si>
    <r>
      <t>CUMCBE</t>
    </r>
    <r>
      <rPr>
        <b/>
        <vertAlign val="subscript"/>
        <sz val="10"/>
        <rFont val="Arial"/>
        <family val="2"/>
      </rPr>
      <t>1</t>
    </r>
  </si>
  <si>
    <r>
      <t>CUMCBE</t>
    </r>
    <r>
      <rPr>
        <b/>
        <vertAlign val="subscript"/>
        <sz val="10"/>
        <rFont val="Arial"/>
        <family val="2"/>
      </rPr>
      <t>2</t>
    </r>
  </si>
  <si>
    <r>
      <t>CUMCBE</t>
    </r>
    <r>
      <rPr>
        <b/>
        <vertAlign val="subscript"/>
        <sz val="10"/>
        <rFont val="Arial"/>
        <family val="2"/>
      </rPr>
      <t>3</t>
    </r>
  </si>
  <si>
    <r>
      <t>CUMCBE</t>
    </r>
    <r>
      <rPr>
        <b/>
        <vertAlign val="subscript"/>
        <sz val="10"/>
        <rFont val="Arial"/>
        <family val="2"/>
      </rPr>
      <t>4</t>
    </r>
  </si>
  <si>
    <t>Learning factors</t>
  </si>
  <si>
    <r>
      <t>LEARNFAC</t>
    </r>
    <r>
      <rPr>
        <b/>
        <vertAlign val="subscript"/>
        <sz val="10"/>
        <rFont val="Arial"/>
        <family val="2"/>
      </rPr>
      <t>1</t>
    </r>
  </si>
  <si>
    <r>
      <t>LEARNFAC</t>
    </r>
    <r>
      <rPr>
        <b/>
        <vertAlign val="subscript"/>
        <sz val="10"/>
        <rFont val="Arial"/>
        <family val="2"/>
      </rPr>
      <t>2</t>
    </r>
  </si>
  <si>
    <r>
      <t>LEARNFAC</t>
    </r>
    <r>
      <rPr>
        <b/>
        <vertAlign val="subscript"/>
        <sz val="10"/>
        <rFont val="Arial"/>
        <family val="2"/>
      </rPr>
      <t>3</t>
    </r>
  </si>
  <si>
    <r>
      <t>LEARNFAC</t>
    </r>
    <r>
      <rPr>
        <b/>
        <vertAlign val="subscript"/>
        <sz val="10"/>
        <rFont val="Arial"/>
        <family val="2"/>
      </rPr>
      <t>4</t>
    </r>
  </si>
  <si>
    <t>Autonomous factor</t>
  </si>
  <si>
    <t>AUTOFAC</t>
  </si>
  <si>
    <t>Negative cost cutbacks</t>
  </si>
  <si>
    <r>
      <t>Q0PROP</t>
    </r>
    <r>
      <rPr>
        <b/>
        <vertAlign val="subscript"/>
        <sz val="10"/>
        <rFont val="Arial"/>
        <family val="2"/>
      </rPr>
      <t>1</t>
    </r>
  </si>
  <si>
    <r>
      <t>Q0PROP</t>
    </r>
    <r>
      <rPr>
        <b/>
        <vertAlign val="subscript"/>
        <sz val="10"/>
        <rFont val="Arial"/>
        <family val="2"/>
      </rPr>
      <t>2</t>
    </r>
  </si>
  <si>
    <r>
      <t>Q0PROP</t>
    </r>
    <r>
      <rPr>
        <b/>
        <vertAlign val="subscript"/>
        <sz val="10"/>
        <rFont val="Arial"/>
        <family val="2"/>
      </rPr>
      <t>3</t>
    </r>
  </si>
  <si>
    <r>
      <t>Q0PROP</t>
    </r>
    <r>
      <rPr>
        <b/>
        <vertAlign val="subscript"/>
        <sz val="10"/>
        <rFont val="Arial"/>
        <family val="2"/>
      </rPr>
      <t>4</t>
    </r>
  </si>
  <si>
    <r>
      <t>Q0</t>
    </r>
    <r>
      <rPr>
        <b/>
        <vertAlign val="subscript"/>
        <sz val="10"/>
        <rFont val="Arial"/>
        <family val="2"/>
      </rPr>
      <t>1</t>
    </r>
  </si>
  <si>
    <r>
      <t>Q0</t>
    </r>
    <r>
      <rPr>
        <b/>
        <vertAlign val="subscript"/>
        <sz val="10"/>
        <rFont val="Arial"/>
        <family val="2"/>
      </rPr>
      <t>2</t>
    </r>
  </si>
  <si>
    <r>
      <t>Q0</t>
    </r>
    <r>
      <rPr>
        <b/>
        <vertAlign val="subscript"/>
        <sz val="10"/>
        <rFont val="Arial"/>
        <family val="2"/>
      </rPr>
      <t>3</t>
    </r>
  </si>
  <si>
    <r>
      <t>Q0</t>
    </r>
    <r>
      <rPr>
        <b/>
        <vertAlign val="subscript"/>
        <sz val="10"/>
        <rFont val="Arial"/>
        <family val="2"/>
      </rPr>
      <t>4</t>
    </r>
  </si>
  <si>
    <t>Most negative cost</t>
  </si>
  <si>
    <t>C0</t>
  </si>
  <si>
    <t>Positive cost cutbacks</t>
  </si>
  <si>
    <r>
      <t>Q0MAX-Q0PROP</t>
    </r>
    <r>
      <rPr>
        <b/>
        <vertAlign val="subscript"/>
        <sz val="10"/>
        <rFont val="Arial"/>
        <family val="2"/>
      </rPr>
      <t>1</t>
    </r>
  </si>
  <si>
    <t>Maximum reference cutbacks</t>
  </si>
  <si>
    <r>
      <t>QMAX</t>
    </r>
    <r>
      <rPr>
        <b/>
        <vertAlign val="subscript"/>
        <sz val="10"/>
        <rFont val="Arial"/>
        <family val="2"/>
      </rPr>
      <t>1</t>
    </r>
  </si>
  <si>
    <r>
      <t>QMAX</t>
    </r>
    <r>
      <rPr>
        <b/>
        <vertAlign val="subscript"/>
        <sz val="10"/>
        <rFont val="Arial"/>
        <family val="2"/>
      </rPr>
      <t>2</t>
    </r>
  </si>
  <si>
    <r>
      <t>QMAX</t>
    </r>
    <r>
      <rPr>
        <b/>
        <vertAlign val="subscript"/>
        <sz val="10"/>
        <rFont val="Arial"/>
        <family val="2"/>
      </rPr>
      <t>3</t>
    </r>
  </si>
  <si>
    <r>
      <t>QMAX</t>
    </r>
    <r>
      <rPr>
        <b/>
        <vertAlign val="subscript"/>
        <sz val="10"/>
        <rFont val="Arial"/>
        <family val="2"/>
      </rPr>
      <t>4</t>
    </r>
  </si>
  <si>
    <t>Maximum cost</t>
  </si>
  <si>
    <r>
      <t>CMAX</t>
    </r>
    <r>
      <rPr>
        <b/>
        <vertAlign val="subscript"/>
        <sz val="10"/>
        <rFont val="Arial"/>
        <family val="2"/>
      </rPr>
      <t>1</t>
    </r>
  </si>
  <si>
    <r>
      <t>CMAX</t>
    </r>
    <r>
      <rPr>
        <b/>
        <vertAlign val="subscript"/>
        <sz val="10"/>
        <rFont val="Arial"/>
        <family val="2"/>
      </rPr>
      <t>2</t>
    </r>
  </si>
  <si>
    <r>
      <t>CMAX</t>
    </r>
    <r>
      <rPr>
        <b/>
        <vertAlign val="subscript"/>
        <sz val="10"/>
        <rFont val="Arial"/>
        <family val="2"/>
      </rPr>
      <t>3</t>
    </r>
  </si>
  <si>
    <r>
      <t>CMAX</t>
    </r>
    <r>
      <rPr>
        <b/>
        <vertAlign val="subscript"/>
        <sz val="10"/>
        <rFont val="Arial"/>
        <family val="2"/>
      </rPr>
      <t>4</t>
    </r>
  </si>
  <si>
    <t>Scale below Q0</t>
  </si>
  <si>
    <t>Curve below Q0</t>
  </si>
  <si>
    <r>
      <t>Blo</t>
    </r>
    <r>
      <rPr>
        <b/>
        <vertAlign val="subscript"/>
        <sz val="10"/>
        <rFont val="Arial"/>
        <family val="2"/>
      </rPr>
      <t>1</t>
    </r>
  </si>
  <si>
    <r>
      <t>Blo</t>
    </r>
    <r>
      <rPr>
        <b/>
        <vertAlign val="subscript"/>
        <sz val="10"/>
        <rFont val="Arial"/>
        <family val="2"/>
      </rPr>
      <t>2</t>
    </r>
  </si>
  <si>
    <r>
      <t>Blo</t>
    </r>
    <r>
      <rPr>
        <b/>
        <vertAlign val="subscript"/>
        <sz val="10"/>
        <rFont val="Arial"/>
        <family val="2"/>
      </rPr>
      <t>3</t>
    </r>
  </si>
  <si>
    <r>
      <t>Blo</t>
    </r>
    <r>
      <rPr>
        <b/>
        <vertAlign val="subscript"/>
        <sz val="10"/>
        <rFont val="Arial"/>
        <family val="2"/>
      </rPr>
      <t>4</t>
    </r>
  </si>
  <si>
    <r>
      <t>Alo</t>
    </r>
    <r>
      <rPr>
        <b/>
        <vertAlign val="subscript"/>
        <sz val="10"/>
        <rFont val="Arial"/>
        <family val="2"/>
      </rPr>
      <t>1</t>
    </r>
  </si>
  <si>
    <r>
      <t>Alo</t>
    </r>
    <r>
      <rPr>
        <b/>
        <vertAlign val="subscript"/>
        <sz val="10"/>
        <rFont val="Arial"/>
        <family val="2"/>
      </rPr>
      <t>2</t>
    </r>
  </si>
  <si>
    <r>
      <t>Alo</t>
    </r>
    <r>
      <rPr>
        <b/>
        <vertAlign val="subscript"/>
        <sz val="10"/>
        <rFont val="Arial"/>
        <family val="2"/>
      </rPr>
      <t>3</t>
    </r>
  </si>
  <si>
    <r>
      <t>Alo</t>
    </r>
    <r>
      <rPr>
        <b/>
        <vertAlign val="subscript"/>
        <sz val="10"/>
        <rFont val="Arial"/>
        <family val="2"/>
      </rPr>
      <t>4</t>
    </r>
  </si>
  <si>
    <t>Curve above Q0</t>
  </si>
  <si>
    <r>
      <t>Bhi</t>
    </r>
    <r>
      <rPr>
        <b/>
        <vertAlign val="subscript"/>
        <sz val="10"/>
        <rFont val="Arial"/>
        <family val="2"/>
      </rPr>
      <t>1</t>
    </r>
  </si>
  <si>
    <r>
      <t>Bhi</t>
    </r>
    <r>
      <rPr>
        <b/>
        <vertAlign val="subscript"/>
        <sz val="10"/>
        <rFont val="Arial"/>
        <family val="2"/>
      </rPr>
      <t>2</t>
    </r>
  </si>
  <si>
    <r>
      <t>Bhi</t>
    </r>
    <r>
      <rPr>
        <b/>
        <vertAlign val="subscript"/>
        <sz val="10"/>
        <rFont val="Arial"/>
        <family val="2"/>
      </rPr>
      <t>3</t>
    </r>
  </si>
  <si>
    <r>
      <t>Bhi</t>
    </r>
    <r>
      <rPr>
        <b/>
        <vertAlign val="subscript"/>
        <sz val="10"/>
        <rFont val="Arial"/>
        <family val="2"/>
      </rPr>
      <t>4</t>
    </r>
  </si>
  <si>
    <t>Scale above Q0</t>
  </si>
  <si>
    <r>
      <t>Ahi</t>
    </r>
    <r>
      <rPr>
        <b/>
        <vertAlign val="subscript"/>
        <sz val="10"/>
        <rFont val="Arial"/>
        <family val="2"/>
      </rPr>
      <t>1</t>
    </r>
  </si>
  <si>
    <r>
      <t>Ahi</t>
    </r>
    <r>
      <rPr>
        <b/>
        <vertAlign val="subscript"/>
        <sz val="10"/>
        <rFont val="Arial"/>
        <family val="2"/>
      </rPr>
      <t>2</t>
    </r>
  </si>
  <si>
    <r>
      <t>Ahi</t>
    </r>
    <r>
      <rPr>
        <b/>
        <vertAlign val="subscript"/>
        <sz val="10"/>
        <rFont val="Arial"/>
        <family val="2"/>
      </rPr>
      <t>3</t>
    </r>
  </si>
  <si>
    <r>
      <t>Ahi</t>
    </r>
    <r>
      <rPr>
        <b/>
        <vertAlign val="subscript"/>
        <sz val="10"/>
        <rFont val="Arial"/>
        <family val="2"/>
      </rPr>
      <t>4</t>
    </r>
  </si>
  <si>
    <t>Total cost at Q0</t>
  </si>
  <si>
    <r>
      <t>TCQ0</t>
    </r>
    <r>
      <rPr>
        <b/>
        <vertAlign val="subscript"/>
        <sz val="10"/>
        <rFont val="Arial"/>
        <family val="2"/>
      </rPr>
      <t>1</t>
    </r>
  </si>
  <si>
    <r>
      <t>TCQ0</t>
    </r>
    <r>
      <rPr>
        <b/>
        <vertAlign val="subscript"/>
        <sz val="10"/>
        <rFont val="Arial"/>
        <family val="2"/>
      </rPr>
      <t>2</t>
    </r>
  </si>
  <si>
    <r>
      <t>TCQ0</t>
    </r>
    <r>
      <rPr>
        <b/>
        <vertAlign val="subscript"/>
        <sz val="10"/>
        <rFont val="Arial"/>
        <family val="2"/>
      </rPr>
      <t>3</t>
    </r>
  </si>
  <si>
    <r>
      <t>TCQ0</t>
    </r>
    <r>
      <rPr>
        <b/>
        <vertAlign val="subscript"/>
        <sz val="10"/>
        <rFont val="Arial"/>
        <family val="2"/>
      </rPr>
      <t>4</t>
    </r>
  </si>
  <si>
    <t>Marginal cost</t>
  </si>
  <si>
    <r>
      <t>MC</t>
    </r>
    <r>
      <rPr>
        <b/>
        <vertAlign val="subscript"/>
        <sz val="10"/>
        <rFont val="Arial"/>
        <family val="2"/>
      </rPr>
      <t>1</t>
    </r>
  </si>
  <si>
    <r>
      <t>MC</t>
    </r>
    <r>
      <rPr>
        <b/>
        <vertAlign val="subscript"/>
        <sz val="10"/>
        <rFont val="Arial"/>
        <family val="2"/>
      </rPr>
      <t>2</t>
    </r>
  </si>
  <si>
    <r>
      <t>MC</t>
    </r>
    <r>
      <rPr>
        <b/>
        <vertAlign val="subscript"/>
        <sz val="10"/>
        <rFont val="Arial"/>
        <family val="2"/>
      </rPr>
      <t>3</t>
    </r>
  </si>
  <si>
    <r>
      <t>MC</t>
    </r>
    <r>
      <rPr>
        <b/>
        <vertAlign val="subscript"/>
        <sz val="10"/>
        <rFont val="Arial"/>
        <family val="2"/>
      </rPr>
      <t>4</t>
    </r>
  </si>
  <si>
    <t>Total cost</t>
  </si>
  <si>
    <r>
      <t>TC</t>
    </r>
    <r>
      <rPr>
        <b/>
        <vertAlign val="subscript"/>
        <sz val="10"/>
        <rFont val="Arial"/>
        <family val="2"/>
      </rPr>
      <t>1</t>
    </r>
  </si>
  <si>
    <r>
      <t>TC</t>
    </r>
    <r>
      <rPr>
        <b/>
        <vertAlign val="subscript"/>
        <sz val="10"/>
        <rFont val="Arial"/>
        <family val="2"/>
      </rPr>
      <t>2</t>
    </r>
  </si>
  <si>
    <r>
      <t>TC</t>
    </r>
    <r>
      <rPr>
        <b/>
        <vertAlign val="subscript"/>
        <sz val="10"/>
        <rFont val="Arial"/>
        <family val="2"/>
      </rPr>
      <t>3</t>
    </r>
  </si>
  <si>
    <r>
      <t>TC</t>
    </r>
    <r>
      <rPr>
        <b/>
        <vertAlign val="subscript"/>
        <sz val="10"/>
        <rFont val="Arial"/>
        <family val="2"/>
      </rPr>
      <t>4</t>
    </r>
  </si>
  <si>
    <t>Total cost per capita</t>
  </si>
  <si>
    <t>Weighted cost per capita</t>
  </si>
  <si>
    <t>Cost per capita</t>
  </si>
  <si>
    <t>Discount factors if not equity weighted</t>
  </si>
  <si>
    <r>
      <t>PCD</t>
    </r>
    <r>
      <rPr>
        <b/>
        <vertAlign val="subscript"/>
        <sz val="10"/>
        <rFont val="Arial"/>
        <family val="2"/>
      </rPr>
      <t>T</t>
    </r>
  </si>
  <si>
    <r>
      <t>PC</t>
    </r>
    <r>
      <rPr>
        <b/>
        <vertAlign val="subscript"/>
        <sz val="10"/>
        <rFont val="Arial"/>
        <family val="2"/>
      </rPr>
      <t>T</t>
    </r>
  </si>
  <si>
    <r>
      <t>PCDA</t>
    </r>
    <r>
      <rPr>
        <b/>
        <vertAlign val="subscript"/>
        <sz val="10"/>
        <rFont val="Arial"/>
        <family val="2"/>
      </rPr>
      <t>T</t>
    </r>
  </si>
  <si>
    <t>Total prev costs</t>
  </si>
  <si>
    <t>%GDP per metre</t>
  </si>
  <si>
    <t>Sea level</t>
  </si>
  <si>
    <t>impact</t>
  </si>
  <si>
    <r>
      <t>CP</t>
    </r>
    <r>
      <rPr>
        <vertAlign val="subscript"/>
        <sz val="10"/>
        <rFont val="Arial"/>
        <family val="2"/>
      </rPr>
      <t>s</t>
    </r>
  </si>
  <si>
    <r>
      <t>CI</t>
    </r>
    <r>
      <rPr>
        <vertAlign val="subscript"/>
        <sz val="10"/>
        <rFont val="Arial"/>
        <family val="2"/>
      </rPr>
      <t>s</t>
    </r>
  </si>
  <si>
    <t>Plateau costs</t>
  </si>
  <si>
    <r>
      <t>ACP</t>
    </r>
    <r>
      <rPr>
        <b/>
        <vertAlign val="subscript"/>
        <sz val="10"/>
        <rFont val="Arial"/>
        <family val="2"/>
      </rPr>
      <t>s</t>
    </r>
  </si>
  <si>
    <t>Impact reduction costs</t>
  </si>
  <si>
    <r>
      <t>ACI</t>
    </r>
    <r>
      <rPr>
        <b/>
        <vertAlign val="subscript"/>
        <sz val="10"/>
        <rFont val="Arial"/>
        <family val="2"/>
      </rPr>
      <t>s</t>
    </r>
  </si>
  <si>
    <t>Global sea level</t>
  </si>
  <si>
    <r>
      <t>ACP</t>
    </r>
    <r>
      <rPr>
        <b/>
        <vertAlign val="subscript"/>
        <sz val="10"/>
        <rFont val="Arial"/>
        <family val="2"/>
      </rPr>
      <t>1</t>
    </r>
  </si>
  <si>
    <r>
      <t>ACI</t>
    </r>
    <r>
      <rPr>
        <b/>
        <vertAlign val="subscript"/>
        <sz val="10"/>
        <rFont val="Arial"/>
        <family val="2"/>
      </rPr>
      <t>1</t>
    </r>
  </si>
  <si>
    <r>
      <t>ACP</t>
    </r>
    <r>
      <rPr>
        <b/>
        <vertAlign val="subscript"/>
        <sz val="10"/>
        <rFont val="Arial"/>
        <family val="2"/>
      </rPr>
      <t>2</t>
    </r>
  </si>
  <si>
    <r>
      <t>ACI</t>
    </r>
    <r>
      <rPr>
        <b/>
        <vertAlign val="subscript"/>
        <sz val="10"/>
        <rFont val="Arial"/>
        <family val="2"/>
      </rPr>
      <t>2</t>
    </r>
  </si>
  <si>
    <r>
      <t>AC</t>
    </r>
    <r>
      <rPr>
        <b/>
        <vertAlign val="subscript"/>
        <sz val="10"/>
        <rFont val="Arial"/>
        <family val="2"/>
      </rPr>
      <t>s</t>
    </r>
  </si>
  <si>
    <r>
      <t>AC</t>
    </r>
    <r>
      <rPr>
        <b/>
        <vertAlign val="subscript"/>
        <sz val="10"/>
        <rFont val="Arial"/>
        <family val="2"/>
      </rPr>
      <t>T</t>
    </r>
  </si>
  <si>
    <t>Weighted adaptive costs</t>
  </si>
  <si>
    <t>Adaptive costs per capita</t>
  </si>
  <si>
    <t>Global mean</t>
  </si>
  <si>
    <r>
      <t>AC</t>
    </r>
    <r>
      <rPr>
        <b/>
        <vertAlign val="subscript"/>
        <sz val="10"/>
        <rFont val="Arial"/>
        <family val="2"/>
      </rPr>
      <t>T</t>
    </r>
    <r>
      <rPr>
        <b/>
        <sz val="10"/>
        <rFont val="Arial"/>
        <family val="2"/>
      </rPr>
      <t xml:space="preserve"> per cap</t>
    </r>
  </si>
  <si>
    <t>Weighted adaptive costs per cap</t>
  </si>
  <si>
    <r>
      <t>WAC</t>
    </r>
    <r>
      <rPr>
        <b/>
        <vertAlign val="subscript"/>
        <sz val="10"/>
        <rFont val="Arial"/>
        <family val="2"/>
      </rPr>
      <t>T</t>
    </r>
    <r>
      <rPr>
        <b/>
        <sz val="10"/>
        <rFont val="Arial"/>
        <family val="2"/>
      </rPr>
      <t xml:space="preserve"> per cap</t>
    </r>
  </si>
  <si>
    <r>
      <t>WAC</t>
    </r>
    <r>
      <rPr>
        <b/>
        <vertAlign val="subscript"/>
        <sz val="10"/>
        <rFont val="Arial"/>
        <family val="2"/>
      </rPr>
      <t>T</t>
    </r>
  </si>
  <si>
    <r>
      <t>WACD</t>
    </r>
    <r>
      <rPr>
        <b/>
        <vertAlign val="subscript"/>
        <sz val="10"/>
        <rFont val="Arial"/>
        <family val="2"/>
      </rPr>
      <t>T</t>
    </r>
  </si>
  <si>
    <r>
      <t>AAC</t>
    </r>
    <r>
      <rPr>
        <b/>
        <vertAlign val="subscript"/>
        <sz val="10"/>
        <rFont val="Arial"/>
        <family val="2"/>
      </rPr>
      <t>T</t>
    </r>
  </si>
  <si>
    <t>Policy A</t>
  </si>
  <si>
    <t>Aggregated discounted:</t>
  </si>
  <si>
    <r>
      <t>TC</t>
    </r>
    <r>
      <rPr>
        <b/>
        <vertAlign val="subscript"/>
        <sz val="10"/>
        <rFont val="Arial"/>
        <family val="2"/>
      </rPr>
      <t>T</t>
    </r>
  </si>
  <si>
    <t>Equity adaptive costs per cap</t>
  </si>
  <si>
    <r>
      <t>EAC</t>
    </r>
    <r>
      <rPr>
        <b/>
        <vertAlign val="subscript"/>
        <sz val="10"/>
        <rFont val="Arial"/>
        <family val="2"/>
      </rPr>
      <t>T</t>
    </r>
    <r>
      <rPr>
        <b/>
        <sz val="10"/>
        <rFont val="Arial"/>
        <family val="2"/>
      </rPr>
      <t xml:space="preserve"> per cap</t>
    </r>
  </si>
  <si>
    <r>
      <t>TC</t>
    </r>
    <r>
      <rPr>
        <b/>
        <vertAlign val="subscript"/>
        <sz val="10"/>
        <rFont val="Arial"/>
        <family val="2"/>
      </rPr>
      <t>T</t>
    </r>
    <r>
      <rPr>
        <b/>
        <sz val="10"/>
        <rFont val="Arial"/>
        <family val="2"/>
      </rPr>
      <t xml:space="preserve"> per cap</t>
    </r>
  </si>
  <si>
    <r>
      <t>WTC</t>
    </r>
    <r>
      <rPr>
        <b/>
        <vertAlign val="subscript"/>
        <sz val="10"/>
        <rFont val="Arial"/>
        <family val="2"/>
      </rPr>
      <t>T</t>
    </r>
    <r>
      <rPr>
        <b/>
        <sz val="10"/>
        <rFont val="Arial"/>
        <family val="2"/>
      </rPr>
      <t xml:space="preserve"> per cap</t>
    </r>
  </si>
  <si>
    <r>
      <t>PC</t>
    </r>
    <r>
      <rPr>
        <b/>
        <vertAlign val="subscript"/>
        <sz val="10"/>
        <rFont val="Arial"/>
        <family val="2"/>
      </rPr>
      <t>T</t>
    </r>
    <r>
      <rPr>
        <b/>
        <sz val="10"/>
        <rFont val="Arial"/>
        <family val="2"/>
      </rPr>
      <t xml:space="preserve"> per cap</t>
    </r>
  </si>
  <si>
    <t>Policy B</t>
  </si>
  <si>
    <t>min</t>
  </si>
  <si>
    <t>mode</t>
  </si>
  <si>
    <t>max</t>
  </si>
  <si>
    <t>ptp rate</t>
  </si>
  <si>
    <t>Consumption/cap after costs</t>
  </si>
  <si>
    <t>GDP/cap after costs</t>
  </si>
  <si>
    <t>Statistical value of civilisation</t>
  </si>
  <si>
    <t>%GDP per %reduction per metre</t>
  </si>
  <si>
    <t>%GDP per %reduction per degC</t>
  </si>
  <si>
    <t>Impred</t>
  </si>
  <si>
    <t>Impmax</t>
  </si>
  <si>
    <t>Lin emit</t>
  </si>
  <si>
    <t>FSU &amp; ROE</t>
  </si>
  <si>
    <t>Lin</t>
  </si>
  <si>
    <t>TD undisc</t>
  </si>
  <si>
    <t>x10^3</t>
  </si>
  <si>
    <t>TD undisc for SCCO2</t>
  </si>
  <si>
    <t>SCCO2 year</t>
  </si>
  <si>
    <t>%/year</t>
  </si>
  <si>
    <t>Carbon cycle feedback gain</t>
  </si>
  <si>
    <t>GAIN</t>
  </si>
  <si>
    <t>drop</t>
  </si>
  <si>
    <t>Mt/degC</t>
  </si>
  <si>
    <t>Time constant of sea level rise</t>
  </si>
  <si>
    <t>Feedback response time</t>
  </si>
  <si>
    <t>Time constant of discontinuity</t>
  </si>
  <si>
    <t>Realised land temperature</t>
  </si>
  <si>
    <t>Rise in global mean LAND temperature in</t>
  </si>
  <si>
    <t>Surface area of the Earth</t>
  </si>
  <si>
    <t>mean</t>
  </si>
  <si>
    <t>SD</t>
  </si>
  <si>
    <t>shape</t>
  </si>
  <si>
    <t>range</t>
  </si>
  <si>
    <t>EU amplification factor</t>
  </si>
  <si>
    <t>US amplification factor</t>
  </si>
  <si>
    <t>OT amplification factor</t>
  </si>
  <si>
    <t>EE amplification factor</t>
  </si>
  <si>
    <t>CA amplification factor</t>
  </si>
  <si>
    <t>IA amplification factor</t>
  </si>
  <si>
    <t>AF amplification factor</t>
  </si>
  <si>
    <t>LA amplification factor</t>
  </si>
  <si>
    <t>degC per degC global</t>
  </si>
  <si>
    <t>RTO_G</t>
  </si>
  <si>
    <t>Global mean ocean temperature</t>
  </si>
  <si>
    <t>PT_G</t>
  </si>
  <si>
    <t>Total this period to air of CH4 anthr</t>
  </si>
  <si>
    <t>Total this period to air of CH4 perm</t>
  </si>
  <si>
    <t>Total this period to air of CH4 natural (not perm)</t>
  </si>
  <si>
    <t>Anthr emissions to air of CH4</t>
  </si>
  <si>
    <t>Total this period to air of CH4 natur &amp; anthr &amp; perm</t>
  </si>
  <si>
    <t>Min</t>
  </si>
  <si>
    <t>Mod</t>
  </si>
  <si>
    <t>Max</t>
  </si>
  <si>
    <t>Mtonne C</t>
  </si>
  <si>
    <t>MtonC (CO2 component)</t>
  </si>
  <si>
    <t>MtonC (CH4 component)</t>
  </si>
  <si>
    <t>Mtonne CO2</t>
  </si>
  <si>
    <t>Mtonne CH4</t>
  </si>
  <si>
    <t>yr</t>
  </si>
  <si>
    <t>SSP Scenarios</t>
  </si>
  <si>
    <t>Pop growth rates:</t>
  </si>
  <si>
    <t>SSP5</t>
  </si>
  <si>
    <t>Notes:</t>
  </si>
  <si>
    <t>Pop growth rates kept equal to zero in the 22nd and 23rd centuries</t>
  </si>
  <si>
    <t>The 2050-75 and 2075-2100 GDP growth values from Nigel Arnel are used to extrapolate into the 22nd and 23rd centuries (negative exponential)</t>
  </si>
  <si>
    <t>Scenario pairs</t>
  </si>
  <si>
    <t>Notes</t>
  </si>
  <si>
    <t>RCP Scenarios</t>
  </si>
  <si>
    <t>RCP8.5</t>
  </si>
  <si>
    <t>RCP4.5 &amp; SSP2</t>
  </si>
  <si>
    <t>Scenario pair 3:</t>
  </si>
  <si>
    <t>RCP8.5 &amp; SSP5</t>
  </si>
  <si>
    <t>Scenario pair 4:</t>
  </si>
  <si>
    <t>Scenario pair 2:</t>
  </si>
  <si>
    <t>Scenario pair 1:</t>
  </si>
  <si>
    <t>Repository of SSPs, RCPs and other exogenous scenarios</t>
  </si>
  <si>
    <t>Excess forcing (base yr)</t>
  </si>
  <si>
    <t>Year when extra abatement starts</t>
  </si>
  <si>
    <t>% relative to base year</t>
  </si>
  <si>
    <t>Extra abatement rate vs RCP2.6</t>
  </si>
  <si>
    <t>Excess forcing downscaled RCP2.6</t>
  </si>
  <si>
    <t xml:space="preserve">Chosen RCP scenario (emissions): </t>
  </si>
  <si>
    <t>Arctic Feedbacks</t>
  </si>
  <si>
    <t>SCCO2</t>
  </si>
  <si>
    <t>Choose the experiment:</t>
  </si>
  <si>
    <t>Land Permafrost</t>
  </si>
  <si>
    <t>CMIP5 Amplific. Factors</t>
  </si>
  <si>
    <t>Experiment family</t>
  </si>
  <si>
    <t>Experiment 1:</t>
  </si>
  <si>
    <t>Experiment 2:</t>
  </si>
  <si>
    <t>Experiment 3:</t>
  </si>
  <si>
    <t>Experiment 4:</t>
  </si>
  <si>
    <t>Experiment 5:</t>
  </si>
  <si>
    <t>Experiment 6:</t>
  </si>
  <si>
    <t>$trillion</t>
  </si>
  <si>
    <t>Temp. in 2100</t>
  </si>
  <si>
    <t>Total effect NPV</t>
  </si>
  <si>
    <t>Mton CO2</t>
  </si>
  <si>
    <t>MtonC/degC</t>
  </si>
  <si>
    <t>MtonneC</t>
  </si>
  <si>
    <t>5th precentile</t>
  </si>
  <si>
    <t>95th percentile</t>
  </si>
  <si>
    <t>Gton C</t>
  </si>
  <si>
    <t>Time lag for cumulative carbon emissions, CO2</t>
  </si>
  <si>
    <t>Upper limit for cumulative carbon emissions, CO2</t>
  </si>
  <si>
    <t>dimensionless</t>
  </si>
  <si>
    <t>Sensitivity for cumulative carbon emissions, CO2</t>
  </si>
  <si>
    <t>Permafrost temperature</t>
  </si>
  <si>
    <t>Sensitivity for cumulative carbon emissions, CH4</t>
  </si>
  <si>
    <t>NOTE THE UNITS</t>
  </si>
  <si>
    <t>Extra abatement factor per period</t>
  </si>
  <si>
    <t>Year when extra abatement ends</t>
  </si>
  <si>
    <t>Start of the period</t>
  </si>
  <si>
    <t>End of the period</t>
  </si>
  <si>
    <t>Duration of the period</t>
  </si>
  <si>
    <t>Extra abatement factor compound</t>
  </si>
  <si>
    <t>The lowermost negative level of CO2 emissions in 2100 is therefore preserved and is maintained constant for the 22nd and 23rd centuries</t>
  </si>
  <si>
    <t>Slope sens. vs T, CH4</t>
  </si>
  <si>
    <t>Amplification factor for permafrost regions</t>
  </si>
  <si>
    <t>RF in 2100</t>
  </si>
  <si>
    <t>RF A</t>
  </si>
  <si>
    <t>RF B</t>
  </si>
  <si>
    <t>RF A-B</t>
  </si>
  <si>
    <t>SLR in 2100</t>
  </si>
  <si>
    <t>SLR A</t>
  </si>
  <si>
    <t>SLR B</t>
  </si>
  <si>
    <t>SLR A-B</t>
  </si>
  <si>
    <t>MC mean GMST</t>
  </si>
  <si>
    <t>MC mean SLR</t>
  </si>
  <si>
    <t>MC median GMST</t>
  </si>
  <si>
    <t>% relative to RCP8.5</t>
  </si>
  <si>
    <t>RCP2.6 &amp; SSP1</t>
  </si>
  <si>
    <t>SSP1 Sustainability – Taking the Green Road (Low challenges to mitigation and adaptation)</t>
  </si>
  <si>
    <t>SSP2 Middle of the Road (Medium challenges to mitigation and adaptation)</t>
  </si>
  <si>
    <t>SSP5 Fossil-fueled Development – Taking the Highway (High challenges to mitigation, low challenges to adaptation)</t>
  </si>
  <si>
    <t>Max value</t>
  </si>
  <si>
    <t>Experiment 7:</t>
  </si>
  <si>
    <t>Experiment 8:</t>
  </si>
  <si>
    <t>GMST</t>
  </si>
  <si>
    <t>W/m2/degC</t>
  </si>
  <si>
    <t>Same as Climate A</t>
  </si>
  <si>
    <t>Scenario pair 5:</t>
  </si>
  <si>
    <t>Dell et al (2012)</t>
  </si>
  <si>
    <t>Burke et al (2015)</t>
  </si>
  <si>
    <t>Land Permaforst Emissions</t>
  </si>
  <si>
    <t>Excess</t>
  </si>
  <si>
    <t>GMST A</t>
  </si>
  <si>
    <t>GMST B</t>
  </si>
  <si>
    <t>GMST A-B</t>
  </si>
  <si>
    <t>Switch Nonlinear Sea Ice Albedo:</t>
  </si>
  <si>
    <t>Switch Nonlinear Land Permafrost:</t>
  </si>
  <si>
    <t>Relative change in SENS</t>
  </si>
  <si>
    <t>Relative change in cumulative CO2 emissions</t>
  </si>
  <si>
    <t>Formulas checked on 21/06/2017, see sheet 3104</t>
  </si>
  <si>
    <t>Formulas checked on 05/06/2017</t>
  </si>
  <si>
    <t>Relative change</t>
  </si>
  <si>
    <t>Sensitivity results</t>
  </si>
  <si>
    <t>Relative change in GMST</t>
  </si>
  <si>
    <t>FGT</t>
  </si>
  <si>
    <t>Rate of change of grand total forcing</t>
  </si>
  <si>
    <t>W/m2/year</t>
  </si>
  <si>
    <t>Grand total forcing (including sulphates)</t>
  </si>
  <si>
    <t>Formulas checked on 27/06/2017, see sheet 3106</t>
  </si>
  <si>
    <t>Non-CO2 stimulation</t>
  </si>
  <si>
    <t>Non-CO2 emit to air</t>
  </si>
  <si>
    <t>Non-CO2 half life</t>
  </si>
  <si>
    <t>Base year cumul emiss</t>
  </si>
  <si>
    <t>Mtonne/yr</t>
  </si>
  <si>
    <t>Year</t>
  </si>
  <si>
    <t xml:space="preserve">Annual emissions in each analysis year </t>
  </si>
  <si>
    <t>Formula checked on 28/06/2017</t>
  </si>
  <si>
    <t>MC mean results A time series</t>
  </si>
  <si>
    <t>Percentiles A time series</t>
  </si>
  <si>
    <t>median</t>
  </si>
  <si>
    <t>Percentiles A-B time series</t>
  </si>
  <si>
    <t>GMST absolute change</t>
  </si>
  <si>
    <t>GMST relative change</t>
  </si>
  <si>
    <t>Global mean temperature with SIAF</t>
  </si>
  <si>
    <t>Percentiles B time series</t>
  </si>
  <si>
    <t>mean's MC 90% CI lower bound</t>
  </si>
  <si>
    <t>mean's MC 90% CI upper bound</t>
  </si>
  <si>
    <t>mean's MC 90% Confidence Range relative to the mean</t>
  </si>
  <si>
    <t>Scenario pair 6:</t>
  </si>
  <si>
    <t>Date of the computations:</t>
  </si>
  <si>
    <t>KEEP FREE</t>
  </si>
  <si>
    <t>MC mean A-B time series</t>
  </si>
  <si>
    <t>MtonCO2/yr</t>
  </si>
  <si>
    <t>Mton CO2/yr</t>
  </si>
  <si>
    <t>Permafrost annual CO2 flux to air, A-B</t>
  </si>
  <si>
    <t>Undiscount factors</t>
  </si>
  <si>
    <t>Developed on:</t>
  </si>
  <si>
    <t>g(Y&gt;2100) = g(Y2075) * EXP(- (Y-Y2075)/tau)</t>
  </si>
  <si>
    <t>tau = (Y2100-Y2075) / LN(g(Y2075)/g(Y2100))</t>
  </si>
  <si>
    <t>G -- GDP in a given region</t>
  </si>
  <si>
    <t>g = (dG/dt) / G -- relative rate of GDP change</t>
  </si>
  <si>
    <t>Total mitigation costs</t>
  </si>
  <si>
    <t>Total economic effect</t>
  </si>
  <si>
    <t>Total residual impacts</t>
  </si>
  <si>
    <t>MC mean cumulative anthropogenic CO2</t>
  </si>
  <si>
    <t>Timescale of CO2 land uptake</t>
  </si>
  <si>
    <t>Percent of CO2 land uptake</t>
  </si>
  <si>
    <t>Percent of CO2 staying in air asymptotically</t>
  </si>
  <si>
    <t>Cumulative emissions CO2 anthr</t>
  </si>
  <si>
    <t>Cumulative emissions CO2 anthr&amp;perm</t>
  </si>
  <si>
    <t>Base year cumul. C, CO2 component</t>
  </si>
  <si>
    <t>Base year cumul. C, CH4 component</t>
  </si>
  <si>
    <t>Annual emissions CO2 perm</t>
  </si>
  <si>
    <t>Annual emissions CO2 anthr&amp;perm</t>
  </si>
  <si>
    <t>Land uptake component CO2 historic</t>
  </si>
  <si>
    <t>Asymptote component CO2 projections</t>
  </si>
  <si>
    <t>Land uptake component CO2 projections</t>
  </si>
  <si>
    <t>Asymptote component CO2 historic</t>
  </si>
  <si>
    <t>Percent of CO2 short-term ocean uptake</t>
  </si>
  <si>
    <t>Percent of CO2 long-term ocean uptake</t>
  </si>
  <si>
    <t>Timescale of CO2 short-term ocean uptake</t>
  </si>
  <si>
    <t>Timescale of CO2 long-term ocean uptake</t>
  </si>
  <si>
    <t>Numbers imported from "CO2 cycle calibration from Joos et al (2013) - 1000 yr horizon.xlsx"</t>
  </si>
  <si>
    <t>Ocean-short uptake component CO2 historic</t>
  </si>
  <si>
    <t>Ocean-short uptake component CO2 projections</t>
  </si>
  <si>
    <t>Ocean-long uptake component CO2 historic</t>
  </si>
  <si>
    <t>Ocean-long uptake component CO2 projections</t>
  </si>
  <si>
    <t>Permafrost base year cumul. C, total</t>
  </si>
  <si>
    <t>Permafrost base year cumul. CO2</t>
  </si>
  <si>
    <t>Permafrost base year cumul. CH4</t>
  </si>
  <si>
    <t>Remaining CO2 emissions NO CCF</t>
  </si>
  <si>
    <t>Timescale for historic CO2 emissions</t>
  </si>
  <si>
    <t>Correction factor for remaining CO2</t>
  </si>
  <si>
    <t>Formula checked on 06/05/2018</t>
  </si>
  <si>
    <t>Formula checked on 06/05/2018, see sheet 3254</t>
  </si>
  <si>
    <t>Formula checked on 06/05/2018, see sheet 3256</t>
  </si>
  <si>
    <t>CA and IA CO2 emissions swapped relative to v6.8. See "CAIT_Country_GHG_Emissions_-_All_Data" and https://www.belfercenter.org/publication/chinas-carbon-emissions-report-2015 for further details</t>
  </si>
  <si>
    <t>Updated on 06/05/2018</t>
  </si>
  <si>
    <t>CMIP5 CO2 concentration RCP3PD</t>
  </si>
  <si>
    <t>CMIP5 CO2 concentration RCP4.5</t>
  </si>
  <si>
    <t>CMIP5 CO2 concentration RCP8.5</t>
  </si>
  <si>
    <t>MC mean atmospheric CO2 concentration</t>
  </si>
  <si>
    <t>MC mean RF, all gases</t>
  </si>
  <si>
    <t>Checking against CMIP5 CO2 concentration defaults (source files provided by Kevin Schaefer)</t>
  </si>
  <si>
    <t>This parameter is not relevant when CCF is set to zero</t>
  </si>
  <si>
    <t>SSP3</t>
  </si>
  <si>
    <t>SSP4</t>
  </si>
  <si>
    <t>Origianal SSPs</t>
  </si>
  <si>
    <t>SSP234 = AVERAGE(SSP2, SSP3, SSP4)</t>
  </si>
  <si>
    <t>Modified RCPs</t>
  </si>
  <si>
    <t>Modified RCP2.6 scenario allowing to achieve a 50% chance of staying below either 1.5degC or 2degC in 2100 under a given model configuration</t>
  </si>
  <si>
    <t>Modified SSPs</t>
  </si>
  <si>
    <t>The downscaling is applied to the difference between base-year CO2 emissions and the lowermost negative CO2 emissions in 2100</t>
  </si>
  <si>
    <t>Formula checked on 15/05/2018</t>
  </si>
  <si>
    <t>1.5 degC target</t>
  </si>
  <si>
    <t>2 degC target</t>
  </si>
  <si>
    <t>NDCs</t>
  </si>
  <si>
    <t>NDCs partial</t>
  </si>
  <si>
    <t>Current BaU</t>
  </si>
  <si>
    <t>Weight (from -100% to 100%)</t>
  </si>
  <si>
    <t>https://www.eea.europa.eu/data-and-maps/indicators/global-and-european-temperature-4/assessment</t>
  </si>
  <si>
    <t>https://www.ncdc.noaa.gov/cag/global/time-series/globe/land_ocean/ytd/12/1880-2016</t>
  </si>
  <si>
    <t>See "1850-2016-GMST.xlsx" for the data and calculations</t>
  </si>
  <si>
    <t>SSP3 Rigeonal Rivalry</t>
  </si>
  <si>
    <t>SSP4 Inequality</t>
  </si>
  <si>
    <t>Scenario pair 0:</t>
  </si>
  <si>
    <t>Zero Emissions &amp; SSP1</t>
  </si>
  <si>
    <t>2 degC Target</t>
  </si>
  <si>
    <t>1.5 degC Target</t>
  </si>
  <si>
    <t>2.5 degC Target</t>
  </si>
  <si>
    <t>NDCs Partial</t>
  </si>
  <si>
    <t>Extra pair 1:</t>
  </si>
  <si>
    <t>Extra pair 2:</t>
  </si>
  <si>
    <t>Extra pair 3:</t>
  </si>
  <si>
    <t>2.5 degC target</t>
  </si>
  <si>
    <t xml:space="preserve">0 = Zero Emissions, 1 = Low Emissions (1.5 and 2 degC targets), 2 = Medium and High Emissions, 3 = Extra Scenarios </t>
  </si>
  <si>
    <t>Scenario:</t>
  </si>
  <si>
    <t>Weighting factor required:</t>
  </si>
  <si>
    <t>Extra abatement required:</t>
  </si>
  <si>
    <t>Extra abatement rate vs RCP2.6: Compounding annual rate, established empirically in order to achieve a 50% chance of staying either below 1.5degC or 2degC in 2100 under a given model configuration</t>
  </si>
  <si>
    <t>Median T(2100) target:</t>
  </si>
  <si>
    <t>Value obtained using Risk Optimiser (1000 MC iterations, 20 trials) on 15/05/2018</t>
  </si>
  <si>
    <t>Year when extra abatement starts: First year when the additional abatement rate is switched on</t>
  </si>
  <si>
    <t>Year when extra abatement ends: Last year when the additional abatement rate is switched on</t>
  </si>
  <si>
    <t>Formulae checked on 15/05/2018</t>
  </si>
  <si>
    <t>Weighting parameter for the SSPW and RCPW scenarios: Quadratic weighting of SSP1, SS234 and SSP5 (and RCP2.6, RCP4.5 and RCP8.5, respectively) to provide gradual transition from the SSP1 &amp; RCP2.6 world on the one end to the SSP5 &amp; RCP8.5 world on the other end</t>
  </si>
  <si>
    <t>Formula checked on 15/05/2018, see sheet 3267</t>
  </si>
  <si>
    <t>Sources for the climatological GMST estimate in the PAGE base year and CMIP5 base period:</t>
  </si>
  <si>
    <t>Calibration T for the Burke economic impact function</t>
  </si>
  <si>
    <t>Discont</t>
  </si>
  <si>
    <t>SLR</t>
  </si>
  <si>
    <t>DIS</t>
  </si>
  <si>
    <t>WINCF_S</t>
  </si>
  <si>
    <t>WINCF_2</t>
  </si>
  <si>
    <t>WINCF_1</t>
  </si>
  <si>
    <t>Impact weights including focus region</t>
  </si>
  <si>
    <t>GMST, PAGE base year climatology, anomaly vs pre-ind (1850-1900)</t>
  </si>
  <si>
    <t>GMST, CMIP5 base period climatology, anomaly vs pre-ind (1850-1900)</t>
  </si>
  <si>
    <t xml:space="preserve">GMST, CMIP5 base period climatology, absolute value in each region  </t>
  </si>
  <si>
    <t xml:space="preserve">GMST, PAGE base year climatology, absolute value in each region  </t>
  </si>
  <si>
    <t>PAGE09 Dell Mimic</t>
  </si>
  <si>
    <t>PAGE09 Burke Mimic</t>
  </si>
  <si>
    <t>1/yr per degC</t>
  </si>
  <si>
    <t>1/yr per degC^2</t>
  </si>
  <si>
    <r>
      <t>I</t>
    </r>
    <r>
      <rPr>
        <b/>
        <vertAlign val="subscript"/>
        <sz val="10"/>
        <rFont val="Arial"/>
        <family val="2"/>
      </rPr>
      <t>1PAGE09</t>
    </r>
  </si>
  <si>
    <r>
      <t>I</t>
    </r>
    <r>
      <rPr>
        <b/>
        <vertAlign val="subscript"/>
        <sz val="10"/>
        <rFont val="Arial"/>
        <family val="2"/>
      </rPr>
      <t>1Burke</t>
    </r>
  </si>
  <si>
    <t xml:space="preserve">anomaly from pre-industrial, adaptation-adjusted </t>
  </si>
  <si>
    <t xml:space="preserve">absolute value, adaptation-adjusted </t>
  </si>
  <si>
    <r>
      <t>IREF</t>
    </r>
    <r>
      <rPr>
        <b/>
        <vertAlign val="subscript"/>
        <sz val="10"/>
        <rFont val="Arial"/>
        <family val="2"/>
      </rPr>
      <t>1PAGE09</t>
    </r>
  </si>
  <si>
    <r>
      <t>IREF</t>
    </r>
    <r>
      <rPr>
        <b/>
        <vertAlign val="subscript"/>
        <sz val="10"/>
        <rFont val="Arial"/>
        <family val="2"/>
      </rPr>
      <t>1Burke</t>
    </r>
  </si>
  <si>
    <t xml:space="preserve">dimensionless </t>
  </si>
  <si>
    <t>Impact at focus GDP/cap: Burke</t>
  </si>
  <si>
    <t>Impact at focus GDP/cap: PAGE09</t>
  </si>
  <si>
    <t>Modified on 18/05/2018: higher tolerable limits/impact reductions, but longer times to reach them</t>
  </si>
  <si>
    <t>The large %GDP losses (positive values in the array) will be downscaled below using the saturation limit ISATG, as well as adaptation-driven impact reduction</t>
  </si>
  <si>
    <t>Impact with sat&amp;adaptation</t>
  </si>
  <si>
    <t>Impact with sat&amp;ad/cap</t>
  </si>
  <si>
    <r>
      <t>ISATAD</t>
    </r>
    <r>
      <rPr>
        <b/>
        <vertAlign val="subscript"/>
        <sz val="10"/>
        <rFont val="Arial"/>
        <family val="2"/>
      </rPr>
      <t>1</t>
    </r>
  </si>
  <si>
    <t>Impact saturation and impact reduction through adaptation are separated</t>
  </si>
  <si>
    <t>Same as Impacts A</t>
  </si>
  <si>
    <t>absolute value</t>
  </si>
  <si>
    <r>
      <t>I</t>
    </r>
    <r>
      <rPr>
        <b/>
        <vertAlign val="subscript"/>
        <sz val="10"/>
        <rFont val="Arial"/>
        <family val="2"/>
      </rPr>
      <t>1log</t>
    </r>
  </si>
  <si>
    <t>The switch between Burke and PAGE09 impacts is implemented here</t>
  </si>
  <si>
    <r>
      <t>ISATAD</t>
    </r>
    <r>
      <rPr>
        <b/>
        <vertAlign val="subscript"/>
        <sz val="10"/>
        <rFont val="Arial"/>
        <family val="2"/>
      </rPr>
      <t xml:space="preserve">1 </t>
    </r>
    <r>
      <rPr>
        <b/>
        <sz val="10"/>
        <rFont val="Arial"/>
        <family val="2"/>
      </rPr>
      <t>per cap</t>
    </r>
  </si>
  <si>
    <t>Impact reduction beyond tolerable levels, up until a maximum adaptation-adjusted SRL or T beyond which the impacts saturate</t>
  </si>
  <si>
    <t>Tolerable levels (for adaptation-adjusted SLR or T) below which the impact is zero</t>
  </si>
  <si>
    <t>Formula checked on 19/05/2018, see sheet 3273</t>
  </si>
  <si>
    <t>Impact at focus GDP/cap: chosen</t>
  </si>
  <si>
    <r>
      <t>IREF</t>
    </r>
    <r>
      <rPr>
        <b/>
        <vertAlign val="subscript"/>
        <sz val="10"/>
        <rFont val="Arial"/>
        <family val="2"/>
      </rPr>
      <t>1</t>
    </r>
  </si>
  <si>
    <t>Global nonlinear economic impact function from Fig 2a in Burke et al (2015): d(ln(Y))/dt as a function of absolute regional temperature. Impacts occuring only in the same year as temperature shocks (Lag=1) and are taken entirely out of consumption</t>
  </si>
  <si>
    <t>This data is needed for the Burke et al. (2015) economic impact function</t>
  </si>
  <si>
    <t>Updated on 21/05/2018</t>
  </si>
  <si>
    <t>Source: "IPCC AR5 damages with Burke.xlsx"</t>
  </si>
  <si>
    <t>Methodology: Monte-Carlo fitting with RISK Optimiser that minimises root mean squared distance between the scatter plot with the data points (AR5 and Burke global) and the PAGE09 functional form</t>
  </si>
  <si>
    <t>25th precentile</t>
  </si>
  <si>
    <t>75th precentile</t>
  </si>
  <si>
    <t>Source: Era-Interim reanalysis for 1979-2005, population-weighted, computed by Fernando Iglesias-Suarez</t>
  </si>
  <si>
    <t>Gridded population data: http://sedac.ciesin.columbia.edu/data/set/gpw-v4-population-count-rev10/data-download</t>
  </si>
  <si>
    <t>Updated on 22/05/2018. Source: "tas_pop-weighted-yr2010_ERA-Interim_PAGE-reg_climo_lowess-smoothing_197901-200512.xlsx"</t>
  </si>
  <si>
    <t>Burke, Pulled, Lag=1, Consum-Only</t>
  </si>
  <si>
    <t>Slope pow vs T, CO2</t>
  </si>
  <si>
    <t>Slope sens vs T, CO2</t>
  </si>
  <si>
    <t>Slope lag vs T, CO2</t>
  </si>
  <si>
    <t>Nonlinear power for cumulative carbon emissions, CO2</t>
  </si>
  <si>
    <t>Time lag for cumulative carbon emissions, CH4</t>
  </si>
  <si>
    <t>Source: http://www.metoffice.gov.uk/research/news/2016/the-global-carbon-budget-2016</t>
  </si>
  <si>
    <t>Source: Annual means for NOAA and SCRIPPS data: https://www.co2.earth/monthly-co2</t>
  </si>
  <si>
    <t>Source: CMIP5 simulations (5 models, 2 scenarios used with SiBCASA) for permafrost regions out to 2300</t>
  </si>
  <si>
    <t>Correction for perm lag, CO2</t>
  </si>
  <si>
    <t>Correction for perm sensitivity, CO2</t>
  </si>
  <si>
    <t>Correction for perm power, CO2</t>
  </si>
  <si>
    <t>Equilibrium perm cumul carbon, CO2</t>
  </si>
  <si>
    <t>Released perm cumul carbon, CO2</t>
  </si>
  <si>
    <t>Released perm cumulative CO2</t>
  </si>
  <si>
    <t>Equilibrium perm cumul carbon, CH4</t>
  </si>
  <si>
    <t>Correction for perm sensitivity, CH4</t>
  </si>
  <si>
    <t>Released perm cumul carbon, CH4</t>
  </si>
  <si>
    <t>Released perm cumulative CH4</t>
  </si>
  <si>
    <t>Formula updated and checked on 27/05/2018, see sheet 3279</t>
  </si>
  <si>
    <t>MC mean cumul. CO2 rel. change due to perm.</t>
  </si>
  <si>
    <t>Impacts</t>
  </si>
  <si>
    <t>CO2 cycle</t>
  </si>
  <si>
    <t>Sulphates and SLR</t>
  </si>
  <si>
    <t>Climate sensitivity</t>
  </si>
  <si>
    <t>Discontinuity</t>
  </si>
  <si>
    <t>Impact functions</t>
  </si>
  <si>
    <t>PAGE09 Default</t>
  </si>
  <si>
    <t>PAGE09 &amp; IPCC AR5 &amp; Burke</t>
  </si>
  <si>
    <t>Switch for choosing Econ Impact group:</t>
  </si>
  <si>
    <t>Same as in PAGE09, but with a minor adjustment for "impact at calibration temp" according to IPCC AR5</t>
  </si>
  <si>
    <t>Central trajectory for business as usual emissions: RCP8.5</t>
  </si>
  <si>
    <t xml:space="preserve">There is a subsequent adjustment using "Uncertainty in BaU" parameter, which creates an uncertainty range around RCP8.5: upper end of the range according to Christensen et al (2018), lower end of the range approximately around RCP6.0 </t>
  </si>
  <si>
    <t>stdev</t>
  </si>
  <si>
    <t>Carbon flux to ocean, no CO2-stimulation</t>
  </si>
  <si>
    <t>This period total anthr &amp; perm emissions</t>
  </si>
  <si>
    <t>This period total after land uptake (approx = instantaneous uptake)</t>
  </si>
  <si>
    <t>Remaining emissions in the atmosphere</t>
  </si>
  <si>
    <t>Permafrost flux plus ocean flux due to permaforst, A-B</t>
  </si>
  <si>
    <t>Global ocean sink annual CO2 flux (defined as negative)</t>
  </si>
  <si>
    <t>Ocean annual CO2 flux due to permafrost, A-B</t>
  </si>
  <si>
    <t>Nonlinear PCF</t>
  </si>
  <si>
    <t>SCCO2 Nonlinear PCF</t>
  </si>
  <si>
    <t>Permafrost flux and ocean flux due to permafrost, CO2</t>
  </si>
  <si>
    <t>SUM NO SCCO2</t>
  </si>
  <si>
    <t>SCCO2 drop rate</t>
  </si>
  <si>
    <t>KEEP BLANK</t>
  </si>
  <si>
    <t>Formula updated on 08/06/2018. Effective annual emissions rate for the SCCO2 pulse</t>
  </si>
  <si>
    <t>Formula updated on 08/06/2018</t>
  </si>
  <si>
    <t>SCCO2 formula moved to Emissions B on 08/06/2018</t>
  </si>
  <si>
    <t>Effect A</t>
  </si>
  <si>
    <t xml:space="preserve">Effect B </t>
  </si>
  <si>
    <t>Effect A-B</t>
  </si>
  <si>
    <t>Reduced compared to PAGE09, with the upper limit of the order of the estimated US GDP loss at the height of the Great Depression in 1933. This is also roughly 1.5 times above the Monte-Carlo fitted values for the saturated economic impacts based on IPCC AR5 and Burke global. See "IPCC AR5 damages with Burke.xlsx" for the calculations.</t>
  </si>
  <si>
    <t>PAGE09 economic</t>
  </si>
  <si>
    <t>Burke economic</t>
  </si>
  <si>
    <t>Verified according to Rubin et al (2015)</t>
  </si>
  <si>
    <t xml:space="preserve">Updated on 28/05/2018. The upper bound is based on Christensen et al (2018) &lt;=&gt; 35% chance of exceeding the concentration levels of RCP8.5 in 2100 (see PAGE-ICE v6.15). The lower bound is assumed to correspond to RCP6.0. The figures are derived based on the corresponding global emissions in 2100 under RCP8.5 and RCP6.0 from the RCP Database, https://tntcat.iiasa.ac.at/RcpDb/dsd?Action=htmlpage&amp;page=compare  </t>
  </si>
  <si>
    <t>Initial most negative cost cutback</t>
  </si>
  <si>
    <t>Initial maximum cutbacks at positive cost</t>
  </si>
  <si>
    <t>Initial maximum cutback cost</t>
  </si>
  <si>
    <t>proportional drop</t>
  </si>
  <si>
    <t>Updated on 19/06/2018</t>
  </si>
  <si>
    <t>Was -0.16 in PAGE09</t>
  </si>
  <si>
    <t>Was 0.12 in PAGE09</t>
  </si>
  <si>
    <t>Was -0.09 in PAGE09</t>
  </si>
  <si>
    <t xml:space="preserve">Was 0.22 in PAGE09 </t>
  </si>
  <si>
    <t xml:space="preserve">Learning rate (prop. drop in cost for experience doubling) </t>
  </si>
  <si>
    <t>Global mitigation cost</t>
  </si>
  <si>
    <t xml:space="preserve">Mitigation cost/GDP </t>
  </si>
  <si>
    <t>(annual, no aggregation or discounting)</t>
  </si>
  <si>
    <t>Total RF including the effects of PCF and SIAF</t>
  </si>
  <si>
    <t>Estimate for SLR percentiles in 2100 from Nauels et al. (2017), Fig 5, SSP5, with extra AIS discharge. See PAGE-ICE v6.15 for calibration details</t>
  </si>
  <si>
    <t>Updated on 21/06/2018</t>
  </si>
  <si>
    <t>Aldy, J. E., Pizer, W., Tavoni, M., Reis, L., Akimoto, K., Blanford, G., ... &amp; McJeon, H. (2016). Economic tools to promote transparency and comparability in the Paris Agreement. Harward, US</t>
  </si>
  <si>
    <t>Updated on 22/06/2018. Values adjusted to give the annual rate consistent with autonomous energy efficiency improvements in global industry documented by the International Energy Agency (IEA) 2012 report. Kermeli et al (2014): "Annual autonomous energy efficiency improvement in the iron and steel, cement, and primary aluminum industry under the 4 °C Scenario is about 0.7 %, 0.5–0.6 %, and 0.4–-0.5 %, respectively". We use the range of annual rates of 0.4 to 0.6%/year, with mod of 0.5%/year.</t>
  </si>
  <si>
    <t>Check: auton. tech. change rate for min, mod, max of 2100 cost reduction</t>
  </si>
  <si>
    <t>Formula checked on 18/05/2018, see sheet 3272</t>
  </si>
  <si>
    <t>Initialising parameters for the SiBCASA emulator</t>
  </si>
  <si>
    <t>Initialising parameters for the JULES emulator</t>
  </si>
  <si>
    <t>Updated on 21/10/2018 using improved iterational calibration algorithm for SiBCASA data, applied to generalised PCF emulator</t>
  </si>
  <si>
    <t>Updated on 21/10/2018</t>
  </si>
  <si>
    <t>Updated on 21/10/2018 using improved iterational calibration algorithm for JULES data, applied to generalised PCF emulator</t>
  </si>
  <si>
    <t>SiBCASA</t>
  </si>
  <si>
    <t>JULES</t>
  </si>
  <si>
    <t>Source: CMIP3 simulations (22 models, 3 scenarios used with JULES) for permafrost regions out to 2300</t>
  </si>
  <si>
    <t>Uncertainty in the initial carbon stock</t>
  </si>
  <si>
    <t>Source: Hugelius et al (2014)</t>
  </si>
  <si>
    <t>Permafrost: SiBCASA</t>
  </si>
  <si>
    <t>Permafrost: JULES</t>
  </si>
  <si>
    <t>SAF</t>
  </si>
  <si>
    <t>Permafrost emulator: SiBCASA</t>
  </si>
  <si>
    <t>Permafrost emulator: JULES</t>
  </si>
  <si>
    <t>Upper limit for permaforst T</t>
  </si>
  <si>
    <t>linear</t>
  </si>
  <si>
    <t>Type of T correction</t>
  </si>
  <si>
    <t>nonlinear</t>
  </si>
  <si>
    <t>See "Fitting_results_CO2_SiB_multimod_multiscen_iterations.xlsx"</t>
  </si>
  <si>
    <t>See "Fitting_results_CO2_JULdR_multimod_multiscen_iterations.xlsx"</t>
  </si>
  <si>
    <t>Formula updated and checked on 27/05/2018</t>
  </si>
  <si>
    <t>Formula checked on 27/05/2018</t>
  </si>
  <si>
    <t>Formula checked on 22/10/2018</t>
  </si>
  <si>
    <t>Updated on 21/10/2018. Source: SiBCASA simulations between pre-industrial conditions and 2015 climatology (multi-model climate forcing, 2 RCPs)</t>
  </si>
  <si>
    <t>Updated on 21/10/2018. Source: JULES simulations between pre-industrial conditions and 2015 climatology (multi-model climate forcing, 3 RCPs)</t>
  </si>
  <si>
    <t>Formula updated and checked on 22/10/2018. NOTE the restriction on the sign (nonnegative)</t>
  </si>
  <si>
    <t>Formula updated and checked on 22/10/2018, see sheet 3309</t>
  </si>
  <si>
    <t>Formula updated and checked on 22/10/2018. No need to apply the sign restriction (power function)</t>
  </si>
  <si>
    <t>Formula updated and checked on 22/10/2018, see sheet 3309. NOTE the additional conditionality operator</t>
  </si>
  <si>
    <t>switch_perm</t>
  </si>
  <si>
    <t>Cumulative emissions CO2 perm</t>
  </si>
  <si>
    <t>Different from Climate A if the permafrost is ON in one of them</t>
  </si>
  <si>
    <t>NOTE: formula different from the rest!</t>
  </si>
  <si>
    <t>Correction for perm lag, CH4</t>
  </si>
  <si>
    <t>Correction for perm power, CH4</t>
  </si>
  <si>
    <t>Updated on 05/12/2018. Source: SiBCASA simulations between pre-industrial conditions and 2015 climatology (multi-model climate forcing, 2 RCPs)</t>
  </si>
  <si>
    <t>Type of T correction, CO2</t>
  </si>
  <si>
    <t>Type of T correction, CH4</t>
  </si>
  <si>
    <t>Slope lag vs T, CH4</t>
  </si>
  <si>
    <t>Slope pow vs T, CH4</t>
  </si>
  <si>
    <t>Updated on 05/12/2018 using improved iterational calibration algorithm for SiBCASA data, applied to generalised PCF emulator</t>
  </si>
  <si>
    <t>Updated on 05/12/2018</t>
  </si>
  <si>
    <t>NOTE: There is no separate CH4 component in JULES. Use Schaedel et al. (2016) to estimate the CH4 carbon based on the CO2 carbon</t>
  </si>
  <si>
    <t>Nonlinear power for cumulative carbon emissions, CH4</t>
  </si>
  <si>
    <t>Permafrost CH4 carbon relative to CO2 carbon</t>
  </si>
  <si>
    <t>Source: Schaedel et al (2016), transformed from the CH4 carbon / Total carbon ratio into the CH4 carbon / CO2 carbon ratio in "Permafrost_CH4_vs_CO2_carbon.xlsx"</t>
  </si>
  <si>
    <t>Formula checked on 05/12/2018. Note the units for the carbon ratio (%)</t>
  </si>
  <si>
    <t>Formula checked on 05/12/2018</t>
  </si>
  <si>
    <t>Formula checked on 05/12/2019</t>
  </si>
  <si>
    <t>Formula checked on 05/12/2020</t>
  </si>
  <si>
    <t>Cumulative emissions CH4 perm</t>
  </si>
  <si>
    <t>Formula updated and checked on 05/12/2018. NOTE the restriction on the sign (nonnegative)</t>
  </si>
  <si>
    <t>Formula updated and checked on 05/12/2018</t>
  </si>
  <si>
    <t>Formula updated and checked on 05/12/2018, see sheet 3309. NOTE the additional conditionality operator</t>
  </si>
  <si>
    <t>See "Fitting_results_CH4_SiB_multimod_multiscen_iterations.xlsx"</t>
  </si>
  <si>
    <t xml:space="preserve">See "Fitting_results_CO2_SiB_multimod_multiscen_iterations.xlsx", "Fitting_results_CH4_SiB_multimod_multiscen_iterations.xlsx" </t>
  </si>
  <si>
    <t>Formula corrected on 05/12/2018</t>
  </si>
  <si>
    <t>Permafrost temperature, SiBCASA only</t>
  </si>
  <si>
    <t>Permafrost cumulative carbon (CO2), SiBCASA &amp; JULES</t>
  </si>
  <si>
    <t>Permafrost cumulative carbon (CH4), SiBCASA &amp; JULES</t>
  </si>
  <si>
    <t xml:space="preserve">Updated on 22/10/2018. A constraint introduced to handle the cases when consumption per capita in AF is too low to cover the high mitigation costs for the Zero Emissions scenario. This is a temporary fix, pending introduction of growth elements of deep mitigation (green growth) and climate impacts </t>
  </si>
  <si>
    <t xml:space="preserve">Updated on 07/12/2018. A constraint introduced to handle the cases when consumption per capita in AF is too low to cover the high mitigation costs for the Zero Emissions scenario. This is a temporary fix, pending introduction of growth elements of deep mitigation (green growth) and climate impacts </t>
  </si>
  <si>
    <t>Burke, Pulled, Lag=2, Consum-Only</t>
  </si>
  <si>
    <t>Global nonlinear economic impact function from Fig 2a in Burke et al (2015): d(ln(Y))/dt as a function of absolute regional temperature. Impacts depend on temperature shocks over the past 2 years, with equal weights, but are taken entirely out of consumption. No real growth effects</t>
  </si>
  <si>
    <t xml:space="preserve">Updated on 07/12/2018 to introduce the Lag=2 case </t>
  </si>
  <si>
    <t>Updated on 20/09/2018: no adaptation in order to focus on the Burke impacts for low temeprature targets</t>
  </si>
  <si>
    <t>Updated on 20/09/2018: no adaptation to be consistent with the economic impacts</t>
  </si>
  <si>
    <t xml:space="preserve">Updated on 22/10/2018: PAGE09 defaults for Plateau and Impmax. The times are kept a the longer values from v6.17. The SLR adaptation is reintroduced due to its high cost-effectiviness </t>
  </si>
  <si>
    <t>Previous formula: "IF(((rtl-RTL_0)-atl_1) &lt; 0, RTL_ABS_0, ((rtl-RTL_0)-atl_1)+RTL_ABS_0)"</t>
  </si>
  <si>
    <t>Updated on 07/12/2018 to remove the lower-end restriction on the adaptation-adjusted temperature anomaly in each region. This is required for the deep mitigation scenarios, when the temperatures could fall below the base year levels in the long run</t>
  </si>
  <si>
    <t>T for segment switch</t>
  </si>
  <si>
    <t>SAF_mean_quad_segment: T^2 coeff</t>
  </si>
  <si>
    <t>W/m2/K3</t>
  </si>
  <si>
    <t>SAF_mean_quad_segment: T^1 coeff</t>
  </si>
  <si>
    <t>W/m2/K2</t>
  </si>
  <si>
    <t>SAF_mean_quad_segment: T^0 coeff</t>
  </si>
  <si>
    <t>W/m2/K</t>
  </si>
  <si>
    <t>SAF_std_quad_segment</t>
  </si>
  <si>
    <t>SAF_mean_lin_segment</t>
  </si>
  <si>
    <t>SAF_std_lin_segment</t>
  </si>
  <si>
    <t>Nonlinear SAF</t>
  </si>
  <si>
    <t>Nonlinear PCF &amp; SAF</t>
  </si>
  <si>
    <t>SCCO2 Nonlinear SAF</t>
  </si>
  <si>
    <t>SCCO2 Nonlinear PCF &amp; SAF</t>
  </si>
  <si>
    <t>Permafrost emulators: TOTAL, with initial stock uncertainty and the on/off switch</t>
  </si>
  <si>
    <t>NOTE: start all the names with PERM if related to the permafrost</t>
  </si>
  <si>
    <t>NOTE: start all the names with ALB if related to the SAF</t>
  </si>
  <si>
    <t xml:space="preserve">See "Results_SAF_Winton_historical-rcp85_Emulator.xlsx" </t>
  </si>
  <si>
    <t>Reduced considerably compared to PAGE09 (slow ice sheets excluded)</t>
  </si>
  <si>
    <t>Reduced considerably compared to PAGE09 ( ice sheets moved to fat-tailed distribution in the SLR driver)</t>
  </si>
  <si>
    <t>Normalised random variable for the emulator</t>
  </si>
  <si>
    <t>Formula updated and checked on 14/12/2018, see sheet 3326</t>
  </si>
  <si>
    <t>ECS-average SAF</t>
  </si>
  <si>
    <t xml:space="preserve">Period-constant approximation for SAF </t>
  </si>
  <si>
    <t>Base year SAF</t>
  </si>
  <si>
    <t>Adjustment to SAF relative to ECS average</t>
  </si>
  <si>
    <t>Switch Nonlinear Surface Albedo:</t>
  </si>
  <si>
    <t>FSAF at actual T</t>
  </si>
  <si>
    <t xml:space="preserve">SAF at actual T </t>
  </si>
  <si>
    <t>GMST with nonlinear SAF adjustment</t>
  </si>
  <si>
    <t>GMST preliminary (no SAF adjustment)</t>
  </si>
  <si>
    <t>switch_seaice</t>
  </si>
  <si>
    <t>Formulas checked on 27/06/2017, see sheet 3106, updated on 14/12/2018 using new indices for adjusted FSAF, ECS and FRT</t>
  </si>
  <si>
    <t>Adjustment to FSAF (numerical scheme)</t>
  </si>
  <si>
    <t>Adjusted ECS (numerical scheme)</t>
  </si>
  <si>
    <t>Adjusted FRT (numerical scheme)</t>
  </si>
  <si>
    <t>MC mean FSAF from pre-ind</t>
  </si>
  <si>
    <t>MC mean FSAF based on ECS-averaged SAF</t>
  </si>
  <si>
    <t>MC mean SAF minus ECS-averaged SAF</t>
  </si>
  <si>
    <t>Relative change in GMST due to SAF</t>
  </si>
  <si>
    <t>FSAF based on ECS-averaged SAF</t>
  </si>
  <si>
    <t>FSAF minus ECS-based FSAF</t>
  </si>
  <si>
    <t>SAF minus ECS-averaged SAF</t>
  </si>
  <si>
    <t>ECS-averaged SAF</t>
  </si>
  <si>
    <t>MC mean</t>
  </si>
  <si>
    <t xml:space="preserve">MC SD: </t>
  </si>
  <si>
    <t>Base year FSAF (from pre-ind)</t>
  </si>
  <si>
    <t>MC mean rel. change in ECS due to SAF</t>
  </si>
  <si>
    <t>MC mean rel. change in GMST due to SAF</t>
  </si>
  <si>
    <t>ECS-level FSAF (from pre-ind)</t>
  </si>
  <si>
    <t>Total RF including the effects of PCF and SAF</t>
  </si>
  <si>
    <t>Net annual flux associated with permafrost</t>
  </si>
  <si>
    <t>(Annual perm flux A-B plus Ocean flux due to perm A-B)</t>
  </si>
  <si>
    <t>BAU</t>
  </si>
  <si>
    <t>Updated on 13/12/2018</t>
  </si>
  <si>
    <t>Global ocean sink annual CO2 flux (negative values = sink)</t>
  </si>
  <si>
    <t>Segment switch FSAF</t>
  </si>
  <si>
    <t>Formula updated and checked on 15/12/2018, see sheet 3326</t>
  </si>
  <si>
    <t>Formula updated and checked on 14/12/2018, see sheets 3326-3328</t>
  </si>
  <si>
    <t>Currency units updated from $2005 (PAGE09) to $2015 by multiplying by 1.2, US GDP deflator from the US Bureau of Economic Analysis as tabulated at http://www.multpl.com/gdp-deflator/table</t>
  </si>
  <si>
    <t>Initialising parameters of the SAF emulator based on the Winton code</t>
  </si>
  <si>
    <t>Surface Albedo Feedback (global)</t>
  </si>
  <si>
    <t>NOTE: we model the global total SAF. The nonlinearity is mainly based on the decline of Arctic sea ice and land snow</t>
  </si>
  <si>
    <t>Updated on 20/09/2018 to remove T_max to allow for higher impacts under the most extreme climate scenarios</t>
  </si>
  <si>
    <t>Original data source: SSP database, https://tntcat.iiasa.ac.at/SspDb/dsd?Action=htmlpage&amp;page=about</t>
  </si>
  <si>
    <t>Updated further on 07/03/2019 to correct the minor irregularities in the FSAF calculations (new input file for FSAF: "CMIP5_models_fsaf_30year_running_mean_dynamic_and_fixed_clouds.xlsx")</t>
  </si>
  <si>
    <t>N.A.</t>
  </si>
  <si>
    <t>Random variable for triggering discontinuity</t>
  </si>
  <si>
    <t>Climate science</t>
  </si>
  <si>
    <t>Impact log change Burke</t>
  </si>
  <si>
    <t>Physical Impact SLR</t>
  </si>
  <si>
    <t>Physical Impact Econ Burke</t>
  </si>
  <si>
    <t>Physical Impact Econ PAGE09</t>
  </si>
  <si>
    <t>Physical Impact NonEcon</t>
  </si>
  <si>
    <t>Physical Impact Disc</t>
  </si>
  <si>
    <t>Discount factors if equity-weighted</t>
  </si>
  <si>
    <t>Quality Control</t>
  </si>
  <si>
    <t xml:space="preserve">0 = PAGE09 style, 1 = Burke, consumption only, 2 = Burke, growth effects (TO BE ADDED LATER IN PAGE20)  </t>
  </si>
  <si>
    <t>Setting CCF to zero when the Joos et al. (2013) CO2 cycle parameterisation is used gives CO2 concentrations for RCP2.6, 4.5 and 8.5 that are consistent with the CMIP5 RCP concentration defaults extended out to 2300. See the Results tab</t>
  </si>
  <si>
    <t>PAGE-ICE Nonlinear Arctic Feedbacks</t>
  </si>
  <si>
    <t>Not the same as A anymore!</t>
  </si>
  <si>
    <t>Switch for choosing FIRST Scenario group:</t>
  </si>
  <si>
    <t>Switch for choosing SECOND Scenario group:</t>
  </si>
  <si>
    <t>Choose FIRST scanario pair (World A):</t>
  </si>
  <si>
    <t>Choose SECOND scanario pair (World B):</t>
  </si>
  <si>
    <t>RCP2.6 extra mitigation, FIRST</t>
  </si>
  <si>
    <t>RCP2.6 extra mitigation, SECOND</t>
  </si>
  <si>
    <t>Parameters for the RCP2.6extra scenario, FIRST:</t>
  </si>
  <si>
    <t>Parameters for the RCP2.6extra scenario, SECOND:</t>
  </si>
  <si>
    <t>Weighting parameter for the SSPW and RCPW scenario, FIRST:</t>
  </si>
  <si>
    <t>Weighting parameter for the SSPW and RCPW scenario, SECOND:</t>
  </si>
  <si>
    <t>RCPW = weighted RCP2.6, RCP4.5 and RCP8.5 to match with SSPW, FIRST</t>
  </si>
  <si>
    <t>Annual EU CO2 emissions</t>
  </si>
  <si>
    <t>Annual US CO2 emissions</t>
  </si>
  <si>
    <t>Annual OT CO2 emissions</t>
  </si>
  <si>
    <t>Annual EE CO2 emissions</t>
  </si>
  <si>
    <t>Annual CA CO2 emissions</t>
  </si>
  <si>
    <t>Annual IA CO2 emissions</t>
  </si>
  <si>
    <t>Annual AF CO2 emissions</t>
  </si>
  <si>
    <t>Annual LA CO2 emissions</t>
  </si>
  <si>
    <t>Annual EU CH4 emissions</t>
  </si>
  <si>
    <t>Annual US CH4 emissions</t>
  </si>
  <si>
    <t>Annual OT CH4 emissions</t>
  </si>
  <si>
    <t>Annual EE CH4 emissions</t>
  </si>
  <si>
    <t>Annual CA CH4 emissions</t>
  </si>
  <si>
    <t>Annual IA CH4 emissions</t>
  </si>
  <si>
    <t>Annual AF CH4 emissions</t>
  </si>
  <si>
    <t>Annual LA CH4 emissions</t>
  </si>
  <si>
    <t>Annual EU N2O emissions</t>
  </si>
  <si>
    <t>Annual US N2O emissions</t>
  </si>
  <si>
    <t>Annual OT N2O emissions</t>
  </si>
  <si>
    <t>Annual EE N2O emissions</t>
  </si>
  <si>
    <t>Annual CA N2O emissions</t>
  </si>
  <si>
    <t>Annual IA N2O emissions</t>
  </si>
  <si>
    <t>Annual AF N2O emissions</t>
  </si>
  <si>
    <t>Annual LA N2O emissions</t>
  </si>
  <si>
    <t>Annual EU Lin emissions</t>
  </si>
  <si>
    <t>Annual US Lin emissions</t>
  </si>
  <si>
    <t>Annual OT Lin emissions</t>
  </si>
  <si>
    <t>Annual EE Lin emissions</t>
  </si>
  <si>
    <t>Annual CA Lin emissions</t>
  </si>
  <si>
    <t>Annual IA Lin emissions</t>
  </si>
  <si>
    <t>Annual AF Lin emissions</t>
  </si>
  <si>
    <t>Annual LA Lin emissions</t>
  </si>
  <si>
    <t>Annual EU sulphates</t>
  </si>
  <si>
    <t>Annual US sulphates</t>
  </si>
  <si>
    <t>Annual OT sulphates</t>
  </si>
  <si>
    <t>Annual EE sulphates</t>
  </si>
  <si>
    <t>Annual CA sulphates</t>
  </si>
  <si>
    <t>Annual IA sulphates</t>
  </si>
  <si>
    <t>Annual AF sulphates</t>
  </si>
  <si>
    <t>Annual LA sulphates</t>
  </si>
  <si>
    <t>RCPW = weighted RCP2.6, RCP4.5 and RCP8.5 to match with SSPW, SECOND</t>
  </si>
  <si>
    <t>Same as A in the current setup</t>
  </si>
  <si>
    <t>World A</t>
  </si>
  <si>
    <t>World B</t>
  </si>
  <si>
    <t>World A-B</t>
  </si>
  <si>
    <t>Chosen SSP scenario (GDP and Pop), FIRST:</t>
  </si>
  <si>
    <t>Chosen SSP scenario (GDP and Pop), SECOND:</t>
  </si>
  <si>
    <t>SSPW = weighted SSP1, SSP234 and SSP5, FIRST</t>
  </si>
  <si>
    <t>SSPW = weighted SSP1, SSP234 and SSP5, SECOND</t>
  </si>
  <si>
    <t>Equity weighting switch added</t>
  </si>
  <si>
    <t>Same as A</t>
  </si>
  <si>
    <t>A and B are the same</t>
  </si>
  <si>
    <t>GDP/cap for World B</t>
  </si>
  <si>
    <t>POP growth rates for World B</t>
  </si>
  <si>
    <t>GDP growth rates for World B</t>
  </si>
  <si>
    <t>Consumption/cap for World B</t>
  </si>
  <si>
    <t>Equity weights for World B</t>
  </si>
  <si>
    <t>Discount factor without equity weights for World B</t>
  </si>
  <si>
    <t>Discount factor with equity weights, same in Worlds A and B</t>
  </si>
  <si>
    <t>Discounting factor for World B if equity weighting is off</t>
  </si>
  <si>
    <t>GDP for World B</t>
  </si>
  <si>
    <t>POP for World B</t>
  </si>
  <si>
    <t>Switch for equity weighting:</t>
  </si>
  <si>
    <t>Weighting and discounting schemes</t>
  </si>
  <si>
    <t>Choose weighting and discounting scheme:</t>
  </si>
  <si>
    <t>Equity weighting ON, PTP discounting</t>
  </si>
  <si>
    <t>Option 1:</t>
  </si>
  <si>
    <t>Option 2:</t>
  </si>
  <si>
    <t xml:space="preserve">0 = Equity weighting OFF, 1 = Equity weighting ON </t>
  </si>
  <si>
    <t>QC (World A = World B)</t>
  </si>
  <si>
    <t xml:space="preserve">Version </t>
  </si>
  <si>
    <t>PAGE-ICE Version:</t>
  </si>
  <si>
    <t>SCCO2 Legacy PCF &amp; SAF</t>
  </si>
  <si>
    <t>PCF = permafrost carbon feedback</t>
  </si>
  <si>
    <t>SAF = surface albedo feedback</t>
  </si>
  <si>
    <t>Experiments</t>
  </si>
  <si>
    <t>Experiment 9:</t>
  </si>
  <si>
    <t>Experiment 10:</t>
  </si>
  <si>
    <t>Two Scenarios, Legacy PCF &amp; SAF</t>
  </si>
  <si>
    <t>Two Scenarios, Nonlinear PCF &amp; SAF</t>
  </si>
  <si>
    <t>Two Scenarios</t>
  </si>
  <si>
    <t>Equity weighting OFF, Ramsey discounting</t>
  </si>
  <si>
    <t>Chosen SECOND scanario pair (World B):</t>
  </si>
  <si>
    <t>Allows an independent scenario for World B only when the Two Scenarios experiments are chosen</t>
  </si>
  <si>
    <t>Valid only for the Two Scenarios experiments</t>
  </si>
  <si>
    <t xml:space="preserve">Consumption per capita and total mitigation cost per capita changed to World B </t>
  </si>
  <si>
    <t xml:space="preserve">Consumption per capita changed to World B </t>
  </si>
  <si>
    <t>Parent Version:</t>
  </si>
  <si>
    <t>Use separate GDP and POP for World B?</t>
  </si>
  <si>
    <t>YES</t>
  </si>
  <si>
    <t>NO</t>
  </si>
  <si>
    <t>Switch for separate GDP and POP in World B:</t>
  </si>
  <si>
    <t>Formulae checked on 19/03/2019</t>
  </si>
  <si>
    <t>Note the additional switch allowing / prohibiting the use of separate GDP and POP for World B</t>
  </si>
  <si>
    <t>0 = use the same GDP and POP for World A and World B (PAGE09 default), 1 = use separate GDP and POP for World B (valid only for the Two Scenarios experiments)</t>
  </si>
  <si>
    <t>See Riahi et al (2017) regarding the compatibility between RCP and SSP scenarios</t>
  </si>
  <si>
    <t>See Anthoff et al (2009) regarding equity weighting</t>
  </si>
  <si>
    <t xml:space="preserve">Statistical fitting of the PAGE09 functional form to IPCC AR5 and Burke global impact estimates </t>
  </si>
  <si>
    <t>Options for using separate GDP and POP in World B</t>
  </si>
  <si>
    <t xml:space="preserve">Anthoff, D., Hepburn, C. and Tol. R.S.J. Equity weighting and the marginal damage costs of climate
change, Ecological Economics, Volume 68, Issue 3, 836‐849. 2009.
</t>
  </si>
  <si>
    <t>Riahi, K., Van Vuuren, D. P., Kriegler, E., Edmonds, J., O’neill, B. C., Fujimori, S., ... &amp; Lutz, W. The shared socioeconomic pathways and their energy, land use, and greenhouse gas emissions implications: an overview. Global Environmental Change, 42, 153-168. 2017.</t>
  </si>
  <si>
    <t xml:space="preserve">See Yumashev et al (2019) for the full technical description of PAGE-ICE v6.22, including the calibration of the nonlinear PCF and SAF and the definition of the scenario pairs </t>
  </si>
  <si>
    <r>
      <t>Burke, M., Hsiang, S.M. and Miguel, E. Global non-linear effect of temperature on economic production. </t>
    </r>
    <r>
      <rPr>
        <i/>
        <sz val="7"/>
        <color rgb="FF222222"/>
        <rFont val="Arial"/>
        <family val="2"/>
      </rPr>
      <t>Nature</t>
    </r>
    <r>
      <rPr>
        <sz val="7"/>
        <color rgb="FF222222"/>
        <rFont val="Arial"/>
        <family val="2"/>
      </rPr>
      <t>, </t>
    </r>
    <r>
      <rPr>
        <i/>
        <sz val="7"/>
        <color rgb="FF222222"/>
        <rFont val="Arial"/>
        <family val="2"/>
      </rPr>
      <t>527</t>
    </r>
    <r>
      <rPr>
        <sz val="7"/>
        <color rgb="FF222222"/>
        <rFont val="Arial"/>
        <family val="2"/>
      </rPr>
      <t>(7577), p.235. 2015.</t>
    </r>
  </si>
  <si>
    <t xml:space="preserve">Yumashev, D., Hope, C., Schaefer, K., Riemann-Campe, K., Iglesias-Suarez, F., Jafarov, E., Burke, E.J., Young, P.J., Elshorbany, Y., Whiteman, G. Climate policy implications of nonlinear decline of Arctic land permafrost, snow and sea ice. Nature Communications. 2019. </t>
  </si>
  <si>
    <t>20/03/2019</t>
  </si>
  <si>
    <t>Original data source: CMIP6 Emissions database, https://tntcat.iiasa.ac.at/SspDb/dsd?Action=htmlpage&amp;page=about</t>
    <phoneticPr fontId="0" type="noConversion"/>
  </si>
  <si>
    <t>SSP5-34-OS</t>
  </si>
  <si>
    <t>SSP5-34-OS</t>
    <phoneticPr fontId="21" type="noConversion"/>
  </si>
  <si>
    <t>SSP5-85</t>
  </si>
  <si>
    <t>SSP5-85</t>
    <phoneticPr fontId="21" type="noConversion"/>
  </si>
  <si>
    <t>SSP5</t>
    <phoneticPr fontId="0" type="noConversion"/>
  </si>
  <si>
    <t>RCP3.4-OS</t>
    <phoneticPr fontId="0" type="noConversion"/>
  </si>
  <si>
    <t>RCP8.5</t>
    <phoneticPr fontId="0" type="noConversion"/>
  </si>
  <si>
    <t>Global total2</t>
    <phoneticPr fontId="21" type="noConversion"/>
  </si>
  <si>
    <t>Mean</t>
    <phoneticPr fontId="5" type="noConversion"/>
  </si>
  <si>
    <t>Mean</t>
    <phoneticPr fontId="5" type="noConversion"/>
  </si>
  <si>
    <r>
      <t>EU</t>
    </r>
    <r>
      <rPr>
        <sz val="10"/>
        <rFont val="Arial"/>
        <family val="2"/>
      </rPr>
      <t xml:space="preserve"> &amp; UK</t>
    </r>
    <phoneticPr fontId="5" type="noConversion"/>
  </si>
  <si>
    <t>China</t>
    <phoneticPr fontId="5" type="noConversion"/>
  </si>
  <si>
    <r>
      <t>India &amp;</t>
    </r>
    <r>
      <rPr>
        <sz val="10"/>
        <rFont val="Arial"/>
        <family val="2"/>
      </rPr>
      <t xml:space="preserve"> ROA</t>
    </r>
    <phoneticPr fontId="5" type="noConversion"/>
  </si>
  <si>
    <t>Std</t>
    <phoneticPr fontId="5" type="noConversion"/>
  </si>
  <si>
    <r>
      <t xml:space="preserve">Mean </t>
    </r>
    <r>
      <rPr>
        <sz val="10"/>
        <rFont val="Arial"/>
        <family val="2"/>
      </rPr>
      <t xml:space="preserve">- Global </t>
    </r>
    <r>
      <rPr>
        <sz val="10"/>
        <rFont val="Arial"/>
        <family val="2"/>
      </rPr>
      <t>Temp</t>
    </r>
    <phoneticPr fontId="27" type="noConversion"/>
  </si>
  <si>
    <r>
      <t>Std</t>
    </r>
    <r>
      <rPr>
        <sz val="10"/>
        <rFont val="Arial"/>
        <family val="2"/>
      </rPr>
      <t xml:space="preserve"> </t>
    </r>
    <r>
      <rPr>
        <sz val="10"/>
        <rFont val="Arial"/>
        <family val="2"/>
      </rPr>
      <t xml:space="preserve">- Global </t>
    </r>
    <r>
      <rPr>
        <sz val="10"/>
        <rFont val="Arial"/>
        <family val="2"/>
      </rPr>
      <t>Temp</t>
    </r>
    <phoneticPr fontId="27" type="noConversion"/>
  </si>
  <si>
    <r>
      <t xml:space="preserve">Mean </t>
    </r>
    <r>
      <rPr>
        <sz val="10"/>
        <rFont val="Arial"/>
        <family val="2"/>
      </rPr>
      <t xml:space="preserve">- Global </t>
    </r>
    <r>
      <rPr>
        <sz val="10"/>
        <rFont val="Arial"/>
        <family val="2"/>
      </rPr>
      <t>Temp</t>
    </r>
    <phoneticPr fontId="27" type="noConversion"/>
  </si>
  <si>
    <r>
      <t>Std</t>
    </r>
    <r>
      <rPr>
        <sz val="10"/>
        <rFont val="Arial"/>
        <family val="2"/>
      </rPr>
      <t xml:space="preserve"> </t>
    </r>
    <r>
      <rPr>
        <sz val="10"/>
        <rFont val="Arial"/>
        <family val="2"/>
      </rPr>
      <t xml:space="preserve">- Global </t>
    </r>
    <r>
      <rPr>
        <sz val="10"/>
        <rFont val="Arial"/>
        <family val="2"/>
      </rPr>
      <t>Temp</t>
    </r>
    <phoneticPr fontId="27" type="noConversion"/>
  </si>
  <si>
    <t>occurs?</t>
    <phoneticPr fontId="21" type="noConversion"/>
  </si>
  <si>
    <t>Written By Version</t>
  </si>
  <si>
    <t>8.1.1</t>
  </si>
  <si>
    <t>Serialization Major Version</t>
  </si>
  <si>
    <t>Serialization Minor Version</t>
  </si>
  <si>
    <t>Browse Record</t>
  </si>
  <si>
    <t>Display Mode</t>
  </si>
  <si>
    <t>Sens Graph Type</t>
  </si>
  <si>
    <t>Cond Sens Settings</t>
  </si>
  <si>
    <t>Scenario Settings</t>
  </si>
  <si>
    <t>Selected Scenario</t>
  </si>
  <si>
    <t>Distribution Options</t>
  </si>
  <si>
    <t>Distribution GS</t>
  </si>
  <si>
    <t>Distribution Curves</t>
  </si>
  <si>
    <t>Sens Tornado Options</t>
  </si>
  <si>
    <t>Sens Tornado GS</t>
  </si>
  <si>
    <t>Sens Tornado Curves</t>
  </si>
  <si>
    <t>Scen Tornado Options</t>
  </si>
  <si>
    <t>Scen Tornado GS</t>
  </si>
  <si>
    <t>Scen Tornado Curves</t>
  </si>
  <si>
    <t>Sens Spider Option</t>
  </si>
  <si>
    <t>Sens Spider GS</t>
  </si>
  <si>
    <t>Sens Spider Curves</t>
  </si>
  <si>
    <t>GF1_rK0qDwEAEwDcAAwjACcAPQBPAGMAZACHAJUAtgDYANIAKwD//wAAAAAAAAEEAAAAAAgwLjAwRSswMAAAAAEMR2xvYmFsIHRvdGFsAQABARAAAgABClN0YXRpc3RpY3MDAQEA/wEBAQEBAAEAAAAAAAAAAAAAAAAA53Z6QQEGAOsDAQAEAAAAAQEBAQEAAQEBAAQAAAABmQACGQAMR2xvYmFsIHRvdGFsAAAA/9wUPAEAAAIAAgC+AMgAAQEDAZqZmZmZmak/AABmZmZmZmbuPwAABQABAQEAAQEBAA==</t>
  </si>
  <si>
    <t>总系数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</si>
</sst>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76" formatCode="0.000"/>
    <numFmt numFmtId="177" formatCode="0.0000"/>
    <numFmt numFmtId="178" formatCode="0.0"/>
    <numFmt numFmtId="179" formatCode="0.0E+00"/>
    <numFmt numFmtId="180" formatCode="[$-F800]dddd\,\ mmmm\ dd\,\ yyyy"/>
    <numFmt numFmtId="181" formatCode="0.000%"/>
  </numFmts>
  <fonts count="29" x14ac:knownFonts="1">
    <font>
      <sz val="10"/>
      <name val="Arial"/>
    </font>
    <font>
      <sz val="8"/>
      <color indexed="81"/>
      <name val="Tahoma"/>
      <family val="2"/>
    </font>
    <font>
      <b/>
      <sz val="8"/>
      <color indexed="81"/>
      <name val="Tahoma"/>
      <family val="2"/>
    </font>
    <font>
      <b/>
      <sz val="10"/>
      <name val="Arial"/>
      <family val="2"/>
    </font>
    <font>
      <vertAlign val="subscript"/>
      <sz val="10"/>
      <name val="Arial"/>
      <family val="2"/>
    </font>
    <font>
      <sz val="10"/>
      <name val="Arial"/>
      <family val="2"/>
    </font>
    <font>
      <b/>
      <vertAlign val="subscript"/>
      <sz val="10"/>
      <name val="Arial"/>
      <family val="2"/>
    </font>
    <font>
      <sz val="9"/>
      <color indexed="81"/>
      <name val="Tahoma"/>
      <family val="2"/>
    </font>
    <font>
      <b/>
      <sz val="9"/>
      <color indexed="81"/>
      <name val="Tahoma"/>
      <family val="2"/>
    </font>
    <font>
      <sz val="8"/>
      <name val="Arial"/>
      <family val="2"/>
    </font>
    <font>
      <vertAlign val="subscript"/>
      <sz val="8"/>
      <name val="Arial"/>
      <family val="2"/>
    </font>
    <font>
      <sz val="7"/>
      <name val="Arial"/>
      <family val="2"/>
    </font>
    <font>
      <vertAlign val="subscript"/>
      <sz val="7"/>
      <name val="Arial"/>
      <family val="2"/>
    </font>
    <font>
      <sz val="11"/>
      <name val="Calibri"/>
      <family val="2"/>
    </font>
    <font>
      <i/>
      <sz val="10"/>
      <name val="Arial"/>
      <family val="2"/>
    </font>
    <font>
      <sz val="8"/>
      <name val="Tahoma"/>
      <family val="2"/>
    </font>
    <font>
      <b/>
      <i/>
      <sz val="10"/>
      <name val="Arial"/>
      <family val="2"/>
    </font>
    <font>
      <sz val="10"/>
      <color rgb="FF111111"/>
      <name val="Arial"/>
      <family val="2"/>
    </font>
    <font>
      <b/>
      <i/>
      <sz val="10"/>
      <color rgb="FFFF0000"/>
      <name val="Arial"/>
      <family val="2"/>
    </font>
    <font>
      <sz val="7"/>
      <color rgb="FF222222"/>
      <name val="Arial"/>
      <family val="2"/>
    </font>
    <font>
      <i/>
      <sz val="7"/>
      <color rgb="FF222222"/>
      <name val="Arial"/>
      <family val="2"/>
    </font>
    <font>
      <sz val="9"/>
      <name val="宋体"/>
      <family val="3"/>
      <charset val="134"/>
    </font>
    <font>
      <b/>
      <sz val="10"/>
      <color theme="0"/>
      <name val="Arial"/>
      <family val="2"/>
    </font>
    <font>
      <sz val="10"/>
      <color theme="0"/>
      <name val="Arial"/>
      <family val="2"/>
    </font>
    <font>
      <i/>
      <sz val="10"/>
      <color theme="0"/>
      <name val="Arial"/>
      <family val="2"/>
    </font>
    <font>
      <sz val="9"/>
      <color indexed="81"/>
      <name val="宋体"/>
      <family val="3"/>
      <charset val="134"/>
    </font>
    <font>
      <b/>
      <sz val="9"/>
      <color indexed="81"/>
      <name val="宋体"/>
      <family val="3"/>
      <charset val="134"/>
    </font>
    <font>
      <sz val="9"/>
      <name val="宋体"/>
      <family val="2"/>
      <charset val="134"/>
      <scheme val="minor"/>
    </font>
    <font>
      <sz val="11"/>
      <color theme="1"/>
      <name val="Arial"/>
      <family val="2"/>
    </font>
  </fonts>
  <fills count="29">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43"/>
        <bgColor indexed="64"/>
      </patternFill>
    </fill>
    <fill>
      <patternFill patternType="solid">
        <fgColor indexed="45"/>
        <bgColor indexed="64"/>
      </patternFill>
    </fill>
    <fill>
      <patternFill patternType="solid">
        <fgColor indexed="51"/>
        <bgColor indexed="64"/>
      </patternFill>
    </fill>
    <fill>
      <patternFill patternType="solid">
        <fgColor indexed="13"/>
        <bgColor indexed="64"/>
      </patternFill>
    </fill>
    <fill>
      <patternFill patternType="solid">
        <fgColor indexed="14"/>
        <bgColor indexed="64"/>
      </patternFill>
    </fill>
    <fill>
      <patternFill patternType="solid">
        <fgColor theme="7" tint="0.59999389629810485"/>
        <bgColor indexed="64"/>
      </patternFill>
    </fill>
    <fill>
      <patternFill patternType="solid">
        <fgColor rgb="FFFFFF00"/>
        <bgColor indexed="64"/>
      </patternFill>
    </fill>
    <fill>
      <patternFill patternType="solid">
        <fgColor indexed="50"/>
        <bgColor indexed="64"/>
      </patternFill>
    </fill>
    <fill>
      <patternFill patternType="solid">
        <fgColor rgb="FF92D05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0" tint="-0.14999847407452621"/>
        <bgColor indexed="64"/>
      </patternFill>
    </fill>
    <fill>
      <patternFill patternType="solid">
        <fgColor rgb="FFCCC0DA"/>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5"/>
        <bgColor indexed="64"/>
      </patternFill>
    </fill>
    <fill>
      <patternFill patternType="solid">
        <fgColor rgb="FFFFFF99"/>
        <bgColor indexed="64"/>
      </patternFill>
    </fill>
    <fill>
      <patternFill patternType="solid">
        <fgColor rgb="FFFF66CC"/>
        <bgColor indexed="64"/>
      </patternFill>
    </fill>
    <fill>
      <patternFill patternType="solid">
        <fgColor theme="3" tint="0.79998168889431442"/>
        <bgColor indexed="64"/>
      </patternFill>
    </fill>
    <fill>
      <patternFill patternType="solid">
        <fgColor theme="0" tint="-0.249977111117893"/>
        <bgColor indexed="64"/>
      </patternFill>
    </fill>
    <fill>
      <patternFill patternType="solid">
        <fgColor rgb="FF0070C0"/>
        <bgColor indexed="64"/>
      </patternFill>
    </fill>
    <fill>
      <patternFill patternType="solid">
        <fgColor theme="5" tint="0.39997558519241921"/>
        <bgColor indexed="64"/>
      </patternFill>
    </fill>
    <fill>
      <patternFill patternType="solid">
        <fgColor theme="0"/>
        <bgColor indexed="64"/>
      </patternFill>
    </fill>
  </fills>
  <borders count="6">
    <border>
      <left/>
      <right/>
      <top/>
      <bottom/>
      <diagonal/>
    </border>
    <border>
      <left/>
      <right/>
      <top style="thin">
        <color indexed="64"/>
      </top>
      <bottom/>
      <diagonal/>
    </border>
    <border>
      <left/>
      <right/>
      <top/>
      <bottom style="double">
        <color indexed="64"/>
      </bottom>
      <diagonal/>
    </border>
    <border>
      <left/>
      <right/>
      <top style="thin">
        <color indexed="64"/>
      </top>
      <bottom style="double">
        <color indexed="64"/>
      </bottom>
      <diagonal/>
    </border>
    <border>
      <left/>
      <right/>
      <top/>
      <bottom style="thin">
        <color indexed="64"/>
      </bottom>
      <diagonal/>
    </border>
    <border>
      <left/>
      <right/>
      <top style="double">
        <color indexed="64"/>
      </top>
      <bottom style="double">
        <color indexed="64"/>
      </bottom>
      <diagonal/>
    </border>
  </borders>
  <cellStyleXfs count="1">
    <xf numFmtId="0" fontId="0" fillId="0" borderId="0"/>
  </cellStyleXfs>
  <cellXfs count="333">
    <xf numFmtId="0" fontId="0" fillId="0" borderId="0" xfId="0"/>
    <xf numFmtId="11" fontId="0" fillId="0" borderId="0" xfId="0" applyNumberFormat="1"/>
    <xf numFmtId="0" fontId="3" fillId="0" borderId="0" xfId="0" applyFont="1"/>
    <xf numFmtId="0" fontId="5" fillId="0" borderId="0" xfId="0" applyFont="1"/>
    <xf numFmtId="1" fontId="0" fillId="0" borderId="0" xfId="0" applyNumberFormat="1"/>
    <xf numFmtId="1" fontId="3" fillId="0" borderId="0" xfId="0" applyNumberFormat="1" applyFont="1"/>
    <xf numFmtId="2" fontId="0" fillId="0" borderId="0" xfId="0" applyNumberFormat="1"/>
    <xf numFmtId="177" fontId="0" fillId="0" borderId="0" xfId="0" applyNumberFormat="1"/>
    <xf numFmtId="2" fontId="3" fillId="0" borderId="0" xfId="0" applyNumberFormat="1" applyFont="1"/>
    <xf numFmtId="0" fontId="0" fillId="4" borderId="0" xfId="0" applyFill="1" applyProtection="1">
      <protection locked="0"/>
    </xf>
    <xf numFmtId="0" fontId="0" fillId="4" borderId="2" xfId="0" applyFill="1" applyBorder="1" applyProtection="1">
      <protection locked="0"/>
    </xf>
    <xf numFmtId="0" fontId="0" fillId="5" borderId="1" xfId="0" applyFill="1" applyBorder="1"/>
    <xf numFmtId="1" fontId="0" fillId="5" borderId="1" xfId="0" applyNumberFormat="1" applyFill="1" applyBorder="1"/>
    <xf numFmtId="0" fontId="0" fillId="5" borderId="0" xfId="0" applyFill="1"/>
    <xf numFmtId="1" fontId="0" fillId="5" borderId="0" xfId="0" applyNumberFormat="1" applyFill="1"/>
    <xf numFmtId="0" fontId="0" fillId="5" borderId="2" xfId="0" applyFill="1" applyBorder="1"/>
    <xf numFmtId="1" fontId="0" fillId="5" borderId="2" xfId="0" applyNumberFormat="1" applyFill="1" applyBorder="1"/>
    <xf numFmtId="0" fontId="0" fillId="6" borderId="0" xfId="0" applyFill="1" applyProtection="1">
      <protection locked="0"/>
    </xf>
    <xf numFmtId="11" fontId="0" fillId="6" borderId="0" xfId="0" applyNumberFormat="1" applyFill="1"/>
    <xf numFmtId="0" fontId="0" fillId="7" borderId="3" xfId="0" applyFill="1" applyBorder="1" applyProtection="1">
      <protection locked="0"/>
    </xf>
    <xf numFmtId="0" fontId="0" fillId="7" borderId="1" xfId="0" applyFill="1" applyBorder="1" applyProtection="1">
      <protection locked="0"/>
    </xf>
    <xf numFmtId="0" fontId="0" fillId="7" borderId="0" xfId="0" applyFill="1" applyProtection="1">
      <protection locked="0"/>
    </xf>
    <xf numFmtId="11" fontId="0" fillId="7" borderId="1" xfId="0" applyNumberFormat="1" applyFill="1" applyBorder="1" applyProtection="1">
      <protection locked="0"/>
    </xf>
    <xf numFmtId="11" fontId="0" fillId="7" borderId="0" xfId="0" applyNumberFormat="1" applyFill="1" applyProtection="1">
      <protection locked="0"/>
    </xf>
    <xf numFmtId="11" fontId="0" fillId="7" borderId="2" xfId="0" applyNumberFormat="1" applyFill="1" applyBorder="1" applyProtection="1">
      <protection locked="0"/>
    </xf>
    <xf numFmtId="0" fontId="0" fillId="6" borderId="0" xfId="0" applyFill="1"/>
    <xf numFmtId="2" fontId="0" fillId="5" borderId="0" xfId="0" applyNumberFormat="1" applyFill="1"/>
    <xf numFmtId="11" fontId="0" fillId="5" borderId="1" xfId="0" applyNumberFormat="1" applyFill="1" applyBorder="1"/>
    <xf numFmtId="11" fontId="0" fillId="5" borderId="0" xfId="0" applyNumberFormat="1" applyFill="1"/>
    <xf numFmtId="2" fontId="0" fillId="5" borderId="1" xfId="0" applyNumberFormat="1" applyFill="1" applyBorder="1"/>
    <xf numFmtId="2" fontId="0" fillId="8" borderId="0" xfId="0" applyNumberFormat="1" applyFill="1"/>
    <xf numFmtId="2" fontId="0" fillId="8" borderId="3" xfId="0" applyNumberFormat="1" applyFill="1" applyBorder="1"/>
    <xf numFmtId="176" fontId="0" fillId="5" borderId="1" xfId="0" applyNumberFormat="1" applyFill="1" applyBorder="1"/>
    <xf numFmtId="176" fontId="0" fillId="5" borderId="0" xfId="0" applyNumberFormat="1" applyFill="1"/>
    <xf numFmtId="176" fontId="0" fillId="5" borderId="2" xfId="0" applyNumberFormat="1" applyFill="1" applyBorder="1"/>
    <xf numFmtId="2" fontId="0" fillId="5" borderId="2" xfId="0" applyNumberFormat="1" applyFill="1" applyBorder="1"/>
    <xf numFmtId="11" fontId="0" fillId="5" borderId="2" xfId="0" applyNumberFormat="1" applyFill="1" applyBorder="1"/>
    <xf numFmtId="177" fontId="0" fillId="5" borderId="1" xfId="0" applyNumberFormat="1" applyFill="1" applyBorder="1"/>
    <xf numFmtId="177" fontId="0" fillId="5" borderId="0" xfId="0" applyNumberFormat="1" applyFill="1"/>
    <xf numFmtId="177" fontId="0" fillId="5" borderId="2" xfId="0" applyNumberFormat="1" applyFill="1" applyBorder="1"/>
    <xf numFmtId="11" fontId="0" fillId="8" borderId="0" xfId="0" applyNumberFormat="1" applyFill="1"/>
    <xf numFmtId="11" fontId="0" fillId="8" borderId="1" xfId="0" applyNumberFormat="1" applyFill="1" applyBorder="1"/>
    <xf numFmtId="11" fontId="0" fillId="8" borderId="2" xfId="0" applyNumberFormat="1" applyFill="1" applyBorder="1"/>
    <xf numFmtId="11" fontId="3" fillId="8" borderId="0" xfId="0" applyNumberFormat="1" applyFont="1" applyFill="1"/>
    <xf numFmtId="11" fontId="3" fillId="0" borderId="0" xfId="0" applyNumberFormat="1" applyFont="1"/>
    <xf numFmtId="11" fontId="0" fillId="5" borderId="3" xfId="0" applyNumberFormat="1" applyFill="1" applyBorder="1"/>
    <xf numFmtId="0" fontId="0" fillId="3" borderId="0" xfId="0" applyFill="1"/>
    <xf numFmtId="0" fontId="3" fillId="3" borderId="0" xfId="0" applyFont="1" applyFill="1"/>
    <xf numFmtId="0" fontId="3" fillId="4" borderId="0" xfId="0" applyFont="1" applyFill="1"/>
    <xf numFmtId="0" fontId="0" fillId="7" borderId="1" xfId="0" applyFill="1" applyBorder="1"/>
    <xf numFmtId="0" fontId="0" fillId="7" borderId="0" xfId="0" applyFill="1"/>
    <xf numFmtId="178" fontId="0" fillId="0" borderId="0" xfId="0" applyNumberFormat="1"/>
    <xf numFmtId="11" fontId="5" fillId="5" borderId="0" xfId="0" applyNumberFormat="1" applyFont="1" applyFill="1"/>
    <xf numFmtId="11" fontId="3" fillId="2" borderId="0" xfId="0" applyNumberFormat="1" applyFont="1" applyFill="1"/>
    <xf numFmtId="1" fontId="0" fillId="3" borderId="1" xfId="0" applyNumberFormat="1" applyFill="1" applyBorder="1" applyProtection="1">
      <protection locked="0"/>
    </xf>
    <xf numFmtId="1" fontId="0" fillId="3" borderId="0" xfId="0" applyNumberFormat="1" applyFill="1" applyProtection="1">
      <protection locked="0"/>
    </xf>
    <xf numFmtId="1" fontId="0" fillId="3" borderId="2" xfId="0" applyNumberFormat="1" applyFill="1" applyBorder="1" applyProtection="1">
      <protection locked="0"/>
    </xf>
    <xf numFmtId="2" fontId="5" fillId="0" borderId="0" xfId="0" applyNumberFormat="1" applyFont="1"/>
    <xf numFmtId="1" fontId="5" fillId="0" borderId="0" xfId="0" applyNumberFormat="1" applyFont="1"/>
    <xf numFmtId="11" fontId="5" fillId="0" borderId="0" xfId="0" applyNumberFormat="1" applyFont="1"/>
    <xf numFmtId="2" fontId="0" fillId="6" borderId="0" xfId="0" applyNumberFormat="1" applyFill="1"/>
    <xf numFmtId="1" fontId="0" fillId="0" borderId="0" xfId="0" applyNumberFormat="1" applyProtection="1">
      <protection locked="0"/>
    </xf>
    <xf numFmtId="2" fontId="0" fillId="3" borderId="2" xfId="0" applyNumberFormat="1" applyFill="1" applyBorder="1" applyProtection="1">
      <protection locked="0"/>
    </xf>
    <xf numFmtId="0" fontId="4" fillId="0" borderId="0" xfId="0" applyFont="1"/>
    <xf numFmtId="0" fontId="0" fillId="0" borderId="0" xfId="0" applyProtection="1">
      <protection locked="0"/>
    </xf>
    <xf numFmtId="178" fontId="0" fillId="5" borderId="0" xfId="0" applyNumberFormat="1" applyFill="1"/>
    <xf numFmtId="179" fontId="0" fillId="5" borderId="1" xfId="0" applyNumberFormat="1" applyFill="1" applyBorder="1"/>
    <xf numFmtId="179" fontId="0" fillId="5" borderId="0" xfId="0" applyNumberFormat="1" applyFill="1"/>
    <xf numFmtId="179" fontId="0" fillId="5" borderId="2" xfId="0" applyNumberFormat="1" applyFill="1" applyBorder="1"/>
    <xf numFmtId="177" fontId="0" fillId="6" borderId="0" xfId="0" applyNumberFormat="1" applyFill="1"/>
    <xf numFmtId="179" fontId="3" fillId="8" borderId="0" xfId="0" applyNumberFormat="1" applyFont="1" applyFill="1"/>
    <xf numFmtId="1" fontId="11" fillId="0" borderId="0" xfId="0" applyNumberFormat="1" applyFont="1"/>
    <xf numFmtId="1" fontId="9" fillId="0" borderId="0" xfId="0" applyNumberFormat="1" applyFont="1"/>
    <xf numFmtId="179" fontId="0" fillId="8" borderId="2" xfId="0" applyNumberFormat="1" applyFill="1" applyBorder="1"/>
    <xf numFmtId="179" fontId="0" fillId="8" borderId="1" xfId="0" applyNumberFormat="1" applyFill="1" applyBorder="1"/>
    <xf numFmtId="179" fontId="0" fillId="8" borderId="0" xfId="0" applyNumberFormat="1" applyFill="1"/>
    <xf numFmtId="178" fontId="0" fillId="5" borderId="1" xfId="0" applyNumberFormat="1" applyFill="1" applyBorder="1"/>
    <xf numFmtId="178" fontId="0" fillId="5" borderId="2" xfId="0" applyNumberFormat="1" applyFill="1" applyBorder="1"/>
    <xf numFmtId="11" fontId="0" fillId="8" borderId="5" xfId="0" applyNumberFormat="1" applyFill="1" applyBorder="1"/>
    <xf numFmtId="11" fontId="0" fillId="8" borderId="3" xfId="0" applyNumberFormat="1" applyFill="1" applyBorder="1"/>
    <xf numFmtId="176" fontId="0" fillId="10" borderId="2" xfId="0" applyNumberFormat="1" applyFill="1" applyBorder="1" applyProtection="1">
      <protection locked="0"/>
    </xf>
    <xf numFmtId="2" fontId="0" fillId="7" borderId="0" xfId="0" applyNumberFormat="1" applyFill="1" applyProtection="1">
      <protection locked="0"/>
    </xf>
    <xf numFmtId="2" fontId="0" fillId="10" borderId="1" xfId="0" applyNumberFormat="1" applyFill="1" applyBorder="1"/>
    <xf numFmtId="0" fontId="0" fillId="11" borderId="0" xfId="0" applyFill="1"/>
    <xf numFmtId="0" fontId="0" fillId="8" borderId="0" xfId="0" applyFill="1"/>
    <xf numFmtId="177" fontId="0" fillId="8" borderId="0" xfId="0" applyNumberFormat="1" applyFill="1"/>
    <xf numFmtId="0" fontId="0" fillId="12" borderId="0" xfId="0" applyFill="1"/>
    <xf numFmtId="11" fontId="0" fillId="13" borderId="1" xfId="0" applyNumberFormat="1" applyFill="1" applyBorder="1" applyProtection="1">
      <protection locked="0"/>
    </xf>
    <xf numFmtId="1" fontId="0" fillId="13" borderId="1" xfId="0" applyNumberFormat="1" applyFill="1" applyBorder="1" applyProtection="1">
      <protection locked="0"/>
    </xf>
    <xf numFmtId="11" fontId="0" fillId="13" borderId="0" xfId="0" applyNumberFormat="1" applyFill="1" applyProtection="1">
      <protection locked="0"/>
    </xf>
    <xf numFmtId="1" fontId="0" fillId="13" borderId="0" xfId="0" applyNumberFormat="1" applyFill="1" applyProtection="1">
      <protection locked="0"/>
    </xf>
    <xf numFmtId="11" fontId="0" fillId="13" borderId="2" xfId="0" applyNumberFormat="1" applyFill="1" applyBorder="1" applyProtection="1">
      <protection locked="0"/>
    </xf>
    <xf numFmtId="1" fontId="0" fillId="13" borderId="2" xfId="0" applyNumberFormat="1" applyFill="1" applyBorder="1" applyProtection="1">
      <protection locked="0"/>
    </xf>
    <xf numFmtId="0" fontId="0" fillId="14" borderId="0" xfId="0" applyFill="1" applyProtection="1">
      <protection locked="0"/>
    </xf>
    <xf numFmtId="0" fontId="0" fillId="13" borderId="0" xfId="0" applyFill="1" applyProtection="1">
      <protection locked="0"/>
    </xf>
    <xf numFmtId="176" fontId="0" fillId="13" borderId="2" xfId="0" applyNumberFormat="1" applyFill="1" applyBorder="1" applyProtection="1">
      <protection locked="0"/>
    </xf>
    <xf numFmtId="179" fontId="0" fillId="7" borderId="1" xfId="0" applyNumberFormat="1" applyFill="1" applyBorder="1" applyProtection="1">
      <protection locked="0"/>
    </xf>
    <xf numFmtId="179" fontId="0" fillId="7" borderId="0" xfId="0" applyNumberFormat="1" applyFill="1" applyProtection="1">
      <protection locked="0"/>
    </xf>
    <xf numFmtId="179" fontId="0" fillId="7" borderId="2" xfId="0" applyNumberFormat="1" applyFill="1" applyBorder="1" applyProtection="1">
      <protection locked="0"/>
    </xf>
    <xf numFmtId="2" fontId="0" fillId="13" borderId="1" xfId="0" applyNumberFormat="1" applyFill="1" applyBorder="1" applyProtection="1">
      <protection locked="0"/>
    </xf>
    <xf numFmtId="2" fontId="0" fillId="13" borderId="0" xfId="0" applyNumberFormat="1" applyFill="1" applyProtection="1">
      <protection locked="0"/>
    </xf>
    <xf numFmtId="2" fontId="0" fillId="13" borderId="2" xfId="0" applyNumberFormat="1" applyFill="1" applyBorder="1" applyProtection="1">
      <protection locked="0"/>
    </xf>
    <xf numFmtId="0" fontId="5" fillId="5" borderId="0" xfId="0" applyFont="1" applyFill="1"/>
    <xf numFmtId="0" fontId="5" fillId="12" borderId="0" xfId="0" applyFont="1" applyFill="1"/>
    <xf numFmtId="11" fontId="0" fillId="12" borderId="0" xfId="0" applyNumberFormat="1" applyFill="1"/>
    <xf numFmtId="0" fontId="0" fillId="12" borderId="1" xfId="0" applyFill="1" applyBorder="1" applyProtection="1">
      <protection locked="0"/>
    </xf>
    <xf numFmtId="0" fontId="0" fillId="12" borderId="0" xfId="0" applyFill="1" applyProtection="1">
      <protection locked="0"/>
    </xf>
    <xf numFmtId="0" fontId="0" fillId="12" borderId="2" xfId="0" applyFill="1" applyBorder="1" applyProtection="1">
      <protection locked="0"/>
    </xf>
    <xf numFmtId="2" fontId="0" fillId="15" borderId="0" xfId="0" applyNumberFormat="1" applyFill="1"/>
    <xf numFmtId="11" fontId="0" fillId="5" borderId="0" xfId="0" applyNumberFormat="1" applyFill="1" applyProtection="1">
      <protection locked="0"/>
    </xf>
    <xf numFmtId="11" fontId="0" fillId="0" borderId="0" xfId="0" applyNumberFormat="1" applyProtection="1">
      <protection locked="0"/>
    </xf>
    <xf numFmtId="0" fontId="13" fillId="0" borderId="0" xfId="0" applyFont="1"/>
    <xf numFmtId="2" fontId="13" fillId="0" borderId="0" xfId="0" applyNumberFormat="1" applyFont="1"/>
    <xf numFmtId="2" fontId="5" fillId="12" borderId="0" xfId="0" applyNumberFormat="1" applyFont="1" applyFill="1"/>
    <xf numFmtId="0" fontId="3" fillId="12" borderId="0" xfId="0" applyFont="1" applyFill="1"/>
    <xf numFmtId="11" fontId="5" fillId="12" borderId="0" xfId="0" applyNumberFormat="1" applyFont="1" applyFill="1"/>
    <xf numFmtId="1" fontId="0" fillId="12" borderId="0" xfId="0" applyNumberFormat="1" applyFill="1"/>
    <xf numFmtId="11" fontId="0" fillId="12" borderId="0" xfId="0" applyNumberFormat="1" applyFill="1" applyProtection="1">
      <protection locked="0"/>
    </xf>
    <xf numFmtId="1" fontId="5" fillId="12" borderId="0" xfId="0" applyNumberFormat="1" applyFont="1" applyFill="1"/>
    <xf numFmtId="2" fontId="0" fillId="12" borderId="0" xfId="0" applyNumberFormat="1" applyFill="1" applyProtection="1">
      <protection locked="0"/>
    </xf>
    <xf numFmtId="2" fontId="0" fillId="10" borderId="2" xfId="0" applyNumberFormat="1" applyFill="1" applyBorder="1" applyProtection="1">
      <protection locked="0"/>
    </xf>
    <xf numFmtId="2" fontId="0" fillId="12" borderId="1" xfId="0" applyNumberFormat="1" applyFill="1" applyBorder="1" applyProtection="1">
      <protection locked="0"/>
    </xf>
    <xf numFmtId="2" fontId="0" fillId="12" borderId="2" xfId="0" applyNumberFormat="1" applyFill="1" applyBorder="1" applyProtection="1">
      <protection locked="0"/>
    </xf>
    <xf numFmtId="2" fontId="0" fillId="0" borderId="0" xfId="0" applyNumberFormat="1" applyProtection="1">
      <protection locked="0"/>
    </xf>
    <xf numFmtId="0" fontId="14" fillId="0" borderId="0" xfId="0" applyFont="1"/>
    <xf numFmtId="177" fontId="5" fillId="0" borderId="0" xfId="0" applyNumberFormat="1" applyFont="1"/>
    <xf numFmtId="0" fontId="0" fillId="16" borderId="0" xfId="0" applyFill="1"/>
    <xf numFmtId="0" fontId="3" fillId="16" borderId="0" xfId="0" applyFont="1" applyFill="1"/>
    <xf numFmtId="2" fontId="14" fillId="0" borderId="0" xfId="0" applyNumberFormat="1" applyFont="1"/>
    <xf numFmtId="3" fontId="0" fillId="12" borderId="0" xfId="0" applyNumberFormat="1" applyFill="1"/>
    <xf numFmtId="1" fontId="0" fillId="10" borderId="0" xfId="0" applyNumberFormat="1" applyFill="1" applyProtection="1">
      <protection locked="0"/>
    </xf>
    <xf numFmtId="11" fontId="13" fillId="0" borderId="0" xfId="0" applyNumberFormat="1" applyFont="1"/>
    <xf numFmtId="1" fontId="0" fillId="10" borderId="1" xfId="0" applyNumberFormat="1" applyFill="1" applyBorder="1" applyProtection="1">
      <protection locked="0"/>
    </xf>
    <xf numFmtId="1" fontId="0" fillId="10" borderId="2" xfId="0" applyNumberFormat="1" applyFill="1" applyBorder="1" applyProtection="1">
      <protection locked="0"/>
    </xf>
    <xf numFmtId="1" fontId="0" fillId="14" borderId="0" xfId="0" applyNumberFormat="1" applyFill="1" applyProtection="1">
      <protection locked="0"/>
    </xf>
    <xf numFmtId="11" fontId="5" fillId="6" borderId="0" xfId="0" applyNumberFormat="1" applyFont="1" applyFill="1"/>
    <xf numFmtId="176" fontId="0" fillId="17" borderId="0" xfId="0" applyNumberFormat="1" applyFill="1"/>
    <xf numFmtId="178" fontId="5" fillId="0" borderId="0" xfId="0" applyNumberFormat="1" applyFont="1"/>
    <xf numFmtId="1" fontId="0" fillId="14" borderId="1" xfId="0" applyNumberFormat="1" applyFill="1" applyBorder="1" applyProtection="1">
      <protection locked="0"/>
    </xf>
    <xf numFmtId="1" fontId="0" fillId="14" borderId="2" xfId="0" applyNumberFormat="1" applyFill="1" applyBorder="1" applyProtection="1">
      <protection locked="0"/>
    </xf>
    <xf numFmtId="0" fontId="5" fillId="18" borderId="0" xfId="0" applyFont="1" applyFill="1" applyAlignment="1">
      <alignment horizontal="right" vertical="center"/>
    </xf>
    <xf numFmtId="0" fontId="0" fillId="9" borderId="0" xfId="0" applyFill="1" applyProtection="1">
      <protection locked="0"/>
    </xf>
    <xf numFmtId="0" fontId="0" fillId="9" borderId="0" xfId="0" applyFill="1"/>
    <xf numFmtId="0" fontId="5" fillId="9" borderId="0" xfId="0" applyFont="1" applyFill="1" applyProtection="1">
      <protection locked="0"/>
    </xf>
    <xf numFmtId="0" fontId="0" fillId="9" borderId="2" xfId="0" applyFill="1" applyBorder="1" applyProtection="1">
      <protection locked="0"/>
    </xf>
    <xf numFmtId="2" fontId="0" fillId="9" borderId="0" xfId="0" applyNumberFormat="1" applyFill="1" applyProtection="1">
      <protection locked="0"/>
    </xf>
    <xf numFmtId="11" fontId="0" fillId="9" borderId="0" xfId="0" applyNumberFormat="1" applyFill="1" applyProtection="1">
      <protection locked="0"/>
    </xf>
    <xf numFmtId="178" fontId="0" fillId="0" borderId="0" xfId="0" applyNumberFormat="1" applyProtection="1">
      <protection locked="0"/>
    </xf>
    <xf numFmtId="2" fontId="0" fillId="14" borderId="2" xfId="0" applyNumberFormat="1" applyFill="1" applyBorder="1" applyProtection="1">
      <protection locked="0"/>
    </xf>
    <xf numFmtId="1" fontId="0" fillId="9" borderId="1" xfId="0" applyNumberFormat="1" applyFill="1" applyBorder="1" applyProtection="1">
      <protection locked="0"/>
    </xf>
    <xf numFmtId="1" fontId="0" fillId="9" borderId="0" xfId="0" applyNumberFormat="1" applyFill="1" applyProtection="1">
      <protection locked="0"/>
    </xf>
    <xf numFmtId="1" fontId="0" fillId="9" borderId="2" xfId="0" applyNumberFormat="1" applyFill="1" applyBorder="1" applyProtection="1">
      <protection locked="0"/>
    </xf>
    <xf numFmtId="178" fontId="0" fillId="9" borderId="1" xfId="0" applyNumberFormat="1" applyFill="1" applyBorder="1" applyProtection="1">
      <protection locked="0"/>
    </xf>
    <xf numFmtId="178" fontId="0" fillId="9" borderId="0" xfId="0" applyNumberFormat="1" applyFill="1" applyProtection="1">
      <protection locked="0"/>
    </xf>
    <xf numFmtId="178" fontId="0" fillId="9" borderId="2" xfId="0" applyNumberFormat="1" applyFill="1" applyBorder="1" applyProtection="1">
      <protection locked="0"/>
    </xf>
    <xf numFmtId="0" fontId="0" fillId="15" borderId="1" xfId="0" applyFill="1" applyBorder="1" applyProtection="1">
      <protection locked="0"/>
    </xf>
    <xf numFmtId="10" fontId="0" fillId="0" borderId="0" xfId="0" applyNumberFormat="1"/>
    <xf numFmtId="9" fontId="0" fillId="0" borderId="0" xfId="0" applyNumberFormat="1"/>
    <xf numFmtId="176" fontId="0" fillId="19" borderId="0" xfId="0" applyNumberFormat="1" applyFill="1"/>
    <xf numFmtId="2" fontId="0" fillId="8" borderId="2" xfId="0" applyNumberFormat="1" applyFill="1" applyBorder="1"/>
    <xf numFmtId="2" fontId="0" fillId="20" borderId="0" xfId="0" applyNumberFormat="1" applyFill="1"/>
    <xf numFmtId="176" fontId="0" fillId="0" borderId="0" xfId="0" applyNumberFormat="1"/>
    <xf numFmtId="177" fontId="5" fillId="21" borderId="0" xfId="0" applyNumberFormat="1" applyFont="1" applyFill="1"/>
    <xf numFmtId="2" fontId="5" fillId="21" borderId="0" xfId="0" applyNumberFormat="1" applyFont="1" applyFill="1"/>
    <xf numFmtId="0" fontId="0" fillId="21" borderId="0" xfId="0" applyFill="1"/>
    <xf numFmtId="0" fontId="3" fillId="21" borderId="0" xfId="0" applyFont="1" applyFill="1"/>
    <xf numFmtId="0" fontId="5" fillId="22" borderId="0" xfId="0" applyFont="1" applyFill="1" applyAlignment="1">
      <alignment horizontal="right" vertical="center"/>
    </xf>
    <xf numFmtId="0" fontId="5" fillId="6" borderId="0" xfId="0" applyFont="1" applyFill="1"/>
    <xf numFmtId="179" fontId="0" fillId="0" borderId="2" xfId="0" applyNumberFormat="1" applyBorder="1" applyProtection="1">
      <protection locked="0"/>
    </xf>
    <xf numFmtId="0" fontId="0" fillId="0" borderId="2" xfId="0" applyBorder="1" applyProtection="1">
      <protection locked="0"/>
    </xf>
    <xf numFmtId="10" fontId="5" fillId="0" borderId="0" xfId="0" applyNumberFormat="1" applyFont="1"/>
    <xf numFmtId="1" fontId="14" fillId="0" borderId="0" xfId="0" applyNumberFormat="1" applyFont="1"/>
    <xf numFmtId="0" fontId="3" fillId="17" borderId="0" xfId="0" applyFont="1" applyFill="1"/>
    <xf numFmtId="0" fontId="0" fillId="17" borderId="0" xfId="0" applyFill="1"/>
    <xf numFmtId="0" fontId="5" fillId="17" borderId="0" xfId="0" applyFont="1" applyFill="1"/>
    <xf numFmtId="10" fontId="0" fillId="17" borderId="0" xfId="0" applyNumberFormat="1" applyFill="1"/>
    <xf numFmtId="2" fontId="0" fillId="17" borderId="0" xfId="0" applyNumberFormat="1" applyFill="1"/>
    <xf numFmtId="2" fontId="5" fillId="17" borderId="0" xfId="0" applyNumberFormat="1" applyFont="1" applyFill="1"/>
    <xf numFmtId="0" fontId="5" fillId="17" borderId="0" xfId="0" applyFont="1" applyFill="1" applyAlignment="1">
      <alignment horizontal="left"/>
    </xf>
    <xf numFmtId="0" fontId="0" fillId="17" borderId="0" xfId="0" applyFill="1" applyAlignment="1">
      <alignment horizontal="center"/>
    </xf>
    <xf numFmtId="2" fontId="5" fillId="17" borderId="0" xfId="0" applyNumberFormat="1" applyFont="1" applyFill="1" applyAlignment="1">
      <alignment horizontal="left"/>
    </xf>
    <xf numFmtId="2" fontId="5" fillId="17" borderId="0" xfId="0" applyNumberFormat="1" applyFont="1" applyFill="1" applyAlignment="1">
      <alignment horizontal="right" vertical="center"/>
    </xf>
    <xf numFmtId="1" fontId="5" fillId="17" borderId="0" xfId="0" applyNumberFormat="1" applyFont="1" applyFill="1" applyAlignment="1">
      <alignment horizontal="right"/>
    </xf>
    <xf numFmtId="178" fontId="5" fillId="17" borderId="0" xfId="0" applyNumberFormat="1" applyFont="1" applyFill="1" applyAlignment="1">
      <alignment horizontal="right"/>
    </xf>
    <xf numFmtId="1" fontId="0" fillId="17" borderId="0" xfId="0" applyNumberFormat="1" applyFill="1" applyAlignment="1">
      <alignment horizontal="right"/>
    </xf>
    <xf numFmtId="178" fontId="0" fillId="17" borderId="0" xfId="0" applyNumberFormat="1" applyFill="1" applyAlignment="1">
      <alignment horizontal="right"/>
    </xf>
    <xf numFmtId="2" fontId="5" fillId="23" borderId="0" xfId="0" applyNumberFormat="1" applyFont="1" applyFill="1"/>
    <xf numFmtId="2" fontId="0" fillId="23" borderId="0" xfId="0" applyNumberFormat="1" applyFill="1"/>
    <xf numFmtId="11" fontId="0" fillId="23" borderId="0" xfId="0" applyNumberFormat="1" applyFill="1"/>
    <xf numFmtId="10" fontId="0" fillId="23" borderId="0" xfId="0" applyNumberFormat="1" applyFill="1"/>
    <xf numFmtId="14" fontId="0" fillId="0" borderId="0" xfId="0" applyNumberFormat="1"/>
    <xf numFmtId="180" fontId="5" fillId="0" borderId="0" xfId="0" applyNumberFormat="1" applyFont="1"/>
    <xf numFmtId="176" fontId="5" fillId="0" borderId="0" xfId="0" applyNumberFormat="1" applyFont="1"/>
    <xf numFmtId="176" fontId="5" fillId="17" borderId="0" xfId="0" applyNumberFormat="1" applyFont="1" applyFill="1"/>
    <xf numFmtId="10" fontId="5" fillId="17" borderId="0" xfId="0" applyNumberFormat="1" applyFont="1" applyFill="1"/>
    <xf numFmtId="0" fontId="3" fillId="24" borderId="0" xfId="0" applyFont="1" applyFill="1"/>
    <xf numFmtId="0" fontId="0" fillId="24" borderId="0" xfId="0" applyFill="1"/>
    <xf numFmtId="0" fontId="3" fillId="19" borderId="0" xfId="0" applyFont="1" applyFill="1"/>
    <xf numFmtId="0" fontId="0" fillId="19" borderId="0" xfId="0" applyFill="1"/>
    <xf numFmtId="11" fontId="13" fillId="12" borderId="0" xfId="0" applyNumberFormat="1" applyFont="1" applyFill="1"/>
    <xf numFmtId="10" fontId="5" fillId="15" borderId="0" xfId="0" quotePrefix="1" applyNumberFormat="1" applyFont="1" applyFill="1"/>
    <xf numFmtId="11" fontId="0" fillId="15" borderId="0" xfId="0" applyNumberFormat="1" applyFill="1"/>
    <xf numFmtId="2" fontId="0" fillId="12" borderId="0" xfId="0" applyNumberFormat="1" applyFill="1"/>
    <xf numFmtId="178" fontId="5" fillId="12" borderId="0" xfId="0" applyNumberFormat="1" applyFont="1" applyFill="1"/>
    <xf numFmtId="178" fontId="0" fillId="4" borderId="0" xfId="0" applyNumberFormat="1" applyFill="1" applyProtection="1">
      <protection locked="0"/>
    </xf>
    <xf numFmtId="178" fontId="0" fillId="4" borderId="1" xfId="0" applyNumberFormat="1" applyFill="1" applyBorder="1" applyProtection="1">
      <protection locked="0"/>
    </xf>
    <xf numFmtId="11" fontId="5" fillId="14" borderId="0" xfId="0" applyNumberFormat="1" applyFont="1" applyFill="1"/>
    <xf numFmtId="1" fontId="0" fillId="15" borderId="0" xfId="0" applyNumberFormat="1" applyFill="1" applyProtection="1">
      <protection locked="0"/>
    </xf>
    <xf numFmtId="0" fontId="5" fillId="15" borderId="0" xfId="0" applyFont="1" applyFill="1" applyProtection="1">
      <protection locked="0"/>
    </xf>
    <xf numFmtId="176" fontId="0" fillId="0" borderId="0" xfId="0" applyNumberFormat="1" applyProtection="1">
      <protection locked="0"/>
    </xf>
    <xf numFmtId="1" fontId="16" fillId="0" borderId="0" xfId="0" applyNumberFormat="1" applyFont="1"/>
    <xf numFmtId="1" fontId="3" fillId="23" borderId="0" xfId="0" applyNumberFormat="1" applyFont="1" applyFill="1"/>
    <xf numFmtId="2" fontId="0" fillId="14" borderId="1" xfId="0" applyNumberFormat="1" applyFill="1" applyBorder="1"/>
    <xf numFmtId="2" fontId="0" fillId="14" borderId="0" xfId="0" applyNumberFormat="1" applyFill="1"/>
    <xf numFmtId="0" fontId="0" fillId="0" borderId="0" xfId="0" applyAlignment="1">
      <alignment horizontal="right"/>
    </xf>
    <xf numFmtId="179" fontId="5" fillId="6" borderId="0" xfId="0" applyNumberFormat="1" applyFont="1" applyFill="1"/>
    <xf numFmtId="11" fontId="5" fillId="13" borderId="0" xfId="0" applyNumberFormat="1" applyFont="1" applyFill="1" applyProtection="1">
      <protection locked="0"/>
    </xf>
    <xf numFmtId="179" fontId="5" fillId="0" borderId="0" xfId="0" applyNumberFormat="1" applyFont="1"/>
    <xf numFmtId="11" fontId="5" fillId="0" borderId="0" xfId="0" applyNumberFormat="1" applyFont="1" applyProtection="1">
      <protection locked="0"/>
    </xf>
    <xf numFmtId="0" fontId="5" fillId="6" borderId="0" xfId="0" applyFont="1" applyFill="1" applyProtection="1">
      <protection locked="0"/>
    </xf>
    <xf numFmtId="176" fontId="0" fillId="0" borderId="2" xfId="0" applyNumberFormat="1" applyBorder="1"/>
    <xf numFmtId="11" fontId="0" fillId="14" borderId="1" xfId="0" applyNumberFormat="1" applyFill="1" applyBorder="1"/>
    <xf numFmtId="11" fontId="0" fillId="14" borderId="0" xfId="0" applyNumberFormat="1" applyFill="1"/>
    <xf numFmtId="178" fontId="5" fillId="18" borderId="0" xfId="0" applyNumberFormat="1" applyFont="1" applyFill="1" applyAlignment="1">
      <alignment horizontal="right" vertical="center"/>
    </xf>
    <xf numFmtId="0" fontId="15" fillId="0" borderId="0" xfId="0" applyFont="1" applyAlignment="1">
      <alignment horizontal="left" vertical="center"/>
    </xf>
    <xf numFmtId="0" fontId="15" fillId="0" borderId="0" xfId="0" applyFont="1" applyAlignment="1">
      <alignment horizontal="center" vertical="center"/>
    </xf>
    <xf numFmtId="177" fontId="0" fillId="12" borderId="0" xfId="0" applyNumberFormat="1" applyFill="1"/>
    <xf numFmtId="49" fontId="5" fillId="0" borderId="0" xfId="0" applyNumberFormat="1" applyFont="1"/>
    <xf numFmtId="178" fontId="0" fillId="9" borderId="0" xfId="0" applyNumberFormat="1" applyFill="1"/>
    <xf numFmtId="10" fontId="0" fillId="25" borderId="0" xfId="0" applyNumberFormat="1" applyFill="1"/>
    <xf numFmtId="2" fontId="5" fillId="15" borderId="1" xfId="0" applyNumberFormat="1" applyFont="1" applyFill="1" applyBorder="1" applyProtection="1">
      <protection locked="0"/>
    </xf>
    <xf numFmtId="2" fontId="5" fillId="15" borderId="0" xfId="0" applyNumberFormat="1" applyFont="1" applyFill="1" applyProtection="1">
      <protection locked="0"/>
    </xf>
    <xf numFmtId="2" fontId="5" fillId="15" borderId="2" xfId="0" applyNumberFormat="1" applyFont="1" applyFill="1" applyBorder="1" applyProtection="1">
      <protection locked="0"/>
    </xf>
    <xf numFmtId="178" fontId="0" fillId="15" borderId="1" xfId="0" applyNumberFormat="1" applyFill="1" applyBorder="1" applyProtection="1">
      <protection locked="0"/>
    </xf>
    <xf numFmtId="178" fontId="0" fillId="15" borderId="0" xfId="0" applyNumberFormat="1" applyFill="1" applyProtection="1">
      <protection locked="0"/>
    </xf>
    <xf numFmtId="178" fontId="0" fillId="15" borderId="2" xfId="0" applyNumberFormat="1" applyFill="1" applyBorder="1" applyProtection="1">
      <protection locked="0"/>
    </xf>
    <xf numFmtId="1" fontId="0" fillId="15" borderId="1" xfId="0" applyNumberFormat="1" applyFill="1" applyBorder="1" applyProtection="1">
      <protection locked="0"/>
    </xf>
    <xf numFmtId="1" fontId="0" fillId="15" borderId="2" xfId="0" applyNumberFormat="1" applyFill="1" applyBorder="1" applyProtection="1">
      <protection locked="0"/>
    </xf>
    <xf numFmtId="1" fontId="0" fillId="6" borderId="0" xfId="0" applyNumberFormat="1" applyFill="1"/>
    <xf numFmtId="178" fontId="0" fillId="12" borderId="0" xfId="0" applyNumberFormat="1" applyFill="1"/>
    <xf numFmtId="11" fontId="14" fillId="0" borderId="0" xfId="0" applyNumberFormat="1" applyFont="1"/>
    <xf numFmtId="1" fontId="0" fillId="15" borderId="0" xfId="0" applyNumberFormat="1" applyFill="1"/>
    <xf numFmtId="2" fontId="0" fillId="15" borderId="1" xfId="0" applyNumberFormat="1" applyFill="1" applyBorder="1"/>
    <xf numFmtId="2" fontId="0" fillId="16" borderId="0" xfId="0" applyNumberFormat="1" applyFill="1"/>
    <xf numFmtId="2" fontId="5" fillId="16" borderId="0" xfId="0" applyNumberFormat="1" applyFont="1" applyFill="1"/>
    <xf numFmtId="0" fontId="3" fillId="26" borderId="0" xfId="0" applyFont="1" applyFill="1"/>
    <xf numFmtId="0" fontId="0" fillId="26" borderId="0" xfId="0" applyFill="1"/>
    <xf numFmtId="0" fontId="14" fillId="12" borderId="0" xfId="0" applyFont="1" applyFill="1"/>
    <xf numFmtId="0" fontId="14" fillId="16" borderId="0" xfId="0" applyFont="1" applyFill="1"/>
    <xf numFmtId="176" fontId="0" fillId="12" borderId="0" xfId="0" applyNumberFormat="1" applyFill="1"/>
    <xf numFmtId="176" fontId="13" fillId="12" borderId="0" xfId="0" applyNumberFormat="1" applyFont="1" applyFill="1"/>
    <xf numFmtId="2" fontId="13" fillId="12" borderId="0" xfId="0" applyNumberFormat="1" applyFont="1" applyFill="1"/>
    <xf numFmtId="2" fontId="0" fillId="12" borderId="4" xfId="0" applyNumberFormat="1" applyFill="1" applyBorder="1"/>
    <xf numFmtId="17" fontId="0" fillId="0" borderId="0" xfId="0" applyNumberFormat="1"/>
    <xf numFmtId="0" fontId="17" fillId="0" borderId="0" xfId="0" applyFont="1"/>
    <xf numFmtId="11" fontId="13" fillId="15" borderId="0" xfId="0" applyNumberFormat="1" applyFont="1" applyFill="1"/>
    <xf numFmtId="2" fontId="0" fillId="14" borderId="4" xfId="0" applyNumberFormat="1" applyFill="1" applyBorder="1"/>
    <xf numFmtId="2" fontId="0" fillId="14" borderId="2" xfId="0" applyNumberFormat="1" applyFill="1" applyBorder="1"/>
    <xf numFmtId="2" fontId="13" fillId="14" borderId="0" xfId="0" applyNumberFormat="1" applyFont="1" applyFill="1"/>
    <xf numFmtId="11" fontId="0" fillId="9" borderId="0" xfId="0" applyNumberFormat="1" applyFill="1"/>
    <xf numFmtId="176" fontId="0" fillId="9" borderId="0" xfId="0" applyNumberFormat="1" applyFill="1"/>
    <xf numFmtId="0" fontId="14" fillId="9" borderId="0" xfId="0" applyFont="1" applyFill="1"/>
    <xf numFmtId="0" fontId="5" fillId="4" borderId="0" xfId="0" applyFont="1" applyFill="1"/>
    <xf numFmtId="0" fontId="5" fillId="0" borderId="0" xfId="0" applyFont="1" applyProtection="1">
      <protection locked="0"/>
    </xf>
    <xf numFmtId="2" fontId="0" fillId="9" borderId="0" xfId="0" applyNumberFormat="1" applyFill="1"/>
    <xf numFmtId="2" fontId="0" fillId="9" borderId="1" xfId="0" applyNumberFormat="1" applyFill="1" applyBorder="1"/>
    <xf numFmtId="2" fontId="0" fillId="9" borderId="2" xfId="0" applyNumberFormat="1" applyFill="1" applyBorder="1"/>
    <xf numFmtId="11" fontId="0" fillId="9" borderId="1" xfId="0" applyNumberFormat="1" applyFill="1" applyBorder="1"/>
    <xf numFmtId="11" fontId="0" fillId="9" borderId="2" xfId="0" applyNumberFormat="1" applyFill="1" applyBorder="1"/>
    <xf numFmtId="176" fontId="0" fillId="9" borderId="1" xfId="0" applyNumberFormat="1" applyFill="1" applyBorder="1"/>
    <xf numFmtId="176" fontId="0" fillId="9" borderId="2" xfId="0" applyNumberFormat="1" applyFill="1" applyBorder="1"/>
    <xf numFmtId="1" fontId="0" fillId="9" borderId="1" xfId="0" applyNumberFormat="1" applyFill="1" applyBorder="1"/>
    <xf numFmtId="1" fontId="0" fillId="9" borderId="0" xfId="0" applyNumberFormat="1" applyFill="1"/>
    <xf numFmtId="1" fontId="0" fillId="9" borderId="2" xfId="0" applyNumberFormat="1" applyFill="1" applyBorder="1"/>
    <xf numFmtId="178" fontId="0" fillId="9" borderId="1" xfId="0" applyNumberFormat="1" applyFill="1" applyBorder="1"/>
    <xf numFmtId="178" fontId="0" fillId="9" borderId="2" xfId="0" applyNumberFormat="1" applyFill="1" applyBorder="1"/>
    <xf numFmtId="1" fontId="3" fillId="0" borderId="0" xfId="0" applyNumberFormat="1" applyFont="1" applyFill="1"/>
    <xf numFmtId="1" fontId="5" fillId="0" borderId="0" xfId="0" applyNumberFormat="1" applyFont="1" applyFill="1"/>
    <xf numFmtId="0" fontId="3" fillId="0" borderId="0" xfId="0" applyFont="1" applyFill="1"/>
    <xf numFmtId="0" fontId="14" fillId="15" borderId="0" xfId="0" applyFont="1" applyFill="1"/>
    <xf numFmtId="181" fontId="0" fillId="17" borderId="0" xfId="0" applyNumberFormat="1" applyFill="1"/>
    <xf numFmtId="11" fontId="0" fillId="17" borderId="0" xfId="0" applyNumberFormat="1" applyFill="1"/>
    <xf numFmtId="11" fontId="5" fillId="17" borderId="0" xfId="0" applyNumberFormat="1" applyFont="1" applyFill="1" applyAlignment="1">
      <alignment horizontal="left"/>
    </xf>
    <xf numFmtId="0" fontId="3" fillId="27" borderId="0" xfId="0" applyFont="1" applyFill="1"/>
    <xf numFmtId="0" fontId="0" fillId="27" borderId="0" xfId="0" applyFill="1"/>
    <xf numFmtId="11" fontId="0" fillId="14" borderId="2" xfId="0" applyNumberFormat="1" applyFill="1" applyBorder="1"/>
    <xf numFmtId="177" fontId="0" fillId="14" borderId="1" xfId="0" applyNumberFormat="1" applyFill="1" applyBorder="1"/>
    <xf numFmtId="177" fontId="0" fillId="14" borderId="0" xfId="0" applyNumberFormat="1" applyFill="1"/>
    <xf numFmtId="177" fontId="0" fillId="14" borderId="2" xfId="0" applyNumberFormat="1" applyFill="1" applyBorder="1"/>
    <xf numFmtId="177" fontId="0" fillId="0" borderId="0" xfId="0" applyNumberFormat="1" applyFill="1"/>
    <xf numFmtId="177" fontId="5" fillId="5" borderId="0" xfId="0" applyNumberFormat="1" applyFont="1" applyFill="1"/>
    <xf numFmtId="11" fontId="5" fillId="5" borderId="1" xfId="0" applyNumberFormat="1" applyFont="1" applyFill="1" applyBorder="1"/>
    <xf numFmtId="177" fontId="14" fillId="0" borderId="0" xfId="0" applyNumberFormat="1" applyFont="1"/>
    <xf numFmtId="1" fontId="14" fillId="0" borderId="0" xfId="0" applyNumberFormat="1" applyFont="1" applyFill="1"/>
    <xf numFmtId="0" fontId="5" fillId="0" borderId="0" xfId="0" applyFont="1" applyFill="1"/>
    <xf numFmtId="0" fontId="0" fillId="0" borderId="0" xfId="0" applyFill="1" applyBorder="1" applyProtection="1">
      <protection locked="0"/>
    </xf>
    <xf numFmtId="0" fontId="0" fillId="0" borderId="0" xfId="0" applyFill="1"/>
    <xf numFmtId="0" fontId="14" fillId="0" borderId="0" xfId="0" applyFont="1" applyFill="1"/>
    <xf numFmtId="2" fontId="3" fillId="23" borderId="0" xfId="0" applyNumberFormat="1" applyFont="1" applyFill="1"/>
    <xf numFmtId="178" fontId="3" fillId="0" borderId="0" xfId="0" applyNumberFormat="1" applyFont="1"/>
    <xf numFmtId="0" fontId="18" fillId="0" borderId="0" xfId="0" applyFont="1" applyFill="1"/>
    <xf numFmtId="0" fontId="3" fillId="23" borderId="0" xfId="0" applyFont="1" applyFill="1"/>
    <xf numFmtId="0" fontId="5" fillId="14" borderId="0" xfId="0" applyFont="1" applyFill="1"/>
    <xf numFmtId="0" fontId="0" fillId="14" borderId="0" xfId="0" applyFill="1"/>
    <xf numFmtId="0" fontId="18" fillId="17" borderId="0" xfId="0" applyFont="1" applyFill="1"/>
    <xf numFmtId="0" fontId="14" fillId="0" borderId="0" xfId="0" applyFont="1" applyAlignment="1"/>
    <xf numFmtId="0" fontId="22" fillId="28" borderId="0" xfId="0" applyFont="1" applyFill="1"/>
    <xf numFmtId="0" fontId="23" fillId="28" borderId="0" xfId="0" applyFont="1" applyFill="1"/>
    <xf numFmtId="2" fontId="23" fillId="28" borderId="0" xfId="0" applyNumberFormat="1" applyFont="1" applyFill="1" applyProtection="1">
      <protection locked="0"/>
    </xf>
    <xf numFmtId="2" fontId="23" fillId="28" borderId="1" xfId="0" applyNumberFormat="1" applyFont="1" applyFill="1" applyBorder="1" applyProtection="1">
      <protection locked="0"/>
    </xf>
    <xf numFmtId="0" fontId="24" fillId="28" borderId="0" xfId="0" applyFont="1" applyFill="1"/>
    <xf numFmtId="2" fontId="23" fillId="28" borderId="2" xfId="0" applyNumberFormat="1" applyFont="1" applyFill="1" applyBorder="1" applyProtection="1">
      <protection locked="0"/>
    </xf>
    <xf numFmtId="2" fontId="24" fillId="28" borderId="0" xfId="0" applyNumberFormat="1" applyFont="1" applyFill="1"/>
    <xf numFmtId="2" fontId="23" fillId="28" borderId="0" xfId="0" applyNumberFormat="1" applyFont="1" applyFill="1"/>
    <xf numFmtId="176" fontId="23" fillId="28" borderId="0" xfId="0" applyNumberFormat="1" applyFont="1" applyFill="1"/>
    <xf numFmtId="1" fontId="23" fillId="28" borderId="0" xfId="0" applyNumberFormat="1" applyFont="1" applyFill="1"/>
    <xf numFmtId="1" fontId="23" fillId="28" borderId="0" xfId="0" applyNumberFormat="1" applyFont="1" applyFill="1" applyProtection="1">
      <protection locked="0"/>
    </xf>
    <xf numFmtId="178" fontId="24" fillId="28" borderId="0" xfId="0" applyNumberFormat="1" applyFont="1" applyFill="1"/>
    <xf numFmtId="178" fontId="23" fillId="28" borderId="0" xfId="0" applyNumberFormat="1" applyFont="1" applyFill="1"/>
    <xf numFmtId="1" fontId="23" fillId="28" borderId="1" xfId="0" applyNumberFormat="1" applyFont="1" applyFill="1" applyBorder="1" applyProtection="1">
      <protection locked="0"/>
    </xf>
    <xf numFmtId="1" fontId="23" fillId="28" borderId="2" xfId="0" applyNumberFormat="1" applyFont="1" applyFill="1" applyBorder="1" applyProtection="1">
      <protection locked="0"/>
    </xf>
    <xf numFmtId="11" fontId="0" fillId="16" borderId="0" xfId="0" applyNumberFormat="1" applyFill="1"/>
    <xf numFmtId="11" fontId="3" fillId="16" borderId="0" xfId="0" applyNumberFormat="1" applyFont="1" applyFill="1"/>
    <xf numFmtId="0" fontId="0" fillId="0" borderId="0" xfId="0" applyAlignment="1">
      <alignment vertical="center"/>
    </xf>
    <xf numFmtId="0" fontId="5" fillId="0" borderId="0" xfId="0" applyFont="1" applyAlignment="1"/>
    <xf numFmtId="0" fontId="13" fillId="0" borderId="0" xfId="0" applyNumberFormat="1" applyFont="1" applyAlignment="1">
      <alignment horizontal="center"/>
    </xf>
    <xf numFmtId="0" fontId="0" fillId="0" borderId="0" xfId="0" applyAlignment="1"/>
    <xf numFmtId="11" fontId="13" fillId="0" borderId="0" xfId="0" applyNumberFormat="1" applyFont="1" applyAlignment="1"/>
    <xf numFmtId="0" fontId="5" fillId="0" borderId="0" xfId="0" applyFont="1" applyAlignment="1">
      <alignment vertical="center"/>
    </xf>
    <xf numFmtId="4" fontId="0" fillId="0" borderId="0" xfId="0" applyNumberFormat="1"/>
    <xf numFmtId="2" fontId="28" fillId="0" borderId="0" xfId="0" applyNumberFormat="1" applyFont="1" applyAlignment="1">
      <alignment horizontal="center" vertical="center"/>
    </xf>
    <xf numFmtId="0" fontId="28" fillId="0" borderId="0" xfId="0" applyFont="1" applyAlignment="1">
      <alignment horizontal="center" vertical="center"/>
    </xf>
    <xf numFmtId="2" fontId="28" fillId="16" borderId="0" xfId="0" applyNumberFormat="1" applyFont="1" applyFill="1" applyAlignment="1">
      <alignment horizontal="center" vertical="center"/>
    </xf>
  </cellXfs>
  <cellStyles count="1">
    <cellStyle name="常规" xfId="0" builtinId="0"/>
  </cellStyles>
  <dxfs count="16">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0000FF"/>
        </patternFill>
      </fill>
    </dxf>
    <dxf>
      <font>
        <color rgb="FFFFFFFF"/>
      </font>
      <fill>
        <patternFill>
          <bgColor rgb="FFDC143C"/>
        </patternFill>
      </fill>
    </dxf>
    <dxf>
      <font>
        <color rgb="FFFFFFFF"/>
      </font>
      <fill>
        <patternFill>
          <bgColor rgb="FF0000FF"/>
        </patternFill>
      </fill>
    </dxf>
    <dxf>
      <font>
        <color rgb="FFFFFFFF"/>
      </font>
      <fill>
        <patternFill>
          <bgColor rgb="FF0000FF"/>
        </patternFill>
      </fill>
    </dxf>
    <dxf>
      <font>
        <color rgb="FFFFFFFF"/>
      </font>
      <fill>
        <patternFill>
          <bgColor rgb="FF008000"/>
        </patternFill>
      </fill>
    </dxf>
  </dxfs>
  <tableStyles count="0" defaultTableStyle="TableStyleMedium9" defaultPivotStyle="PivotStyleLight16"/>
  <colors>
    <mruColors>
      <color rgb="FFFF66CC"/>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GMST above pre-industrial, Monte-Carlo mean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zh-CN"/>
        </a:p>
      </c:txPr>
    </c:title>
    <c:autoTitleDeleted val="0"/>
    <c:plotArea>
      <c:layout/>
      <c:scatterChart>
        <c:scatterStyle val="smoothMarker"/>
        <c:varyColors val="0"/>
        <c:ser>
          <c:idx val="0"/>
          <c:order val="0"/>
          <c:tx>
            <c:v>GMST MC mean</c:v>
          </c:tx>
          <c:spPr>
            <a:ln w="22225" cap="rnd">
              <a:solidFill>
                <a:schemeClr val="accent1"/>
              </a:solidFill>
            </a:ln>
            <a:effectLst>
              <a:glow rad="139700">
                <a:schemeClr val="accent1">
                  <a:satMod val="175000"/>
                  <a:alpha val="14000"/>
                </a:schemeClr>
              </a:glow>
            </a:effectLst>
          </c:spPr>
          <c:marker>
            <c:symbol val="none"/>
          </c:marker>
          <c:xVal>
            <c:numRef>
              <c:f>Results!$C$59:$L$59</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Results!$C$70:$L$70</c:f>
              <c:numCache>
                <c:formatCode>0.00</c:formatCode>
                <c:ptCount val="10"/>
                <c:pt idx="0">
                  <c:v>1.2538910767667113</c:v>
                </c:pt>
                <c:pt idx="1">
                  <c:v>1.4337087165495594</c:v>
                </c:pt>
                <c:pt idx="2">
                  <c:v>1.6160710916037229</c:v>
                </c:pt>
                <c:pt idx="3">
                  <c:v>2.0287838915838345</c:v>
                </c:pt>
                <c:pt idx="4">
                  <c:v>2.5040193517743532</c:v>
                </c:pt>
                <c:pt idx="5" formatCode="0.000">
                  <c:v>2.6456522643081657</c:v>
                </c:pt>
                <c:pt idx="6">
                  <c:v>2.7167244086378974</c:v>
                </c:pt>
                <c:pt idx="7">
                  <c:v>2.5867213894378334</c:v>
                </c:pt>
                <c:pt idx="8">
                  <c:v>2.4974160572797461</c:v>
                </c:pt>
                <c:pt idx="9">
                  <c:v>2.3828417407573874</c:v>
                </c:pt>
              </c:numCache>
            </c:numRef>
          </c:yVal>
          <c:smooth val="1"/>
          <c:extLst>
            <c:ext xmlns:c16="http://schemas.microsoft.com/office/drawing/2014/chart" uri="{C3380CC4-5D6E-409C-BE32-E72D297353CC}">
              <c16:uniqueId val="{00000000-36D0-4F63-AF62-813194EBD182}"/>
            </c:ext>
          </c:extLst>
        </c:ser>
        <c:dLbls>
          <c:showLegendKey val="0"/>
          <c:showVal val="0"/>
          <c:showCatName val="0"/>
          <c:showSerName val="0"/>
          <c:showPercent val="0"/>
          <c:showBubbleSize val="0"/>
        </c:dLbls>
        <c:axId val="287276200"/>
        <c:axId val="284377512"/>
      </c:scatterChart>
      <c:valAx>
        <c:axId val="287276200"/>
        <c:scaling>
          <c:orientation val="minMax"/>
          <c:max val="2300"/>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4377512"/>
        <c:crosses val="autoZero"/>
        <c:crossBetween val="midCat"/>
      </c:valAx>
      <c:valAx>
        <c:axId val="284377512"/>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GMST, degC</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zh-CN"/>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727620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Nonlinear</a:t>
            </a:r>
            <a:r>
              <a:rPr lang="en-GB" baseline="0"/>
              <a:t> FSAF and FSAF based on ECS-averaged SAF</a:t>
            </a:r>
            <a:r>
              <a:rPr lang="en-GB"/>
              <a:t>, Monte-Carlo mean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zh-CN"/>
        </a:p>
      </c:txPr>
    </c:title>
    <c:autoTitleDeleted val="0"/>
    <c:plotArea>
      <c:layout>
        <c:manualLayout>
          <c:layoutTarget val="inner"/>
          <c:xMode val="edge"/>
          <c:yMode val="edge"/>
          <c:x val="0.11943685185185185"/>
          <c:y val="0.17893672839506172"/>
          <c:w val="0.8332438888888889"/>
          <c:h val="0.61222500000000002"/>
        </c:manualLayout>
      </c:layout>
      <c:scatterChart>
        <c:scatterStyle val="lineMarker"/>
        <c:varyColors val="0"/>
        <c:ser>
          <c:idx val="1"/>
          <c:order val="0"/>
          <c:tx>
            <c:v>Nonlinear FSAF</c:v>
          </c:tx>
          <c:spPr>
            <a:ln w="22225" cap="rnd">
              <a:solidFill>
                <a:schemeClr val="accent2"/>
              </a:solidFill>
            </a:ln>
            <a:effectLst>
              <a:glow rad="139700">
                <a:schemeClr val="accent2">
                  <a:satMod val="175000"/>
                  <a:alpha val="14000"/>
                </a:schemeClr>
              </a:glow>
            </a:effectLst>
          </c:spPr>
          <c:marker>
            <c:symbol val="none"/>
          </c:marker>
          <c:xVal>
            <c:numRef>
              <c:f>Results!$C$59:$L$59</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Results!$C$79:$L$79</c:f>
              <c:numCache>
                <c:formatCode>0.00</c:formatCode>
                <c:ptCount val="10"/>
                <c:pt idx="0">
                  <c:v>0.44955534582780804</c:v>
                </c:pt>
                <c:pt idx="1">
                  <c:v>0.51274617689908686</c:v>
                </c:pt>
                <c:pt idx="2">
                  <c:v>0.57645594618633245</c:v>
                </c:pt>
                <c:pt idx="3">
                  <c:v>0.71817539324482182</c:v>
                </c:pt>
                <c:pt idx="4">
                  <c:v>0.87864541084119008</c:v>
                </c:pt>
                <c:pt idx="5">
                  <c:v>0.92480831527852603</c:v>
                </c:pt>
                <c:pt idx="6">
                  <c:v>0.94875211250944247</c:v>
                </c:pt>
                <c:pt idx="7">
                  <c:v>0.90516987069311583</c:v>
                </c:pt>
                <c:pt idx="8">
                  <c:v>0.87483790914892035</c:v>
                </c:pt>
                <c:pt idx="9">
                  <c:v>0.83709101331759339</c:v>
                </c:pt>
              </c:numCache>
            </c:numRef>
          </c:yVal>
          <c:smooth val="0"/>
          <c:extLst>
            <c:ext xmlns:c16="http://schemas.microsoft.com/office/drawing/2014/chart" uri="{C3380CC4-5D6E-409C-BE32-E72D297353CC}">
              <c16:uniqueId val="{00000000-1DC8-410D-99B9-1F69F2EEC9CB}"/>
            </c:ext>
          </c:extLst>
        </c:ser>
        <c:ser>
          <c:idx val="2"/>
          <c:order val="1"/>
          <c:tx>
            <c:v>FSAF based on ECS-averaged SAF</c:v>
          </c:tx>
          <c:spPr>
            <a:ln w="22225" cap="rnd">
              <a:solidFill>
                <a:schemeClr val="accent3"/>
              </a:solidFill>
            </a:ln>
            <a:effectLst>
              <a:glow rad="139700">
                <a:schemeClr val="accent3">
                  <a:satMod val="175000"/>
                  <a:alpha val="14000"/>
                </a:schemeClr>
              </a:glow>
            </a:effectLst>
          </c:spPr>
          <c:marker>
            <c:symbol val="none"/>
          </c:marker>
          <c:xVal>
            <c:numRef>
              <c:f>Results!$C$59:$L$59</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Results!$C$80:$L$80</c:f>
              <c:numCache>
                <c:formatCode>0.00</c:formatCode>
                <c:ptCount val="10"/>
                <c:pt idx="0">
                  <c:v>0.43774007309040569</c:v>
                </c:pt>
                <c:pt idx="1">
                  <c:v>0.50050247460226305</c:v>
                </c:pt>
                <c:pt idx="2">
                  <c:v>0.56444824373472979</c:v>
                </c:pt>
                <c:pt idx="3">
                  <c:v>0.70816348117783168</c:v>
                </c:pt>
                <c:pt idx="4">
                  <c:v>0.87411799822904745</c:v>
                </c:pt>
                <c:pt idx="5">
                  <c:v>0.9234394317200062</c:v>
                </c:pt>
                <c:pt idx="6">
                  <c:v>0.94877434128002336</c:v>
                </c:pt>
                <c:pt idx="7">
                  <c:v>0.90312500675199114</c:v>
                </c:pt>
                <c:pt idx="8">
                  <c:v>0.87153853541299253</c:v>
                </c:pt>
                <c:pt idx="9">
                  <c:v>0.83209323242416833</c:v>
                </c:pt>
              </c:numCache>
            </c:numRef>
          </c:yVal>
          <c:smooth val="0"/>
          <c:extLst>
            <c:ext xmlns:c16="http://schemas.microsoft.com/office/drawing/2014/chart" uri="{C3380CC4-5D6E-409C-BE32-E72D297353CC}">
              <c16:uniqueId val="{00000001-1DC8-410D-99B9-1F69F2EEC9CB}"/>
            </c:ext>
          </c:extLst>
        </c:ser>
        <c:dLbls>
          <c:showLegendKey val="0"/>
          <c:showVal val="0"/>
          <c:showCatName val="0"/>
          <c:showSerName val="0"/>
          <c:showPercent val="0"/>
          <c:showBubbleSize val="0"/>
        </c:dLbls>
        <c:axId val="285252008"/>
        <c:axId val="285252400"/>
      </c:scatterChart>
      <c:valAx>
        <c:axId val="285252008"/>
        <c:scaling>
          <c:orientation val="minMax"/>
          <c:max val="2300"/>
          <c:min val="200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year</a:t>
                </a:r>
              </a:p>
            </c:rich>
          </c:tx>
          <c:layout>
            <c:manualLayout>
              <c:xMode val="edge"/>
              <c:yMode val="edge"/>
              <c:x val="0.50753074074074078"/>
              <c:y val="0.8507351851851852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zh-CN"/>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2400"/>
        <c:crosses val="autoZero"/>
        <c:crossBetween val="midCat"/>
      </c:valAx>
      <c:valAx>
        <c:axId val="28525240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W/m2</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zh-CN"/>
            </a:p>
          </c:txPr>
        </c:title>
        <c:numFmt formatCode="#,##0.00"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2008"/>
        <c:crosses val="autoZero"/>
        <c:crossBetween val="midCat"/>
      </c:valAx>
      <c:spPr>
        <a:noFill/>
        <a:ln>
          <a:noFill/>
        </a:ln>
        <a:effectLst/>
      </c:spPr>
    </c:plotArea>
    <c:legend>
      <c:legendPos val="t"/>
      <c:layout>
        <c:manualLayout>
          <c:xMode val="edge"/>
          <c:yMode val="edge"/>
          <c:x val="0.19788444444444445"/>
          <c:y val="0.90616851851851854"/>
          <c:w val="0.62774944444444447"/>
          <c:h val="6.614629629629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 Nonlinear SAF minus ECS-averaged SAF, Monte-Carlo mean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zh-CN"/>
        </a:p>
      </c:txPr>
    </c:title>
    <c:autoTitleDeleted val="0"/>
    <c:plotArea>
      <c:layout>
        <c:manualLayout>
          <c:layoutTarget val="inner"/>
          <c:xMode val="edge"/>
          <c:yMode val="edge"/>
          <c:x val="0.1259162962962963"/>
          <c:y val="0.18677623456790124"/>
          <c:w val="0.82945740740740737"/>
          <c:h val="0.66770931029109526"/>
        </c:manualLayout>
      </c:layout>
      <c:scatterChart>
        <c:scatterStyle val="lineMarker"/>
        <c:varyColors val="0"/>
        <c:ser>
          <c:idx val="1"/>
          <c:order val="0"/>
          <c:tx>
            <c:v>Difference SIAF vs pre-SENS average</c:v>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Results!$B$78:$L$78</c:f>
              <c:numCache>
                <c:formatCode>0.00</c:formatCode>
                <c:ptCount val="11"/>
                <c:pt idx="1">
                  <c:v>1.2538910767667113</c:v>
                </c:pt>
                <c:pt idx="2">
                  <c:v>1.4337087165495594</c:v>
                </c:pt>
                <c:pt idx="3">
                  <c:v>1.6160710916037229</c:v>
                </c:pt>
                <c:pt idx="4">
                  <c:v>2.0287838915838345</c:v>
                </c:pt>
                <c:pt idx="5">
                  <c:v>2.5040193517743532</c:v>
                </c:pt>
                <c:pt idx="6">
                  <c:v>2.6456522643081657</c:v>
                </c:pt>
                <c:pt idx="7">
                  <c:v>2.7167244086378974</c:v>
                </c:pt>
                <c:pt idx="8">
                  <c:v>2.5867213894378334</c:v>
                </c:pt>
                <c:pt idx="9">
                  <c:v>2.4974160572797461</c:v>
                </c:pt>
                <c:pt idx="10">
                  <c:v>2.3828417407573874</c:v>
                </c:pt>
              </c:numCache>
            </c:numRef>
          </c:xVal>
          <c:yVal>
            <c:numRef>
              <c:f>Results!$B$81:$L$81</c:f>
              <c:numCache>
                <c:formatCode>0.00E+00</c:formatCode>
                <c:ptCount val="11"/>
                <c:pt idx="1">
                  <c:v>4.5432845090534243E-3</c:v>
                </c:pt>
                <c:pt idx="2">
                  <c:v>2.5472891993085218E-3</c:v>
                </c:pt>
                <c:pt idx="3">
                  <c:v>3.7331062506216394E-4</c:v>
                </c:pt>
                <c:pt idx="4">
                  <c:v>-3.3286196759739015E-3</c:v>
                </c:pt>
                <c:pt idx="5">
                  <c:v>-9.3438049445005028E-3</c:v>
                </c:pt>
                <c:pt idx="6">
                  <c:v>-1.6008487888477901E-2</c:v>
                </c:pt>
                <c:pt idx="7">
                  <c:v>-1.8838260035708904E-2</c:v>
                </c:pt>
                <c:pt idx="8">
                  <c:v>-1.9636327798048372E-2</c:v>
                </c:pt>
                <c:pt idx="9">
                  <c:v>-1.785305982643828E-2</c:v>
                </c:pt>
                <c:pt idx="10">
                  <c:v>-1.6020568936669134E-2</c:v>
                </c:pt>
              </c:numCache>
            </c:numRef>
          </c:yVal>
          <c:smooth val="0"/>
          <c:extLst>
            <c:ext xmlns:c16="http://schemas.microsoft.com/office/drawing/2014/chart" uri="{C3380CC4-5D6E-409C-BE32-E72D297353CC}">
              <c16:uniqueId val="{00000000-80AD-40C1-A3FC-7FD326CAF050}"/>
            </c:ext>
          </c:extLst>
        </c:ser>
        <c:dLbls>
          <c:showLegendKey val="0"/>
          <c:showVal val="0"/>
          <c:showCatName val="0"/>
          <c:showSerName val="0"/>
          <c:showPercent val="0"/>
          <c:showBubbleSize val="0"/>
        </c:dLbls>
        <c:axId val="285253184"/>
        <c:axId val="285253576"/>
      </c:scatterChart>
      <c:valAx>
        <c:axId val="285253184"/>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degC relative to pre-ind</a:t>
                </a:r>
              </a:p>
            </c:rich>
          </c:tx>
          <c:layout>
            <c:manualLayout>
              <c:xMode val="edge"/>
              <c:yMode val="edge"/>
              <c:x val="0.39322472336047087"/>
              <c:y val="0.8992755689753005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zh-CN"/>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3576"/>
        <c:crosses val="autoZero"/>
        <c:crossBetween val="midCat"/>
      </c:valAx>
      <c:valAx>
        <c:axId val="285253576"/>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W/m2/degC</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zh-CN"/>
            </a:p>
          </c:txPr>
        </c:title>
        <c:numFmt formatCode="#,##0.00"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3184"/>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RF, Monte-Carlo mean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zh-CN"/>
        </a:p>
      </c:txPr>
    </c:title>
    <c:autoTitleDeleted val="0"/>
    <c:plotArea>
      <c:layout/>
      <c:scatterChart>
        <c:scatterStyle val="smoothMarker"/>
        <c:varyColors val="0"/>
        <c:ser>
          <c:idx val="0"/>
          <c:order val="0"/>
          <c:tx>
            <c:v>RF MC mean</c:v>
          </c:tx>
          <c:spPr>
            <a:ln w="22225" cap="rnd">
              <a:solidFill>
                <a:schemeClr val="accent1"/>
              </a:solidFill>
            </a:ln>
            <a:effectLst>
              <a:glow rad="139700">
                <a:schemeClr val="accent1">
                  <a:satMod val="175000"/>
                  <a:alpha val="14000"/>
                </a:schemeClr>
              </a:glow>
            </a:effectLst>
          </c:spPr>
          <c:marker>
            <c:symbol val="none"/>
          </c:marker>
          <c:xVal>
            <c:numRef>
              <c:f>Results!$C$59:$L$59</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Results!$C$68:$L$68</c:f>
              <c:numCache>
                <c:formatCode>0.00</c:formatCode>
                <c:ptCount val="10"/>
                <c:pt idx="0">
                  <c:v>3.0087665131748222</c:v>
                </c:pt>
                <c:pt idx="1">
                  <c:v>3.2891745815008608</c:v>
                </c:pt>
                <c:pt idx="2">
                  <c:v>3.5860669306787432</c:v>
                </c:pt>
                <c:pt idx="3">
                  <c:v>4.2485875391988426</c:v>
                </c:pt>
                <c:pt idx="4">
                  <c:v>4.6687978009007773</c:v>
                </c:pt>
                <c:pt idx="5" formatCode="0.000">
                  <c:v>4.6222838314547996</c:v>
                </c:pt>
                <c:pt idx="6">
                  <c:v>4.2888711394326471</c:v>
                </c:pt>
                <c:pt idx="7">
                  <c:v>3.8962545957597445</c:v>
                </c:pt>
                <c:pt idx="8">
                  <c:v>3.5270142036366243</c:v>
                </c:pt>
                <c:pt idx="9">
                  <c:v>3.1834623513242035</c:v>
                </c:pt>
              </c:numCache>
            </c:numRef>
          </c:yVal>
          <c:smooth val="1"/>
          <c:extLst>
            <c:ext xmlns:c16="http://schemas.microsoft.com/office/drawing/2014/chart" uri="{C3380CC4-5D6E-409C-BE32-E72D297353CC}">
              <c16:uniqueId val="{00000000-86A4-4B22-8BCD-D755F050A6B0}"/>
            </c:ext>
          </c:extLst>
        </c:ser>
        <c:dLbls>
          <c:showLegendKey val="0"/>
          <c:showVal val="0"/>
          <c:showCatName val="0"/>
          <c:showSerName val="0"/>
          <c:showPercent val="0"/>
          <c:showBubbleSize val="0"/>
        </c:dLbls>
        <c:axId val="285255928"/>
        <c:axId val="285256320"/>
      </c:scatterChart>
      <c:valAx>
        <c:axId val="285255928"/>
        <c:scaling>
          <c:orientation val="minMax"/>
          <c:max val="2300"/>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6320"/>
        <c:crosses val="autoZero"/>
        <c:crossBetween val="midCat"/>
      </c:valAx>
      <c:valAx>
        <c:axId val="28525632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RF, W/m2</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zh-CN"/>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592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Results!$A$198</c:f>
          <c:strCache>
            <c:ptCount val="1"/>
            <c:pt idx="0">
              <c:v>Permafrost flux and ocean flux due to permafrost, CO2</c:v>
            </c:pt>
          </c:strCache>
        </c:strRef>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zh-CN"/>
        </a:p>
      </c:txPr>
    </c:title>
    <c:autoTitleDeleted val="0"/>
    <c:plotArea>
      <c:layout>
        <c:manualLayout>
          <c:layoutTarget val="inner"/>
          <c:xMode val="edge"/>
          <c:yMode val="edge"/>
          <c:x val="0.14139592592592592"/>
          <c:y val="0.12136738116068825"/>
          <c:w val="0.80549296296296313"/>
          <c:h val="0.63190432098765437"/>
        </c:manualLayout>
      </c:layout>
      <c:scatterChart>
        <c:scatterStyle val="smoothMarker"/>
        <c:varyColors val="0"/>
        <c:ser>
          <c:idx val="0"/>
          <c:order val="0"/>
          <c:tx>
            <c:strRef>
              <c:f>Results!$A$199:$B$199</c:f>
              <c:strCache>
                <c:ptCount val="2"/>
                <c:pt idx="0">
                  <c:v>Ocean annual CO2 flux due to permafrost, A-B</c:v>
                </c:pt>
              </c:strCache>
            </c:strRef>
          </c:tx>
          <c:spPr>
            <a:ln w="22225" cap="rnd">
              <a:solidFill>
                <a:schemeClr val="accent1"/>
              </a:solidFill>
            </a:ln>
            <a:effectLst>
              <a:glow rad="139700">
                <a:schemeClr val="accent1">
                  <a:satMod val="175000"/>
                  <a:alpha val="14000"/>
                </a:schemeClr>
              </a:glow>
            </a:effectLst>
          </c:spPr>
          <c:marker>
            <c:symbol val="none"/>
          </c:marker>
          <c:xVal>
            <c:numRef>
              <c:f>Results!$C$198:$L$198</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Results!$C$199:$L$199</c:f>
              <c:numCache>
                <c:formatCode>0</c:formatCode>
                <c:ptCount val="10"/>
                <c:pt idx="0">
                  <c:v>1.09990612316668</c:v>
                </c:pt>
                <c:pt idx="1">
                  <c:v>1.09990612316668</c:v>
                </c:pt>
                <c:pt idx="2">
                  <c:v>-5.2160433887644881</c:v>
                </c:pt>
                <c:pt idx="3">
                  <c:v>30.831240604699403</c:v>
                </c:pt>
                <c:pt idx="4">
                  <c:v>-1306.658618319161</c:v>
                </c:pt>
                <c:pt idx="5">
                  <c:v>-1296.703155212881</c:v>
                </c:pt>
                <c:pt idx="6">
                  <c:v>4832.9444136432894</c:v>
                </c:pt>
                <c:pt idx="7">
                  <c:v>15571.939008910071</c:v>
                </c:pt>
                <c:pt idx="8">
                  <c:v>26346.783505537089</c:v>
                </c:pt>
                <c:pt idx="9">
                  <c:v>35238.431036452901</c:v>
                </c:pt>
              </c:numCache>
            </c:numRef>
          </c:yVal>
          <c:smooth val="1"/>
          <c:extLst>
            <c:ext xmlns:c16="http://schemas.microsoft.com/office/drawing/2014/chart" uri="{C3380CC4-5D6E-409C-BE32-E72D297353CC}">
              <c16:uniqueId val="{00000000-D07B-4230-9FA3-0FBFFF3232F4}"/>
            </c:ext>
          </c:extLst>
        </c:ser>
        <c:ser>
          <c:idx val="1"/>
          <c:order val="1"/>
          <c:tx>
            <c:strRef>
              <c:f>Results!$A$200:$B$200</c:f>
              <c:strCache>
                <c:ptCount val="2"/>
                <c:pt idx="0">
                  <c:v>Permafrost annual CO2 flux to air, A-B</c:v>
                </c:pt>
              </c:strCache>
            </c:strRef>
          </c:tx>
          <c:spPr>
            <a:ln w="22225" cap="rnd">
              <a:solidFill>
                <a:schemeClr val="accent2"/>
              </a:solidFill>
            </a:ln>
            <a:effectLst>
              <a:glow rad="139700">
                <a:schemeClr val="accent2">
                  <a:satMod val="175000"/>
                  <a:alpha val="14000"/>
                </a:schemeClr>
              </a:glow>
            </a:effectLst>
          </c:spPr>
          <c:marker>
            <c:symbol val="none"/>
          </c:marker>
          <c:xVal>
            <c:numRef>
              <c:f>Results!$C$198:$L$198</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Results!$C$200:$L$200</c:f>
              <c:numCache>
                <c:formatCode>0</c:formatCode>
                <c:ptCount val="10"/>
                <c:pt idx="0">
                  <c:v>-8.5207826030025196</c:v>
                </c:pt>
                <c:pt idx="1">
                  <c:v>-13.763697426122651</c:v>
                </c:pt>
                <c:pt idx="2">
                  <c:v>2.8378024824879966</c:v>
                </c:pt>
                <c:pt idx="3">
                  <c:v>-74.022042587459765</c:v>
                </c:pt>
                <c:pt idx="4">
                  <c:v>-12.334864593067936</c:v>
                </c:pt>
                <c:pt idx="5">
                  <c:v>-658.28756930494762</c:v>
                </c:pt>
                <c:pt idx="6">
                  <c:v>-1570.4711441527418</c:v>
                </c:pt>
                <c:pt idx="7">
                  <c:v>-2828.2456828450468</c:v>
                </c:pt>
                <c:pt idx="8">
                  <c:v>-4050.0253360167108</c:v>
                </c:pt>
                <c:pt idx="9">
                  <c:v>-5015.4411053032327</c:v>
                </c:pt>
              </c:numCache>
            </c:numRef>
          </c:yVal>
          <c:smooth val="1"/>
          <c:extLst>
            <c:ext xmlns:c16="http://schemas.microsoft.com/office/drawing/2014/chart" uri="{C3380CC4-5D6E-409C-BE32-E72D297353CC}">
              <c16:uniqueId val="{00000001-D07B-4230-9FA3-0FBFFF3232F4}"/>
            </c:ext>
          </c:extLst>
        </c:ser>
        <c:ser>
          <c:idx val="2"/>
          <c:order val="2"/>
          <c:tx>
            <c:strRef>
              <c:f>Results!$A$201:$B$201</c:f>
              <c:strCache>
                <c:ptCount val="2"/>
                <c:pt idx="0">
                  <c:v>Permafrost flux plus ocean flux due to permaforst, A-B</c:v>
                </c:pt>
              </c:strCache>
            </c:strRef>
          </c:tx>
          <c:spPr>
            <a:ln w="22225" cap="rnd">
              <a:solidFill>
                <a:schemeClr val="accent3"/>
              </a:solidFill>
            </a:ln>
            <a:effectLst>
              <a:glow rad="139700">
                <a:schemeClr val="accent3">
                  <a:satMod val="175000"/>
                  <a:alpha val="14000"/>
                </a:schemeClr>
              </a:glow>
            </a:effectLst>
          </c:spPr>
          <c:marker>
            <c:symbol val="none"/>
          </c:marker>
          <c:xVal>
            <c:numRef>
              <c:f>Results!$C$198:$L$198</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Results!$C$201:$L$201</c:f>
              <c:numCache>
                <c:formatCode>0</c:formatCode>
                <c:ptCount val="10"/>
                <c:pt idx="0">
                  <c:v>-7.4208764798358464</c:v>
                </c:pt>
                <c:pt idx="1">
                  <c:v>-12.663791302956097</c:v>
                </c:pt>
                <c:pt idx="2">
                  <c:v>-2.3782409062765186</c:v>
                </c:pt>
                <c:pt idx="3">
                  <c:v>-43.190801982760277</c:v>
                </c:pt>
                <c:pt idx="4">
                  <c:v>-1318.9934829122276</c:v>
                </c:pt>
                <c:pt idx="5">
                  <c:v>-1954.9907245178324</c:v>
                </c:pt>
                <c:pt idx="6">
                  <c:v>3262.473269490552</c:v>
                </c:pt>
                <c:pt idx="7">
                  <c:v>12743.69332606494</c:v>
                </c:pt>
                <c:pt idx="8">
                  <c:v>22296.758169520381</c:v>
                </c:pt>
                <c:pt idx="9">
                  <c:v>30222.98993114951</c:v>
                </c:pt>
              </c:numCache>
            </c:numRef>
          </c:yVal>
          <c:smooth val="1"/>
          <c:extLst>
            <c:ext xmlns:c16="http://schemas.microsoft.com/office/drawing/2014/chart" uri="{C3380CC4-5D6E-409C-BE32-E72D297353CC}">
              <c16:uniqueId val="{00000002-D07B-4230-9FA3-0FBFFF3232F4}"/>
            </c:ext>
          </c:extLst>
        </c:ser>
        <c:dLbls>
          <c:showLegendKey val="0"/>
          <c:showVal val="0"/>
          <c:showCatName val="0"/>
          <c:showSerName val="0"/>
          <c:showPercent val="0"/>
          <c:showBubbleSize val="0"/>
        </c:dLbls>
        <c:axId val="285257104"/>
        <c:axId val="288331152"/>
      </c:scatterChart>
      <c:valAx>
        <c:axId val="285257104"/>
        <c:scaling>
          <c:orientation val="minMax"/>
          <c:max val="2300"/>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8331152"/>
        <c:crosses val="autoZero"/>
        <c:crossBetween val="midCat"/>
      </c:valAx>
      <c:valAx>
        <c:axId val="288331152"/>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strRef>
              <c:f>Results!$M$199</c:f>
              <c:strCache>
                <c:ptCount val="1"/>
                <c:pt idx="0">
                  <c:v>MtonCO2/yr</c:v>
                </c:pt>
              </c:strCache>
            </c:strRef>
          </c:tx>
          <c:layout>
            <c:manualLayout>
              <c:xMode val="edge"/>
              <c:yMode val="edge"/>
              <c:x val="2.4205000000000001E-2"/>
              <c:y val="0.2856345679012345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zh-CN"/>
            </a:p>
          </c:txPr>
        </c:title>
        <c:numFmt formatCode="#,##0"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7104"/>
        <c:crosses val="autoZero"/>
        <c:crossBetween val="midCat"/>
      </c:valAx>
      <c:spPr>
        <a:noFill/>
        <a:ln>
          <a:noFill/>
        </a:ln>
        <a:effectLst/>
      </c:spPr>
    </c:plotArea>
    <c:legend>
      <c:legendPos val="t"/>
      <c:layout>
        <c:manualLayout>
          <c:xMode val="edge"/>
          <c:yMode val="edge"/>
          <c:x val="1.8077222222222224E-2"/>
          <c:y val="0.77617407407407413"/>
          <c:w val="0.95527240740740738"/>
          <c:h val="0.201740123456790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Results!$A$112</c:f>
          <c:strCache>
            <c:ptCount val="1"/>
            <c:pt idx="0">
              <c:v>Permafrost cumulative carbon (CO2), SiBCASA &amp; JULES</c:v>
            </c:pt>
          </c:strCache>
        </c:strRef>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zh-CN"/>
        </a:p>
      </c:txPr>
    </c:title>
    <c:autoTitleDeleted val="0"/>
    <c:plotArea>
      <c:layout>
        <c:manualLayout>
          <c:layoutTarget val="inner"/>
          <c:xMode val="edge"/>
          <c:yMode val="edge"/>
          <c:x val="0.10942962962962961"/>
          <c:y val="0.14097438271604937"/>
          <c:w val="0.85030666666666666"/>
          <c:h val="0.67402006172839501"/>
        </c:manualLayout>
      </c:layout>
      <c:scatterChart>
        <c:scatterStyle val="smoothMarker"/>
        <c:varyColors val="0"/>
        <c:ser>
          <c:idx val="0"/>
          <c:order val="0"/>
          <c:tx>
            <c:strRef>
              <c:f>Results!$A$113</c:f>
              <c:strCache>
                <c:ptCount val="1"/>
                <c:pt idx="0">
                  <c:v>5th precentile</c:v>
                </c:pt>
              </c:strCache>
            </c:strRef>
          </c:tx>
          <c:spPr>
            <a:ln w="22225" cap="rnd">
              <a:solidFill>
                <a:schemeClr val="accent2">
                  <a:lumMod val="20000"/>
                  <a:lumOff val="80000"/>
                </a:schemeClr>
              </a:solidFill>
            </a:ln>
            <a:effectLst>
              <a:glow rad="139700">
                <a:schemeClr val="accent1">
                  <a:satMod val="175000"/>
                  <a:alpha val="14000"/>
                </a:schemeClr>
              </a:glow>
            </a:effectLst>
          </c:spPr>
          <c:marker>
            <c:symbol val="none"/>
          </c:marker>
          <c:xVal>
            <c:numRef>
              <c:f>Results!$C$112:$L$112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Results!$C$113:$L$113</c:f>
              <c:numCache>
                <c:formatCode>0.00E+00</c:formatCode>
                <c:ptCount val="10"/>
                <c:pt idx="0">
                  <c:v>11.785916515714074</c:v>
                </c:pt>
                <c:pt idx="1">
                  <c:v>13.031036741455789</c:v>
                </c:pt>
                <c:pt idx="2">
                  <c:v>14.3657563988438</c:v>
                </c:pt>
                <c:pt idx="3">
                  <c:v>17.614392765912832</c:v>
                </c:pt>
                <c:pt idx="4">
                  <c:v>21.833760178815893</c:v>
                </c:pt>
                <c:pt idx="5">
                  <c:v>26.08090288520561</c:v>
                </c:pt>
                <c:pt idx="6">
                  <c:v>30.313126550904254</c:v>
                </c:pt>
                <c:pt idx="7">
                  <c:v>33.885262439587621</c:v>
                </c:pt>
                <c:pt idx="8">
                  <c:v>36.982890598135484</c:v>
                </c:pt>
                <c:pt idx="9">
                  <c:v>39.6799682062708</c:v>
                </c:pt>
              </c:numCache>
            </c:numRef>
          </c:yVal>
          <c:smooth val="1"/>
          <c:extLst>
            <c:ext xmlns:c16="http://schemas.microsoft.com/office/drawing/2014/chart" uri="{C3380CC4-5D6E-409C-BE32-E72D297353CC}">
              <c16:uniqueId val="{00000000-D924-422A-9E3E-A8A4A595CE55}"/>
            </c:ext>
          </c:extLst>
        </c:ser>
        <c:ser>
          <c:idx val="1"/>
          <c:order val="1"/>
          <c:tx>
            <c:strRef>
              <c:f>Results!$A$114</c:f>
              <c:strCache>
                <c:ptCount val="1"/>
                <c:pt idx="0">
                  <c:v>25th precentile</c:v>
                </c:pt>
              </c:strCache>
            </c:strRef>
          </c:tx>
          <c:spPr>
            <a:ln w="22225" cap="rnd">
              <a:solidFill>
                <a:schemeClr val="accent2">
                  <a:lumMod val="40000"/>
                  <a:lumOff val="60000"/>
                </a:schemeClr>
              </a:solidFill>
            </a:ln>
            <a:effectLst>
              <a:glow rad="139700">
                <a:schemeClr val="accent2">
                  <a:satMod val="175000"/>
                  <a:alpha val="14000"/>
                </a:schemeClr>
              </a:glow>
            </a:effectLst>
          </c:spPr>
          <c:marker>
            <c:symbol val="none"/>
          </c:marker>
          <c:xVal>
            <c:numRef>
              <c:f>Results!$C$112:$L$112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Results!$C$114:$L$114</c:f>
              <c:numCache>
                <c:formatCode>0.00E+00</c:formatCode>
                <c:ptCount val="10"/>
                <c:pt idx="0">
                  <c:v>12.657893719990883</c:v>
                </c:pt>
                <c:pt idx="1">
                  <c:v>14.10965591340676</c:v>
                </c:pt>
                <c:pt idx="2">
                  <c:v>15.712592894928338</c:v>
                </c:pt>
                <c:pt idx="3">
                  <c:v>19.775578492928897</c:v>
                </c:pt>
                <c:pt idx="4">
                  <c:v>25.157351944566035</c:v>
                </c:pt>
                <c:pt idx="5">
                  <c:v>30.548274005565435</c:v>
                </c:pt>
                <c:pt idx="6">
                  <c:v>35.901514539212663</c:v>
                </c:pt>
                <c:pt idx="7">
                  <c:v>40.249046169207958</c:v>
                </c:pt>
                <c:pt idx="8">
                  <c:v>44.09298786949261</c:v>
                </c:pt>
                <c:pt idx="9">
                  <c:v>47.327945200589831</c:v>
                </c:pt>
              </c:numCache>
            </c:numRef>
          </c:yVal>
          <c:smooth val="1"/>
          <c:extLst>
            <c:ext xmlns:c16="http://schemas.microsoft.com/office/drawing/2014/chart" uri="{C3380CC4-5D6E-409C-BE32-E72D297353CC}">
              <c16:uniqueId val="{00000001-D924-422A-9E3E-A8A4A595CE55}"/>
            </c:ext>
          </c:extLst>
        </c:ser>
        <c:ser>
          <c:idx val="2"/>
          <c:order val="2"/>
          <c:tx>
            <c:strRef>
              <c:f>Results!$A$115</c:f>
              <c:strCache>
                <c:ptCount val="1"/>
                <c:pt idx="0">
                  <c:v>median</c:v>
                </c:pt>
              </c:strCache>
            </c:strRef>
          </c:tx>
          <c:spPr>
            <a:ln w="22225" cap="rnd">
              <a:solidFill>
                <a:schemeClr val="accent2">
                  <a:lumMod val="60000"/>
                  <a:lumOff val="40000"/>
                </a:schemeClr>
              </a:solidFill>
            </a:ln>
            <a:effectLst>
              <a:glow rad="139700">
                <a:schemeClr val="accent3">
                  <a:satMod val="175000"/>
                  <a:alpha val="14000"/>
                </a:schemeClr>
              </a:glow>
            </a:effectLst>
          </c:spPr>
          <c:marker>
            <c:symbol val="none"/>
          </c:marker>
          <c:xVal>
            <c:numRef>
              <c:f>Results!$C$112:$L$112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Results!$C$115:$L$115</c:f>
              <c:numCache>
                <c:formatCode>0.00E+00</c:formatCode>
                <c:ptCount val="10"/>
                <c:pt idx="0">
                  <c:v>13.315058450973568</c:v>
                </c:pt>
                <c:pt idx="1">
                  <c:v>14.930366403400983</c:v>
                </c:pt>
                <c:pt idx="2">
                  <c:v>16.755498601298942</c:v>
                </c:pt>
                <c:pt idx="3">
                  <c:v>21.610389854740621</c:v>
                </c:pt>
                <c:pt idx="4">
                  <c:v>27.940503909035804</c:v>
                </c:pt>
                <c:pt idx="5">
                  <c:v>34.273785192917472</c:v>
                </c:pt>
                <c:pt idx="6">
                  <c:v>40.543926237302252</c:v>
                </c:pt>
                <c:pt idx="7">
                  <c:v>45.546956309763189</c:v>
                </c:pt>
                <c:pt idx="8">
                  <c:v>49.830467351989881</c:v>
                </c:pt>
                <c:pt idx="9">
                  <c:v>53.608078067459203</c:v>
                </c:pt>
              </c:numCache>
            </c:numRef>
          </c:yVal>
          <c:smooth val="1"/>
          <c:extLst>
            <c:ext xmlns:c16="http://schemas.microsoft.com/office/drawing/2014/chart" uri="{C3380CC4-5D6E-409C-BE32-E72D297353CC}">
              <c16:uniqueId val="{00000002-D924-422A-9E3E-A8A4A595CE55}"/>
            </c:ext>
          </c:extLst>
        </c:ser>
        <c:ser>
          <c:idx val="3"/>
          <c:order val="3"/>
          <c:tx>
            <c:strRef>
              <c:f>Results!$A$116</c:f>
              <c:strCache>
                <c:ptCount val="1"/>
                <c:pt idx="0">
                  <c:v>75th precentile</c:v>
                </c:pt>
              </c:strCache>
            </c:strRef>
          </c:tx>
          <c:spPr>
            <a:ln w="22225" cap="rnd">
              <a:solidFill>
                <a:schemeClr val="accent2">
                  <a:lumMod val="75000"/>
                </a:schemeClr>
              </a:solidFill>
            </a:ln>
            <a:effectLst>
              <a:glow rad="139700">
                <a:schemeClr val="accent4">
                  <a:satMod val="175000"/>
                  <a:alpha val="14000"/>
                </a:schemeClr>
              </a:glow>
            </a:effectLst>
          </c:spPr>
          <c:marker>
            <c:symbol val="none"/>
          </c:marker>
          <c:xVal>
            <c:numRef>
              <c:f>Results!$C$112:$L$112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Results!$C$116:$L$116</c:f>
              <c:numCache>
                <c:formatCode>0.00E+00</c:formatCode>
                <c:ptCount val="10"/>
                <c:pt idx="0">
                  <c:v>13.979575593607159</c:v>
                </c:pt>
                <c:pt idx="1">
                  <c:v>15.796056783943071</c:v>
                </c:pt>
                <c:pt idx="2">
                  <c:v>17.89136288182787</c:v>
                </c:pt>
                <c:pt idx="3">
                  <c:v>23.699019994508085</c:v>
                </c:pt>
                <c:pt idx="4">
                  <c:v>31.251424637121591</c:v>
                </c:pt>
                <c:pt idx="5">
                  <c:v>38.815682520503074</c:v>
                </c:pt>
                <c:pt idx="6">
                  <c:v>45.790727098233262</c:v>
                </c:pt>
                <c:pt idx="7">
                  <c:v>51.519640399528477</c:v>
                </c:pt>
                <c:pt idx="8">
                  <c:v>56.503366673978476</c:v>
                </c:pt>
                <c:pt idx="9">
                  <c:v>60.46397839502071</c:v>
                </c:pt>
              </c:numCache>
            </c:numRef>
          </c:yVal>
          <c:smooth val="1"/>
          <c:extLst>
            <c:ext xmlns:c16="http://schemas.microsoft.com/office/drawing/2014/chart" uri="{C3380CC4-5D6E-409C-BE32-E72D297353CC}">
              <c16:uniqueId val="{00000003-D924-422A-9E3E-A8A4A595CE55}"/>
            </c:ext>
          </c:extLst>
        </c:ser>
        <c:ser>
          <c:idx val="4"/>
          <c:order val="4"/>
          <c:tx>
            <c:strRef>
              <c:f>Results!$A$117</c:f>
              <c:strCache>
                <c:ptCount val="1"/>
                <c:pt idx="0">
                  <c:v>95th percentile</c:v>
                </c:pt>
              </c:strCache>
            </c:strRef>
          </c:tx>
          <c:spPr>
            <a:ln w="22225" cap="rnd">
              <a:solidFill>
                <a:schemeClr val="accent2">
                  <a:lumMod val="50000"/>
                </a:schemeClr>
              </a:solidFill>
            </a:ln>
            <a:effectLst>
              <a:glow rad="139700">
                <a:schemeClr val="accent5">
                  <a:satMod val="175000"/>
                  <a:alpha val="14000"/>
                </a:schemeClr>
              </a:glow>
            </a:effectLst>
          </c:spPr>
          <c:marker>
            <c:symbol val="none"/>
          </c:marker>
          <c:xVal>
            <c:numRef>
              <c:f>Results!$C$112:$L$112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Results!$C$117:$L$117</c:f>
              <c:numCache>
                <c:formatCode>0.00E+00</c:formatCode>
                <c:ptCount val="10"/>
                <c:pt idx="0">
                  <c:v>14.933442945702611</c:v>
                </c:pt>
                <c:pt idx="1">
                  <c:v>17.092948538240009</c:v>
                </c:pt>
                <c:pt idx="2">
                  <c:v>19.775727644808899</c:v>
                </c:pt>
                <c:pt idx="3">
                  <c:v>27.17647384723336</c:v>
                </c:pt>
                <c:pt idx="4">
                  <c:v>36.814409228219638</c:v>
                </c:pt>
                <c:pt idx="5">
                  <c:v>46.26959826331948</c:v>
                </c:pt>
                <c:pt idx="6">
                  <c:v>55.114129367400125</c:v>
                </c:pt>
                <c:pt idx="7">
                  <c:v>62.179196697025787</c:v>
                </c:pt>
                <c:pt idx="8">
                  <c:v>68.088326475027316</c:v>
                </c:pt>
                <c:pt idx="9">
                  <c:v>72.793661306651899</c:v>
                </c:pt>
              </c:numCache>
            </c:numRef>
          </c:yVal>
          <c:smooth val="1"/>
          <c:extLst>
            <c:ext xmlns:c16="http://schemas.microsoft.com/office/drawing/2014/chart" uri="{C3380CC4-5D6E-409C-BE32-E72D297353CC}">
              <c16:uniqueId val="{00000004-D924-422A-9E3E-A8A4A595CE55}"/>
            </c:ext>
          </c:extLst>
        </c:ser>
        <c:dLbls>
          <c:showLegendKey val="0"/>
          <c:showVal val="0"/>
          <c:showCatName val="0"/>
          <c:showSerName val="0"/>
          <c:showPercent val="0"/>
          <c:showBubbleSize val="0"/>
        </c:dLbls>
        <c:axId val="285255144"/>
        <c:axId val="285254752"/>
      </c:scatterChart>
      <c:valAx>
        <c:axId val="285255144"/>
        <c:scaling>
          <c:orientation val="minMax"/>
          <c:max val="2300"/>
        </c:scaling>
        <c:delete val="0"/>
        <c:axPos val="b"/>
        <c:majorGridlines>
          <c:spPr>
            <a:ln w="9525" cap="flat" cmpd="sng" algn="ctr">
              <a:solidFill>
                <a:schemeClr val="dk1">
                  <a:lumMod val="65000"/>
                  <a:lumOff val="35000"/>
                  <a:alpha val="75000"/>
                </a:schemeClr>
              </a:solidFill>
              <a:round/>
            </a:ln>
            <a:effectLst/>
          </c:spPr>
        </c:majorGridlines>
        <c:numFmt formatCode="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4752"/>
        <c:crosses val="autoZero"/>
        <c:crossBetween val="midCat"/>
      </c:valAx>
      <c:valAx>
        <c:axId val="285254752"/>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strRef>
              <c:f>Results!$M$113</c:f>
              <c:strCache>
                <c:ptCount val="1"/>
                <c:pt idx="0">
                  <c:v>Gton C</c:v>
                </c:pt>
              </c:strCache>
            </c:strRef>
          </c:tx>
          <c:layout>
            <c:manualLayout>
              <c:xMode val="edge"/>
              <c:yMode val="edge"/>
              <c:x val="1.6498148148148147E-2"/>
              <c:y val="0.420511111111111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zh-CN"/>
            </a:p>
          </c:txPr>
        </c:title>
        <c:numFmt formatCode="#,##0"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5144"/>
        <c:crosses val="autoZero"/>
        <c:crossBetween val="midCat"/>
      </c:valAx>
      <c:spPr>
        <a:noFill/>
        <a:ln>
          <a:noFill/>
        </a:ln>
        <a:effectLst/>
      </c:spPr>
    </c:plotArea>
    <c:legend>
      <c:legendPos val="t"/>
      <c:layout>
        <c:manualLayout>
          <c:xMode val="edge"/>
          <c:yMode val="edge"/>
          <c:x val="5.2351851851851865E-2"/>
          <c:y val="0.901895987654321"/>
          <c:w val="0.9"/>
          <c:h val="6.614629629629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Results!$A$122</c:f>
          <c:strCache>
            <c:ptCount val="1"/>
            <c:pt idx="0">
              <c:v>Permafrost cumulative carbon (CH4), SiBCASA &amp; JULES</c:v>
            </c:pt>
          </c:strCache>
        </c:strRef>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zh-CN"/>
        </a:p>
      </c:txPr>
    </c:title>
    <c:autoTitleDeleted val="0"/>
    <c:plotArea>
      <c:layout>
        <c:manualLayout>
          <c:layoutTarget val="inner"/>
          <c:xMode val="edge"/>
          <c:yMode val="edge"/>
          <c:x val="0.10770111111111111"/>
          <c:y val="0.12921512345679012"/>
          <c:w val="0.84733148148148152"/>
          <c:h val="0.67402006172839501"/>
        </c:manualLayout>
      </c:layout>
      <c:scatterChart>
        <c:scatterStyle val="smoothMarker"/>
        <c:varyColors val="0"/>
        <c:ser>
          <c:idx val="0"/>
          <c:order val="0"/>
          <c:tx>
            <c:strRef>
              <c:f>Results!$A$123</c:f>
              <c:strCache>
                <c:ptCount val="1"/>
                <c:pt idx="0">
                  <c:v>5th precentile</c:v>
                </c:pt>
              </c:strCache>
            </c:strRef>
          </c:tx>
          <c:spPr>
            <a:ln w="22225" cap="rnd">
              <a:solidFill>
                <a:schemeClr val="accent4">
                  <a:lumMod val="20000"/>
                  <a:lumOff val="80000"/>
                </a:schemeClr>
              </a:solidFill>
            </a:ln>
            <a:effectLst>
              <a:glow rad="139700">
                <a:schemeClr val="accent1">
                  <a:satMod val="175000"/>
                  <a:alpha val="14000"/>
                </a:schemeClr>
              </a:glow>
            </a:effectLst>
          </c:spPr>
          <c:marker>
            <c:symbol val="none"/>
          </c:marker>
          <c:xVal>
            <c:numRef>
              <c:f>Results!$C$122:$L$122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Results!$C$123:$L$123</c:f>
              <c:numCache>
                <c:formatCode>0.00E+00</c:formatCode>
                <c:ptCount val="10"/>
                <c:pt idx="0">
                  <c:v>0.49761864081152046</c:v>
                </c:pt>
                <c:pt idx="1">
                  <c:v>0.53583864134039094</c:v>
                </c:pt>
                <c:pt idx="2">
                  <c:v>0.57775197716508997</c:v>
                </c:pt>
                <c:pt idx="3">
                  <c:v>0.68376090698360126</c:v>
                </c:pt>
                <c:pt idx="4">
                  <c:v>0.81414483124493398</c:v>
                </c:pt>
                <c:pt idx="5">
                  <c:v>0.95145184170938979</c:v>
                </c:pt>
                <c:pt idx="6">
                  <c:v>1.0852436806932892</c:v>
                </c:pt>
                <c:pt idx="7">
                  <c:v>1.2083254201477289</c:v>
                </c:pt>
                <c:pt idx="8">
                  <c:v>1.3209287671412688</c:v>
                </c:pt>
                <c:pt idx="9">
                  <c:v>1.4293579270147696</c:v>
                </c:pt>
              </c:numCache>
            </c:numRef>
          </c:yVal>
          <c:smooth val="1"/>
          <c:extLst>
            <c:ext xmlns:c16="http://schemas.microsoft.com/office/drawing/2014/chart" uri="{C3380CC4-5D6E-409C-BE32-E72D297353CC}">
              <c16:uniqueId val="{00000000-B4EF-48CE-AEBC-FEB6906CF484}"/>
            </c:ext>
          </c:extLst>
        </c:ser>
        <c:ser>
          <c:idx val="1"/>
          <c:order val="1"/>
          <c:tx>
            <c:strRef>
              <c:f>Results!$A$124</c:f>
              <c:strCache>
                <c:ptCount val="1"/>
                <c:pt idx="0">
                  <c:v>25th precentile</c:v>
                </c:pt>
              </c:strCache>
            </c:strRef>
          </c:tx>
          <c:spPr>
            <a:ln w="22225" cap="rnd">
              <a:solidFill>
                <a:schemeClr val="accent4">
                  <a:lumMod val="40000"/>
                  <a:lumOff val="60000"/>
                </a:schemeClr>
              </a:solidFill>
            </a:ln>
            <a:effectLst>
              <a:glow rad="139700">
                <a:schemeClr val="accent2">
                  <a:satMod val="175000"/>
                  <a:alpha val="14000"/>
                </a:schemeClr>
              </a:glow>
            </a:effectLst>
          </c:spPr>
          <c:marker>
            <c:symbol val="none"/>
          </c:marker>
          <c:xVal>
            <c:numRef>
              <c:f>Results!$C$122:$L$122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Results!$C$124:$L$124</c:f>
              <c:numCache>
                <c:formatCode>0.00E+00</c:formatCode>
                <c:ptCount val="10"/>
                <c:pt idx="0">
                  <c:v>0.63691137222762284</c:v>
                </c:pt>
                <c:pt idx="1">
                  <c:v>0.68323184250991942</c:v>
                </c:pt>
                <c:pt idx="2">
                  <c:v>0.73730699968134439</c:v>
                </c:pt>
                <c:pt idx="3">
                  <c:v>0.87230652208329784</c:v>
                </c:pt>
                <c:pt idx="4">
                  <c:v>1.0432719244927693</c:v>
                </c:pt>
                <c:pt idx="5">
                  <c:v>1.2245045699002639</c:v>
                </c:pt>
                <c:pt idx="6">
                  <c:v>1.4061630557816267</c:v>
                </c:pt>
                <c:pt idx="7">
                  <c:v>1.5737798413581625</c:v>
                </c:pt>
                <c:pt idx="8">
                  <c:v>1.7317526749130396</c:v>
                </c:pt>
                <c:pt idx="9">
                  <c:v>1.8789016013845032</c:v>
                </c:pt>
              </c:numCache>
            </c:numRef>
          </c:yVal>
          <c:smooth val="1"/>
          <c:extLst>
            <c:ext xmlns:c16="http://schemas.microsoft.com/office/drawing/2014/chart" uri="{C3380CC4-5D6E-409C-BE32-E72D297353CC}">
              <c16:uniqueId val="{00000001-B4EF-48CE-AEBC-FEB6906CF484}"/>
            </c:ext>
          </c:extLst>
        </c:ser>
        <c:ser>
          <c:idx val="2"/>
          <c:order val="2"/>
          <c:tx>
            <c:strRef>
              <c:f>Results!$A$125</c:f>
              <c:strCache>
                <c:ptCount val="1"/>
                <c:pt idx="0">
                  <c:v>median</c:v>
                </c:pt>
              </c:strCache>
            </c:strRef>
          </c:tx>
          <c:spPr>
            <a:ln w="22225" cap="rnd">
              <a:solidFill>
                <a:schemeClr val="accent4">
                  <a:lumMod val="60000"/>
                  <a:lumOff val="40000"/>
                </a:schemeClr>
              </a:solidFill>
            </a:ln>
            <a:effectLst>
              <a:glow rad="139700">
                <a:schemeClr val="accent3">
                  <a:satMod val="175000"/>
                  <a:alpha val="14000"/>
                </a:schemeClr>
              </a:glow>
            </a:effectLst>
          </c:spPr>
          <c:marker>
            <c:symbol val="none"/>
          </c:marker>
          <c:xVal>
            <c:numRef>
              <c:f>Results!$C$122:$L$122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Results!$C$125:$L$125</c:f>
              <c:numCache>
                <c:formatCode>0.00E+00</c:formatCode>
                <c:ptCount val="10"/>
                <c:pt idx="0">
                  <c:v>0.74308740232472825</c:v>
                </c:pt>
                <c:pt idx="1">
                  <c:v>0.79698059244613073</c:v>
                </c:pt>
                <c:pt idx="2">
                  <c:v>0.85969240087383292</c:v>
                </c:pt>
                <c:pt idx="3">
                  <c:v>1.0236423403866324</c:v>
                </c:pt>
                <c:pt idx="4">
                  <c:v>1.2291316452070065</c:v>
                </c:pt>
                <c:pt idx="5">
                  <c:v>1.4501407745478454</c:v>
                </c:pt>
                <c:pt idx="6">
                  <c:v>1.6745893516152912</c:v>
                </c:pt>
                <c:pt idx="7">
                  <c:v>1.8856321469906976</c:v>
                </c:pt>
                <c:pt idx="8">
                  <c:v>2.0828393074284426</c:v>
                </c:pt>
                <c:pt idx="9">
                  <c:v>2.2701444143531915</c:v>
                </c:pt>
              </c:numCache>
            </c:numRef>
          </c:yVal>
          <c:smooth val="1"/>
          <c:extLst>
            <c:ext xmlns:c16="http://schemas.microsoft.com/office/drawing/2014/chart" uri="{C3380CC4-5D6E-409C-BE32-E72D297353CC}">
              <c16:uniqueId val="{00000002-B4EF-48CE-AEBC-FEB6906CF484}"/>
            </c:ext>
          </c:extLst>
        </c:ser>
        <c:ser>
          <c:idx val="3"/>
          <c:order val="3"/>
          <c:tx>
            <c:strRef>
              <c:f>Results!$A$126</c:f>
              <c:strCache>
                <c:ptCount val="1"/>
                <c:pt idx="0">
                  <c:v>75th precentile</c:v>
                </c:pt>
              </c:strCache>
            </c:strRef>
          </c:tx>
          <c:spPr>
            <a:ln w="22225" cap="rnd">
              <a:solidFill>
                <a:schemeClr val="accent4">
                  <a:lumMod val="75000"/>
                </a:schemeClr>
              </a:solidFill>
            </a:ln>
            <a:effectLst>
              <a:glow rad="139700">
                <a:schemeClr val="accent4">
                  <a:satMod val="175000"/>
                  <a:alpha val="14000"/>
                </a:schemeClr>
              </a:glow>
            </a:effectLst>
          </c:spPr>
          <c:marker>
            <c:symbol val="none"/>
          </c:marker>
          <c:xVal>
            <c:numRef>
              <c:f>Results!$C$122:$L$122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Results!$C$126:$L$126</c:f>
              <c:numCache>
                <c:formatCode>0.00E+00</c:formatCode>
                <c:ptCount val="10"/>
                <c:pt idx="0">
                  <c:v>0.85622260007272144</c:v>
                </c:pt>
                <c:pt idx="1">
                  <c:v>0.91931196277360128</c:v>
                </c:pt>
                <c:pt idx="2">
                  <c:v>0.99453489533934181</c:v>
                </c:pt>
                <c:pt idx="3">
                  <c:v>1.1838587394639291</c:v>
                </c:pt>
                <c:pt idx="4">
                  <c:v>1.4382204606547284</c:v>
                </c:pt>
                <c:pt idx="5">
                  <c:v>1.711431374024557</c:v>
                </c:pt>
                <c:pt idx="6">
                  <c:v>1.991803035586063</c:v>
                </c:pt>
                <c:pt idx="7">
                  <c:v>2.2566507031140062</c:v>
                </c:pt>
                <c:pt idx="8">
                  <c:v>2.500268657056266</c:v>
                </c:pt>
                <c:pt idx="9">
                  <c:v>2.7285996450012799</c:v>
                </c:pt>
              </c:numCache>
            </c:numRef>
          </c:yVal>
          <c:smooth val="1"/>
          <c:extLst>
            <c:ext xmlns:c16="http://schemas.microsoft.com/office/drawing/2014/chart" uri="{C3380CC4-5D6E-409C-BE32-E72D297353CC}">
              <c16:uniqueId val="{00000003-B4EF-48CE-AEBC-FEB6906CF484}"/>
            </c:ext>
          </c:extLst>
        </c:ser>
        <c:ser>
          <c:idx val="4"/>
          <c:order val="4"/>
          <c:tx>
            <c:strRef>
              <c:f>Results!$A$127</c:f>
              <c:strCache>
                <c:ptCount val="1"/>
                <c:pt idx="0">
                  <c:v>95th percentile</c:v>
                </c:pt>
              </c:strCache>
            </c:strRef>
          </c:tx>
          <c:spPr>
            <a:ln w="22225" cap="rnd">
              <a:solidFill>
                <a:schemeClr val="accent4">
                  <a:lumMod val="50000"/>
                </a:schemeClr>
              </a:solidFill>
            </a:ln>
            <a:effectLst>
              <a:glow rad="139700">
                <a:schemeClr val="accent5">
                  <a:satMod val="175000"/>
                  <a:alpha val="14000"/>
                </a:schemeClr>
              </a:glow>
            </a:effectLst>
          </c:spPr>
          <c:marker>
            <c:symbol val="none"/>
          </c:marker>
          <c:xVal>
            <c:numRef>
              <c:f>Results!$C$122:$L$122</c:f>
              <c:numCache>
                <c:formatCode>0</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Results!$C$127:$L$127</c:f>
              <c:numCache>
                <c:formatCode>0.00E+00</c:formatCode>
                <c:ptCount val="10"/>
                <c:pt idx="0">
                  <c:v>1.0146485570305606</c:v>
                </c:pt>
                <c:pt idx="1">
                  <c:v>1.0904412032406496</c:v>
                </c:pt>
                <c:pt idx="2">
                  <c:v>1.1788039943529043</c:v>
                </c:pt>
                <c:pt idx="3">
                  <c:v>1.432089783782118</c:v>
                </c:pt>
                <c:pt idx="4">
                  <c:v>1.7735260484749167</c:v>
                </c:pt>
                <c:pt idx="5">
                  <c:v>2.1510868350897652</c:v>
                </c:pt>
                <c:pt idx="6">
                  <c:v>2.5425560722333529</c:v>
                </c:pt>
                <c:pt idx="7">
                  <c:v>2.8979439695913558</c:v>
                </c:pt>
                <c:pt idx="8">
                  <c:v>3.2378362424534215</c:v>
                </c:pt>
                <c:pt idx="9">
                  <c:v>3.5418509105272631</c:v>
                </c:pt>
              </c:numCache>
            </c:numRef>
          </c:yVal>
          <c:smooth val="1"/>
          <c:extLst>
            <c:ext xmlns:c16="http://schemas.microsoft.com/office/drawing/2014/chart" uri="{C3380CC4-5D6E-409C-BE32-E72D297353CC}">
              <c16:uniqueId val="{00000004-B4EF-48CE-AEBC-FEB6906CF484}"/>
            </c:ext>
          </c:extLst>
        </c:ser>
        <c:dLbls>
          <c:showLegendKey val="0"/>
          <c:showVal val="0"/>
          <c:showCatName val="0"/>
          <c:showSerName val="0"/>
          <c:showPercent val="0"/>
          <c:showBubbleSize val="0"/>
        </c:dLbls>
        <c:axId val="285255536"/>
        <c:axId val="288331936"/>
      </c:scatterChart>
      <c:valAx>
        <c:axId val="285255536"/>
        <c:scaling>
          <c:orientation val="minMax"/>
          <c:max val="2300"/>
        </c:scaling>
        <c:delete val="0"/>
        <c:axPos val="b"/>
        <c:majorGridlines>
          <c:spPr>
            <a:ln w="9525" cap="flat" cmpd="sng" algn="ctr">
              <a:solidFill>
                <a:schemeClr val="dk1">
                  <a:lumMod val="65000"/>
                  <a:lumOff val="35000"/>
                  <a:alpha val="75000"/>
                </a:schemeClr>
              </a:solidFill>
              <a:round/>
            </a:ln>
            <a:effectLst/>
          </c:spPr>
        </c:majorGridlines>
        <c:numFmt formatCode="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8331936"/>
        <c:crosses val="autoZero"/>
        <c:crossBetween val="midCat"/>
      </c:valAx>
      <c:valAx>
        <c:axId val="288331936"/>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strRef>
              <c:f>Results!$M$123</c:f>
              <c:strCache>
                <c:ptCount val="1"/>
                <c:pt idx="0">
                  <c:v>Gton C</c:v>
                </c:pt>
              </c:strCache>
            </c:strRef>
          </c:tx>
          <c:layout>
            <c:manualLayout>
              <c:xMode val="edge"/>
              <c:yMode val="edge"/>
              <c:x val="2.5494074074074075E-2"/>
              <c:y val="0.4048320987654320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zh-CN"/>
            </a:p>
          </c:txPr>
        </c:title>
        <c:numFmt formatCode="#,##0"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85255536"/>
        <c:crosses val="autoZero"/>
        <c:crossBetween val="midCat"/>
      </c:valAx>
      <c:spPr>
        <a:noFill/>
        <a:ln>
          <a:noFill/>
        </a:ln>
        <a:effectLst/>
      </c:spPr>
    </c:plotArea>
    <c:legend>
      <c:legendPos val="t"/>
      <c:layout>
        <c:manualLayout>
          <c:xMode val="edge"/>
          <c:yMode val="edge"/>
          <c:x val="4.7648148148148155E-2"/>
          <c:y val="0.901895987654321"/>
          <c:w val="0.9"/>
          <c:h val="6.614629629629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389883980881214"/>
          <c:y val="3.4268017024487195E-2"/>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zh-CN"/>
        </a:p>
      </c:txPr>
    </c:title>
    <c:autoTitleDeleted val="0"/>
    <c:plotArea>
      <c:layout>
        <c:manualLayout>
          <c:layoutTarget val="inner"/>
          <c:xMode val="edge"/>
          <c:yMode val="edge"/>
          <c:x val="0.1822505372258639"/>
          <c:y val="0.22429974779664341"/>
          <c:w val="0.7622826817881786"/>
          <c:h val="0.5264813524671208"/>
        </c:manualLayout>
      </c:layout>
      <c:scatterChart>
        <c:scatterStyle val="lineMarker"/>
        <c:varyColors val="0"/>
        <c:ser>
          <c:idx val="0"/>
          <c:order val="0"/>
          <c:tx>
            <c:v>Total CO2 emissions</c:v>
          </c:tx>
          <c:spPr>
            <a:ln w="25400">
              <a:solidFill>
                <a:srgbClr val="000080"/>
              </a:solidFill>
              <a:prstDash val="solid"/>
            </a:ln>
          </c:spPr>
          <c:marker>
            <c:symbol val="none"/>
          </c:marker>
          <c:xVal>
            <c:numRef>
              <c:f>'Emissions A'!$B$4:$L$4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A'!$B$14:$L$14</c:f>
              <c:numCache>
                <c:formatCode>0.00E+00</c:formatCode>
                <c:ptCount val="11"/>
                <c:pt idx="0">
                  <c:v>39152.725999999995</c:v>
                </c:pt>
                <c:pt idx="1">
                  <c:v>43946.394310791948</c:v>
                </c:pt>
                <c:pt idx="2">
                  <c:v>50160.671484537481</c:v>
                </c:pt>
                <c:pt idx="3">
                  <c:v>56374.948658282992</c:v>
                </c:pt>
                <c:pt idx="4">
                  <c:v>73319.37897731358</c:v>
                </c:pt>
                <c:pt idx="5">
                  <c:v>53023.946065713957</c:v>
                </c:pt>
                <c:pt idx="6">
                  <c:v>10602.210106009161</c:v>
                </c:pt>
                <c:pt idx="7">
                  <c:v>-12435.78435160936</c:v>
                </c:pt>
                <c:pt idx="8">
                  <c:v>-20711.972624453207</c:v>
                </c:pt>
                <c:pt idx="9">
                  <c:v>-24003.360606594386</c:v>
                </c:pt>
                <c:pt idx="10">
                  <c:v>-25343.150979567799</c:v>
                </c:pt>
              </c:numCache>
            </c:numRef>
          </c:yVal>
          <c:smooth val="0"/>
          <c:extLst>
            <c:ext xmlns:c16="http://schemas.microsoft.com/office/drawing/2014/chart" uri="{C3380CC4-5D6E-409C-BE32-E72D297353CC}">
              <c16:uniqueId val="{00000000-037B-451A-8263-11D14ADD2E40}"/>
            </c:ext>
          </c:extLst>
        </c:ser>
        <c:dLbls>
          <c:showLegendKey val="0"/>
          <c:showVal val="0"/>
          <c:showCatName val="0"/>
          <c:showSerName val="0"/>
          <c:showPercent val="0"/>
          <c:showBubbleSize val="0"/>
        </c:dLbls>
        <c:axId val="288332720"/>
        <c:axId val="288333112"/>
      </c:scatterChart>
      <c:valAx>
        <c:axId val="288332720"/>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25268612931953"/>
              <c:y val="0.8691615227119923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3112"/>
        <c:crosses val="autoZero"/>
        <c:crossBetween val="midCat"/>
        <c:minorUnit val="10"/>
      </c:valAx>
      <c:valAx>
        <c:axId val="288333112"/>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9239364011245192E-2"/>
              <c:y val="9.3458228248601366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2720"/>
        <c:crosses val="autoZero"/>
        <c:crossBetween val="midCat"/>
        <c:majorUnit val="500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088" r="0.75000000000001088"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597209773046467"/>
          <c:y val="3.4161542485840656E-2"/>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zh-CN"/>
        </a:p>
      </c:txPr>
    </c:title>
    <c:autoTitleDeleted val="0"/>
    <c:plotArea>
      <c:layout>
        <c:manualLayout>
          <c:layoutTarget val="inner"/>
          <c:xMode val="edge"/>
          <c:yMode val="edge"/>
          <c:x val="0.15323878301303492"/>
          <c:y val="0.22670841831512689"/>
          <c:w val="0.79147041535596752"/>
          <c:h val="0.52484551637339505"/>
        </c:manualLayout>
      </c:layout>
      <c:scatterChart>
        <c:scatterStyle val="lineMarker"/>
        <c:varyColors val="0"/>
        <c:ser>
          <c:idx val="0"/>
          <c:order val="0"/>
          <c:tx>
            <c:v>Total CH4 emissions</c:v>
          </c:tx>
          <c:spPr>
            <a:ln w="25400">
              <a:solidFill>
                <a:srgbClr val="000080"/>
              </a:solidFill>
              <a:prstDash val="solid"/>
            </a:ln>
          </c:spPr>
          <c:marker>
            <c:symbol val="none"/>
          </c:marker>
          <c:xVal>
            <c:numRef>
              <c:f>'Emissions A'!$B$4:$L$4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A'!$B$44:$L$44</c:f>
              <c:numCache>
                <c:formatCode>0.00E+00</c:formatCode>
                <c:ptCount val="11"/>
                <c:pt idx="0">
                  <c:v>388.04551912411665</c:v>
                </c:pt>
                <c:pt idx="1">
                  <c:v>397.41927027557637</c:v>
                </c:pt>
                <c:pt idx="2">
                  <c:v>425.63209302437929</c:v>
                </c:pt>
                <c:pt idx="3">
                  <c:v>453.84491577318232</c:v>
                </c:pt>
                <c:pt idx="4">
                  <c:v>540.35449061585257</c:v>
                </c:pt>
                <c:pt idx="5">
                  <c:v>259.7442049999525</c:v>
                </c:pt>
                <c:pt idx="6">
                  <c:v>163.45023337614515</c:v>
                </c:pt>
                <c:pt idx="7">
                  <c:v>139.09832857681477</c:v>
                </c:pt>
                <c:pt idx="8">
                  <c:v>128.49571310947351</c:v>
                </c:pt>
                <c:pt idx="9">
                  <c:v>117.9180915671341</c:v>
                </c:pt>
                <c:pt idx="10">
                  <c:v>108.42964093981749</c:v>
                </c:pt>
              </c:numCache>
            </c:numRef>
          </c:yVal>
          <c:smooth val="0"/>
          <c:extLst>
            <c:ext xmlns:c16="http://schemas.microsoft.com/office/drawing/2014/chart" uri="{C3380CC4-5D6E-409C-BE32-E72D297353CC}">
              <c16:uniqueId val="{00000000-8BED-4FC6-9F6D-8ED8E1B7E9F4}"/>
            </c:ext>
          </c:extLst>
        </c:ser>
        <c:dLbls>
          <c:showLegendKey val="0"/>
          <c:showVal val="0"/>
          <c:showCatName val="0"/>
          <c:showSerName val="0"/>
          <c:showPercent val="0"/>
          <c:showBubbleSize val="0"/>
        </c:dLbls>
        <c:axId val="288333896"/>
        <c:axId val="288334288"/>
      </c:scatterChart>
      <c:valAx>
        <c:axId val="288333896"/>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0995401046915014"/>
              <c:y val="0.869566536003214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4288"/>
        <c:crosses val="autoZero"/>
        <c:crossBetween val="midCat"/>
        <c:minorUnit val="10"/>
      </c:valAx>
      <c:valAx>
        <c:axId val="288334288"/>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989063408779203E-2"/>
              <c:y val="9.627343791464163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3896"/>
        <c:crosses val="autoZero"/>
        <c:crossBetween val="midCat"/>
        <c:majorUnit val="5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088" r="0.75000000000001088"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GB"/>
              <a:t>Total linear gas emissions</a:t>
            </a:r>
          </a:p>
        </c:rich>
      </c:tx>
      <c:layout>
        <c:manualLayout>
          <c:xMode val="edge"/>
          <c:yMode val="edge"/>
          <c:x val="0.34700342182218386"/>
          <c:y val="3.4055727554180001E-2"/>
        </c:manualLayout>
      </c:layout>
      <c:overlay val="0"/>
      <c:spPr>
        <a:noFill/>
        <a:ln w="25400">
          <a:noFill/>
        </a:ln>
      </c:spPr>
    </c:title>
    <c:autoTitleDeleted val="0"/>
    <c:plotArea>
      <c:layout>
        <c:manualLayout>
          <c:layoutTarget val="inner"/>
          <c:xMode val="edge"/>
          <c:yMode val="edge"/>
          <c:x val="0.19085188200220121"/>
          <c:y val="0.22600619195046759"/>
          <c:w val="0.75394379832274494"/>
          <c:h val="0.52631578947368418"/>
        </c:manualLayout>
      </c:layout>
      <c:scatterChart>
        <c:scatterStyle val="lineMarker"/>
        <c:varyColors val="0"/>
        <c:ser>
          <c:idx val="0"/>
          <c:order val="0"/>
          <c:tx>
            <c:v>Total SF6 emissions</c:v>
          </c:tx>
          <c:spPr>
            <a:ln w="25400">
              <a:solidFill>
                <a:srgbClr val="000080"/>
              </a:solidFill>
              <a:prstDash val="solid"/>
            </a:ln>
          </c:spPr>
          <c:marker>
            <c:symbol val="none"/>
          </c:marker>
          <c:xVal>
            <c:numRef>
              <c:f>'Emissions A'!$B$4:$L$4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A'!$B$106:$L$106</c:f>
              <c:numCache>
                <c:formatCode>0.00E+00</c:formatCode>
                <c:ptCount val="11"/>
                <c:pt idx="0">
                  <c:v>631.21629836249201</c:v>
                </c:pt>
                <c:pt idx="1">
                  <c:v>777.18264108846699</c:v>
                </c:pt>
                <c:pt idx="2">
                  <c:v>807.18517324549191</c:v>
                </c:pt>
                <c:pt idx="3">
                  <c:v>837.18770540251705</c:v>
                </c:pt>
                <c:pt idx="4">
                  <c:v>865.99570289567373</c:v>
                </c:pt>
                <c:pt idx="5">
                  <c:v>516.61413917857919</c:v>
                </c:pt>
                <c:pt idx="6">
                  <c:v>68.917237201802806</c:v>
                </c:pt>
                <c:pt idx="7">
                  <c:v>65.773804027251799</c:v>
                </c:pt>
                <c:pt idx="8">
                  <c:v>63.779260697592498</c:v>
                </c:pt>
                <c:pt idx="9">
                  <c:v>59.227559696366299</c:v>
                </c:pt>
                <c:pt idx="10">
                  <c:v>54.611160482858303</c:v>
                </c:pt>
              </c:numCache>
            </c:numRef>
          </c:yVal>
          <c:smooth val="0"/>
          <c:extLst>
            <c:ext xmlns:c16="http://schemas.microsoft.com/office/drawing/2014/chart" uri="{C3380CC4-5D6E-409C-BE32-E72D297353CC}">
              <c16:uniqueId val="{00000000-575A-4F21-892F-A4B10BBF8162}"/>
            </c:ext>
          </c:extLst>
        </c:ser>
        <c:dLbls>
          <c:showLegendKey val="0"/>
          <c:showVal val="0"/>
          <c:showCatName val="0"/>
          <c:showSerName val="0"/>
          <c:showPercent val="0"/>
          <c:showBubbleSize val="0"/>
        </c:dLbls>
        <c:axId val="288335072"/>
        <c:axId val="288335464"/>
      </c:scatterChart>
      <c:valAx>
        <c:axId val="288335072"/>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67262642375113"/>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5464"/>
        <c:crosses val="autoZero"/>
        <c:crossBetween val="midCat"/>
        <c:minorUnit val="10"/>
      </c:valAx>
      <c:valAx>
        <c:axId val="288335464"/>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864414050498335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507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088" r="0.75000000000001088" t="1" header="0.5" footer="0.5"/>
    <c:pageSetup paperSize="9" orientation="landscape" horizontalDpi="360" verticalDpi="36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GB"/>
              <a:t>Total N2O emissions</a:t>
            </a:r>
          </a:p>
        </c:rich>
      </c:tx>
      <c:layout>
        <c:manualLayout>
          <c:xMode val="edge"/>
          <c:yMode val="edge"/>
          <c:x val="0.34700348576301782"/>
          <c:y val="3.4055727554180001E-2"/>
        </c:manualLayout>
      </c:layout>
      <c:overlay val="0"/>
      <c:spPr>
        <a:noFill/>
        <a:ln w="25400">
          <a:noFill/>
        </a:ln>
      </c:spPr>
    </c:title>
    <c:autoTitleDeleted val="0"/>
    <c:plotArea>
      <c:layout>
        <c:manualLayout>
          <c:layoutTarget val="inner"/>
          <c:xMode val="edge"/>
          <c:yMode val="edge"/>
          <c:x val="0.19085188200220121"/>
          <c:y val="0.22600619195046751"/>
          <c:w val="0.75394379832274494"/>
          <c:h val="0.52631578947368418"/>
        </c:manualLayout>
      </c:layout>
      <c:scatterChart>
        <c:scatterStyle val="lineMarker"/>
        <c:varyColors val="0"/>
        <c:ser>
          <c:idx val="0"/>
          <c:order val="0"/>
          <c:spPr>
            <a:ln w="25400">
              <a:solidFill>
                <a:srgbClr val="000080"/>
              </a:solidFill>
              <a:prstDash val="solid"/>
            </a:ln>
          </c:spPr>
          <c:marker>
            <c:symbol val="none"/>
          </c:marker>
          <c:xVal>
            <c:numRef>
              <c:f>'Emissions A'!$B$4:$L$4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A'!$B$75:$L$75</c:f>
              <c:numCache>
                <c:formatCode>0.00E+00</c:formatCode>
                <c:ptCount val="11"/>
                <c:pt idx="0">
                  <c:v>10.899999719202661</c:v>
                </c:pt>
                <c:pt idx="1">
                  <c:v>11.732671526299518</c:v>
                </c:pt>
                <c:pt idx="2">
                  <c:v>12.189718147026037</c:v>
                </c:pt>
                <c:pt idx="3">
                  <c:v>12.646764767752556</c:v>
                </c:pt>
                <c:pt idx="4">
                  <c:v>13.379859283858446</c:v>
                </c:pt>
                <c:pt idx="5">
                  <c:v>9.6982973087235251</c:v>
                </c:pt>
                <c:pt idx="6">
                  <c:v>12.211510423082141</c:v>
                </c:pt>
                <c:pt idx="7">
                  <c:v>12.770251217687694</c:v>
                </c:pt>
                <c:pt idx="8">
                  <c:v>12.33512768223201</c:v>
                </c:pt>
                <c:pt idx="9">
                  <c:v>11.840113494984179</c:v>
                </c:pt>
                <c:pt idx="10">
                  <c:v>11.48529920412463</c:v>
                </c:pt>
              </c:numCache>
            </c:numRef>
          </c:yVal>
          <c:smooth val="0"/>
          <c:extLst>
            <c:ext xmlns:c16="http://schemas.microsoft.com/office/drawing/2014/chart" uri="{C3380CC4-5D6E-409C-BE32-E72D297353CC}">
              <c16:uniqueId val="{00000000-0C6D-4814-86CC-4FD9F9893385}"/>
            </c:ext>
          </c:extLst>
        </c:ser>
        <c:dLbls>
          <c:showLegendKey val="0"/>
          <c:showVal val="0"/>
          <c:showCatName val="0"/>
          <c:showSerName val="0"/>
          <c:showPercent val="0"/>
          <c:showBubbleSize val="0"/>
        </c:dLbls>
        <c:axId val="288336248"/>
        <c:axId val="288336640"/>
      </c:scatterChart>
      <c:valAx>
        <c:axId val="288336248"/>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67258666799145"/>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6640"/>
        <c:crosses val="autoZero"/>
        <c:crossBetween val="midCat"/>
        <c:minorUnit val="10"/>
      </c:valAx>
      <c:valAx>
        <c:axId val="288336640"/>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864353312302835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624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055" r="0.75000000000001055" t="1" header="0.5" footer="0.5"/>
    <c:pageSetup paperSize="9" orientation="landscape" horizontalDpi="360" verticalDpi="360"/>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389883980881236"/>
          <c:y val="3.4268017024487195E-2"/>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zh-CN"/>
        </a:p>
      </c:txPr>
    </c:title>
    <c:autoTitleDeleted val="0"/>
    <c:plotArea>
      <c:layout>
        <c:manualLayout>
          <c:layoutTarget val="inner"/>
          <c:xMode val="edge"/>
          <c:yMode val="edge"/>
          <c:x val="0.1822505372258639"/>
          <c:y val="0.22429974779664341"/>
          <c:w val="0.7622826817881786"/>
          <c:h val="0.5264813524671208"/>
        </c:manualLayout>
      </c:layout>
      <c:scatterChart>
        <c:scatterStyle val="lineMarker"/>
        <c:varyColors val="0"/>
        <c:ser>
          <c:idx val="0"/>
          <c:order val="0"/>
          <c:tx>
            <c:v>Total CO2 emissions</c:v>
          </c:tx>
          <c:spPr>
            <a:ln w="25400">
              <a:solidFill>
                <a:srgbClr val="000080"/>
              </a:solidFill>
              <a:prstDash val="solid"/>
            </a:ln>
          </c:spPr>
          <c:marker>
            <c:symbol val="none"/>
          </c:marker>
          <c:xVal>
            <c:numRef>
              <c:f>'Emissions B'!$B$4:$L$4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B'!$B$14:$L$14</c:f>
              <c:numCache>
                <c:formatCode>0.00E+00</c:formatCode>
                <c:ptCount val="11"/>
                <c:pt idx="0">
                  <c:v>39152.725999999995</c:v>
                </c:pt>
                <c:pt idx="1">
                  <c:v>43947.721683073774</c:v>
                </c:pt>
                <c:pt idx="2">
                  <c:v>50163.661804505391</c:v>
                </c:pt>
                <c:pt idx="3">
                  <c:v>56379.601925937015</c:v>
                </c:pt>
                <c:pt idx="4">
                  <c:v>73330.58294775823</c:v>
                </c:pt>
                <c:pt idx="5">
                  <c:v>92909.846736920736</c:v>
                </c:pt>
                <c:pt idx="6">
                  <c:v>116546.39028831755</c:v>
                </c:pt>
                <c:pt idx="7">
                  <c:v>138322.38033596723</c:v>
                </c:pt>
                <c:pt idx="8">
                  <c:v>154863.26838768672</c:v>
                </c:pt>
                <c:pt idx="9">
                  <c:v>157029.41249457502</c:v>
                </c:pt>
                <c:pt idx="10">
                  <c:v>153561.31071866944</c:v>
                </c:pt>
              </c:numCache>
            </c:numRef>
          </c:yVal>
          <c:smooth val="0"/>
          <c:extLst>
            <c:ext xmlns:c16="http://schemas.microsoft.com/office/drawing/2014/chart" uri="{C3380CC4-5D6E-409C-BE32-E72D297353CC}">
              <c16:uniqueId val="{00000000-1A98-4328-9B4D-2F08A0B5E492}"/>
            </c:ext>
          </c:extLst>
        </c:ser>
        <c:dLbls>
          <c:showLegendKey val="0"/>
          <c:showVal val="0"/>
          <c:showCatName val="0"/>
          <c:showSerName val="0"/>
          <c:showPercent val="0"/>
          <c:showBubbleSize val="0"/>
        </c:dLbls>
        <c:axId val="288337424"/>
        <c:axId val="288337816"/>
      </c:scatterChart>
      <c:valAx>
        <c:axId val="288337424"/>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25268612931953"/>
              <c:y val="0.8691615227119923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7816"/>
        <c:crosses val="autoZero"/>
        <c:crossBetween val="midCat"/>
        <c:minorUnit val="10"/>
      </c:valAx>
      <c:valAx>
        <c:axId val="288337816"/>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9239364011245192E-2"/>
              <c:y val="9.3458228248601366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7424"/>
        <c:crosses val="autoZero"/>
        <c:crossBetween val="midCat"/>
        <c:majorUnit val="500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11" r="0.7500000000000111" t="1"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597209773046489"/>
          <c:y val="3.4161542485840656E-2"/>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zh-CN"/>
        </a:p>
      </c:txPr>
    </c:title>
    <c:autoTitleDeleted val="0"/>
    <c:plotArea>
      <c:layout>
        <c:manualLayout>
          <c:layoutTarget val="inner"/>
          <c:xMode val="edge"/>
          <c:yMode val="edge"/>
          <c:x val="0.15323878301303498"/>
          <c:y val="0.22670841831512695"/>
          <c:w val="0.79147041535596752"/>
          <c:h val="0.5248455163733956"/>
        </c:manualLayout>
      </c:layout>
      <c:scatterChart>
        <c:scatterStyle val="lineMarker"/>
        <c:varyColors val="0"/>
        <c:ser>
          <c:idx val="0"/>
          <c:order val="0"/>
          <c:tx>
            <c:v>Total CH4 emissions</c:v>
          </c:tx>
          <c:spPr>
            <a:ln w="25400">
              <a:solidFill>
                <a:srgbClr val="000080"/>
              </a:solidFill>
              <a:prstDash val="solid"/>
            </a:ln>
          </c:spPr>
          <c:marker>
            <c:symbol val="none"/>
          </c:marker>
          <c:xVal>
            <c:numRef>
              <c:f>'Emissions B'!$B$4:$L$4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B'!$B$44:$L$44</c:f>
              <c:numCache>
                <c:formatCode>0.00E+00</c:formatCode>
                <c:ptCount val="11"/>
                <c:pt idx="0">
                  <c:v>388.04551912411665</c:v>
                </c:pt>
                <c:pt idx="1">
                  <c:v>397.41927027557637</c:v>
                </c:pt>
                <c:pt idx="2">
                  <c:v>425.63209302437929</c:v>
                </c:pt>
                <c:pt idx="3">
                  <c:v>453.84491577318232</c:v>
                </c:pt>
                <c:pt idx="4">
                  <c:v>540.35449061585257</c:v>
                </c:pt>
                <c:pt idx="5">
                  <c:v>588.22877068466369</c:v>
                </c:pt>
                <c:pt idx="6">
                  <c:v>597.77326877323037</c:v>
                </c:pt>
                <c:pt idx="7">
                  <c:v>600.87416505373653</c:v>
                </c:pt>
                <c:pt idx="8">
                  <c:v>576.9462896329328</c:v>
                </c:pt>
                <c:pt idx="9">
                  <c:v>523.50242982838972</c:v>
                </c:pt>
                <c:pt idx="10">
                  <c:v>487.86069853597928</c:v>
                </c:pt>
              </c:numCache>
            </c:numRef>
          </c:yVal>
          <c:smooth val="0"/>
          <c:extLst>
            <c:ext xmlns:c16="http://schemas.microsoft.com/office/drawing/2014/chart" uri="{C3380CC4-5D6E-409C-BE32-E72D297353CC}">
              <c16:uniqueId val="{00000000-E599-474B-A037-088E7C254CC5}"/>
            </c:ext>
          </c:extLst>
        </c:ser>
        <c:dLbls>
          <c:showLegendKey val="0"/>
          <c:showVal val="0"/>
          <c:showCatName val="0"/>
          <c:showSerName val="0"/>
          <c:showPercent val="0"/>
          <c:showBubbleSize val="0"/>
        </c:dLbls>
        <c:axId val="288338600"/>
        <c:axId val="289867328"/>
      </c:scatterChart>
      <c:valAx>
        <c:axId val="288338600"/>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0995401046915037"/>
              <c:y val="0.869566536003214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67328"/>
        <c:crosses val="autoZero"/>
        <c:crossBetween val="midCat"/>
        <c:minorUnit val="10"/>
      </c:valAx>
      <c:valAx>
        <c:axId val="289867328"/>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989063408779203E-2"/>
              <c:y val="9.627343791464163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8338600"/>
        <c:crosses val="autoZero"/>
        <c:crossBetween val="midCat"/>
        <c:majorUnit val="5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11" r="0.7500000000000111"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GB"/>
              <a:t>Total linear gas emissions</a:t>
            </a:r>
          </a:p>
        </c:rich>
      </c:tx>
      <c:layout>
        <c:manualLayout>
          <c:xMode val="edge"/>
          <c:yMode val="edge"/>
          <c:x val="0.34700342182218386"/>
          <c:y val="3.4055727554180001E-2"/>
        </c:manualLayout>
      </c:layout>
      <c:overlay val="0"/>
      <c:spPr>
        <a:noFill/>
        <a:ln w="25400">
          <a:noFill/>
        </a:ln>
      </c:spPr>
    </c:title>
    <c:autoTitleDeleted val="0"/>
    <c:plotArea>
      <c:layout>
        <c:manualLayout>
          <c:layoutTarget val="inner"/>
          <c:xMode val="edge"/>
          <c:yMode val="edge"/>
          <c:x val="0.19085188200220121"/>
          <c:y val="0.22600619195046767"/>
          <c:w val="0.75394379832274494"/>
          <c:h val="0.52631578947368418"/>
        </c:manualLayout>
      </c:layout>
      <c:scatterChart>
        <c:scatterStyle val="lineMarker"/>
        <c:varyColors val="0"/>
        <c:ser>
          <c:idx val="0"/>
          <c:order val="0"/>
          <c:tx>
            <c:v>Total SF6 emissions</c:v>
          </c:tx>
          <c:spPr>
            <a:ln w="25400">
              <a:solidFill>
                <a:srgbClr val="000080"/>
              </a:solidFill>
              <a:prstDash val="solid"/>
            </a:ln>
          </c:spPr>
          <c:marker>
            <c:symbol val="none"/>
          </c:marker>
          <c:xVal>
            <c:numRef>
              <c:f>'Emissions B'!$B$4:$L$4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B'!$B$106:$L$106</c:f>
              <c:numCache>
                <c:formatCode>0.00E+00</c:formatCode>
                <c:ptCount val="11"/>
                <c:pt idx="0">
                  <c:v>631.21629836249201</c:v>
                </c:pt>
                <c:pt idx="1">
                  <c:v>777.18264108846699</c:v>
                </c:pt>
                <c:pt idx="2">
                  <c:v>807.18517324549191</c:v>
                </c:pt>
                <c:pt idx="3">
                  <c:v>837.18770540251705</c:v>
                </c:pt>
                <c:pt idx="4">
                  <c:v>865.99570289567373</c:v>
                </c:pt>
                <c:pt idx="5">
                  <c:v>951.69251426942503</c:v>
                </c:pt>
                <c:pt idx="6">
                  <c:v>1066.9628456897244</c:v>
                </c:pt>
                <c:pt idx="7">
                  <c:v>1207.6990101788008</c:v>
                </c:pt>
                <c:pt idx="8">
                  <c:v>1268.7106851912695</c:v>
                </c:pt>
                <c:pt idx="9">
                  <c:v>1218.0944458914628</c:v>
                </c:pt>
                <c:pt idx="10">
                  <c:v>1161.8708561391293</c:v>
                </c:pt>
              </c:numCache>
            </c:numRef>
          </c:yVal>
          <c:smooth val="0"/>
          <c:extLst>
            <c:ext xmlns:c16="http://schemas.microsoft.com/office/drawing/2014/chart" uri="{C3380CC4-5D6E-409C-BE32-E72D297353CC}">
              <c16:uniqueId val="{00000000-17A7-4076-9D62-230CCD1BACFF}"/>
            </c:ext>
          </c:extLst>
        </c:ser>
        <c:dLbls>
          <c:showLegendKey val="0"/>
          <c:showVal val="0"/>
          <c:showCatName val="0"/>
          <c:showSerName val="0"/>
          <c:showPercent val="0"/>
          <c:showBubbleSize val="0"/>
        </c:dLbls>
        <c:axId val="289868112"/>
        <c:axId val="289868504"/>
      </c:scatterChart>
      <c:valAx>
        <c:axId val="289868112"/>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67262642375135"/>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68504"/>
        <c:crosses val="autoZero"/>
        <c:crossBetween val="midCat"/>
        <c:minorUnit val="10"/>
      </c:valAx>
      <c:valAx>
        <c:axId val="289868504"/>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864414050498391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681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11" r="0.7500000000000111" t="1" header="0.5" footer="0.5"/>
    <c:pageSetup paperSize="9" orientation="landscape" horizontalDpi="360" verticalDpi="360"/>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GB"/>
              <a:t>Total N2O emissions</a:t>
            </a:r>
          </a:p>
        </c:rich>
      </c:tx>
      <c:layout>
        <c:manualLayout>
          <c:xMode val="edge"/>
          <c:yMode val="edge"/>
          <c:x val="0.34700348576301782"/>
          <c:y val="3.4055727554180001E-2"/>
        </c:manualLayout>
      </c:layout>
      <c:overlay val="0"/>
      <c:spPr>
        <a:noFill/>
        <a:ln w="25400">
          <a:noFill/>
        </a:ln>
      </c:spPr>
    </c:title>
    <c:autoTitleDeleted val="0"/>
    <c:plotArea>
      <c:layout>
        <c:manualLayout>
          <c:layoutTarget val="inner"/>
          <c:xMode val="edge"/>
          <c:yMode val="edge"/>
          <c:x val="0.19085188200220121"/>
          <c:y val="0.22600619195046756"/>
          <c:w val="0.75394379832274494"/>
          <c:h val="0.52631578947368418"/>
        </c:manualLayout>
      </c:layout>
      <c:scatterChart>
        <c:scatterStyle val="lineMarker"/>
        <c:varyColors val="0"/>
        <c:ser>
          <c:idx val="0"/>
          <c:order val="0"/>
          <c:spPr>
            <a:ln w="25400">
              <a:solidFill>
                <a:srgbClr val="000080"/>
              </a:solidFill>
              <a:prstDash val="solid"/>
            </a:ln>
          </c:spPr>
          <c:marker>
            <c:symbol val="none"/>
          </c:marker>
          <c:xVal>
            <c:numRef>
              <c:f>'Emissions B'!$B$4:$L$4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B'!$B$75:$L$75</c:f>
              <c:numCache>
                <c:formatCode>0.00E+00</c:formatCode>
                <c:ptCount val="11"/>
                <c:pt idx="0">
                  <c:v>10.899999719202661</c:v>
                </c:pt>
                <c:pt idx="1">
                  <c:v>11.732671526299518</c:v>
                </c:pt>
                <c:pt idx="2">
                  <c:v>12.189718147026037</c:v>
                </c:pt>
                <c:pt idx="3">
                  <c:v>12.646764767752556</c:v>
                </c:pt>
                <c:pt idx="4">
                  <c:v>13.379859283858446</c:v>
                </c:pt>
                <c:pt idx="5">
                  <c:v>13.17127114761613</c:v>
                </c:pt>
                <c:pt idx="6">
                  <c:v>13.436485674553982</c:v>
                </c:pt>
                <c:pt idx="7">
                  <c:v>13.434137535571669</c:v>
                </c:pt>
                <c:pt idx="8">
                  <c:v>13.488316052524462</c:v>
                </c:pt>
                <c:pt idx="9">
                  <c:v>13.223978059334137</c:v>
                </c:pt>
                <c:pt idx="10">
                  <c:v>12.725011572188123</c:v>
                </c:pt>
              </c:numCache>
            </c:numRef>
          </c:yVal>
          <c:smooth val="0"/>
          <c:extLst>
            <c:ext xmlns:c16="http://schemas.microsoft.com/office/drawing/2014/chart" uri="{C3380CC4-5D6E-409C-BE32-E72D297353CC}">
              <c16:uniqueId val="{00000000-60D1-46CD-9BD2-FAF28993805C}"/>
            </c:ext>
          </c:extLst>
        </c:ser>
        <c:dLbls>
          <c:showLegendKey val="0"/>
          <c:showVal val="0"/>
          <c:showCatName val="0"/>
          <c:showSerName val="0"/>
          <c:showPercent val="0"/>
          <c:showBubbleSize val="0"/>
        </c:dLbls>
        <c:axId val="289869288"/>
        <c:axId val="289869680"/>
      </c:scatterChart>
      <c:valAx>
        <c:axId val="289869288"/>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67258666799145"/>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69680"/>
        <c:crosses val="autoZero"/>
        <c:crossBetween val="midCat"/>
        <c:minorUnit val="10"/>
      </c:valAx>
      <c:valAx>
        <c:axId val="289869680"/>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864353312302835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6928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077" r="0.75000000000001077" t="1" header="0.5" footer="0.5"/>
    <c:pageSetup paperSize="9" orientation="landscape" horizontalDpi="360" verticalDpi="360"/>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389883980881247"/>
          <c:y val="3.4268017024487195E-2"/>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zh-CN"/>
        </a:p>
      </c:txPr>
    </c:title>
    <c:autoTitleDeleted val="0"/>
    <c:plotArea>
      <c:layout>
        <c:manualLayout>
          <c:layoutTarget val="inner"/>
          <c:xMode val="edge"/>
          <c:yMode val="edge"/>
          <c:x val="0.1822505372258639"/>
          <c:y val="0.22429974779664341"/>
          <c:w val="0.7622826817881786"/>
          <c:h val="0.5264813524671208"/>
        </c:manualLayout>
      </c:layout>
      <c:scatterChart>
        <c:scatterStyle val="lineMarker"/>
        <c:varyColors val="0"/>
        <c:ser>
          <c:idx val="0"/>
          <c:order val="0"/>
          <c:tx>
            <c:v>Total CO2 emissions</c:v>
          </c:tx>
          <c:spPr>
            <a:ln w="25400">
              <a:solidFill>
                <a:srgbClr val="000080"/>
              </a:solidFill>
              <a:prstDash val="solid"/>
            </a:ln>
          </c:spPr>
          <c:marker>
            <c:symbol val="none"/>
          </c:marker>
          <c:xVal>
            <c:numRef>
              <c:f>'Emissions A-B'!$B$4:$L$4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A-B'!$B$14:$L$14</c:f>
              <c:numCache>
                <c:formatCode>0.0E+00</c:formatCode>
                <c:ptCount val="11"/>
                <c:pt idx="0">
                  <c:v>0</c:v>
                </c:pt>
                <c:pt idx="1">
                  <c:v>-1.3273722818266833</c:v>
                </c:pt>
                <c:pt idx="2">
                  <c:v>-2.9903199679101817</c:v>
                </c:pt>
                <c:pt idx="3">
                  <c:v>-4.653267654022784</c:v>
                </c:pt>
                <c:pt idx="4">
                  <c:v>-11.203970444650622</c:v>
                </c:pt>
                <c:pt idx="5">
                  <c:v>-39885.900671206778</c:v>
                </c:pt>
                <c:pt idx="6">
                  <c:v>-105944.18018230838</c:v>
                </c:pt>
                <c:pt idx="7">
                  <c:v>-150758.16468757659</c:v>
                </c:pt>
                <c:pt idx="8">
                  <c:v>-175575.24101213994</c:v>
                </c:pt>
                <c:pt idx="9">
                  <c:v>-181032.77310116941</c:v>
                </c:pt>
                <c:pt idx="10">
                  <c:v>-178904.46169823722</c:v>
                </c:pt>
              </c:numCache>
            </c:numRef>
          </c:yVal>
          <c:smooth val="0"/>
          <c:extLst>
            <c:ext xmlns:c16="http://schemas.microsoft.com/office/drawing/2014/chart" uri="{C3380CC4-5D6E-409C-BE32-E72D297353CC}">
              <c16:uniqueId val="{00000000-CAC7-4EA6-AA03-13440887929C}"/>
            </c:ext>
          </c:extLst>
        </c:ser>
        <c:dLbls>
          <c:showLegendKey val="0"/>
          <c:showVal val="0"/>
          <c:showCatName val="0"/>
          <c:showSerName val="0"/>
          <c:showPercent val="0"/>
          <c:showBubbleSize val="0"/>
        </c:dLbls>
        <c:axId val="289870464"/>
        <c:axId val="289870856"/>
      </c:scatterChart>
      <c:valAx>
        <c:axId val="289870464"/>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25268612931953"/>
              <c:y val="0.8691615227119923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70856"/>
        <c:crosses val="autoZero"/>
        <c:crossBetween val="midCat"/>
        <c:minorUnit val="10"/>
      </c:valAx>
      <c:valAx>
        <c:axId val="289870856"/>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9239364011245192E-2"/>
              <c:y val="9.3458228248601366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70464"/>
        <c:crosses val="autoZero"/>
        <c:crossBetween val="midCat"/>
        <c:majorUnit val="500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132" r="0.75000000000001132"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597209773046511"/>
          <c:y val="3.4161542485840656E-2"/>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zh-CN"/>
        </a:p>
      </c:txPr>
    </c:title>
    <c:autoTitleDeleted val="0"/>
    <c:plotArea>
      <c:layout>
        <c:manualLayout>
          <c:layoutTarget val="inner"/>
          <c:xMode val="edge"/>
          <c:yMode val="edge"/>
          <c:x val="0.15323878301303503"/>
          <c:y val="0.226708418315127"/>
          <c:w val="0.79147041535596752"/>
          <c:h val="0.52484551637339605"/>
        </c:manualLayout>
      </c:layout>
      <c:scatterChart>
        <c:scatterStyle val="lineMarker"/>
        <c:varyColors val="0"/>
        <c:ser>
          <c:idx val="0"/>
          <c:order val="0"/>
          <c:tx>
            <c:v>Total CH4 emissions</c:v>
          </c:tx>
          <c:spPr>
            <a:ln w="25400">
              <a:solidFill>
                <a:srgbClr val="000080"/>
              </a:solidFill>
              <a:prstDash val="solid"/>
            </a:ln>
          </c:spPr>
          <c:marker>
            <c:symbol val="none"/>
          </c:marker>
          <c:xVal>
            <c:numRef>
              <c:f>'Emissions A-B'!$B$4:$L$4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A-B'!$B$44:$L$44</c:f>
              <c:numCache>
                <c:formatCode>0.0E+00</c:formatCode>
                <c:ptCount val="11"/>
                <c:pt idx="0">
                  <c:v>0</c:v>
                </c:pt>
                <c:pt idx="1">
                  <c:v>0</c:v>
                </c:pt>
                <c:pt idx="2">
                  <c:v>0</c:v>
                </c:pt>
                <c:pt idx="3">
                  <c:v>0</c:v>
                </c:pt>
                <c:pt idx="4">
                  <c:v>0</c:v>
                </c:pt>
                <c:pt idx="5">
                  <c:v>-328.48456568471124</c:v>
                </c:pt>
                <c:pt idx="6">
                  <c:v>-434.32303539708516</c:v>
                </c:pt>
                <c:pt idx="7">
                  <c:v>-461.77583647692171</c:v>
                </c:pt>
                <c:pt idx="8">
                  <c:v>-448.45057652345923</c:v>
                </c:pt>
                <c:pt idx="9">
                  <c:v>-405.58433826125565</c:v>
                </c:pt>
                <c:pt idx="10">
                  <c:v>-379.43105759616191</c:v>
                </c:pt>
              </c:numCache>
            </c:numRef>
          </c:yVal>
          <c:smooth val="0"/>
          <c:extLst>
            <c:ext xmlns:c16="http://schemas.microsoft.com/office/drawing/2014/chart" uri="{C3380CC4-5D6E-409C-BE32-E72D297353CC}">
              <c16:uniqueId val="{00000000-685F-48DC-8B17-27A7D33FA424}"/>
            </c:ext>
          </c:extLst>
        </c:ser>
        <c:dLbls>
          <c:showLegendKey val="0"/>
          <c:showVal val="0"/>
          <c:showCatName val="0"/>
          <c:showSerName val="0"/>
          <c:showPercent val="0"/>
          <c:showBubbleSize val="0"/>
        </c:dLbls>
        <c:axId val="289871640"/>
        <c:axId val="289872032"/>
      </c:scatterChart>
      <c:valAx>
        <c:axId val="289871640"/>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0995401046915081"/>
              <c:y val="0.869566536003214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72032"/>
        <c:crosses val="autoZero"/>
        <c:crossBetween val="midCat"/>
        <c:minorUnit val="10"/>
      </c:valAx>
      <c:valAx>
        <c:axId val="289872032"/>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989063408779203E-2"/>
              <c:y val="9.627343791464163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71640"/>
        <c:crosses val="autoZero"/>
        <c:crossBetween val="midCat"/>
        <c:majorUnit val="5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132" r="0.75000000000001132" t="1"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GB"/>
              <a:t>Total linear gas emissions</a:t>
            </a:r>
          </a:p>
        </c:rich>
      </c:tx>
      <c:layout>
        <c:manualLayout>
          <c:xMode val="edge"/>
          <c:yMode val="edge"/>
          <c:x val="0.34700342182218386"/>
          <c:y val="3.4055727554180001E-2"/>
        </c:manualLayout>
      </c:layout>
      <c:overlay val="0"/>
      <c:spPr>
        <a:noFill/>
        <a:ln w="25400">
          <a:noFill/>
        </a:ln>
      </c:spPr>
    </c:title>
    <c:autoTitleDeleted val="0"/>
    <c:plotArea>
      <c:layout>
        <c:manualLayout>
          <c:layoutTarget val="inner"/>
          <c:xMode val="edge"/>
          <c:yMode val="edge"/>
          <c:x val="0.19085188200220121"/>
          <c:y val="0.22600619195046776"/>
          <c:w val="0.75394379832274494"/>
          <c:h val="0.52631578947368418"/>
        </c:manualLayout>
      </c:layout>
      <c:scatterChart>
        <c:scatterStyle val="lineMarker"/>
        <c:varyColors val="0"/>
        <c:ser>
          <c:idx val="0"/>
          <c:order val="0"/>
          <c:tx>
            <c:v>Total SF6 emissions</c:v>
          </c:tx>
          <c:spPr>
            <a:ln w="25400">
              <a:solidFill>
                <a:srgbClr val="000080"/>
              </a:solidFill>
              <a:prstDash val="solid"/>
            </a:ln>
          </c:spPr>
          <c:marker>
            <c:symbol val="none"/>
          </c:marker>
          <c:xVal>
            <c:numRef>
              <c:f>'Emissions A-B'!$B$4:$L$4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A-B'!$B$106:$L$106</c:f>
              <c:numCache>
                <c:formatCode>0.0E+00</c:formatCode>
                <c:ptCount val="11"/>
                <c:pt idx="0">
                  <c:v>0</c:v>
                </c:pt>
                <c:pt idx="1">
                  <c:v>0</c:v>
                </c:pt>
                <c:pt idx="2">
                  <c:v>0</c:v>
                </c:pt>
                <c:pt idx="3">
                  <c:v>0</c:v>
                </c:pt>
                <c:pt idx="4">
                  <c:v>0</c:v>
                </c:pt>
                <c:pt idx="5">
                  <c:v>-435.07837509084584</c:v>
                </c:pt>
                <c:pt idx="6">
                  <c:v>-998.04560848792187</c:v>
                </c:pt>
                <c:pt idx="7">
                  <c:v>-1141.9252061515492</c:v>
                </c:pt>
                <c:pt idx="8">
                  <c:v>-1204.931424493677</c:v>
                </c:pt>
                <c:pt idx="9">
                  <c:v>-1158.8668861950964</c:v>
                </c:pt>
                <c:pt idx="10">
                  <c:v>-1107.2596956562709</c:v>
                </c:pt>
              </c:numCache>
            </c:numRef>
          </c:yVal>
          <c:smooth val="0"/>
          <c:extLst>
            <c:ext xmlns:c16="http://schemas.microsoft.com/office/drawing/2014/chart" uri="{C3380CC4-5D6E-409C-BE32-E72D297353CC}">
              <c16:uniqueId val="{00000000-0B66-456B-9EEC-755BBD57A2C6}"/>
            </c:ext>
          </c:extLst>
        </c:ser>
        <c:dLbls>
          <c:showLegendKey val="0"/>
          <c:showVal val="0"/>
          <c:showCatName val="0"/>
          <c:showSerName val="0"/>
          <c:showPercent val="0"/>
          <c:showBubbleSize val="0"/>
        </c:dLbls>
        <c:axId val="289872816"/>
        <c:axId val="289873208"/>
      </c:scatterChart>
      <c:valAx>
        <c:axId val="289872816"/>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67262642375169"/>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73208"/>
        <c:crosses val="autoZero"/>
        <c:crossBetween val="midCat"/>
        <c:minorUnit val="10"/>
      </c:valAx>
      <c:valAx>
        <c:axId val="289873208"/>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864414050498433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7281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132" r="0.75000000000001132" t="1" header="0.5" footer="0.5"/>
    <c:pageSetup paperSize="9" orientation="landscape" horizontalDpi="360" verticalDpi="360"/>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GB"/>
              <a:t>Total N2O emissions</a:t>
            </a:r>
          </a:p>
        </c:rich>
      </c:tx>
      <c:layout>
        <c:manualLayout>
          <c:xMode val="edge"/>
          <c:yMode val="edge"/>
          <c:x val="0.34700348576301782"/>
          <c:y val="3.4055727554180001E-2"/>
        </c:manualLayout>
      </c:layout>
      <c:overlay val="0"/>
      <c:spPr>
        <a:noFill/>
        <a:ln w="25400">
          <a:noFill/>
        </a:ln>
      </c:spPr>
    </c:title>
    <c:autoTitleDeleted val="0"/>
    <c:plotArea>
      <c:layout>
        <c:manualLayout>
          <c:layoutTarget val="inner"/>
          <c:xMode val="edge"/>
          <c:yMode val="edge"/>
          <c:x val="0.19085188200220121"/>
          <c:y val="0.22600619195046762"/>
          <c:w val="0.75394379832274494"/>
          <c:h val="0.52631578947368418"/>
        </c:manualLayout>
      </c:layout>
      <c:scatterChart>
        <c:scatterStyle val="lineMarker"/>
        <c:varyColors val="0"/>
        <c:ser>
          <c:idx val="0"/>
          <c:order val="0"/>
          <c:spPr>
            <a:ln w="25400">
              <a:solidFill>
                <a:srgbClr val="000080"/>
              </a:solidFill>
              <a:prstDash val="solid"/>
            </a:ln>
          </c:spPr>
          <c:marker>
            <c:symbol val="none"/>
          </c:marker>
          <c:xVal>
            <c:numRef>
              <c:f>'Emissions A-B'!$B$4:$L$4</c:f>
              <c:numCache>
                <c:formatCode>General</c:formatCode>
                <c:ptCount val="11"/>
                <c:pt idx="0">
                  <c:v>2015</c:v>
                </c:pt>
                <c:pt idx="1">
                  <c:v>2020</c:v>
                </c:pt>
                <c:pt idx="2">
                  <c:v>2025</c:v>
                </c:pt>
                <c:pt idx="3">
                  <c:v>2030</c:v>
                </c:pt>
                <c:pt idx="4">
                  <c:v>2040</c:v>
                </c:pt>
                <c:pt idx="5">
                  <c:v>2050</c:v>
                </c:pt>
                <c:pt idx="6">
                  <c:v>2060</c:v>
                </c:pt>
                <c:pt idx="7">
                  <c:v>2070</c:v>
                </c:pt>
                <c:pt idx="8">
                  <c:v>2080</c:v>
                </c:pt>
                <c:pt idx="9">
                  <c:v>2090</c:v>
                </c:pt>
                <c:pt idx="10">
                  <c:v>2100</c:v>
                </c:pt>
              </c:numCache>
            </c:numRef>
          </c:xVal>
          <c:yVal>
            <c:numRef>
              <c:f>'Emissions A-B'!$B$75:$L$75</c:f>
              <c:numCache>
                <c:formatCode>0.0E+00</c:formatCode>
                <c:ptCount val="11"/>
                <c:pt idx="0">
                  <c:v>0</c:v>
                </c:pt>
                <c:pt idx="1">
                  <c:v>0</c:v>
                </c:pt>
                <c:pt idx="2">
                  <c:v>0</c:v>
                </c:pt>
                <c:pt idx="3">
                  <c:v>0</c:v>
                </c:pt>
                <c:pt idx="4">
                  <c:v>0</c:v>
                </c:pt>
                <c:pt idx="5">
                  <c:v>-3.4729738388926035</c:v>
                </c:pt>
                <c:pt idx="6">
                  <c:v>-1.2249752514718391</c:v>
                </c:pt>
                <c:pt idx="7">
                  <c:v>-0.66388631788397656</c:v>
                </c:pt>
                <c:pt idx="8">
                  <c:v>-1.1531883702924555</c:v>
                </c:pt>
                <c:pt idx="9">
                  <c:v>-1.3838645643499574</c:v>
                </c:pt>
                <c:pt idx="10">
                  <c:v>-1.2397123680634909</c:v>
                </c:pt>
              </c:numCache>
            </c:numRef>
          </c:yVal>
          <c:smooth val="0"/>
          <c:extLst>
            <c:ext xmlns:c16="http://schemas.microsoft.com/office/drawing/2014/chart" uri="{C3380CC4-5D6E-409C-BE32-E72D297353CC}">
              <c16:uniqueId val="{00000000-25B9-4335-B152-5F69396146F6}"/>
            </c:ext>
          </c:extLst>
        </c:ser>
        <c:dLbls>
          <c:showLegendKey val="0"/>
          <c:showVal val="0"/>
          <c:showCatName val="0"/>
          <c:showSerName val="0"/>
          <c:showPercent val="0"/>
          <c:showBubbleSize val="0"/>
        </c:dLbls>
        <c:axId val="289873992"/>
        <c:axId val="289874384"/>
      </c:scatterChart>
      <c:valAx>
        <c:axId val="289873992"/>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67258666799145"/>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74384"/>
        <c:crosses val="autoZero"/>
        <c:crossBetween val="midCat"/>
        <c:minorUnit val="10"/>
      </c:valAx>
      <c:valAx>
        <c:axId val="289874384"/>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864353312302835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zh-CN"/>
          </a:p>
        </c:txPr>
        <c:crossAx val="28987399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zh-CN"/>
    </a:p>
  </c:txPr>
  <c:printSettings>
    <c:headerFooter alignWithMargins="0"/>
    <c:pageMargins b="1" l="0.75000000000001099" r="0.75000000000001099" t="1" header="0.5" footer="0.5"/>
    <c:pageSetup paperSize="9" orientation="landscape" horizontalDpi="360" verticalDpi="36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GB" sz="1200" b="1" i="0" u="none" strike="noStrike" kern="1200" baseline="0">
                <a:solidFill>
                  <a:schemeClr val="tx2">
                    <a:lumMod val="75000"/>
                  </a:schemeClr>
                </a:solidFill>
                <a:effectLst/>
                <a:latin typeface="+mn-lt"/>
                <a:ea typeface="+mn-ea"/>
                <a:cs typeface="+mn-cs"/>
              </a:rPr>
              <a:t>Global Ocean CO2 flux vs Perm CO2 flux (stay in air) </a:t>
            </a:r>
          </a:p>
        </c:rich>
      </c:tx>
      <c:layout/>
      <c:overlay val="0"/>
    </c:title>
    <c:autoTitleDeleted val="0"/>
    <c:plotArea>
      <c:layout/>
      <c:scatterChart>
        <c:scatterStyle val="lineMarker"/>
        <c:varyColors val="0"/>
        <c:ser>
          <c:idx val="0"/>
          <c:order val="0"/>
          <c:tx>
            <c:v>Ocean annual CO2 flux</c:v>
          </c:tx>
          <c:spPr>
            <a:ln>
              <a:solidFill>
                <a:srgbClr val="0070C0"/>
              </a:solidFill>
            </a:ln>
          </c:spPr>
          <c:marker>
            <c:symbol val="none"/>
          </c:marker>
          <c:xVal>
            <c:numRef>
              <c:f>'Climate A'!$D$34:$M$34</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'Climate A'!$D$213:$M$213</c:f>
              <c:numCache>
                <c:formatCode>0.00E+00</c:formatCode>
                <c:ptCount val="10"/>
                <c:pt idx="0">
                  <c:v>-6422.7881036161325</c:v>
                </c:pt>
                <c:pt idx="1">
                  <c:v>-6422.7881036161325</c:v>
                </c:pt>
                <c:pt idx="2">
                  <c:v>-7563.1123827018546</c:v>
                </c:pt>
                <c:pt idx="3">
                  <c:v>-9686.5037618246279</c:v>
                </c:pt>
                <c:pt idx="4">
                  <c:v>-13738.283540496928</c:v>
                </c:pt>
                <c:pt idx="5">
                  <c:v>-17514.284639653135</c:v>
                </c:pt>
                <c:pt idx="6">
                  <c:v>-16195.43819417168</c:v>
                </c:pt>
                <c:pt idx="7">
                  <c:v>-11290.586473904097</c:v>
                </c:pt>
                <c:pt idx="8">
                  <c:v>-7007.8507663008004</c:v>
                </c:pt>
                <c:pt idx="9">
                  <c:v>-3810.7132032715658</c:v>
                </c:pt>
              </c:numCache>
            </c:numRef>
          </c:yVal>
          <c:smooth val="0"/>
          <c:extLst>
            <c:ext xmlns:c16="http://schemas.microsoft.com/office/drawing/2014/chart" uri="{C3380CC4-5D6E-409C-BE32-E72D297353CC}">
              <c16:uniqueId val="{00000000-EF92-49C3-A730-AE919D02A6F5}"/>
            </c:ext>
          </c:extLst>
        </c:ser>
        <c:ser>
          <c:idx val="1"/>
          <c:order val="1"/>
          <c:tx>
            <c:v>Perm annual CO2 flux air</c:v>
          </c:tx>
          <c:marker>
            <c:symbol val="none"/>
          </c:marker>
          <c:xVal>
            <c:numRef>
              <c:f>'Climate A'!$D$34:$M$34</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'Climate A'!$D$207:$M$207</c:f>
              <c:numCache>
                <c:formatCode>0.00E+00</c:formatCode>
                <c:ptCount val="10"/>
              </c:numCache>
            </c:numRef>
          </c:yVal>
          <c:smooth val="0"/>
          <c:extLst>
            <c:ext xmlns:c16="http://schemas.microsoft.com/office/drawing/2014/chart" uri="{C3380CC4-5D6E-409C-BE32-E72D297353CC}">
              <c16:uniqueId val="{00000001-FCB8-48A6-B31B-3993C36A1A1F}"/>
            </c:ext>
          </c:extLst>
        </c:ser>
        <c:dLbls>
          <c:showLegendKey val="0"/>
          <c:showVal val="0"/>
          <c:showCatName val="0"/>
          <c:showSerName val="0"/>
          <c:showPercent val="0"/>
          <c:showBubbleSize val="0"/>
        </c:dLbls>
        <c:axId val="381337704"/>
        <c:axId val="381338096"/>
      </c:scatterChart>
      <c:valAx>
        <c:axId val="381337704"/>
        <c:scaling>
          <c:orientation val="minMax"/>
          <c:max val="2300"/>
          <c:min val="2000"/>
        </c:scaling>
        <c:delete val="0"/>
        <c:axPos val="b"/>
        <c:numFmt formatCode="General" sourceLinked="1"/>
        <c:majorTickMark val="out"/>
        <c:minorTickMark val="none"/>
        <c:tickLblPos val="nextTo"/>
        <c:txPr>
          <a:bodyPr/>
          <a:lstStyle/>
          <a:p>
            <a:pPr>
              <a:defRPr sz="900">
                <a:solidFill>
                  <a:schemeClr val="tx2">
                    <a:lumMod val="75000"/>
                  </a:schemeClr>
                </a:solidFill>
              </a:defRPr>
            </a:pPr>
            <a:endParaRPr lang="zh-CN"/>
          </a:p>
        </c:txPr>
        <c:crossAx val="381338096"/>
        <c:crosses val="autoZero"/>
        <c:crossBetween val="midCat"/>
      </c:valAx>
      <c:valAx>
        <c:axId val="381338096"/>
        <c:scaling>
          <c:orientation val="minMax"/>
        </c:scaling>
        <c:delete val="0"/>
        <c:axPos val="l"/>
        <c:majorGridlines>
          <c:spPr>
            <a:ln>
              <a:noFill/>
            </a:ln>
          </c:spPr>
        </c:majorGridlines>
        <c:title>
          <c:tx>
            <c:rich>
              <a:bodyPr rot="-5400000" vert="horz"/>
              <a:lstStyle/>
              <a:p>
                <a:pPr>
                  <a:defRPr/>
                </a:pPr>
                <a:r>
                  <a:rPr lang="en-US" sz="900">
                    <a:solidFill>
                      <a:schemeClr val="tx2">
                        <a:lumMod val="75000"/>
                      </a:schemeClr>
                    </a:solidFill>
                  </a:rPr>
                  <a:t>Mton</a:t>
                </a:r>
                <a:r>
                  <a:rPr lang="en-US" sz="900" baseline="0">
                    <a:solidFill>
                      <a:schemeClr val="tx2">
                        <a:lumMod val="75000"/>
                      </a:schemeClr>
                    </a:solidFill>
                  </a:rPr>
                  <a:t> CO2/yr</a:t>
                </a:r>
                <a:endParaRPr lang="en-US" sz="900">
                  <a:solidFill>
                    <a:schemeClr val="tx2">
                      <a:lumMod val="75000"/>
                    </a:schemeClr>
                  </a:solidFill>
                </a:endParaRPr>
              </a:p>
            </c:rich>
          </c:tx>
          <c:layout/>
          <c:overlay val="0"/>
        </c:title>
        <c:numFmt formatCode="0.00E+00" sourceLinked="1"/>
        <c:majorTickMark val="out"/>
        <c:minorTickMark val="none"/>
        <c:tickLblPos val="nextTo"/>
        <c:txPr>
          <a:bodyPr/>
          <a:lstStyle/>
          <a:p>
            <a:pPr>
              <a:defRPr sz="900">
                <a:solidFill>
                  <a:schemeClr val="tx2">
                    <a:lumMod val="75000"/>
                  </a:schemeClr>
                </a:solidFill>
              </a:defRPr>
            </a:pPr>
            <a:endParaRPr lang="zh-CN"/>
          </a:p>
        </c:txPr>
        <c:crossAx val="381337704"/>
        <c:crosses val="autoZero"/>
        <c:crossBetween val="midCat"/>
      </c:valAx>
      <c:spPr>
        <a:ln>
          <a:noFill/>
        </a:ln>
      </c:spPr>
    </c:plotArea>
    <c:legend>
      <c:legendPos val="b"/>
      <c:layout/>
      <c:overlay val="0"/>
      <c:txPr>
        <a:bodyPr/>
        <a:lstStyle/>
        <a:p>
          <a:pPr>
            <a:defRPr sz="900">
              <a:solidFill>
                <a:schemeClr val="tx2">
                  <a:lumMod val="75000"/>
                </a:schemeClr>
              </a:solidFill>
            </a:defRPr>
          </a:pPr>
          <a:endParaRPr lang="zh-CN"/>
        </a:p>
      </c:txPr>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GB" sz="1200" b="1" i="0" u="none" strike="noStrike" kern="1200" baseline="0">
                <a:solidFill>
                  <a:schemeClr val="tx2">
                    <a:lumMod val="75000"/>
                  </a:schemeClr>
                </a:solidFill>
                <a:effectLst/>
                <a:latin typeface="+mn-lt"/>
                <a:ea typeface="+mn-ea"/>
                <a:cs typeface="+mn-cs"/>
              </a:rPr>
              <a:t>Global Ocean CO2 flux vs All sources CO2 flux (stay in air) </a:t>
            </a:r>
          </a:p>
        </c:rich>
      </c:tx>
      <c:layout/>
      <c:overlay val="0"/>
    </c:title>
    <c:autoTitleDeleted val="0"/>
    <c:plotArea>
      <c:layout/>
      <c:scatterChart>
        <c:scatterStyle val="lineMarker"/>
        <c:varyColors val="0"/>
        <c:ser>
          <c:idx val="0"/>
          <c:order val="0"/>
          <c:tx>
            <c:v>Ocean annual CO2 flux</c:v>
          </c:tx>
          <c:spPr>
            <a:ln>
              <a:solidFill>
                <a:srgbClr val="0070C0"/>
              </a:solidFill>
            </a:ln>
          </c:spPr>
          <c:marker>
            <c:symbol val="none"/>
          </c:marker>
          <c:xVal>
            <c:numRef>
              <c:f>'Climate A'!$D$34:$M$34</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'Climate A'!$D$213:$M$213</c:f>
              <c:numCache>
                <c:formatCode>0.00E+00</c:formatCode>
                <c:ptCount val="10"/>
                <c:pt idx="0">
                  <c:v>-6422.7881036161325</c:v>
                </c:pt>
                <c:pt idx="1">
                  <c:v>-6422.7881036161325</c:v>
                </c:pt>
                <c:pt idx="2">
                  <c:v>-7563.1123827018546</c:v>
                </c:pt>
                <c:pt idx="3">
                  <c:v>-9686.5037618246279</c:v>
                </c:pt>
                <c:pt idx="4">
                  <c:v>-13738.283540496928</c:v>
                </c:pt>
                <c:pt idx="5">
                  <c:v>-17514.284639653135</c:v>
                </c:pt>
                <c:pt idx="6">
                  <c:v>-16195.43819417168</c:v>
                </c:pt>
                <c:pt idx="7">
                  <c:v>-11290.586473904097</c:v>
                </c:pt>
                <c:pt idx="8">
                  <c:v>-7007.8507663008004</c:v>
                </c:pt>
                <c:pt idx="9">
                  <c:v>-3810.7132032715658</c:v>
                </c:pt>
              </c:numCache>
            </c:numRef>
          </c:yVal>
          <c:smooth val="0"/>
          <c:extLst>
            <c:ext xmlns:c16="http://schemas.microsoft.com/office/drawing/2014/chart" uri="{C3380CC4-5D6E-409C-BE32-E72D297353CC}">
              <c16:uniqueId val="{00000000-7C7E-45E3-B1F0-AB218E6018B2}"/>
            </c:ext>
          </c:extLst>
        </c:ser>
        <c:ser>
          <c:idx val="1"/>
          <c:order val="1"/>
          <c:tx>
            <c:v>All sources annual CO2 flux air</c:v>
          </c:tx>
          <c:marker>
            <c:symbol val="none"/>
          </c:marker>
          <c:xVal>
            <c:numRef>
              <c:f>'Climate A'!$D$34:$M$34</c:f>
              <c:numCache>
                <c:formatCode>General</c:formatCode>
                <c:ptCount val="10"/>
                <c:pt idx="0">
                  <c:v>2020</c:v>
                </c:pt>
                <c:pt idx="1">
                  <c:v>2025</c:v>
                </c:pt>
                <c:pt idx="2">
                  <c:v>2030</c:v>
                </c:pt>
                <c:pt idx="3">
                  <c:v>2040</c:v>
                </c:pt>
                <c:pt idx="4">
                  <c:v>2050</c:v>
                </c:pt>
                <c:pt idx="5">
                  <c:v>2060</c:v>
                </c:pt>
                <c:pt idx="6">
                  <c:v>2070</c:v>
                </c:pt>
                <c:pt idx="7">
                  <c:v>2080</c:v>
                </c:pt>
                <c:pt idx="8">
                  <c:v>2090</c:v>
                </c:pt>
                <c:pt idx="9">
                  <c:v>2100</c:v>
                </c:pt>
              </c:numCache>
            </c:numRef>
          </c:xVal>
          <c:yVal>
            <c:numRef>
              <c:f>'Climate A'!$D$214:$M$214</c:f>
              <c:numCache>
                <c:formatCode>0.00E+00</c:formatCode>
                <c:ptCount val="10"/>
              </c:numCache>
            </c:numRef>
          </c:yVal>
          <c:smooth val="0"/>
          <c:extLst>
            <c:ext xmlns:c16="http://schemas.microsoft.com/office/drawing/2014/chart" uri="{C3380CC4-5D6E-409C-BE32-E72D297353CC}">
              <c16:uniqueId val="{00000001-7C7E-45E3-B1F0-AB218E6018B2}"/>
            </c:ext>
          </c:extLst>
        </c:ser>
        <c:dLbls>
          <c:showLegendKey val="0"/>
          <c:showVal val="0"/>
          <c:showCatName val="0"/>
          <c:showSerName val="0"/>
          <c:showPercent val="0"/>
          <c:showBubbleSize val="0"/>
        </c:dLbls>
        <c:axId val="381338880"/>
        <c:axId val="381339272"/>
      </c:scatterChart>
      <c:valAx>
        <c:axId val="381338880"/>
        <c:scaling>
          <c:orientation val="minMax"/>
          <c:max val="2300"/>
          <c:min val="2000"/>
        </c:scaling>
        <c:delete val="0"/>
        <c:axPos val="b"/>
        <c:numFmt formatCode="General" sourceLinked="1"/>
        <c:majorTickMark val="out"/>
        <c:minorTickMark val="none"/>
        <c:tickLblPos val="nextTo"/>
        <c:txPr>
          <a:bodyPr/>
          <a:lstStyle/>
          <a:p>
            <a:pPr>
              <a:defRPr sz="900">
                <a:solidFill>
                  <a:schemeClr val="tx2">
                    <a:lumMod val="75000"/>
                  </a:schemeClr>
                </a:solidFill>
              </a:defRPr>
            </a:pPr>
            <a:endParaRPr lang="zh-CN"/>
          </a:p>
        </c:txPr>
        <c:crossAx val="381339272"/>
        <c:crosses val="autoZero"/>
        <c:crossBetween val="midCat"/>
      </c:valAx>
      <c:valAx>
        <c:axId val="381339272"/>
        <c:scaling>
          <c:orientation val="minMax"/>
        </c:scaling>
        <c:delete val="0"/>
        <c:axPos val="l"/>
        <c:majorGridlines>
          <c:spPr>
            <a:ln>
              <a:noFill/>
            </a:ln>
          </c:spPr>
        </c:majorGridlines>
        <c:title>
          <c:tx>
            <c:rich>
              <a:bodyPr rot="-5400000" vert="horz"/>
              <a:lstStyle/>
              <a:p>
                <a:pPr>
                  <a:defRPr/>
                </a:pPr>
                <a:r>
                  <a:rPr lang="en-US" sz="900">
                    <a:solidFill>
                      <a:schemeClr val="tx2">
                        <a:lumMod val="75000"/>
                      </a:schemeClr>
                    </a:solidFill>
                  </a:rPr>
                  <a:t>Mton</a:t>
                </a:r>
                <a:r>
                  <a:rPr lang="en-US" sz="900" baseline="0">
                    <a:solidFill>
                      <a:schemeClr val="tx2">
                        <a:lumMod val="75000"/>
                      </a:schemeClr>
                    </a:solidFill>
                  </a:rPr>
                  <a:t> CO2/yr</a:t>
                </a:r>
                <a:endParaRPr lang="en-US" sz="900">
                  <a:solidFill>
                    <a:schemeClr val="tx2">
                      <a:lumMod val="75000"/>
                    </a:schemeClr>
                  </a:solidFill>
                </a:endParaRPr>
              </a:p>
            </c:rich>
          </c:tx>
          <c:layout/>
          <c:overlay val="0"/>
        </c:title>
        <c:numFmt formatCode="0.00E+00" sourceLinked="1"/>
        <c:majorTickMark val="out"/>
        <c:minorTickMark val="none"/>
        <c:tickLblPos val="nextTo"/>
        <c:txPr>
          <a:bodyPr/>
          <a:lstStyle/>
          <a:p>
            <a:pPr>
              <a:defRPr sz="900">
                <a:solidFill>
                  <a:schemeClr val="tx2">
                    <a:lumMod val="75000"/>
                  </a:schemeClr>
                </a:solidFill>
              </a:defRPr>
            </a:pPr>
            <a:endParaRPr lang="zh-CN"/>
          </a:p>
        </c:txPr>
        <c:crossAx val="381338880"/>
        <c:crosses val="autoZero"/>
        <c:crossBetween val="midCat"/>
      </c:valAx>
      <c:spPr>
        <a:ln>
          <a:noFill/>
        </a:ln>
      </c:spPr>
    </c:plotArea>
    <c:legend>
      <c:legendPos val="b"/>
      <c:layout/>
      <c:overlay val="0"/>
      <c:txPr>
        <a:bodyPr/>
        <a:lstStyle/>
        <a:p>
          <a:pPr>
            <a:defRPr sz="900">
              <a:solidFill>
                <a:schemeClr val="tx2">
                  <a:lumMod val="75000"/>
                </a:schemeClr>
              </a:solidFill>
            </a:defRPr>
          </a:pPr>
          <a:endParaRPr lang="zh-CN"/>
        </a:p>
      </c:txPr>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4" Type="http://schemas.openxmlformats.org/officeDocument/2006/relationships/chart" Target="../charts/chart1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8</xdr:col>
      <xdr:colOff>12700</xdr:colOff>
      <xdr:row>2</xdr:row>
      <xdr:rowOff>31750</xdr:rowOff>
    </xdr:from>
    <xdr:to>
      <xdr:col>16</xdr:col>
      <xdr:colOff>370800</xdr:colOff>
      <xdr:row>22</xdr:row>
      <xdr:rowOff>58650</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603250</xdr:colOff>
      <xdr:row>24</xdr:row>
      <xdr:rowOff>12700</xdr:rowOff>
    </xdr:from>
    <xdr:to>
      <xdr:col>26</xdr:col>
      <xdr:colOff>281900</xdr:colOff>
      <xdr:row>44</xdr:row>
      <xdr:rowOff>52300</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6350</xdr:colOff>
      <xdr:row>24</xdr:row>
      <xdr:rowOff>6350</xdr:rowOff>
    </xdr:from>
    <xdr:to>
      <xdr:col>16</xdr:col>
      <xdr:colOff>364450</xdr:colOff>
      <xdr:row>44</xdr:row>
      <xdr:rowOff>45950</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12700</xdr:colOff>
      <xdr:row>2</xdr:row>
      <xdr:rowOff>31750</xdr:rowOff>
    </xdr:from>
    <xdr:to>
      <xdr:col>26</xdr:col>
      <xdr:colOff>300950</xdr:colOff>
      <xdr:row>22</xdr:row>
      <xdr:rowOff>58650</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606425</xdr:colOff>
      <xdr:row>89</xdr:row>
      <xdr:rowOff>0</xdr:rowOff>
    </xdr:from>
    <xdr:to>
      <xdr:col>26</xdr:col>
      <xdr:colOff>285075</xdr:colOff>
      <xdr:row>109</xdr:row>
      <xdr:rowOff>33250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606425</xdr:colOff>
      <xdr:row>46</xdr:row>
      <xdr:rowOff>3175</xdr:rowOff>
    </xdr:from>
    <xdr:to>
      <xdr:col>26</xdr:col>
      <xdr:colOff>285075</xdr:colOff>
      <xdr:row>66</xdr:row>
      <xdr:rowOff>23725</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600075</xdr:colOff>
      <xdr:row>68</xdr:row>
      <xdr:rowOff>9525</xdr:rowOff>
    </xdr:from>
    <xdr:to>
      <xdr:col>26</xdr:col>
      <xdr:colOff>278725</xdr:colOff>
      <xdr:row>88</xdr:row>
      <xdr:rowOff>55475</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14</xdr:row>
      <xdr:rowOff>9525</xdr:rowOff>
    </xdr:from>
    <xdr:to>
      <xdr:col>12</xdr:col>
      <xdr:colOff>9525</xdr:colOff>
      <xdr:row>32</xdr:row>
      <xdr:rowOff>152400</xdr:rowOff>
    </xdr:to>
    <xdr:graphicFrame macro="">
      <xdr:nvGraphicFramePr>
        <xdr:cNvPr id="5122" name="Chart 2">
          <a:extLst>
            <a:ext uri="{FF2B5EF4-FFF2-40B4-BE49-F238E27FC236}">
              <a16:creationId xmlns:a16="http://schemas.microsoft.com/office/drawing/2014/main" id="{00000000-0008-0000-0700-000002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45</xdr:row>
      <xdr:rowOff>0</xdr:rowOff>
    </xdr:from>
    <xdr:to>
      <xdr:col>12</xdr:col>
      <xdr:colOff>28575</xdr:colOff>
      <xdr:row>63</xdr:row>
      <xdr:rowOff>152400</xdr:rowOff>
    </xdr:to>
    <xdr:graphicFrame macro="">
      <xdr:nvGraphicFramePr>
        <xdr:cNvPr id="5123" name="Chart 3">
          <a:extLst>
            <a:ext uri="{FF2B5EF4-FFF2-40B4-BE49-F238E27FC236}">
              <a16:creationId xmlns:a16="http://schemas.microsoft.com/office/drawing/2014/main" id="{00000000-0008-0000-0700-000003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107</xdr:row>
      <xdr:rowOff>0</xdr:rowOff>
    </xdr:from>
    <xdr:to>
      <xdr:col>12</xdr:col>
      <xdr:colOff>38100</xdr:colOff>
      <xdr:row>126</xdr:row>
      <xdr:rowOff>0</xdr:rowOff>
    </xdr:to>
    <xdr:graphicFrame macro="">
      <xdr:nvGraphicFramePr>
        <xdr:cNvPr id="5124" name="Chart 4">
          <a:extLst>
            <a:ext uri="{FF2B5EF4-FFF2-40B4-BE49-F238E27FC236}">
              <a16:creationId xmlns:a16="http://schemas.microsoft.com/office/drawing/2014/main" id="{00000000-0008-0000-0700-000004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76</xdr:row>
      <xdr:rowOff>0</xdr:rowOff>
    </xdr:from>
    <xdr:to>
      <xdr:col>12</xdr:col>
      <xdr:colOff>28575</xdr:colOff>
      <xdr:row>94</xdr:row>
      <xdr:rowOff>152400</xdr:rowOff>
    </xdr:to>
    <xdr:graphicFrame macro="">
      <xdr:nvGraphicFramePr>
        <xdr:cNvPr id="6" name="Chart 3">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14</xdr:row>
      <xdr:rowOff>9525</xdr:rowOff>
    </xdr:from>
    <xdr:to>
      <xdr:col>12</xdr:col>
      <xdr:colOff>9525</xdr:colOff>
      <xdr:row>32</xdr:row>
      <xdr:rowOff>152400</xdr:rowOff>
    </xdr:to>
    <xdr:graphicFrame macro="">
      <xdr:nvGraphicFramePr>
        <xdr:cNvPr id="2" name="Chart 2">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45</xdr:row>
      <xdr:rowOff>0</xdr:rowOff>
    </xdr:from>
    <xdr:to>
      <xdr:col>12</xdr:col>
      <xdr:colOff>28575</xdr:colOff>
      <xdr:row>63</xdr:row>
      <xdr:rowOff>152400</xdr:rowOff>
    </xdr:to>
    <xdr:graphicFrame macro="">
      <xdr:nvGraphicFramePr>
        <xdr:cNvPr id="3" name="Chart 3">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107</xdr:row>
      <xdr:rowOff>0</xdr:rowOff>
    </xdr:from>
    <xdr:to>
      <xdr:col>12</xdr:col>
      <xdr:colOff>38100</xdr:colOff>
      <xdr:row>126</xdr:row>
      <xdr:rowOff>0</xdr:rowOff>
    </xdr:to>
    <xdr:graphicFrame macro="">
      <xdr:nvGraphicFramePr>
        <xdr:cNvPr id="4" name="Chart 4">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76</xdr:row>
      <xdr:rowOff>0</xdr:rowOff>
    </xdr:from>
    <xdr:to>
      <xdr:col>12</xdr:col>
      <xdr:colOff>28575</xdr:colOff>
      <xdr:row>94</xdr:row>
      <xdr:rowOff>152400</xdr:rowOff>
    </xdr:to>
    <xdr:graphicFrame macro="">
      <xdr:nvGraphicFramePr>
        <xdr:cNvPr id="5" name="Chart 3">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14</xdr:row>
      <xdr:rowOff>9525</xdr:rowOff>
    </xdr:from>
    <xdr:to>
      <xdr:col>12</xdr:col>
      <xdr:colOff>9525</xdr:colOff>
      <xdr:row>32</xdr:row>
      <xdr:rowOff>152400</xdr:rowOff>
    </xdr:to>
    <xdr:graphicFrame macro="">
      <xdr:nvGraphicFramePr>
        <xdr:cNvPr id="2" name="Chart 2">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45</xdr:row>
      <xdr:rowOff>0</xdr:rowOff>
    </xdr:from>
    <xdr:to>
      <xdr:col>12</xdr:col>
      <xdr:colOff>28575</xdr:colOff>
      <xdr:row>63</xdr:row>
      <xdr:rowOff>152400</xdr:rowOff>
    </xdr:to>
    <xdr:graphicFrame macro="">
      <xdr:nvGraphicFramePr>
        <xdr:cNvPr id="3" name="Chart 3">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107</xdr:row>
      <xdr:rowOff>0</xdr:rowOff>
    </xdr:from>
    <xdr:to>
      <xdr:col>12</xdr:col>
      <xdr:colOff>38100</xdr:colOff>
      <xdr:row>126</xdr:row>
      <xdr:rowOff>0</xdr:rowOff>
    </xdr:to>
    <xdr:graphicFrame macro="">
      <xdr:nvGraphicFramePr>
        <xdr:cNvPr id="4" name="Chart 4">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76</xdr:row>
      <xdr:rowOff>0</xdr:rowOff>
    </xdr:from>
    <xdr:to>
      <xdr:col>12</xdr:col>
      <xdr:colOff>28575</xdr:colOff>
      <xdr:row>94</xdr:row>
      <xdr:rowOff>152400</xdr:rowOff>
    </xdr:to>
    <xdr:graphicFrame macro="">
      <xdr:nvGraphicFramePr>
        <xdr:cNvPr id="5" name="Chart 3">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24</xdr:col>
      <xdr:colOff>38100</xdr:colOff>
      <xdr:row>208</xdr:row>
      <xdr:rowOff>38100</xdr:rowOff>
    </xdr:from>
    <xdr:to>
      <xdr:col>30</xdr:col>
      <xdr:colOff>587376</xdr:colOff>
      <xdr:row>228</xdr:row>
      <xdr:rowOff>82550</xdr:rowOff>
    </xdr:to>
    <xdr:graphicFrame macro="">
      <xdr:nvGraphicFramePr>
        <xdr:cNvPr id="10" name="Chart 9">
          <a:extLst>
            <a:ext uri="{FF2B5EF4-FFF2-40B4-BE49-F238E27FC236}">
              <a16:creationId xmlns:a16="http://schemas.microsoft.com/office/drawing/2014/main" id="{00000000-0008-0000-0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38100</xdr:colOff>
      <xdr:row>229</xdr:row>
      <xdr:rowOff>6350</xdr:rowOff>
    </xdr:from>
    <xdr:to>
      <xdr:col>30</xdr:col>
      <xdr:colOff>587376</xdr:colOff>
      <xdr:row>249</xdr:row>
      <xdr:rowOff>152400</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1"/>
  <sheetViews>
    <sheetView topLeftCell="A19" workbookViewId="0">
      <selection activeCell="A38" sqref="A38"/>
    </sheetView>
  </sheetViews>
  <sheetFormatPr defaultRowHeight="12.75" x14ac:dyDescent="0.2"/>
  <cols>
    <col min="1" max="1" width="46.85546875" customWidth="1"/>
    <col min="2" max="2" width="10.42578125" customWidth="1"/>
    <col min="3" max="13" width="9.85546875" customWidth="1"/>
    <col min="19" max="19" width="12.140625" bestFit="1" customWidth="1"/>
  </cols>
  <sheetData>
    <row r="1" spans="1:14" x14ac:dyDescent="0.2">
      <c r="A1" s="191" t="s">
        <v>582</v>
      </c>
      <c r="B1" s="190">
        <f ca="1">TODAY()</f>
        <v>44345</v>
      </c>
      <c r="D1" s="3" t="s">
        <v>1044</v>
      </c>
      <c r="F1" t="str">
        <f>VERSION</f>
        <v>6.22</v>
      </c>
      <c r="H1" s="3" t="s">
        <v>589</v>
      </c>
      <c r="J1" s="190" t="str">
        <f xml:space="preserve"> VERSION_DATE</f>
        <v>20/03/2019</v>
      </c>
      <c r="L1" s="3" t="s">
        <v>1060</v>
      </c>
      <c r="N1" t="str">
        <f>VERSION_PARENT</f>
        <v>6.21 of PAGE-ICE Nonlinear Arctic Feedbacks</v>
      </c>
    </row>
    <row r="2" spans="1:14" x14ac:dyDescent="0.2">
      <c r="A2" s="172" t="str">
        <f xml:space="preserve"> "Experiment = {"&amp;EXPERIMENT&amp;"}, FIRST Scenario = {"&amp;SCENARIO_PAIR&amp;"}, SECOND Scenario = {"&amp;SCENARIO_PAIR_B&amp;"}, Economic Impacts = {"&amp;ECON_IMPF&amp;"}"</f>
        <v>Experiment = {Two Scenarios, Nonlinear PCF &amp; SAF}, FIRST Scenario = {SSP5-34-OS}, SECOND Scenario = {SSP5-85}, Economic Impacts = {Burke, Pulled, Lag=2, Consum-Only}</v>
      </c>
      <c r="B2" s="172"/>
      <c r="C2" s="172"/>
      <c r="D2" s="172"/>
      <c r="E2" s="172"/>
      <c r="F2" s="172"/>
      <c r="G2" s="172"/>
      <c r="H2" s="3"/>
      <c r="J2" s="190"/>
    </row>
    <row r="3" spans="1:14" x14ac:dyDescent="0.2">
      <c r="A3" s="172" t="s">
        <v>555</v>
      </c>
      <c r="B3" s="173"/>
      <c r="C3" s="173"/>
      <c r="D3" s="173"/>
      <c r="E3" s="173"/>
      <c r="F3" s="173"/>
      <c r="G3" s="173"/>
    </row>
    <row r="4" spans="1:14" x14ac:dyDescent="0.2">
      <c r="A4" s="172"/>
      <c r="B4" s="172" t="s">
        <v>1015</v>
      </c>
      <c r="C4" s="172" t="s">
        <v>1016</v>
      </c>
      <c r="D4" s="172" t="s">
        <v>1017</v>
      </c>
      <c r="E4" s="173"/>
      <c r="F4" s="173"/>
      <c r="G4" s="173"/>
    </row>
    <row r="5" spans="1:14" x14ac:dyDescent="0.2">
      <c r="A5" s="172" t="s">
        <v>518</v>
      </c>
      <c r="B5" s="178" t="s">
        <v>519</v>
      </c>
      <c r="C5" s="178" t="s">
        <v>520</v>
      </c>
      <c r="D5" s="178" t="s">
        <v>521</v>
      </c>
      <c r="E5" s="179"/>
      <c r="F5" s="179" t="s">
        <v>554</v>
      </c>
      <c r="G5" s="173"/>
    </row>
    <row r="6" spans="1:14" x14ac:dyDescent="0.2">
      <c r="A6" s="174" t="s">
        <v>499</v>
      </c>
      <c r="B6" s="136">
        <f ca="1">_xll.RiskPercentile('Climate A'!I$221,H6)</f>
        <v>4.2213425901890318</v>
      </c>
      <c r="C6" s="136">
        <f ca="1">_xll.RiskPercentile('Climate B'!I$221,H6)</f>
        <v>5.2748333023566198</v>
      </c>
      <c r="D6" s="281">
        <f ca="1">_xll.RiskPercentile('Climate A-B'!I$221,H6)</f>
        <v>-1.2075562963827249</v>
      </c>
      <c r="E6" s="174" t="s">
        <v>42</v>
      </c>
      <c r="F6" s="179"/>
      <c r="G6" s="173"/>
      <c r="H6">
        <v>0.05</v>
      </c>
    </row>
    <row r="7" spans="1:14" x14ac:dyDescent="0.2">
      <c r="A7" s="174" t="s">
        <v>727</v>
      </c>
      <c r="B7" s="136">
        <f ca="1">_xll.RiskPercentile('Climate A'!I$221,H7)</f>
        <v>4.4611234132614888</v>
      </c>
      <c r="C7" s="136">
        <f ca="1">_xll.RiskPercentile('Climate B'!I$221,H7)</f>
        <v>5.5414960317834288</v>
      </c>
      <c r="D7" s="281">
        <f ca="1">_xll.RiskPercentile('Climate A-B'!I$221,H7)</f>
        <v>-1.1509045370068787</v>
      </c>
      <c r="E7" s="174" t="s">
        <v>42</v>
      </c>
      <c r="F7" s="179"/>
      <c r="G7" s="173"/>
      <c r="H7">
        <v>0.25</v>
      </c>
    </row>
    <row r="8" spans="1:14" x14ac:dyDescent="0.2">
      <c r="A8" s="174" t="s">
        <v>572</v>
      </c>
      <c r="B8" s="136">
        <f ca="1">_xll.RiskPercentile('Climate A'!I$221,H8)</f>
        <v>4.6305456816175479</v>
      </c>
      <c r="C8" s="136">
        <f ca="1">_xll.RiskPercentile('Climate B'!I$221,H8)</f>
        <v>5.7322893733008389</v>
      </c>
      <c r="D8" s="281">
        <f ca="1">_xll.RiskPercentile('Climate A-B'!I$221,H8)</f>
        <v>-1.1069036903118405</v>
      </c>
      <c r="E8" s="174" t="s">
        <v>42</v>
      </c>
      <c r="F8" s="175"/>
      <c r="G8" s="173"/>
      <c r="H8">
        <v>0.5</v>
      </c>
    </row>
    <row r="9" spans="1:14" x14ac:dyDescent="0.2">
      <c r="A9" s="174" t="s">
        <v>728</v>
      </c>
      <c r="B9" s="136">
        <f ca="1">_xll.RiskPercentile('Climate A'!I$221,H9)</f>
        <v>4.7926909423642279</v>
      </c>
      <c r="C9" s="136">
        <f ca="1">_xll.RiskPercentile('Climate B'!I$221,H9)</f>
        <v>5.9182716946614899</v>
      </c>
      <c r="D9" s="281">
        <f ca="1">_xll.RiskPercentile('Climate A-B'!I$221,H9)</f>
        <v>-1.0568898249680041</v>
      </c>
      <c r="E9" s="174" t="s">
        <v>42</v>
      </c>
      <c r="F9" s="179"/>
      <c r="G9" s="173"/>
      <c r="H9">
        <v>0.75</v>
      </c>
    </row>
    <row r="10" spans="1:14" x14ac:dyDescent="0.2">
      <c r="A10" s="174" t="s">
        <v>500</v>
      </c>
      <c r="B10" s="136">
        <f ca="1">_xll.RiskPercentile('Climate A'!I$221,H10)</f>
        <v>5.0000987472312328</v>
      </c>
      <c r="C10" s="136">
        <f ca="1">_xll.RiskPercentile('Climate B'!I$221,H10)</f>
        <v>6.1555671707112642</v>
      </c>
      <c r="D10" s="281">
        <f ca="1">_xll.RiskPercentile('Climate A-B'!I$221,H10)</f>
        <v>-0.98678452964697083</v>
      </c>
      <c r="E10" s="174" t="s">
        <v>42</v>
      </c>
      <c r="F10" s="179"/>
      <c r="G10" s="173"/>
      <c r="H10">
        <v>0.95</v>
      </c>
    </row>
    <row r="11" spans="1:14" x14ac:dyDescent="0.2">
      <c r="A11" s="172"/>
      <c r="B11" s="178"/>
      <c r="C11" s="178"/>
      <c r="D11" s="282"/>
      <c r="E11" s="179"/>
      <c r="F11" s="179"/>
      <c r="G11" s="173"/>
    </row>
    <row r="12" spans="1:14" x14ac:dyDescent="0.2">
      <c r="A12" s="174" t="s">
        <v>428</v>
      </c>
      <c r="B12" s="136">
        <f ca="1">_xll.RiskMean('Climate A'!I$221)</f>
        <v>4.6236527150133444</v>
      </c>
      <c r="C12" s="136">
        <f ca="1">_xll.RiskMean('Climate B'!I$221)</f>
        <v>5.7265333063170827</v>
      </c>
      <c r="D12" s="281">
        <f ca="1">_xll.RiskMean('Climate A-B'!I$221)</f>
        <v>-1.1028805913037505</v>
      </c>
      <c r="E12" s="174" t="s">
        <v>42</v>
      </c>
      <c r="F12" s="280">
        <f ca="1">D12/C12</f>
        <v>-0.19259131699926293</v>
      </c>
      <c r="G12" s="173"/>
    </row>
    <row r="13" spans="1:14" x14ac:dyDescent="0.2">
      <c r="A13" s="174"/>
      <c r="B13" s="176"/>
      <c r="C13" s="176"/>
      <c r="D13" s="176"/>
      <c r="E13" s="174"/>
      <c r="F13" s="175"/>
      <c r="G13" s="173"/>
    </row>
    <row r="14" spans="1:14" x14ac:dyDescent="0.2">
      <c r="A14" s="172" t="s">
        <v>494</v>
      </c>
      <c r="B14" s="178" t="s">
        <v>545</v>
      </c>
      <c r="C14" s="178" t="s">
        <v>546</v>
      </c>
      <c r="D14" s="178" t="s">
        <v>547</v>
      </c>
      <c r="E14" s="173"/>
      <c r="F14" s="175"/>
      <c r="G14" s="173"/>
    </row>
    <row r="15" spans="1:14" x14ac:dyDescent="0.2">
      <c r="A15" s="174" t="s">
        <v>499</v>
      </c>
      <c r="B15" s="136">
        <f ca="1">_xll.RiskPercentile('Climate A'!I$172,H6)</f>
        <v>1.6979997919139032</v>
      </c>
      <c r="C15" s="136">
        <f ca="1">_xll.RiskPercentile('Climate B'!I$172,H6)</f>
        <v>2.2968392261760879</v>
      </c>
      <c r="D15" s="136">
        <f ca="1">_xll.RiskPercentile('Climate A-B'!I$172,H6)</f>
        <v>-1.6384549343908306</v>
      </c>
      <c r="E15" s="173" t="s">
        <v>41</v>
      </c>
      <c r="F15" s="175"/>
      <c r="G15" s="173"/>
    </row>
    <row r="16" spans="1:14" x14ac:dyDescent="0.2">
      <c r="A16" s="174" t="s">
        <v>727</v>
      </c>
      <c r="B16" s="136">
        <f ca="1">_xll.RiskPercentile('Climate A'!I$172,H7)</f>
        <v>2.2572112978243153</v>
      </c>
      <c r="C16" s="136">
        <f ca="1">_xll.RiskPercentile('Climate B'!I$172,H7)</f>
        <v>2.7531998416724752</v>
      </c>
      <c r="D16" s="136">
        <f ca="1">_xll.RiskPercentile('Climate A-B'!I$172,H7)</f>
        <v>-0.92898000233722033</v>
      </c>
      <c r="E16" s="173" t="s">
        <v>41</v>
      </c>
      <c r="F16" s="175"/>
      <c r="G16" s="173"/>
    </row>
    <row r="17" spans="1:7" x14ac:dyDescent="0.2">
      <c r="A17" s="174" t="s">
        <v>572</v>
      </c>
      <c r="B17" s="136">
        <f ca="1">_xll.RiskPercentile('Climate A'!I$172,H8)</f>
        <v>2.645512988407777</v>
      </c>
      <c r="C17" s="136">
        <f ca="1">_xll.RiskPercentile('Climate B'!I$172,H8)</f>
        <v>3.070298868316657</v>
      </c>
      <c r="D17" s="136">
        <f ca="1">_xll.RiskPercentile('Climate A-B'!I$172,H8)</f>
        <v>-0.42428459246619044</v>
      </c>
      <c r="E17" s="173" t="s">
        <v>41</v>
      </c>
      <c r="F17" s="175"/>
      <c r="G17" s="173"/>
    </row>
    <row r="18" spans="1:7" x14ac:dyDescent="0.2">
      <c r="A18" s="174" t="s">
        <v>728</v>
      </c>
      <c r="B18" s="136">
        <f ca="1">_xll.RiskPercentile('Climate A'!I$172,H9)</f>
        <v>3.0339515703044757</v>
      </c>
      <c r="C18" s="136">
        <f ca="1">_xll.RiskPercentile('Climate B'!I$172,H9)</f>
        <v>3.3873820642187411</v>
      </c>
      <c r="D18" s="136">
        <f ca="1">_xll.RiskPercentile('Climate A-B'!I$172,H9)</f>
        <v>7.6411841314200757E-2</v>
      </c>
      <c r="E18" s="173" t="s">
        <v>41</v>
      </c>
      <c r="F18" s="175"/>
      <c r="G18" s="173"/>
    </row>
    <row r="19" spans="1:7" x14ac:dyDescent="0.2">
      <c r="A19" s="174" t="s">
        <v>500</v>
      </c>
      <c r="B19" s="136">
        <f ca="1">_xll.RiskPercentile('Climate A'!I$172,H10)</f>
        <v>3.5923893082002416</v>
      </c>
      <c r="C19" s="136">
        <f ca="1">_xll.RiskPercentile('Climate B'!I$172,H10)</f>
        <v>3.8437503803950106</v>
      </c>
      <c r="D19" s="136">
        <f ca="1">_xll.RiskPercentile('Climate A-B'!I$172,H10)</f>
        <v>0.79035909504952251</v>
      </c>
      <c r="E19" s="173" t="s">
        <v>41</v>
      </c>
      <c r="F19" s="175"/>
      <c r="G19" s="173"/>
    </row>
    <row r="20" spans="1:7" x14ac:dyDescent="0.2">
      <c r="A20" s="174"/>
      <c r="B20" s="178"/>
      <c r="C20" s="178"/>
      <c r="D20" s="178"/>
      <c r="E20" s="173"/>
      <c r="F20" s="175"/>
      <c r="G20" s="173"/>
    </row>
    <row r="21" spans="1:7" x14ac:dyDescent="0.2">
      <c r="A21" s="174" t="s">
        <v>428</v>
      </c>
      <c r="B21" s="136">
        <f ca="1">_xll.RiskMean('Climate A'!I$172)</f>
        <v>2.6456522643081657</v>
      </c>
      <c r="C21" s="136">
        <f ca="1">_xll.RiskMean('Climate B'!I$172)</f>
        <v>3.0703166059313212</v>
      </c>
      <c r="D21" s="136">
        <f ca="1">_xll.RiskMean('Climate A-B'!I$172)</f>
        <v>-0.42466434162315525</v>
      </c>
      <c r="E21" s="173" t="s">
        <v>41</v>
      </c>
      <c r="F21" s="175">
        <f ca="1">D21/C21</f>
        <v>-0.13831288304365</v>
      </c>
      <c r="G21" s="173"/>
    </row>
    <row r="22" spans="1:7" x14ac:dyDescent="0.2">
      <c r="A22" s="174"/>
      <c r="B22" s="176"/>
      <c r="C22" s="176"/>
      <c r="D22" s="176"/>
      <c r="E22" s="174"/>
      <c r="F22" s="175"/>
      <c r="G22" s="173"/>
    </row>
    <row r="23" spans="1:7" x14ac:dyDescent="0.2">
      <c r="A23" s="172" t="s">
        <v>522</v>
      </c>
      <c r="B23" s="180" t="s">
        <v>523</v>
      </c>
      <c r="C23" s="180" t="s">
        <v>524</v>
      </c>
      <c r="D23" s="180" t="s">
        <v>525</v>
      </c>
      <c r="E23" s="174"/>
      <c r="F23" s="175"/>
      <c r="G23" s="173"/>
    </row>
    <row r="24" spans="1:7" x14ac:dyDescent="0.2">
      <c r="A24" s="174" t="s">
        <v>499</v>
      </c>
      <c r="B24" s="181">
        <f ca="1">_xll.RiskPercentile('Climate A'!I$191,H6)</f>
        <v>0.46767548846066426</v>
      </c>
      <c r="C24" s="181">
        <f ca="1">_xll.RiskPercentile('Climate B'!I$191,H6)</f>
        <v>0.48104561650684874</v>
      </c>
      <c r="D24" s="181">
        <f ca="1">_xll.RiskPercentile('Climate A-B'!I$191,H6)</f>
        <v>-0.11856560109351155</v>
      </c>
      <c r="E24" s="174" t="s">
        <v>180</v>
      </c>
      <c r="F24" s="175"/>
      <c r="G24" s="173"/>
    </row>
    <row r="25" spans="1:7" x14ac:dyDescent="0.2">
      <c r="A25" s="174" t="s">
        <v>727</v>
      </c>
      <c r="B25" s="181">
        <f ca="1">_xll.RiskPercentile('Climate A'!I$191,H7)</f>
        <v>0.57517141421112317</v>
      </c>
      <c r="C25" s="181">
        <f ca="1">_xll.RiskPercentile('Climate B'!I$191,H7)</f>
        <v>0.59264489433927348</v>
      </c>
      <c r="D25" s="181">
        <f ca="1">_xll.RiskPercentile('Climate A-B'!I$191,H7)</f>
        <v>-5.4274293811838847E-2</v>
      </c>
      <c r="E25" s="174" t="s">
        <v>180</v>
      </c>
      <c r="F25" s="175"/>
      <c r="G25" s="173"/>
    </row>
    <row r="26" spans="1:7" x14ac:dyDescent="0.2">
      <c r="A26" s="174" t="s">
        <v>572</v>
      </c>
      <c r="B26" s="181">
        <f ca="1">_xll.RiskPercentile('Climate A'!I$191,H8)</f>
        <v>0.6755060658149179</v>
      </c>
      <c r="C26" s="181">
        <f ca="1">_xll.RiskPercentile('Climate B'!I$191,H8)</f>
        <v>0.69905488124807957</v>
      </c>
      <c r="D26" s="181">
        <f ca="1">_xll.RiskPercentile('Climate A-B'!I$191,H8)</f>
        <v>-2.1238064321549288E-2</v>
      </c>
      <c r="E26" s="174" t="s">
        <v>180</v>
      </c>
      <c r="F26" s="175"/>
      <c r="G26" s="173"/>
    </row>
    <row r="27" spans="1:7" x14ac:dyDescent="0.2">
      <c r="A27" s="174" t="s">
        <v>728</v>
      </c>
      <c r="B27" s="181">
        <f ca="1">_xll.RiskPercentile('Climate A'!I$191,H9)</f>
        <v>0.80613294927523449</v>
      </c>
      <c r="C27" s="181">
        <f ca="1">_xll.RiskPercentile('Climate B'!I$191,H9)</f>
        <v>0.83474244031853972</v>
      </c>
      <c r="D27" s="181">
        <f ca="1">_xll.RiskPercentile('Climate A-B'!I$191,H9)</f>
        <v>8.3782623353702013E-3</v>
      </c>
      <c r="E27" s="174" t="s">
        <v>180</v>
      </c>
      <c r="F27" s="175"/>
      <c r="G27" s="173"/>
    </row>
    <row r="28" spans="1:7" x14ac:dyDescent="0.2">
      <c r="A28" s="174" t="s">
        <v>500</v>
      </c>
      <c r="B28" s="181">
        <f ca="1">_xll.RiskPercentile('Climate A'!I$191,H10)</f>
        <v>1.0457232518523687</v>
      </c>
      <c r="C28" s="181">
        <f ca="1">_xll.RiskPercentile('Climate B'!I$191,H10)</f>
        <v>1.082687344074218</v>
      </c>
      <c r="D28" s="181">
        <f ca="1">_xll.RiskPercentile('Climate A-B'!I$191,H10)</f>
        <v>5.7839244787341038E-2</v>
      </c>
      <c r="E28" s="174" t="s">
        <v>180</v>
      </c>
      <c r="F28" s="175"/>
      <c r="G28" s="173"/>
    </row>
    <row r="29" spans="1:7" x14ac:dyDescent="0.2">
      <c r="A29" s="172"/>
      <c r="B29" s="181"/>
      <c r="C29" s="181"/>
      <c r="D29" s="181"/>
      <c r="E29" s="174"/>
      <c r="F29" s="175"/>
      <c r="G29" s="173"/>
    </row>
    <row r="30" spans="1:7" x14ac:dyDescent="0.2">
      <c r="A30" s="174" t="s">
        <v>428</v>
      </c>
      <c r="B30" s="181">
        <f ca="1">_xll.RiskMean('Climate A'!I$191)</f>
        <v>0.70658713200760626</v>
      </c>
      <c r="C30" s="181">
        <f ca="1">_xll.RiskMean('Climate B'!I$191)</f>
        <v>0.73096115477716217</v>
      </c>
      <c r="D30" s="181">
        <f ca="1">_xll.RiskMean('Climate A-B'!I$191)</f>
        <v>-2.4374022769556417E-2</v>
      </c>
      <c r="E30" s="174" t="s">
        <v>180</v>
      </c>
      <c r="F30" s="175">
        <f ca="1">D30/C30</f>
        <v>-3.3345168358484084E-2</v>
      </c>
      <c r="G30" s="173"/>
    </row>
    <row r="31" spans="1:7" x14ac:dyDescent="0.2">
      <c r="A31" s="304" t="str">
        <f xml:space="preserve"> IF(WORLDB_GDPPOP_SWITCH = 1, IF(EQUITY_SWITCH = 1, "WARNING: Worlds A and B use separate GDP and POP scenarios. The equity-weighted results require further interpretation.", "WARNING: Worlds A and B use separate GDP and POP scenarios."), "NOTE: Worlds A and B use the same GDP and POP scenarios")</f>
        <v>WARNING: Worlds A and B use separate GDP and POP scenarios. The equity-weighted results require further interpretation.</v>
      </c>
      <c r="B31" s="173"/>
      <c r="C31" s="173"/>
      <c r="D31" s="173"/>
      <c r="E31" s="173"/>
      <c r="F31" s="175"/>
      <c r="G31" s="173"/>
    </row>
    <row r="32" spans="1:7" x14ac:dyDescent="0.2">
      <c r="A32" s="172" t="s">
        <v>495</v>
      </c>
      <c r="B32" s="178" t="s">
        <v>782</v>
      </c>
      <c r="C32" s="178" t="s">
        <v>783</v>
      </c>
      <c r="D32" s="178" t="s">
        <v>784</v>
      </c>
      <c r="E32" s="173"/>
      <c r="F32" s="175"/>
      <c r="G32" s="173"/>
    </row>
    <row r="33" spans="1:7" x14ac:dyDescent="0.2">
      <c r="A33" s="174" t="s">
        <v>499</v>
      </c>
      <c r="B33" s="182">
        <f ca="1" xml:space="preserve"> _xll.RiskPercentile(te_a,H6) / 10^6</f>
        <v>410.06162855685722</v>
      </c>
      <c r="C33" s="182">
        <f ca="1" xml:space="preserve"> _xll.RiskPercentile(te_b,H6) / 10^6</f>
        <v>564.7147162352835</v>
      </c>
      <c r="D33" s="183">
        <f ca="1" xml:space="preserve"> _xll.RiskPercentile(te_ab,H6) / 10^6</f>
        <v>-636.59780730857642</v>
      </c>
      <c r="E33" s="174" t="s">
        <v>493</v>
      </c>
      <c r="F33" s="175"/>
      <c r="G33" s="173"/>
    </row>
    <row r="34" spans="1:7" x14ac:dyDescent="0.2">
      <c r="A34" s="174" t="s">
        <v>727</v>
      </c>
      <c r="B34" s="182">
        <f ca="1" xml:space="preserve"> _xll.RiskPercentile(te_a,H7) / 10^6</f>
        <v>550.09641375580225</v>
      </c>
      <c r="C34" s="182">
        <f ca="1" xml:space="preserve"> _xll.RiskPercentile(te_b,H7) / 10^6</f>
        <v>772.95313420405353</v>
      </c>
      <c r="D34" s="183">
        <f ca="1" xml:space="preserve"> _xll.RiskPercentile(te_ab,H7) / 10^6</f>
        <v>-400.28052548665619</v>
      </c>
      <c r="E34" s="174" t="s">
        <v>493</v>
      </c>
      <c r="F34" s="175"/>
      <c r="G34" s="173"/>
    </row>
    <row r="35" spans="1:7" x14ac:dyDescent="0.2">
      <c r="A35" s="174" t="s">
        <v>572</v>
      </c>
      <c r="B35" s="182">
        <f ca="1" xml:space="preserve"> _xll.RiskPercentile(te_a,H8) / 10^6</f>
        <v>669.58994051544266</v>
      </c>
      <c r="C35" s="182">
        <f ca="1" xml:space="preserve"> _xll.RiskPercentile(te_b,H8) / 10^6</f>
        <v>954.83722987069916</v>
      </c>
      <c r="D35" s="183">
        <f ca="1" xml:space="preserve"> _xll.RiskPercentile(te_ab,H8) / 10^6</f>
        <v>-282.67737894796051</v>
      </c>
      <c r="E35" s="174" t="s">
        <v>493</v>
      </c>
      <c r="F35" s="175"/>
      <c r="G35" s="173"/>
    </row>
    <row r="36" spans="1:7" x14ac:dyDescent="0.2">
      <c r="A36" s="174" t="s">
        <v>728</v>
      </c>
      <c r="B36" s="182">
        <f ca="1" xml:space="preserve"> _xll.RiskPercentile(te_a,H9) / 10^6</f>
        <v>816.88998275299139</v>
      </c>
      <c r="C36" s="182">
        <f ca="1" xml:space="preserve"> _xll.RiskPercentile(te_b,H9) / 10^6</f>
        <v>1187.5702004605926</v>
      </c>
      <c r="D36" s="183">
        <f ca="1" xml:space="preserve"> _xll.RiskPercentile(te_ab,H9) / 10^6</f>
        <v>-189.10924791810334</v>
      </c>
      <c r="E36" s="174" t="s">
        <v>493</v>
      </c>
      <c r="F36" s="175"/>
      <c r="G36" s="173"/>
    </row>
    <row r="37" spans="1:7" x14ac:dyDescent="0.2">
      <c r="A37" s="174" t="s">
        <v>500</v>
      </c>
      <c r="B37" s="182">
        <f ca="1" xml:space="preserve"> _xll.RiskPercentile(te_a,H10) / 10^6</f>
        <v>1073.7774628821485</v>
      </c>
      <c r="C37" s="182">
        <f ca="1" xml:space="preserve"> _xll.RiskPercentile(te_b,H10) / 10^6</f>
        <v>1623.6637294766838</v>
      </c>
      <c r="D37" s="183">
        <f ca="1" xml:space="preserve"> _xll.RiskPercentile(te_ab,H10) / 10^6</f>
        <v>-79.916971430240508</v>
      </c>
      <c r="E37" s="174" t="s">
        <v>493</v>
      </c>
      <c r="F37" s="175"/>
      <c r="G37" s="173"/>
    </row>
    <row r="38" spans="1:7" x14ac:dyDescent="0.2">
      <c r="A38" s="304" t="str">
        <f xml:space="preserve"> IF(WORLDB_GDPPOP_SWITCH = 1, IF(EQUITY_SWITCH = 1, "WARNING: Worlds A and B use separate GDP and POP scenarios. The equity-weighted results require further interpretation.", "WARNING: Worlds A and B use separate GDP and POP scenarios."), "NOTE: Worlds A and B use the same GDP and POP scenarios")</f>
        <v>WARNING: Worlds A and B use separate GDP and POP scenarios. The equity-weighted results require further interpretation.</v>
      </c>
      <c r="B38" s="184"/>
      <c r="C38" s="184"/>
      <c r="D38" s="185"/>
      <c r="E38" s="173"/>
      <c r="F38" s="175"/>
      <c r="G38" s="173"/>
    </row>
    <row r="39" spans="1:7" x14ac:dyDescent="0.2">
      <c r="A39" s="174" t="s">
        <v>428</v>
      </c>
      <c r="B39" s="182">
        <f ca="1">_xll.RiskMean(te_a)/10^6</f>
        <v>697.17295360076128</v>
      </c>
      <c r="C39" s="182">
        <f ca="1">_xll.RiskMean(te_b)/10^6</f>
        <v>1008.2413537113595</v>
      </c>
      <c r="D39" s="183">
        <f ca="1">_xll.RiskMean(te_ab)/10^6</f>
        <v>-311.25318752320459</v>
      </c>
      <c r="E39" s="174" t="s">
        <v>493</v>
      </c>
      <c r="F39" s="175">
        <f ca="1">D39/C39</f>
        <v>-0.30870900739934393</v>
      </c>
      <c r="G39" s="173"/>
    </row>
    <row r="40" spans="1:7" x14ac:dyDescent="0.2">
      <c r="A40" s="174" t="s">
        <v>578</v>
      </c>
      <c r="B40" s="176"/>
      <c r="C40" s="176"/>
      <c r="D40" s="136">
        <f ca="1">_xll.RiskCIMean(te_ab,0.9,TRUE)/10^6</f>
        <v>-314.22579411583337</v>
      </c>
      <c r="E40" s="174" t="s">
        <v>493</v>
      </c>
      <c r="F40" s="173"/>
      <c r="G40" s="173"/>
    </row>
    <row r="41" spans="1:7" x14ac:dyDescent="0.2">
      <c r="A41" s="174" t="s">
        <v>579</v>
      </c>
      <c r="B41" s="174"/>
      <c r="C41" s="174"/>
      <c r="D41" s="193">
        <f ca="1">_xll.RiskCIMean(te_ab,0.9,FALSE)/10^6</f>
        <v>-308.28058093057581</v>
      </c>
      <c r="E41" s="174" t="s">
        <v>493</v>
      </c>
      <c r="F41" s="174"/>
      <c r="G41" s="173"/>
    </row>
    <row r="42" spans="1:7" x14ac:dyDescent="0.2">
      <c r="A42" s="174" t="s">
        <v>580</v>
      </c>
      <c r="B42" s="174"/>
      <c r="C42" s="174"/>
      <c r="D42" s="194">
        <f ca="1" xml:space="preserve"> IF(D39=0, 0, ABS((D41-D40)/D39))</f>
        <v>1.9100890926022497E-2</v>
      </c>
      <c r="E42" s="174"/>
      <c r="F42" s="174"/>
      <c r="G42" s="173"/>
    </row>
    <row r="43" spans="1:7" x14ac:dyDescent="0.2">
      <c r="A43" s="174"/>
      <c r="B43" s="174"/>
      <c r="C43" s="174"/>
      <c r="D43" s="174"/>
      <c r="E43" s="174"/>
      <c r="F43" s="174"/>
      <c r="G43" s="173"/>
    </row>
    <row r="44" spans="1:7" x14ac:dyDescent="0.2">
      <c r="A44" s="172" t="str">
        <f>"SCCO2 in "&amp;Y_SCC</f>
        <v>SCCO2 in 2020</v>
      </c>
      <c r="B44" s="176"/>
      <c r="C44" s="176"/>
      <c r="D44" s="176"/>
      <c r="E44" s="176"/>
      <c r="F44" s="173"/>
      <c r="G44" s="173"/>
    </row>
    <row r="45" spans="1:7" x14ac:dyDescent="0.2">
      <c r="A45" s="174" t="s">
        <v>499</v>
      </c>
      <c r="B45" s="176"/>
      <c r="C45" s="176"/>
      <c r="D45" s="176">
        <f ca="1">_xll.RiskPercentile(SCCO2,H6)</f>
        <v>0</v>
      </c>
      <c r="E45" s="177" t="str">
        <f>'Impacts A-B'!N$443</f>
        <v>$(2015) per tonCO2</v>
      </c>
      <c r="F45" s="173"/>
      <c r="G45" s="173"/>
    </row>
    <row r="46" spans="1:7" x14ac:dyDescent="0.2">
      <c r="A46" s="174" t="s">
        <v>727</v>
      </c>
      <c r="B46" s="176"/>
      <c r="C46" s="176"/>
      <c r="D46" s="176">
        <f ca="1">_xll.RiskPercentile(SCCO2,H7)</f>
        <v>0</v>
      </c>
      <c r="E46" s="177" t="str">
        <f>'Impacts A-B'!N$443</f>
        <v>$(2015) per tonCO2</v>
      </c>
      <c r="F46" s="173"/>
      <c r="G46" s="173"/>
    </row>
    <row r="47" spans="1:7" x14ac:dyDescent="0.2">
      <c r="A47" s="174" t="s">
        <v>572</v>
      </c>
      <c r="B47" s="176"/>
      <c r="C47" s="176"/>
      <c r="D47" s="176">
        <f ca="1">_xll.RiskPercentile(SCCO2,H8)</f>
        <v>0</v>
      </c>
      <c r="E47" s="177" t="str">
        <f>'Impacts A-B'!N$443</f>
        <v>$(2015) per tonCO2</v>
      </c>
      <c r="F47" s="173"/>
      <c r="G47" s="173"/>
    </row>
    <row r="48" spans="1:7" x14ac:dyDescent="0.2">
      <c r="A48" s="174" t="s">
        <v>728</v>
      </c>
      <c r="B48" s="176"/>
      <c r="C48" s="176"/>
      <c r="D48" s="176">
        <f ca="1">_xll.RiskPercentile(SCCO2,H9)</f>
        <v>0</v>
      </c>
      <c r="E48" s="177" t="str">
        <f>'Impacts A-B'!N$443</f>
        <v>$(2015) per tonCO2</v>
      </c>
      <c r="F48" s="173"/>
      <c r="G48" s="173"/>
    </row>
    <row r="49" spans="1:13" x14ac:dyDescent="0.2">
      <c r="A49" s="174" t="s">
        <v>500</v>
      </c>
      <c r="B49" s="176"/>
      <c r="C49" s="176"/>
      <c r="D49" s="176">
        <f ca="1">_xll.RiskPercentile(SCCO2,H10)</f>
        <v>0</v>
      </c>
      <c r="E49" s="177" t="str">
        <f>'Impacts A-B'!N$443</f>
        <v>$(2015) per tonCO2</v>
      </c>
      <c r="F49" s="173"/>
      <c r="G49" s="173"/>
    </row>
    <row r="50" spans="1:13" x14ac:dyDescent="0.2">
      <c r="A50" s="172"/>
      <c r="B50" s="176"/>
      <c r="C50" s="176"/>
      <c r="D50" s="176"/>
      <c r="E50" s="177"/>
      <c r="F50" s="173"/>
      <c r="G50" s="173"/>
    </row>
    <row r="51" spans="1:13" x14ac:dyDescent="0.2">
      <c r="A51" s="174" t="s">
        <v>428</v>
      </c>
      <c r="B51" s="173"/>
      <c r="C51" s="173"/>
      <c r="D51" s="177">
        <f ca="1">_xll.RiskMean(SCCO2)</f>
        <v>0</v>
      </c>
      <c r="E51" s="177" t="str">
        <f>'Impacts A-B'!N$443</f>
        <v>$(2015) per tonCO2</v>
      </c>
      <c r="F51" s="173"/>
      <c r="G51" s="173"/>
    </row>
    <row r="52" spans="1:13" x14ac:dyDescent="0.2">
      <c r="A52" s="174" t="s">
        <v>578</v>
      </c>
      <c r="B52" s="173"/>
      <c r="C52" s="173"/>
      <c r="D52" s="177">
        <f ca="1">_xll.RiskCIMean(SCCO2,0.9,TRUE)</f>
        <v>0</v>
      </c>
      <c r="E52" s="177" t="str">
        <f>'Impacts A-B'!N$443</f>
        <v>$(2015) per tonCO2</v>
      </c>
      <c r="F52" s="173"/>
      <c r="G52" s="173"/>
    </row>
    <row r="53" spans="1:13" x14ac:dyDescent="0.2">
      <c r="A53" s="174" t="s">
        <v>579</v>
      </c>
      <c r="B53" s="173"/>
      <c r="C53" s="173"/>
      <c r="D53" s="177">
        <f ca="1">_xll.RiskCIMean(SCCO2,0.9,FALSE)</f>
        <v>0</v>
      </c>
      <c r="E53" s="177" t="str">
        <f>'Impacts A-B'!N$443</f>
        <v>$(2015) per tonCO2</v>
      </c>
      <c r="F53" s="173"/>
      <c r="G53" s="173"/>
    </row>
    <row r="54" spans="1:13" x14ac:dyDescent="0.2">
      <c r="A54" s="174" t="s">
        <v>580</v>
      </c>
      <c r="B54" s="173"/>
      <c r="C54" s="173"/>
      <c r="D54" s="194">
        <f ca="1" xml:space="preserve"> IF(D51=0, 0, ABS((D53-D52)/D51))</f>
        <v>0</v>
      </c>
      <c r="E54" s="177"/>
      <c r="F54" s="173"/>
      <c r="G54" s="173"/>
    </row>
    <row r="55" spans="1:13" x14ac:dyDescent="0.2">
      <c r="A55" s="3"/>
      <c r="B55" s="3"/>
      <c r="C55" s="3"/>
    </row>
    <row r="56" spans="1:13" x14ac:dyDescent="0.2">
      <c r="B56" s="3"/>
      <c r="C56" s="3"/>
    </row>
    <row r="57" spans="1:13" x14ac:dyDescent="0.2">
      <c r="A57" s="172" t="str">
        <f xml:space="preserve"> "Scenario = {"&amp;SCENARIO_PAIR&amp;"}, Experiment = {"&amp;EXPERIMENT&amp;"}, Economic Impacts = {"&amp;ECON_IMPF&amp;"}"</f>
        <v>Scenario = {SSP5-34-OS}, Experiment = {Two Scenarios, Nonlinear PCF &amp; SAF}, Economic Impacts = {Burke, Pulled, Lag=2, Consum-Only}</v>
      </c>
      <c r="B57" s="172"/>
      <c r="C57" s="172"/>
      <c r="D57" s="172"/>
      <c r="E57" s="172"/>
      <c r="F57" s="172"/>
      <c r="G57" s="172"/>
    </row>
    <row r="58" spans="1:13" x14ac:dyDescent="0.2">
      <c r="A58" s="2" t="s">
        <v>570</v>
      </c>
    </row>
    <row r="59" spans="1:13" x14ac:dyDescent="0.2">
      <c r="B59">
        <f>Y_0</f>
        <v>2015</v>
      </c>
      <c r="C59">
        <f t="array" ref="C59:L59">Y</f>
        <v>2020</v>
      </c>
      <c r="D59">
        <v>2025</v>
      </c>
      <c r="E59">
        <v>2030</v>
      </c>
      <c r="F59">
        <v>2040</v>
      </c>
      <c r="G59">
        <v>2050</v>
      </c>
      <c r="H59">
        <v>2060</v>
      </c>
      <c r="I59">
        <v>2070</v>
      </c>
      <c r="J59">
        <v>2080</v>
      </c>
      <c r="K59">
        <v>2090</v>
      </c>
      <c r="L59">
        <v>2100</v>
      </c>
    </row>
    <row r="60" spans="1:13" x14ac:dyDescent="0.2">
      <c r="A60" s="3" t="s">
        <v>597</v>
      </c>
      <c r="B60" s="1">
        <f ca="1">_xll.RiskMean('Climate A'!C73)</f>
        <v>2035000.1970732345</v>
      </c>
      <c r="C60" s="1">
        <f ca="1">_xll.RiskMean('Climate A'!D73)</f>
        <v>2258283.6907845796</v>
      </c>
      <c r="D60" s="1">
        <f ca="1">_xll.RiskMean('Climate A'!E73)</f>
        <v>2493551.3552728891</v>
      </c>
      <c r="E60" s="1">
        <f ca="1">_xll.RiskMean('Climate A'!F73)</f>
        <v>2759890.4056299566</v>
      </c>
      <c r="F60" s="1">
        <f ca="1">_xll.RiskMean('Climate A'!G73)</f>
        <v>3408362.0438079364</v>
      </c>
      <c r="G60" s="1">
        <f ca="1">_xll.RiskMean('Climate A'!H73)</f>
        <v>4040078.6690230547</v>
      </c>
      <c r="H60" s="1">
        <f ca="1">_xll.RiskMean('Climate A'!I73)</f>
        <v>4358209.4498816784</v>
      </c>
      <c r="I60" s="1">
        <f ca="1">_xll.RiskMean('Climate A'!J73)</f>
        <v>4349041.5786536783</v>
      </c>
      <c r="J60" s="1">
        <f ca="1">_xll.RiskMean('Climate A'!K73)</f>
        <v>4183302.793773382</v>
      </c>
      <c r="K60" s="1">
        <f ca="1">_xll.RiskMean('Climate A'!L73)</f>
        <v>3959726.127618135</v>
      </c>
      <c r="L60" s="1">
        <f ca="1">_xll.RiskMean('Climate A'!M73)</f>
        <v>3712993.5696873078</v>
      </c>
      <c r="M60" s="3" t="s">
        <v>496</v>
      </c>
    </row>
    <row r="61" spans="1:13" x14ac:dyDescent="0.2">
      <c r="A61" s="3"/>
      <c r="C61" s="1"/>
      <c r="D61" s="1"/>
      <c r="E61" s="1"/>
      <c r="F61" s="1"/>
      <c r="G61" s="1"/>
      <c r="H61" s="1"/>
      <c r="I61" s="1"/>
      <c r="J61" s="1"/>
      <c r="K61" s="1"/>
      <c r="L61" s="1"/>
      <c r="M61" s="3"/>
    </row>
    <row r="62" spans="1:13" x14ac:dyDescent="0.2">
      <c r="A62" s="3" t="s">
        <v>634</v>
      </c>
      <c r="B62" s="58">
        <f ca="1">_xll.RiskMean('Climate A'!C91)</f>
        <v>400859.58333339007</v>
      </c>
      <c r="C62" s="58">
        <f ca="1">_xll.RiskMean('Climate A'!D91)</f>
        <v>417411.18334534421</v>
      </c>
      <c r="D62" s="58">
        <f ca="1">_xll.RiskMean('Climate A'!E91)</f>
        <v>435787.58372782613</v>
      </c>
      <c r="E62" s="58">
        <f ca="1">_xll.RiskMean('Climate A'!F91)</f>
        <v>456453.01660418388</v>
      </c>
      <c r="F62" s="58">
        <f ca="1">_xll.RiskMean('Climate A'!G91)</f>
        <v>506346.5225346153</v>
      </c>
      <c r="G62" s="58">
        <f ca="1">_xll.RiskMean('Climate A'!H91)</f>
        <v>550005.3123434115</v>
      </c>
      <c r="H62" s="58">
        <f ca="1">_xll.RiskMean('Climate A'!I91)</f>
        <v>559505.96457989595</v>
      </c>
      <c r="I62" s="58">
        <f ca="1">_xll.RiskMean('Climate A'!J91)</f>
        <v>539968.35504414397</v>
      </c>
      <c r="J62" s="58">
        <f ca="1">_xll.RiskMean('Climate A'!K91)</f>
        <v>511687.18748257274</v>
      </c>
      <c r="K62" s="58">
        <f ca="1">_xll.RiskMean('Climate A'!L91)</f>
        <v>483236.35434544081</v>
      </c>
      <c r="L62" s="58">
        <f ca="1">_xll.RiskMean('Climate A'!M91)</f>
        <v>456475.66158034635</v>
      </c>
      <c r="M62" s="58" t="str">
        <f>'Base data'!$F$13</f>
        <v>ppb</v>
      </c>
    </row>
    <row r="63" spans="1:13" x14ac:dyDescent="0.2">
      <c r="A63" s="210" t="s">
        <v>636</v>
      </c>
      <c r="B63" s="4"/>
      <c r="C63" s="4"/>
      <c r="D63" s="4"/>
      <c r="E63" s="4"/>
      <c r="F63" s="4"/>
      <c r="G63" s="4"/>
      <c r="H63" s="4"/>
      <c r="I63" s="4"/>
      <c r="J63" s="4"/>
      <c r="K63" s="4"/>
      <c r="L63" s="4"/>
      <c r="M63" s="4"/>
    </row>
    <row r="64" spans="1:13" x14ac:dyDescent="0.2">
      <c r="A64" s="171" t="s">
        <v>631</v>
      </c>
      <c r="B64" s="4"/>
      <c r="C64" s="171">
        <v>412067.83</v>
      </c>
      <c r="D64" s="171">
        <v>430783.14999999997</v>
      </c>
      <c r="E64" s="171">
        <v>440222.39999999997</v>
      </c>
      <c r="F64" s="171">
        <v>442700.46</v>
      </c>
      <c r="G64" s="171">
        <v>434595</v>
      </c>
      <c r="H64" s="171">
        <v>420895.46</v>
      </c>
      <c r="I64" s="171">
        <v>399141.31</v>
      </c>
      <c r="J64" s="171">
        <v>383717.78</v>
      </c>
      <c r="K64" s="171">
        <v>371442.54000000004</v>
      </c>
      <c r="L64" s="171">
        <v>360665.57999999996</v>
      </c>
      <c r="M64" s="171" t="str">
        <f>'Base data'!$F$13</f>
        <v>ppb</v>
      </c>
    </row>
    <row r="65" spans="1:16" x14ac:dyDescent="0.2">
      <c r="A65" s="171" t="s">
        <v>632</v>
      </c>
      <c r="B65" s="4"/>
      <c r="C65" s="171">
        <v>411128.68</v>
      </c>
      <c r="D65" s="171">
        <v>435045.93999999994</v>
      </c>
      <c r="E65" s="171">
        <v>460844.99</v>
      </c>
      <c r="F65" s="171">
        <v>486535.32</v>
      </c>
      <c r="G65" s="171">
        <v>529027.18000000005</v>
      </c>
      <c r="H65" s="171">
        <v>538358.29999999993</v>
      </c>
      <c r="I65" s="171">
        <v>542955.32000000007</v>
      </c>
      <c r="J65" s="171">
        <v>542955.32000000007</v>
      </c>
      <c r="K65" s="171">
        <v>542955.32000000007</v>
      </c>
      <c r="L65" s="171">
        <v>542955.32000000007</v>
      </c>
      <c r="M65" s="171" t="str">
        <f>'Base data'!$F$13</f>
        <v>ppb</v>
      </c>
    </row>
    <row r="66" spans="1:16" x14ac:dyDescent="0.2">
      <c r="A66" s="171" t="s">
        <v>633</v>
      </c>
      <c r="B66" s="4"/>
      <c r="C66" s="171">
        <v>415780.22</v>
      </c>
      <c r="D66" s="171">
        <v>448834.85000000003</v>
      </c>
      <c r="E66" s="171">
        <v>489435.45</v>
      </c>
      <c r="F66" s="171">
        <v>540542.78999999992</v>
      </c>
      <c r="G66" s="171">
        <v>717015.48</v>
      </c>
      <c r="H66" s="171">
        <v>935874.37</v>
      </c>
      <c r="I66" s="171">
        <v>1429396.9</v>
      </c>
      <c r="J66" s="171">
        <v>1829055.5999999999</v>
      </c>
      <c r="K66" s="171">
        <v>1961577.4</v>
      </c>
      <c r="L66" s="171">
        <v>1961577.4</v>
      </c>
      <c r="M66" s="171" t="str">
        <f>'Base data'!$F$13</f>
        <v>ppb</v>
      </c>
      <c r="P66" s="6"/>
    </row>
    <row r="67" spans="1:16" x14ac:dyDescent="0.2">
      <c r="A67" s="3"/>
      <c r="C67" s="1"/>
      <c r="D67" s="1"/>
      <c r="E67" s="1"/>
      <c r="F67" s="1"/>
      <c r="G67" s="1"/>
      <c r="H67" s="1"/>
      <c r="I67" s="1"/>
      <c r="J67" s="1"/>
      <c r="K67" s="1"/>
      <c r="L67" s="1"/>
      <c r="M67" s="3"/>
      <c r="P67" s="57"/>
    </row>
    <row r="68" spans="1:16" x14ac:dyDescent="0.2">
      <c r="A68" s="3" t="s">
        <v>635</v>
      </c>
      <c r="B68" s="6"/>
      <c r="C68" s="6">
        <f ca="1">_xll.RiskMean('Climate A'!D$161)</f>
        <v>3.0087665131748222</v>
      </c>
      <c r="D68" s="6">
        <f ca="1">_xll.RiskMean('Climate A'!E$161)</f>
        <v>3.2891745815008608</v>
      </c>
      <c r="E68" s="6">
        <f ca="1">_xll.RiskMean('Climate A'!F$161)</f>
        <v>3.5860669306787432</v>
      </c>
      <c r="F68" s="6">
        <f ca="1">_xll.RiskMean('Climate A'!G$161)</f>
        <v>4.2485875391988426</v>
      </c>
      <c r="G68" s="6">
        <f ca="1">_xll.RiskMean('Climate A'!H$161)</f>
        <v>4.6687978009007773</v>
      </c>
      <c r="H68" s="158">
        <f ca="1">_xll.RiskMean('Climate A'!I$161)</f>
        <v>4.6222838314547996</v>
      </c>
      <c r="I68" s="6">
        <f ca="1">_xll.RiskMean('Climate A'!J$161)</f>
        <v>4.2888711394326471</v>
      </c>
      <c r="J68" s="6">
        <f ca="1">_xll.RiskMean('Climate A'!K$161)</f>
        <v>3.8962545957597445</v>
      </c>
      <c r="K68" s="6">
        <f ca="1">_xll.RiskMean('Climate A'!L$161)</f>
        <v>3.5270142036366243</v>
      </c>
      <c r="L68" s="6">
        <f ca="1">_xll.RiskMean('Climate A'!M$161)</f>
        <v>3.1834623513242035</v>
      </c>
      <c r="M68" s="3" t="s">
        <v>42</v>
      </c>
      <c r="P68" s="6"/>
    </row>
    <row r="69" spans="1:16" x14ac:dyDescent="0.2">
      <c r="A69" s="3"/>
      <c r="B69" s="6"/>
      <c r="C69" s="6"/>
      <c r="D69" s="6"/>
      <c r="E69" s="6"/>
      <c r="F69" s="6"/>
      <c r="G69" s="6"/>
      <c r="H69" s="6"/>
      <c r="I69" s="6"/>
      <c r="J69" s="6"/>
      <c r="K69" s="6"/>
      <c r="L69" s="6"/>
      <c r="M69" s="3"/>
    </row>
    <row r="70" spans="1:16" x14ac:dyDescent="0.2">
      <c r="A70" s="3" t="s">
        <v>526</v>
      </c>
      <c r="B70" s="6">
        <f>RT_G_0</f>
        <v>1.0967800000000001</v>
      </c>
      <c r="C70" s="6">
        <f ca="1">_xll.RiskMean('Climate A'!D$172)</f>
        <v>1.2538910767667113</v>
      </c>
      <c r="D70" s="6">
        <f ca="1">_xll.RiskMean('Climate A'!E$172)</f>
        <v>1.4337087165495594</v>
      </c>
      <c r="E70" s="6">
        <f ca="1">_xll.RiskMean('Climate A'!F$172)</f>
        <v>1.6160710916037229</v>
      </c>
      <c r="F70" s="6">
        <f ca="1">_xll.RiskMean('Climate A'!G$172)</f>
        <v>2.0287838915838345</v>
      </c>
      <c r="G70" s="6">
        <f ca="1">_xll.RiskMean('Climate A'!H$172)</f>
        <v>2.5040193517743532</v>
      </c>
      <c r="H70" s="158">
        <f ca="1">_xll.RiskMean('Climate A'!I$172)</f>
        <v>2.6456522643081657</v>
      </c>
      <c r="I70" s="6">
        <f ca="1">_xll.RiskMean('Climate A'!J$172)</f>
        <v>2.7167244086378974</v>
      </c>
      <c r="J70" s="6">
        <f ca="1">_xll.RiskMean('Climate A'!K$172)</f>
        <v>2.5867213894378334</v>
      </c>
      <c r="K70" s="6">
        <f ca="1">_xll.RiskMean('Climate A'!L$172)</f>
        <v>2.4974160572797461</v>
      </c>
      <c r="L70" s="6">
        <f ca="1">_xll.RiskMean('Climate A'!M$172)</f>
        <v>2.3828417407573874</v>
      </c>
      <c r="M70" s="3" t="s">
        <v>41</v>
      </c>
      <c r="N70" s="3" t="s">
        <v>534</v>
      </c>
      <c r="O70" s="158">
        <f ca="1">MAX(B70:L70)</f>
        <v>2.7167244086378974</v>
      </c>
      <c r="P70" s="3" t="s">
        <v>41</v>
      </c>
    </row>
    <row r="71" spans="1:16" x14ac:dyDescent="0.2">
      <c r="A71" t="s">
        <v>528</v>
      </c>
      <c r="B71" s="6">
        <f xml:space="preserve"> RT_G_0</f>
        <v>1.0967800000000001</v>
      </c>
      <c r="C71" s="6">
        <f ca="1">_xll.RiskPercentile('Climate A'!D$172,0.5)</f>
        <v>1.2538721333712286</v>
      </c>
      <c r="D71" s="6">
        <f ca="1">_xll.RiskPercentile('Climate A'!E$172,0.5)</f>
        <v>1.4336908533973642</v>
      </c>
      <c r="E71" s="6">
        <f ca="1">_xll.RiskPercentile('Climate A'!F$172,0.5)</f>
        <v>1.6160821431237575</v>
      </c>
      <c r="F71" s="6">
        <f ca="1">_xll.RiskPercentile('Climate A'!G$172,0.5)</f>
        <v>2.0287270681047644</v>
      </c>
      <c r="G71" s="6">
        <f ca="1">_xll.RiskPercentile('Climate A'!H$172,0.5)</f>
        <v>2.5039866743985479</v>
      </c>
      <c r="H71" s="158">
        <f ca="1">_xll.RiskPercentile('Climate A'!I$172,0.5)</f>
        <v>2.645512988407777</v>
      </c>
      <c r="I71" s="6">
        <f ca="1">_xll.RiskPercentile('Climate A'!J$172,0.5)</f>
        <v>2.7167494838511193</v>
      </c>
      <c r="J71" s="6">
        <f ca="1">_xll.RiskPercentile('Climate A'!K$172,0.5)</f>
        <v>2.5866154286047314</v>
      </c>
      <c r="K71" s="6">
        <f ca="1">_xll.RiskPercentile('Climate A'!L$172,0.5)</f>
        <v>2.4973842216982569</v>
      </c>
      <c r="L71" s="6">
        <f ca="1">_xll.RiskPercentile('Climate A'!M$172,0.5)</f>
        <v>2.3828052416345309</v>
      </c>
      <c r="M71" t="s">
        <v>41</v>
      </c>
      <c r="N71" s="3" t="s">
        <v>534</v>
      </c>
      <c r="O71" s="158">
        <f ca="1">MAX(B71:L71)</f>
        <v>2.7167494838511193</v>
      </c>
      <c r="P71" s="3" t="s">
        <v>41</v>
      </c>
    </row>
    <row r="72" spans="1:16" x14ac:dyDescent="0.2">
      <c r="B72" s="6"/>
      <c r="C72" s="6"/>
      <c r="D72" s="6"/>
      <c r="E72" s="6"/>
      <c r="F72" s="6"/>
      <c r="G72" s="6"/>
      <c r="H72" s="161"/>
      <c r="I72" s="6"/>
      <c r="J72" s="6"/>
      <c r="K72" s="6"/>
      <c r="L72" s="6"/>
      <c r="N72" s="3"/>
      <c r="O72" s="161"/>
      <c r="P72" s="3"/>
    </row>
    <row r="73" spans="1:16" x14ac:dyDescent="0.2">
      <c r="A73" s="3" t="s">
        <v>527</v>
      </c>
      <c r="B73" s="6">
        <f ca="1" xml:space="preserve"> S_0</f>
        <v>0.18999999999999997</v>
      </c>
      <c r="C73" s="6">
        <f ca="1">_xll.RiskMean('Climate A'!D$191)</f>
        <v>0.23094151193291312</v>
      </c>
      <c r="D73" s="6">
        <f ca="1">_xll.RiskMean('Climate A'!E$191)</f>
        <v>0.27552779270987682</v>
      </c>
      <c r="E73" s="6">
        <f ca="1">_xll.RiskMean('Climate A'!F$191)</f>
        <v>0.32379227951608908</v>
      </c>
      <c r="F73" s="6">
        <f ca="1">_xll.RiskMean('Climate A'!G$191)</f>
        <v>0.43767600058262751</v>
      </c>
      <c r="G73" s="6">
        <f ca="1">_xll.RiskMean('Climate A'!H$191)</f>
        <v>0.57078785180696612</v>
      </c>
      <c r="H73" s="160">
        <f ca="1">_xll.RiskMean('Climate A'!I$191)</f>
        <v>0.70658713200760626</v>
      </c>
      <c r="I73" s="6">
        <f ca="1">_xll.RiskMean('Climate A'!J$191)</f>
        <v>0.84186485628712981</v>
      </c>
      <c r="J73" s="6">
        <f ca="1">_xll.RiskMean('Climate A'!K$191)</f>
        <v>0.96707263537891153</v>
      </c>
      <c r="K73" s="6">
        <f ca="1">_xll.RiskMean('Climate A'!L$191)</f>
        <v>1.084481964692243</v>
      </c>
      <c r="L73" s="6">
        <f ca="1">_xll.RiskMean('Climate A'!M$191)</f>
        <v>1.1931546492067162</v>
      </c>
      <c r="M73" t="s">
        <v>180</v>
      </c>
    </row>
    <row r="74" spans="1:16" x14ac:dyDescent="0.2">
      <c r="A74" s="3"/>
      <c r="B74" s="6"/>
      <c r="C74" s="6"/>
      <c r="D74" s="6"/>
      <c r="E74" s="6"/>
      <c r="F74" s="6"/>
      <c r="G74" s="6"/>
      <c r="H74" s="6"/>
      <c r="I74" s="6"/>
      <c r="J74" s="6"/>
      <c r="K74" s="6"/>
      <c r="L74" s="6"/>
    </row>
    <row r="75" spans="1:16" x14ac:dyDescent="0.2">
      <c r="A75" s="3" t="s">
        <v>752</v>
      </c>
      <c r="B75" s="156"/>
      <c r="C75" s="156">
        <f ca="1" xml:space="preserve"> IF(switch_perm = 1, _xll.RiskMean('Climate A'!D$206), 0)</f>
        <v>2.1481588522938758E-2</v>
      </c>
      <c r="D75" s="156">
        <f ca="1" xml:space="preserve"> IF(switch_perm = 1, _xll.RiskMean('Climate A'!E$206), 0)</f>
        <v>2.1677059967499624E-2</v>
      </c>
      <c r="E75" s="156">
        <f ca="1" xml:space="preserve"> IF(switch_perm = 1, _xll.RiskMean('Climate A'!F$206), 0)</f>
        <v>2.2056235728660299E-2</v>
      </c>
      <c r="F75" s="156">
        <f ca="1" xml:space="preserve"> IF(switch_perm = 1, _xll.RiskMean('Climate A'!G$206), 0)</f>
        <v>2.2443493664408662E-2</v>
      </c>
      <c r="G75" s="156">
        <f ca="1" xml:space="preserve"> IF(switch_perm = 1, _xll.RiskMean('Climate A'!H$206), 0)</f>
        <v>2.3590829862463889E-2</v>
      </c>
      <c r="H75" s="156">
        <f ca="1" xml:space="preserve"> IF(switch_perm = 1, _xll.RiskMean('Climate A'!I$206), 0)</f>
        <v>2.5833732858786401E-2</v>
      </c>
      <c r="I75" s="156">
        <f ca="1" xml:space="preserve"> IF(switch_perm = 1, _xll.RiskMean('Climate A'!J$206), 0)</f>
        <v>2.9473117476752093E-2</v>
      </c>
      <c r="J75" s="156">
        <f ca="1" xml:space="preserve"> IF(switch_perm = 1, _xll.RiskMean('Climate A'!K$206), 0)</f>
        <v>3.4816514753109214E-2</v>
      </c>
      <c r="K75" s="156">
        <f ca="1" xml:space="preserve"> IF(switch_perm = 1, _xll.RiskMean('Climate A'!L$206), 0)</f>
        <v>4.0708740692849847E-2</v>
      </c>
      <c r="L75" s="156">
        <f ca="1" xml:space="preserve"> IF(switch_perm = 1, _xll.RiskMean('Climate A'!M$206), 0)</f>
        <v>4.7093947823728527E-2</v>
      </c>
    </row>
    <row r="76" spans="1:16" x14ac:dyDescent="0.2">
      <c r="A76" s="3"/>
      <c r="B76" s="156"/>
      <c r="C76" s="156"/>
      <c r="D76" s="156"/>
      <c r="E76" s="156"/>
      <c r="F76" s="156"/>
      <c r="G76" s="156"/>
      <c r="H76" s="156"/>
      <c r="I76" s="156"/>
      <c r="J76" s="156"/>
      <c r="K76" s="156"/>
      <c r="L76" s="156"/>
    </row>
    <row r="77" spans="1:16" x14ac:dyDescent="0.2">
      <c r="A77" s="3"/>
      <c r="B77" s="186"/>
      <c r="C77">
        <f t="array" ref="C77:L77">Y</f>
        <v>2020</v>
      </c>
      <c r="D77">
        <v>2025</v>
      </c>
      <c r="E77">
        <v>2030</v>
      </c>
      <c r="F77">
        <v>2040</v>
      </c>
      <c r="G77">
        <v>2050</v>
      </c>
      <c r="H77">
        <v>2060</v>
      </c>
      <c r="I77">
        <v>2070</v>
      </c>
      <c r="J77">
        <v>2080</v>
      </c>
      <c r="K77">
        <v>2090</v>
      </c>
      <c r="L77">
        <v>2100</v>
      </c>
    </row>
    <row r="78" spans="1:16" x14ac:dyDescent="0.2">
      <c r="A78" s="3" t="s">
        <v>526</v>
      </c>
      <c r="B78" s="186"/>
      <c r="C78" s="6">
        <f t="shared" ref="C78:L78" ca="1" si="0">C70</f>
        <v>1.2538910767667113</v>
      </c>
      <c r="D78" s="6">
        <f t="shared" ca="1" si="0"/>
        <v>1.4337087165495594</v>
      </c>
      <c r="E78" s="6">
        <f t="shared" ca="1" si="0"/>
        <v>1.6160710916037229</v>
      </c>
      <c r="F78" s="6">
        <f t="shared" ca="1" si="0"/>
        <v>2.0287838915838345</v>
      </c>
      <c r="G78" s="6">
        <f t="shared" ca="1" si="0"/>
        <v>2.5040193517743532</v>
      </c>
      <c r="H78" s="6">
        <f t="shared" ca="1" si="0"/>
        <v>2.6456522643081657</v>
      </c>
      <c r="I78" s="6">
        <f t="shared" ca="1" si="0"/>
        <v>2.7167244086378974</v>
      </c>
      <c r="J78" s="6">
        <f t="shared" ca="1" si="0"/>
        <v>2.5867213894378334</v>
      </c>
      <c r="K78" s="6">
        <f t="shared" ca="1" si="0"/>
        <v>2.4974160572797461</v>
      </c>
      <c r="L78" s="6">
        <f t="shared" ca="1" si="0"/>
        <v>2.3828417407573874</v>
      </c>
      <c r="M78" s="3" t="s">
        <v>41</v>
      </c>
    </row>
    <row r="79" spans="1:16" x14ac:dyDescent="0.2">
      <c r="A79" s="3" t="s">
        <v>917</v>
      </c>
      <c r="B79" s="187"/>
      <c r="C79" s="202">
        <f ca="1" xml:space="preserve">  IF(switch_seaice = 1, _xll.RiskMean('Climate A'!D$174), 0)</f>
        <v>0.44955534582780804</v>
      </c>
      <c r="D79" s="202">
        <f ca="1" xml:space="preserve">  IF(switch_seaice = 1, _xll.RiskMean('Climate A'!E$174), 0)</f>
        <v>0.51274617689908686</v>
      </c>
      <c r="E79" s="202">
        <f ca="1" xml:space="preserve">  IF(switch_seaice = 1, _xll.RiskMean('Climate A'!F$174), 0)</f>
        <v>0.57645594618633245</v>
      </c>
      <c r="F79" s="202">
        <f ca="1" xml:space="preserve">  IF(switch_seaice = 1, _xll.RiskMean('Climate A'!G$174), 0)</f>
        <v>0.71817539324482182</v>
      </c>
      <c r="G79" s="202">
        <f ca="1" xml:space="preserve">  IF(switch_seaice = 1, _xll.RiskMean('Climate A'!H$174), 0)</f>
        <v>0.87864541084119008</v>
      </c>
      <c r="H79" s="202">
        <f ca="1" xml:space="preserve">  IF(switch_seaice = 1, _xll.RiskMean('Climate A'!I$174), 0)</f>
        <v>0.92480831527852603</v>
      </c>
      <c r="I79" s="202">
        <f ca="1" xml:space="preserve">  IF(switch_seaice = 1, _xll.RiskMean('Climate A'!J$174), 0)</f>
        <v>0.94875211250944247</v>
      </c>
      <c r="J79" s="202">
        <f ca="1" xml:space="preserve">  IF(switch_seaice = 1, _xll.RiskMean('Climate A'!K$174), 0)</f>
        <v>0.90516987069311583</v>
      </c>
      <c r="K79" s="202">
        <f ca="1" xml:space="preserve">  IF(switch_seaice = 1, _xll.RiskMean('Climate A'!L$174), 0)</f>
        <v>0.87483790914892035</v>
      </c>
      <c r="L79" s="202">
        <f ca="1" xml:space="preserve">  IF(switch_seaice = 1, _xll.RiskMean('Climate A'!M$174), 0)</f>
        <v>0.83709101331759339</v>
      </c>
      <c r="M79" s="3" t="s">
        <v>42</v>
      </c>
      <c r="O79" s="124"/>
    </row>
    <row r="80" spans="1:16" x14ac:dyDescent="0.2">
      <c r="A80" s="3" t="s">
        <v>918</v>
      </c>
      <c r="B80" s="187"/>
      <c r="C80" s="202">
        <f ca="1" xml:space="preserve">  IF(switch_seaice = 1, _xll.RiskMean('Climate A'!D$199), 0)</f>
        <v>0.43774007309040569</v>
      </c>
      <c r="D80" s="202">
        <f ca="1" xml:space="preserve">  IF(switch_seaice = 1, _xll.RiskMean('Climate A'!E$199), 0)</f>
        <v>0.50050247460226305</v>
      </c>
      <c r="E80" s="202">
        <f ca="1" xml:space="preserve">  IF(switch_seaice = 1, _xll.RiskMean('Climate A'!F$199), 0)</f>
        <v>0.56444824373472979</v>
      </c>
      <c r="F80" s="202">
        <f ca="1" xml:space="preserve">  IF(switch_seaice = 1, _xll.RiskMean('Climate A'!G$199), 0)</f>
        <v>0.70816348117783168</v>
      </c>
      <c r="G80" s="202">
        <f ca="1" xml:space="preserve">  IF(switch_seaice = 1, _xll.RiskMean('Climate A'!H$199), 0)</f>
        <v>0.87411799822904745</v>
      </c>
      <c r="H80" s="202">
        <f ca="1" xml:space="preserve">  IF(switch_seaice = 1, _xll.RiskMean('Climate A'!I$199), 0)</f>
        <v>0.9234394317200062</v>
      </c>
      <c r="I80" s="202">
        <f ca="1" xml:space="preserve">  IF(switch_seaice = 1, _xll.RiskMean('Climate A'!J$199), 0)</f>
        <v>0.94877434128002336</v>
      </c>
      <c r="J80" s="202">
        <f ca="1" xml:space="preserve">  IF(switch_seaice = 1, _xll.RiskMean('Climate A'!K$199), 0)</f>
        <v>0.90312500675199114</v>
      </c>
      <c r="K80" s="202">
        <f ca="1" xml:space="preserve">  IF(switch_seaice = 1, _xll.RiskMean('Climate A'!L$199), 0)</f>
        <v>0.87153853541299253</v>
      </c>
      <c r="L80" s="202">
        <f ca="1" xml:space="preserve">  IF(switch_seaice = 1, _xll.RiskMean('Climate A'!M$199), 0)</f>
        <v>0.83209323242416833</v>
      </c>
      <c r="M80" s="3" t="s">
        <v>42</v>
      </c>
      <c r="O80" s="124"/>
    </row>
    <row r="81" spans="1:13" x14ac:dyDescent="0.2">
      <c r="A81" s="3" t="s">
        <v>919</v>
      </c>
      <c r="B81" s="188"/>
      <c r="C81" s="104">
        <f ca="1" xml:space="preserve">  IF(switch_seaice = 1, _xll.RiskMean('Climate A'!D$167), 0)</f>
        <v>4.5432845090534243E-3</v>
      </c>
      <c r="D81" s="104">
        <f ca="1" xml:space="preserve">  IF(switch_seaice = 1, _xll.RiskMean('Climate A'!E$167), 0)</f>
        <v>2.5472891993085218E-3</v>
      </c>
      <c r="E81" s="104">
        <f ca="1" xml:space="preserve">  IF(switch_seaice = 1, _xll.RiskMean('Climate A'!F$167), 0)</f>
        <v>3.7331062506216394E-4</v>
      </c>
      <c r="F81" s="104">
        <f ca="1" xml:space="preserve">  IF(switch_seaice = 1, _xll.RiskMean('Climate A'!G$167), 0)</f>
        <v>-3.3286196759739015E-3</v>
      </c>
      <c r="G81" s="104">
        <f ca="1" xml:space="preserve">  IF(switch_seaice = 1, _xll.RiskMean('Climate A'!H$167), 0)</f>
        <v>-9.3438049445005028E-3</v>
      </c>
      <c r="H81" s="104">
        <f ca="1" xml:space="preserve">  IF(switch_seaice = 1, _xll.RiskMean('Climate A'!I$167), 0)</f>
        <v>-1.6008487888477901E-2</v>
      </c>
      <c r="I81" s="104">
        <f ca="1" xml:space="preserve">  IF(switch_seaice = 1, _xll.RiskMean('Climate A'!J$167), 0)</f>
        <v>-1.8838260035708904E-2</v>
      </c>
      <c r="J81" s="104">
        <f ca="1" xml:space="preserve">  IF(switch_seaice = 1, _xll.RiskMean('Climate A'!K$167), 0)</f>
        <v>-1.9636327798048372E-2</v>
      </c>
      <c r="K81" s="104">
        <f ca="1" xml:space="preserve">  IF(switch_seaice = 1, _xll.RiskMean('Climate A'!L$167), 0)</f>
        <v>-1.785305982643828E-2</v>
      </c>
      <c r="L81" s="104">
        <f ca="1" xml:space="preserve">  IF(switch_seaice = 1, _xll.RiskMean('Climate A'!M$167), 0)</f>
        <v>-1.6020568936669134E-2</v>
      </c>
      <c r="M81" s="3" t="s">
        <v>538</v>
      </c>
    </row>
    <row r="82" spans="1:13" x14ac:dyDescent="0.2">
      <c r="A82" s="3" t="s">
        <v>929</v>
      </c>
      <c r="B82" s="189"/>
      <c r="C82" s="156">
        <f ca="1" xml:space="preserve"> IF(switch_seaice = 1, _xll.RiskMean('Climate A'!D$201), 0)</f>
        <v>3.0522025058392622E-2</v>
      </c>
      <c r="D82" s="156">
        <f ca="1" xml:space="preserve"> IF(switch_seaice = 1, _xll.RiskMean('Climate A'!E$201), 0)</f>
        <v>2.669372176775733E-2</v>
      </c>
      <c r="E82" s="156">
        <f ca="1" xml:space="preserve"> IF(switch_seaice = 1, _xll.RiskMean('Climate A'!F$201), 0)</f>
        <v>3.4538862993629148E-2</v>
      </c>
      <c r="F82" s="156">
        <f ca="1" xml:space="preserve"> IF(switch_seaice = 1, _xll.RiskMean('Climate A'!G$201), 0)</f>
        <v>6.3414846755789331E-2</v>
      </c>
      <c r="G82" s="156">
        <f ca="1" xml:space="preserve"> IF(switch_seaice = 1, _xll.RiskMean('Climate A'!H$201), 0)</f>
        <v>9.2728920216361796E-2</v>
      </c>
      <c r="H82" s="156">
        <f ca="1" xml:space="preserve"> IF(switch_seaice = 1, _xll.RiskMean('Climate A'!I$201), 0)</f>
        <v>1.1897065933442691E-2</v>
      </c>
      <c r="I82" s="156">
        <f ca="1" xml:space="preserve"> IF(switch_seaice = 1, _xll.RiskMean('Climate A'!J$201), 0)</f>
        <v>-1.8303364478642861E-2</v>
      </c>
      <c r="J82" s="156">
        <f ca="1" xml:space="preserve"> IF(switch_seaice = 1, _xll.RiskMean('Climate A'!K$201), 0)</f>
        <v>-6.3827839589357643E-2</v>
      </c>
      <c r="K82" s="156">
        <f ca="1" xml:space="preserve"> IF(switch_seaice = 1, _xll.RiskMean('Climate A'!L$201), 0)</f>
        <v>-6.3908908632038755E-2</v>
      </c>
      <c r="L82" s="156">
        <f ca="1" xml:space="preserve"> IF(switch_seaice = 1, _xll.RiskMean('Climate A'!M$201), 0)</f>
        <v>-5.6674818929279093E-2</v>
      </c>
    </row>
    <row r="83" spans="1:13" x14ac:dyDescent="0.2">
      <c r="A83" s="3" t="s">
        <v>928</v>
      </c>
      <c r="B83" s="189"/>
      <c r="C83" s="156">
        <f ca="1" xml:space="preserve"> IF(switch_seaice = 1, _xll.RiskMean('Climate A'!D$202), 0)</f>
        <v>4.4419185502663112E-3</v>
      </c>
      <c r="D83" s="156">
        <f ca="1" xml:space="preserve"> IF(switch_seaice = 1, _xll.RiskMean('Climate A'!E$202), 0)</f>
        <v>2.8748480718722856E-3</v>
      </c>
      <c r="E83" s="156">
        <f ca="1" xml:space="preserve"> IF(switch_seaice = 1, _xll.RiskMean('Climate A'!F$202), 0)</f>
        <v>1.1713451980593646E-3</v>
      </c>
      <c r="F83" s="156">
        <f ca="1" xml:space="preserve"> IF(switch_seaice = 1, _xll.RiskMean('Climate A'!G$202), 0)</f>
        <v>-1.7498980447714395E-3</v>
      </c>
      <c r="G83" s="156">
        <f ca="1" xml:space="preserve"> IF(switch_seaice = 1, _xll.RiskMean('Climate A'!H$202), 0)</f>
        <v>-6.3782703140582856E-3</v>
      </c>
      <c r="H83" s="156">
        <f ca="1" xml:space="preserve"> IF(switch_seaice = 1, _xll.RiskMean('Climate A'!I$202), 0)</f>
        <v>-1.1451784123303369E-2</v>
      </c>
      <c r="I83" s="156">
        <f ca="1" xml:space="preserve"> IF(switch_seaice = 1, _xll.RiskMean('Climate A'!J$202), 0)</f>
        <v>-1.3667985815612559E-2</v>
      </c>
      <c r="J83" s="156">
        <f ca="1" xml:space="preserve"> IF(switch_seaice = 1, _xll.RiskMean('Climate A'!K$202), 0)</f>
        <v>-1.4367822080802827E-2</v>
      </c>
      <c r="K83" s="156">
        <f ca="1" xml:space="preserve"> IF(switch_seaice = 1, _xll.RiskMean('Climate A'!L$202), 0)</f>
        <v>-1.3106730978470064E-2</v>
      </c>
      <c r="L83" s="156">
        <f ca="1" xml:space="preserve"> IF(switch_seaice = 1, _xll.RiskMean('Climate A'!M$202), 0)</f>
        <v>-1.1772794564620916E-2</v>
      </c>
    </row>
    <row r="84" spans="1:13" x14ac:dyDescent="0.2">
      <c r="B84" s="156"/>
      <c r="C84" s="156"/>
      <c r="D84" s="156"/>
      <c r="E84" s="156"/>
      <c r="F84" s="156"/>
      <c r="G84" s="156"/>
      <c r="H84" s="156"/>
      <c r="I84" s="156"/>
      <c r="J84" s="156"/>
      <c r="K84" s="156"/>
      <c r="L84" s="156"/>
    </row>
    <row r="85" spans="1:13" x14ac:dyDescent="0.2">
      <c r="A85" s="2" t="s">
        <v>924</v>
      </c>
    </row>
    <row r="86" spans="1:13" x14ac:dyDescent="0.2">
      <c r="A86" s="3" t="s">
        <v>924</v>
      </c>
      <c r="B86" s="3" t="s">
        <v>925</v>
      </c>
      <c r="C86" s="192">
        <f ca="1">_xll.RiskMean(ALB_SAF_ECS)</f>
        <v>0.3491122114363433</v>
      </c>
      <c r="D86" s="3" t="s">
        <v>538</v>
      </c>
      <c r="F86" s="3" t="s">
        <v>926</v>
      </c>
      <c r="G86">
        <f ca="1">_xll.RiskStdDev(ALB_SAF_ECS)</f>
        <v>4.4931377765413741E-2</v>
      </c>
      <c r="H86" s="3" t="s">
        <v>538</v>
      </c>
    </row>
    <row r="87" spans="1:13" x14ac:dyDescent="0.2">
      <c r="A87" s="3" t="s">
        <v>905</v>
      </c>
      <c r="B87" s="3" t="s">
        <v>925</v>
      </c>
      <c r="C87" s="192">
        <f ca="1" xml:space="preserve"> _xll.RiskMean(ALB_SAF_Y0)</f>
        <v>0.35551308914824148</v>
      </c>
      <c r="D87" s="3" t="s">
        <v>538</v>
      </c>
      <c r="F87" s="3" t="s">
        <v>926</v>
      </c>
      <c r="G87">
        <f ca="1" xml:space="preserve"> _xll.RiskStdDev(ALB_SAF_Y0)</f>
        <v>4.4541309150454463E-2</v>
      </c>
      <c r="H87" s="3" t="s">
        <v>538</v>
      </c>
    </row>
    <row r="88" spans="1:13" x14ac:dyDescent="0.2">
      <c r="A88" s="3" t="s">
        <v>927</v>
      </c>
      <c r="B88" s="3" t="s">
        <v>925</v>
      </c>
      <c r="C88" s="192">
        <f ca="1" xml:space="preserve"> _xll.RiskMean(ALB_FSAF_Y0)</f>
        <v>0.39419195797171358</v>
      </c>
      <c r="D88" s="3" t="s">
        <v>42</v>
      </c>
      <c r="F88" s="3" t="s">
        <v>926</v>
      </c>
      <c r="G88">
        <f ca="1" xml:space="preserve"> _xll.RiskStdDev(ALB_FSAF_Y0)</f>
        <v>4.8852017050035508E-2</v>
      </c>
      <c r="H88" s="3" t="s">
        <v>42</v>
      </c>
    </row>
    <row r="90" spans="1:13" x14ac:dyDescent="0.2">
      <c r="A90" s="3"/>
      <c r="B90" s="3"/>
      <c r="C90" s="3"/>
      <c r="D90" s="161"/>
      <c r="E90" s="3"/>
    </row>
    <row r="92" spans="1:13" x14ac:dyDescent="0.2">
      <c r="A92" s="172" t="str">
        <f xml:space="preserve"> "Scenario = {"&amp;SCENARIO_PAIR&amp;"}, Experiment = {"&amp;EXPERIMENT&amp;"}, Economic Impacts = {"&amp;ECON_IMPF&amp;"}"</f>
        <v>Scenario = {SSP5-34-OS}, Experiment = {Two Scenarios, Nonlinear PCF &amp; SAF}, Economic Impacts = {Burke, Pulled, Lag=2, Consum-Only}</v>
      </c>
      <c r="B92" s="172"/>
      <c r="C92" s="172"/>
      <c r="D92" s="172"/>
      <c r="E92" s="172"/>
      <c r="F92" s="172"/>
      <c r="G92" s="172"/>
    </row>
    <row r="93" spans="1:13" x14ac:dyDescent="0.2">
      <c r="A93" s="2" t="s">
        <v>571</v>
      </c>
    </row>
    <row r="94" spans="1:13" x14ac:dyDescent="0.2">
      <c r="A94" s="2"/>
    </row>
    <row r="95" spans="1:13" x14ac:dyDescent="0.2">
      <c r="A95" s="2" t="s">
        <v>537</v>
      </c>
      <c r="C95">
        <f t="array" ref="C95:L95">Y</f>
        <v>2020</v>
      </c>
      <c r="D95">
        <v>2025</v>
      </c>
      <c r="E95">
        <v>2030</v>
      </c>
      <c r="F95">
        <v>2040</v>
      </c>
      <c r="G95">
        <v>2050</v>
      </c>
      <c r="H95">
        <v>2060</v>
      </c>
      <c r="I95">
        <v>2070</v>
      </c>
      <c r="J95">
        <v>2080</v>
      </c>
      <c r="K95">
        <v>2090</v>
      </c>
      <c r="L95">
        <v>2100</v>
      </c>
    </row>
    <row r="96" spans="1:13" x14ac:dyDescent="0.2">
      <c r="A96" s="3" t="s">
        <v>499</v>
      </c>
      <c r="B96" s="6"/>
      <c r="C96" s="6">
        <f ca="1">_xll.RiskPercentile('Climate A'!D$172,$H6)</f>
        <v>0.98020787344251947</v>
      </c>
      <c r="D96" s="6">
        <f ca="1">_xll.RiskPercentile('Climate A'!E$172,$H6)</f>
        <v>1.1496262760646874</v>
      </c>
      <c r="E96" s="6">
        <f ca="1">_xll.RiskPercentile('Climate A'!F$172,$H6)</f>
        <v>1.1656598943363603</v>
      </c>
      <c r="F96" s="6">
        <f ca="1">_xll.RiskPercentile('Climate A'!G$172,$H6)</f>
        <v>1.424670869546719</v>
      </c>
      <c r="G96" s="6">
        <f ca="1">_xll.RiskPercentile('Climate A'!H$172,$H6)</f>
        <v>1.7490354303344935</v>
      </c>
      <c r="H96" s="6">
        <f ca="1">_xll.RiskPercentile('Climate A'!I$172,$H6)</f>
        <v>1.6979997919139032</v>
      </c>
      <c r="I96" s="6">
        <f ca="1">_xll.RiskPercentile('Climate A'!J$172,$H6)</f>
        <v>1.7319971060059116</v>
      </c>
      <c r="J96" s="6">
        <f ca="1">_xll.RiskPercentile('Climate A'!K$172,$H6)</f>
        <v>1.590000741112767</v>
      </c>
      <c r="K96" s="6">
        <f ca="1">_xll.RiskPercentile('Climate A'!L$172,$H6)</f>
        <v>1.4899175293353253</v>
      </c>
      <c r="L96" s="6">
        <f ca="1">_xll.RiskPercentile('Climate A'!M$172,$H6)</f>
        <v>1.4039362359935046</v>
      </c>
      <c r="M96" t="s">
        <v>41</v>
      </c>
    </row>
    <row r="97" spans="1:14" x14ac:dyDescent="0.2">
      <c r="A97" s="3" t="s">
        <v>727</v>
      </c>
      <c r="B97" s="6"/>
      <c r="C97" s="6">
        <f ca="1">_xll.RiskPercentile('Climate A'!D$172,$H7)</f>
        <v>1.1416809423795931</v>
      </c>
      <c r="D97" s="6">
        <f ca="1">_xll.RiskPercentile('Climate A'!E$172,$H7)</f>
        <v>1.3171990926132939</v>
      </c>
      <c r="E97" s="6">
        <f ca="1">_xll.RiskPercentile('Climate A'!F$172,$H7)</f>
        <v>1.4314315750985365</v>
      </c>
      <c r="F97" s="6">
        <f ca="1">_xll.RiskPercentile('Climate A'!G$172,$H7)</f>
        <v>1.7810223184370477</v>
      </c>
      <c r="G97" s="6">
        <f ca="1">_xll.RiskPercentile('Climate A'!H$172,$H7)</f>
        <v>2.1944218189675921</v>
      </c>
      <c r="H97" s="6">
        <f ca="1">_xll.RiskPercentile('Climate A'!I$172,$H7)</f>
        <v>2.2572112978243153</v>
      </c>
      <c r="I97" s="6">
        <f ca="1">_xll.RiskPercentile('Climate A'!J$172,$H7)</f>
        <v>2.3131426107880921</v>
      </c>
      <c r="J97" s="6">
        <f ca="1">_xll.RiskPercentile('Climate A'!K$172,$H7)</f>
        <v>2.1781661845593674</v>
      </c>
      <c r="K97" s="6">
        <f ca="1">_xll.RiskPercentile('Climate A'!L$172,$H7)</f>
        <v>2.0842480916803088</v>
      </c>
      <c r="L97" s="6">
        <f ca="1">_xll.RiskPercentile('Climate A'!M$172,$H7)</f>
        <v>1.9812795123053752</v>
      </c>
      <c r="M97" t="s">
        <v>41</v>
      </c>
    </row>
    <row r="98" spans="1:14" x14ac:dyDescent="0.2">
      <c r="A98" s="3" t="s">
        <v>572</v>
      </c>
      <c r="B98" s="6"/>
      <c r="C98" s="6">
        <f ca="1">_xll.RiskPercentile('Climate A'!D$172,$H8)</f>
        <v>1.2538721333712286</v>
      </c>
      <c r="D98" s="6">
        <f ca="1">_xll.RiskPercentile('Climate A'!E$172,$H8)</f>
        <v>1.4336908533973642</v>
      </c>
      <c r="E98" s="6">
        <f ca="1">_xll.RiskPercentile('Climate A'!F$172,$H8)</f>
        <v>1.6160821431237575</v>
      </c>
      <c r="F98" s="6">
        <f ca="1">_xll.RiskPercentile('Climate A'!G$172,$H8)</f>
        <v>2.0287270681047644</v>
      </c>
      <c r="G98" s="6">
        <f ca="1">_xll.RiskPercentile('Climate A'!H$172,$H8)</f>
        <v>2.5039866743985479</v>
      </c>
      <c r="H98" s="6">
        <f ca="1">_xll.RiskPercentile('Climate A'!I$172,$H8)</f>
        <v>2.645512988407777</v>
      </c>
      <c r="I98" s="6">
        <f ca="1">_xll.RiskPercentile('Climate A'!J$172,$H8)</f>
        <v>2.7167494838511193</v>
      </c>
      <c r="J98" s="6">
        <f ca="1">_xll.RiskPercentile('Climate A'!K$172,$H8)</f>
        <v>2.5866154286047314</v>
      </c>
      <c r="K98" s="6">
        <f ca="1">_xll.RiskPercentile('Climate A'!L$172,$H8)</f>
        <v>2.4973842216982569</v>
      </c>
      <c r="L98" s="6">
        <f ca="1">_xll.RiskPercentile('Climate A'!M$172,$H8)</f>
        <v>2.3828052416345309</v>
      </c>
      <c r="M98" t="s">
        <v>41</v>
      </c>
    </row>
    <row r="99" spans="1:14" x14ac:dyDescent="0.2">
      <c r="A99" s="3" t="s">
        <v>728</v>
      </c>
      <c r="B99" s="6"/>
      <c r="C99" s="6">
        <f ca="1">_xll.RiskPercentile('Climate A'!D$172,$H9)</f>
        <v>1.3660718959256049</v>
      </c>
      <c r="D99" s="6">
        <f ca="1">_xll.RiskPercentile('Climate A'!E$172,$H9)</f>
        <v>1.5501583757394766</v>
      </c>
      <c r="E99" s="6">
        <f ca="1">_xll.RiskPercentile('Climate A'!F$172,$H9)</f>
        <v>1.8006520550924705</v>
      </c>
      <c r="F99" s="6">
        <f ca="1">_xll.RiskPercentile('Climate A'!G$172,$H9)</f>
        <v>2.2763265983125724</v>
      </c>
      <c r="G99" s="6">
        <f ca="1">_xll.RiskPercentile('Climate A'!H$172,$H9)</f>
        <v>2.8134798216748029</v>
      </c>
      <c r="H99" s="6">
        <f ca="1">_xll.RiskPercentile('Climate A'!I$172,$H9)</f>
        <v>3.0339515703044757</v>
      </c>
      <c r="I99" s="6">
        <f ca="1">_xll.RiskPercentile('Climate A'!J$172,$H9)</f>
        <v>3.1202209830568597</v>
      </c>
      <c r="J99" s="6">
        <f ca="1">_xll.RiskPercentile('Climate A'!K$172,$H9)</f>
        <v>2.9951334725336145</v>
      </c>
      <c r="K99" s="6">
        <f ca="1">_xll.RiskPercentile('Climate A'!L$172,$H9)</f>
        <v>2.9103699113698043</v>
      </c>
      <c r="L99" s="6">
        <f ca="1">_xll.RiskPercentile('Climate A'!M$172,$H9)</f>
        <v>2.7841721573361333</v>
      </c>
      <c r="M99" t="s">
        <v>41</v>
      </c>
      <c r="N99" s="4"/>
    </row>
    <row r="100" spans="1:14" x14ac:dyDescent="0.2">
      <c r="A100" s="3" t="s">
        <v>500</v>
      </c>
      <c r="B100" s="6"/>
      <c r="C100" s="6">
        <f ca="1">_xll.RiskPercentile('Climate A'!D$172,$H10)</f>
        <v>1.5274729576703425</v>
      </c>
      <c r="D100" s="6">
        <f ca="1">_xll.RiskPercentile('Climate A'!E$172,$H10)</f>
        <v>1.7177339178630757</v>
      </c>
      <c r="E100" s="6">
        <f ca="1">_xll.RiskPercentile('Climate A'!F$172,$H10)</f>
        <v>2.0662317193044699</v>
      </c>
      <c r="F100" s="6">
        <f ca="1">_xll.RiskPercentile('Climate A'!G$172,$H10)</f>
        <v>2.6326025522781111</v>
      </c>
      <c r="G100" s="6">
        <f ca="1">_xll.RiskPercentile('Climate A'!H$172,$H10)</f>
        <v>3.258312359053865</v>
      </c>
      <c r="H100" s="6">
        <f ca="1">_xll.RiskPercentile('Climate A'!I$172,$H10)</f>
        <v>3.5923893082002416</v>
      </c>
      <c r="I100" s="6">
        <f ca="1">_xll.RiskPercentile('Climate A'!J$172,$H10)</f>
        <v>3.7010430290164305</v>
      </c>
      <c r="J100" s="6">
        <f ca="1">_xll.RiskPercentile('Climate A'!K$172,$H10)</f>
        <v>3.5828043495291269</v>
      </c>
      <c r="K100" s="6">
        <f ca="1">_xll.RiskPercentile('Climate A'!L$172,$H10)</f>
        <v>3.5046757822806471</v>
      </c>
      <c r="L100" s="6">
        <f ca="1">_xll.RiskPercentile('Climate A'!M$172,$H10)</f>
        <v>3.3611472888376239</v>
      </c>
      <c r="M100" t="s">
        <v>41</v>
      </c>
      <c r="N100" s="4"/>
    </row>
    <row r="101" spans="1:14" x14ac:dyDescent="0.2">
      <c r="A101" s="3"/>
      <c r="B101" s="6"/>
      <c r="C101" s="6"/>
      <c r="D101" s="6"/>
      <c r="E101" s="6"/>
      <c r="F101" s="6"/>
      <c r="G101" s="6"/>
      <c r="H101" s="6"/>
      <c r="I101" s="6"/>
      <c r="J101" s="6"/>
      <c r="K101" s="6"/>
      <c r="L101" s="6"/>
      <c r="N101" s="4"/>
    </row>
    <row r="102" spans="1:14" x14ac:dyDescent="0.2">
      <c r="A102" s="3" t="s">
        <v>428</v>
      </c>
      <c r="B102" s="6"/>
      <c r="C102" s="6">
        <f ca="1">_xll.RiskMean('Climate A'!D$172)</f>
        <v>1.2538910767667113</v>
      </c>
      <c r="D102" s="6">
        <f ca="1">_xll.RiskMean('Climate A'!E$172)</f>
        <v>1.4337087165495594</v>
      </c>
      <c r="E102" s="6">
        <f ca="1">_xll.RiskMean('Climate A'!F$172)</f>
        <v>1.6160710916037229</v>
      </c>
      <c r="F102" s="6">
        <f ca="1">_xll.RiskMean('Climate A'!G$172)</f>
        <v>2.0287838915838345</v>
      </c>
      <c r="G102" s="6">
        <f ca="1">_xll.RiskMean('Climate A'!H$172)</f>
        <v>2.5040193517743532</v>
      </c>
      <c r="H102" s="6">
        <f ca="1">_xll.RiskMean('Climate A'!I$172)</f>
        <v>2.6456522643081657</v>
      </c>
      <c r="I102" s="6">
        <f ca="1">_xll.RiskMean('Climate A'!J$172)</f>
        <v>2.7167244086378974</v>
      </c>
      <c r="J102" s="6">
        <f ca="1">_xll.RiskMean('Climate A'!K$172)</f>
        <v>2.5867213894378334</v>
      </c>
      <c r="K102" s="6">
        <f ca="1">_xll.RiskMean('Climate A'!L$172)</f>
        <v>2.4974160572797461</v>
      </c>
      <c r="L102" s="6">
        <f ca="1">_xll.RiskMean('Climate A'!M$172)</f>
        <v>2.3828417407573874</v>
      </c>
      <c r="M102" t="s">
        <v>41</v>
      </c>
      <c r="N102" s="4"/>
    </row>
    <row r="103" spans="1:14" x14ac:dyDescent="0.2">
      <c r="A103" s="3" t="s">
        <v>765</v>
      </c>
      <c r="B103" s="6"/>
      <c r="C103" s="6">
        <f ca="1">_xll.RiskStdDev('Climate A'!D$172)</f>
        <v>0.16638836057516573</v>
      </c>
      <c r="D103" s="6">
        <f ca="1">_xll.RiskStdDev('Climate A'!E$172)</f>
        <v>0.17271907351675056</v>
      </c>
      <c r="E103" s="6">
        <f ca="1">_xll.RiskStdDev('Climate A'!F$172)</f>
        <v>0.27375910189136149</v>
      </c>
      <c r="F103" s="6">
        <f ca="1">_xll.RiskStdDev('Climate A'!G$172)</f>
        <v>0.36729909809329786</v>
      </c>
      <c r="G103" s="6">
        <f ca="1">_xll.RiskStdDev('Climate A'!H$172)</f>
        <v>0.4588356090672705</v>
      </c>
      <c r="H103" s="6">
        <f ca="1">_xll.RiskStdDev('Climate A'!I$172)</f>
        <v>0.57584578574817424</v>
      </c>
      <c r="I103" s="6">
        <f ca="1">_xll.RiskStdDev('Climate A'!J$172)</f>
        <v>0.59865776090104139</v>
      </c>
      <c r="J103" s="6">
        <f ca="1">_xll.RiskStdDev('Climate A'!K$172)</f>
        <v>0.605626669902669</v>
      </c>
      <c r="K103" s="6">
        <f ca="1">_xll.RiskStdDev('Climate A'!L$172)</f>
        <v>0.61235057884811395</v>
      </c>
      <c r="L103" s="6">
        <f ca="1">_xll.RiskStdDev('Climate A'!M$172)</f>
        <v>0.59503038665970465</v>
      </c>
      <c r="M103" t="s">
        <v>41</v>
      </c>
      <c r="N103" s="4"/>
    </row>
    <row r="105" spans="1:14" x14ac:dyDescent="0.2">
      <c r="A105" s="8" t="s">
        <v>868</v>
      </c>
      <c r="B105" s="4"/>
      <c r="C105" s="4">
        <f t="array" ref="C105:L105">Y</f>
        <v>2020</v>
      </c>
      <c r="D105" s="4">
        <v>2025</v>
      </c>
      <c r="E105" s="4">
        <v>2030</v>
      </c>
      <c r="F105" s="4">
        <v>2040</v>
      </c>
      <c r="G105" s="4">
        <v>2050</v>
      </c>
      <c r="H105" s="4">
        <v>2060</v>
      </c>
      <c r="I105" s="4">
        <v>2070</v>
      </c>
      <c r="J105" s="4">
        <v>2080</v>
      </c>
      <c r="K105" s="4">
        <v>2090</v>
      </c>
      <c r="L105" s="4">
        <v>2100</v>
      </c>
      <c r="M105" s="6"/>
    </row>
    <row r="106" spans="1:14" x14ac:dyDescent="0.2">
      <c r="A106" s="3" t="s">
        <v>499</v>
      </c>
      <c r="B106" s="6"/>
      <c r="C106" s="6">
        <f ca="1">_xll.RiskPercentile('Climate A'!D$38,$H6)</f>
        <v>1.7330762816566148</v>
      </c>
      <c r="D106" s="6">
        <f ca="1">_xll.RiskPercentile('Climate A'!E$38,$H6)</f>
        <v>2.0230951915849289</v>
      </c>
      <c r="E106" s="6">
        <f ca="1">_xll.RiskPercentile('Climate A'!F$38,$H6)</f>
        <v>2.0970978565688614</v>
      </c>
      <c r="F106" s="6">
        <f ca="1">_xll.RiskPercentile('Climate A'!G$38,$H6)</f>
        <v>2.5847770929231024</v>
      </c>
      <c r="G106" s="6">
        <f ca="1">_xll.RiskPercentile('Climate A'!H$38,$H6)</f>
        <v>3.1479675448205557</v>
      </c>
      <c r="H106" s="6">
        <f ca="1">_xll.RiskPercentile('Climate A'!I$38,$H6)</f>
        <v>3.1004911051344464</v>
      </c>
      <c r="I106" s="6">
        <f ca="1">_xll.RiskPercentile('Climate A'!J$38,$H6)</f>
        <v>3.1270378404307855</v>
      </c>
      <c r="J106" s="6">
        <f ca="1">_xll.RiskPercentile('Climate A'!K$38,$H6)</f>
        <v>2.8855448248988682</v>
      </c>
      <c r="K106" s="6">
        <f ca="1">_xll.RiskPercentile('Climate A'!L$38,$H6)</f>
        <v>2.7329034490257431</v>
      </c>
      <c r="L106" s="6">
        <f ca="1">_xll.RiskPercentile('Climate A'!M$38,$H6)</f>
        <v>2.5514165557802095</v>
      </c>
      <c r="M106" s="57" t="s">
        <v>41</v>
      </c>
    </row>
    <row r="107" spans="1:14" x14ac:dyDescent="0.2">
      <c r="A107" s="3" t="s">
        <v>727</v>
      </c>
      <c r="B107" s="6"/>
      <c r="C107" s="6">
        <f ca="1">_xll.RiskPercentile('Climate A'!D$38,$H7)</f>
        <v>2.0844090354226315</v>
      </c>
      <c r="D107" s="6">
        <f ca="1">_xll.RiskPercentile('Climate A'!E$38,$H7)</f>
        <v>2.4021960930827593</v>
      </c>
      <c r="E107" s="6">
        <f ca="1">_xll.RiskPercentile('Climate A'!F$38,$H7)</f>
        <v>2.6238716996784106</v>
      </c>
      <c r="F107" s="6">
        <f ca="1">_xll.RiskPercentile('Climate A'!G$38,$H7)</f>
        <v>3.2561125351317544</v>
      </c>
      <c r="G107" s="6">
        <f ca="1">_xll.RiskPercentile('Climate A'!H$38,$H7)</f>
        <v>4.0134468926447013</v>
      </c>
      <c r="H107" s="6">
        <f ca="1">_xll.RiskPercentile('Climate A'!I$38,$H7)</f>
        <v>4.141821684305115</v>
      </c>
      <c r="I107" s="6">
        <f ca="1">_xll.RiskPercentile('Climate A'!J$38,$H7)</f>
        <v>4.254941248535161</v>
      </c>
      <c r="J107" s="6">
        <f ca="1">_xll.RiskPercentile('Climate A'!K$38,$H7)</f>
        <v>4.00548713603194</v>
      </c>
      <c r="K107" s="6">
        <f ca="1">_xll.RiskPercentile('Climate A'!L$38,$H7)</f>
        <v>3.8095665565761534</v>
      </c>
      <c r="L107" s="6">
        <f ca="1">_xll.RiskPercentile('Climate A'!M$38,$H7)</f>
        <v>3.6380217105185024</v>
      </c>
      <c r="M107" s="57" t="s">
        <v>41</v>
      </c>
    </row>
    <row r="108" spans="1:14" x14ac:dyDescent="0.2">
      <c r="A108" s="3" t="s">
        <v>572</v>
      </c>
      <c r="B108" s="6"/>
      <c r="C108" s="6">
        <f ca="1">_xll.RiskPercentile('Climate A'!D$38,$H8)</f>
        <v>2.3396646859213259</v>
      </c>
      <c r="D108" s="6">
        <f ca="1">_xll.RiskPercentile('Climate A'!E$38,$H8)</f>
        <v>2.6725263156206207</v>
      </c>
      <c r="E108" s="6">
        <f ca="1">_xll.RiskPercentile('Climate A'!F$38,$H8)</f>
        <v>3.0060058140361785</v>
      </c>
      <c r="F108" s="6">
        <f ca="1">_xll.RiskPercentile('Climate A'!G$38,$H8)</f>
        <v>3.7704469407523287</v>
      </c>
      <c r="G108" s="6">
        <f ca="1">_xll.RiskPercentile('Climate A'!H$38,$H8)</f>
        <v>4.6598128849742269</v>
      </c>
      <c r="H108" s="6">
        <f ca="1">_xll.RiskPercentile('Climate A'!I$38,$H8)</f>
        <v>4.919962666745052</v>
      </c>
      <c r="I108" s="6">
        <f ca="1">_xll.RiskPercentile('Climate A'!J$38,$H8)</f>
        <v>5.054079685893174</v>
      </c>
      <c r="J108" s="6">
        <f ca="1">_xll.RiskPercentile('Climate A'!K$38,$H8)</f>
        <v>4.8054746872809559</v>
      </c>
      <c r="K108" s="6">
        <f ca="1">_xll.RiskPercentile('Climate A'!L$38,$H8)</f>
        <v>4.6472352353113449</v>
      </c>
      <c r="L108" s="6">
        <f ca="1">_xll.RiskPercentile('Climate A'!M$38,$H8)</f>
        <v>4.4282344436950307</v>
      </c>
      <c r="M108" s="57" t="s">
        <v>41</v>
      </c>
    </row>
    <row r="109" spans="1:14" x14ac:dyDescent="0.2">
      <c r="A109" s="3" t="s">
        <v>728</v>
      </c>
      <c r="B109" s="6"/>
      <c r="C109" s="6">
        <f ca="1">_xll.RiskPercentile('Climate A'!D$38,$H9)</f>
        <v>2.6077418652311057</v>
      </c>
      <c r="D109" s="6">
        <f ca="1">_xll.RiskPercentile('Climate A'!E$38,$H9)</f>
        <v>2.9637661956696575</v>
      </c>
      <c r="E109" s="6">
        <f ca="1">_xll.RiskPercentile('Climate A'!F$38,$H9)</f>
        <v>3.4216474609551808</v>
      </c>
      <c r="F109" s="6">
        <f ca="1">_xll.RiskPercentile('Climate A'!G$38,$H9)</f>
        <v>4.3096145524517784</v>
      </c>
      <c r="G109" s="6">
        <f ca="1">_xll.RiskPercentile('Climate A'!H$38,$H9)</f>
        <v>5.3432003786400104</v>
      </c>
      <c r="H109" s="6">
        <f ca="1">_xll.RiskPercentile('Climate A'!I$38,$H9)</f>
        <v>5.7380765034191237</v>
      </c>
      <c r="I109" s="6">
        <f ca="1">_xll.RiskPercentile('Climate A'!J$38,$H9)</f>
        <v>5.9005444801515576</v>
      </c>
      <c r="J109" s="6">
        <f ca="1">_xll.RiskPercentile('Climate A'!K$38,$H9)</f>
        <v>5.6518097899905246</v>
      </c>
      <c r="K109" s="6">
        <f ca="1">_xll.RiskPercentile('Climate A'!L$38,$H9)</f>
        <v>5.4994131198042817</v>
      </c>
      <c r="L109" s="6">
        <f ca="1">_xll.RiskPercentile('Climate A'!M$38,$H9)</f>
        <v>5.2593135844859216</v>
      </c>
      <c r="M109" s="57" t="s">
        <v>41</v>
      </c>
    </row>
    <row r="110" spans="1:14" x14ac:dyDescent="0.2">
      <c r="A110" s="3" t="s">
        <v>500</v>
      </c>
      <c r="B110" s="6"/>
      <c r="C110" s="6">
        <f ca="1">_xll.RiskPercentile('Climate A'!D$38,$H10)</f>
        <v>3.0129603887688967</v>
      </c>
      <c r="D110" s="6">
        <f ca="1">_xll.RiskPercentile('Climate A'!E$38,$H10)</f>
        <v>3.4024595704892744</v>
      </c>
      <c r="E110" s="6">
        <f ca="1">_xll.RiskPercentile('Climate A'!F$38,$H10)</f>
        <v>4.0388355411804513</v>
      </c>
      <c r="F110" s="6">
        <f ca="1">_xll.RiskPercentile('Climate A'!G$38,$H10)</f>
        <v>5.1559592750560199</v>
      </c>
      <c r="G110" s="6">
        <f ca="1">_xll.RiskPercentile('Climate A'!H$38,$H10)</f>
        <v>6.3932469714924274</v>
      </c>
      <c r="H110" s="6">
        <f ca="1">_xll.RiskPercentile('Climate A'!I$38,$H10)</f>
        <v>6.9854966517161543</v>
      </c>
      <c r="I110" s="6">
        <f ca="1">_xll.RiskPercentile('Climate A'!J$38,$H10)</f>
        <v>7.1722748652870338</v>
      </c>
      <c r="J110" s="6">
        <f ca="1">_xll.RiskPercentile('Climate A'!K$38,$H10)</f>
        <v>6.9954409784103424</v>
      </c>
      <c r="K110" s="6">
        <f ca="1">_xll.RiskPercentile('Climate A'!L$38,$H10)</f>
        <v>6.8088546272987678</v>
      </c>
      <c r="L110" s="6">
        <f ca="1">_xll.RiskPercentile('Climate A'!M$38,$H10)</f>
        <v>6.5359518351800485</v>
      </c>
      <c r="M110" s="57" t="s">
        <v>41</v>
      </c>
    </row>
    <row r="111" spans="1:14" x14ac:dyDescent="0.2">
      <c r="A111" s="4"/>
      <c r="B111" s="4"/>
      <c r="C111" s="4"/>
      <c r="D111" s="4"/>
      <c r="E111" s="4"/>
      <c r="F111" s="4"/>
      <c r="G111" s="4"/>
      <c r="H111" s="4"/>
      <c r="I111" s="4"/>
      <c r="J111" s="4"/>
      <c r="K111" s="4"/>
      <c r="L111" s="4"/>
      <c r="M111" s="4"/>
    </row>
    <row r="112" spans="1:14" x14ac:dyDescent="0.2">
      <c r="A112" s="5" t="s">
        <v>869</v>
      </c>
      <c r="B112" s="4"/>
      <c r="C112" s="4">
        <f t="array" ref="C112:L112">Y</f>
        <v>2020</v>
      </c>
      <c r="D112" s="4">
        <v>2025</v>
      </c>
      <c r="E112" s="4">
        <v>2030</v>
      </c>
      <c r="F112" s="4">
        <v>2040</v>
      </c>
      <c r="G112" s="4">
        <v>2050</v>
      </c>
      <c r="H112" s="4">
        <v>2060</v>
      </c>
      <c r="I112" s="4">
        <v>2070</v>
      </c>
      <c r="J112" s="4">
        <v>2080</v>
      </c>
      <c r="K112" s="4">
        <v>2090</v>
      </c>
      <c r="L112" s="4">
        <v>2100</v>
      </c>
      <c r="M112" s="4"/>
      <c r="N112" s="4"/>
    </row>
    <row r="113" spans="1:14" x14ac:dyDescent="0.2">
      <c r="A113" s="3" t="s">
        <v>499</v>
      </c>
      <c r="B113" s="1"/>
      <c r="C113" s="1">
        <f ca="1" xml:space="preserve"> (_xll.RiskPercentile('Climate A'!D$67,$H6) / 10^3) / (44/12)</f>
        <v>11.785916515714074</v>
      </c>
      <c r="D113" s="1">
        <f ca="1" xml:space="preserve"> (_xll.RiskPercentile('Climate A'!E$67,$H6) / 10^3) / (44/12)</f>
        <v>13.031036741455789</v>
      </c>
      <c r="E113" s="1">
        <f ca="1" xml:space="preserve"> (_xll.RiskPercentile('Climate A'!F$67,$H6) / 10^3) / (44/12)</f>
        <v>14.3657563988438</v>
      </c>
      <c r="F113" s="1">
        <f ca="1" xml:space="preserve"> (_xll.RiskPercentile('Climate A'!G$67,$H6) / 10^3) / (44/12)</f>
        <v>17.614392765912832</v>
      </c>
      <c r="G113" s="1">
        <f ca="1" xml:space="preserve"> (_xll.RiskPercentile('Climate A'!H$67,$H6) / 10^3) / (44/12)</f>
        <v>21.833760178815893</v>
      </c>
      <c r="H113" s="1">
        <f ca="1" xml:space="preserve"> (_xll.RiskPercentile('Climate A'!I$67,$H6) / 10^3) / (44/12)</f>
        <v>26.08090288520561</v>
      </c>
      <c r="I113" s="1">
        <f ca="1" xml:space="preserve"> (_xll.RiskPercentile('Climate A'!J$67,$H6) / 10^3) / (44/12)</f>
        <v>30.313126550904254</v>
      </c>
      <c r="J113" s="1">
        <f ca="1" xml:space="preserve"> (_xll.RiskPercentile('Climate A'!K$67,$H6) / 10^3) / (44/12)</f>
        <v>33.885262439587621</v>
      </c>
      <c r="K113" s="1">
        <f ca="1" xml:space="preserve"> (_xll.RiskPercentile('Climate A'!L$67,$H6) / 10^3) / (44/12)</f>
        <v>36.982890598135484</v>
      </c>
      <c r="L113" s="1">
        <f ca="1" xml:space="preserve"> (_xll.RiskPercentile('Climate A'!M$67,$H6) / 10^3) / (44/12)</f>
        <v>39.6799682062708</v>
      </c>
      <c r="M113" s="58" t="s">
        <v>501</v>
      </c>
      <c r="N113" s="4" t="s">
        <v>508</v>
      </c>
    </row>
    <row r="114" spans="1:14" x14ac:dyDescent="0.2">
      <c r="A114" s="3" t="s">
        <v>727</v>
      </c>
      <c r="B114" s="1"/>
      <c r="C114" s="1">
        <f ca="1" xml:space="preserve"> (_xll.RiskPercentile('Climate A'!D$67,$H7) / 10^3) / (44/12)</f>
        <v>12.657893719990883</v>
      </c>
      <c r="D114" s="1">
        <f ca="1" xml:space="preserve"> (_xll.RiskPercentile('Climate A'!E$67,$H7) / 10^3) / (44/12)</f>
        <v>14.10965591340676</v>
      </c>
      <c r="E114" s="1">
        <f ca="1" xml:space="preserve"> (_xll.RiskPercentile('Climate A'!F$67,$H7) / 10^3) / (44/12)</f>
        <v>15.712592894928338</v>
      </c>
      <c r="F114" s="1">
        <f ca="1" xml:space="preserve"> (_xll.RiskPercentile('Climate A'!G$67,$H7) / 10^3) / (44/12)</f>
        <v>19.775578492928897</v>
      </c>
      <c r="G114" s="1">
        <f ca="1" xml:space="preserve"> (_xll.RiskPercentile('Climate A'!H$67,$H7) / 10^3) / (44/12)</f>
        <v>25.157351944566035</v>
      </c>
      <c r="H114" s="1">
        <f ca="1" xml:space="preserve"> (_xll.RiskPercentile('Climate A'!I$67,$H7) / 10^3) / (44/12)</f>
        <v>30.548274005565435</v>
      </c>
      <c r="I114" s="1">
        <f ca="1" xml:space="preserve"> (_xll.RiskPercentile('Climate A'!J$67,$H7) / 10^3) / (44/12)</f>
        <v>35.901514539212663</v>
      </c>
      <c r="J114" s="1">
        <f ca="1" xml:space="preserve"> (_xll.RiskPercentile('Climate A'!K$67,$H7) / 10^3) / (44/12)</f>
        <v>40.249046169207958</v>
      </c>
      <c r="K114" s="1">
        <f ca="1" xml:space="preserve"> (_xll.RiskPercentile('Climate A'!L$67,$H7) / 10^3) / (44/12)</f>
        <v>44.09298786949261</v>
      </c>
      <c r="L114" s="1">
        <f ca="1" xml:space="preserve"> (_xll.RiskPercentile('Climate A'!M$67,$H7) / 10^3) / (44/12)</f>
        <v>47.327945200589831</v>
      </c>
      <c r="M114" s="58" t="s">
        <v>501</v>
      </c>
      <c r="N114" s="4"/>
    </row>
    <row r="115" spans="1:14" x14ac:dyDescent="0.2">
      <c r="A115" s="3" t="s">
        <v>572</v>
      </c>
      <c r="B115" s="1"/>
      <c r="C115" s="1">
        <f ca="1" xml:space="preserve"> (_xll.RiskPercentile('Climate A'!D$67,$H8) / 10^3) / (44/12)</f>
        <v>13.315058450973568</v>
      </c>
      <c r="D115" s="1">
        <f ca="1" xml:space="preserve"> (_xll.RiskPercentile('Climate A'!E$67,$H8) / 10^3) / (44/12)</f>
        <v>14.930366403400983</v>
      </c>
      <c r="E115" s="1">
        <f ca="1" xml:space="preserve"> (_xll.RiskPercentile('Climate A'!F$67,$H8) / 10^3) / (44/12)</f>
        <v>16.755498601298942</v>
      </c>
      <c r="F115" s="1">
        <f ca="1" xml:space="preserve"> (_xll.RiskPercentile('Climate A'!G$67,$H8) / 10^3) / (44/12)</f>
        <v>21.610389854740621</v>
      </c>
      <c r="G115" s="1">
        <f ca="1" xml:space="preserve"> (_xll.RiskPercentile('Climate A'!H$67,$H8) / 10^3) / (44/12)</f>
        <v>27.940503909035804</v>
      </c>
      <c r="H115" s="1">
        <f ca="1" xml:space="preserve"> (_xll.RiskPercentile('Climate A'!I$67,$H8) / 10^3) / (44/12)</f>
        <v>34.273785192917472</v>
      </c>
      <c r="I115" s="1">
        <f ca="1" xml:space="preserve"> (_xll.RiskPercentile('Climate A'!J$67,$H8) / 10^3) / (44/12)</f>
        <v>40.543926237302252</v>
      </c>
      <c r="J115" s="1">
        <f ca="1" xml:space="preserve"> (_xll.RiskPercentile('Climate A'!K$67,$H8) / 10^3) / (44/12)</f>
        <v>45.546956309763189</v>
      </c>
      <c r="K115" s="1">
        <f ca="1" xml:space="preserve"> (_xll.RiskPercentile('Climate A'!L$67,$H8) / 10^3) / (44/12)</f>
        <v>49.830467351989881</v>
      </c>
      <c r="L115" s="1">
        <f ca="1" xml:space="preserve"> (_xll.RiskPercentile('Climate A'!M$67,$H8) / 10^3) / (44/12)</f>
        <v>53.608078067459203</v>
      </c>
      <c r="M115" s="58" t="s">
        <v>501</v>
      </c>
      <c r="N115" s="4"/>
    </row>
    <row r="116" spans="1:14" x14ac:dyDescent="0.2">
      <c r="A116" s="3" t="s">
        <v>728</v>
      </c>
      <c r="B116" s="1"/>
      <c r="C116" s="1">
        <f ca="1" xml:space="preserve"> (_xll.RiskPercentile('Climate A'!D$67,$H9) / 10^3) / (44/12)</f>
        <v>13.979575593607159</v>
      </c>
      <c r="D116" s="1">
        <f ca="1" xml:space="preserve"> (_xll.RiskPercentile('Climate A'!E$67,$H9) / 10^3) / (44/12)</f>
        <v>15.796056783943071</v>
      </c>
      <c r="E116" s="1">
        <f ca="1" xml:space="preserve"> (_xll.RiskPercentile('Climate A'!F$67,$H9) / 10^3) / (44/12)</f>
        <v>17.89136288182787</v>
      </c>
      <c r="F116" s="1">
        <f ca="1" xml:space="preserve"> (_xll.RiskPercentile('Climate A'!G$67,$H9) / 10^3) / (44/12)</f>
        <v>23.699019994508085</v>
      </c>
      <c r="G116" s="1">
        <f ca="1" xml:space="preserve"> (_xll.RiskPercentile('Climate A'!H$67,$H9) / 10^3) / (44/12)</f>
        <v>31.251424637121591</v>
      </c>
      <c r="H116" s="1">
        <f ca="1" xml:space="preserve"> (_xll.RiskPercentile('Climate A'!I$67,$H9) / 10^3) / (44/12)</f>
        <v>38.815682520503074</v>
      </c>
      <c r="I116" s="1">
        <f ca="1" xml:space="preserve"> (_xll.RiskPercentile('Climate A'!J$67,$H9) / 10^3) / (44/12)</f>
        <v>45.790727098233262</v>
      </c>
      <c r="J116" s="1">
        <f ca="1" xml:space="preserve"> (_xll.RiskPercentile('Climate A'!K$67,$H9) / 10^3) / (44/12)</f>
        <v>51.519640399528477</v>
      </c>
      <c r="K116" s="1">
        <f ca="1" xml:space="preserve"> (_xll.RiskPercentile('Climate A'!L$67,$H9) / 10^3) / (44/12)</f>
        <v>56.503366673978476</v>
      </c>
      <c r="L116" s="1">
        <f ca="1" xml:space="preserve"> (_xll.RiskPercentile('Climate A'!M$67,$H9) / 10^3) / (44/12)</f>
        <v>60.46397839502071</v>
      </c>
      <c r="M116" s="58" t="s">
        <v>501</v>
      </c>
      <c r="N116" s="4"/>
    </row>
    <row r="117" spans="1:14" x14ac:dyDescent="0.2">
      <c r="A117" s="3" t="s">
        <v>500</v>
      </c>
      <c r="B117" s="1"/>
      <c r="C117" s="1">
        <f ca="1" xml:space="preserve"> (_xll.RiskPercentile('Climate A'!D$67,$H10) / 10^3) / (44/12)</f>
        <v>14.933442945702611</v>
      </c>
      <c r="D117" s="1">
        <f ca="1" xml:space="preserve"> (_xll.RiskPercentile('Climate A'!E$67,$H10) / 10^3) / (44/12)</f>
        <v>17.092948538240009</v>
      </c>
      <c r="E117" s="1">
        <f ca="1" xml:space="preserve"> (_xll.RiskPercentile('Climate A'!F$67,$H10) / 10^3) / (44/12)</f>
        <v>19.775727644808899</v>
      </c>
      <c r="F117" s="1">
        <f ca="1" xml:space="preserve"> (_xll.RiskPercentile('Climate A'!G$67,$H10) / 10^3) / (44/12)</f>
        <v>27.17647384723336</v>
      </c>
      <c r="G117" s="1">
        <f ca="1" xml:space="preserve"> (_xll.RiskPercentile('Climate A'!H$67,$H10) / 10^3) / (44/12)</f>
        <v>36.814409228219638</v>
      </c>
      <c r="H117" s="1">
        <f ca="1" xml:space="preserve"> (_xll.RiskPercentile('Climate A'!I$67,$H10) / 10^3) / (44/12)</f>
        <v>46.26959826331948</v>
      </c>
      <c r="I117" s="1">
        <f ca="1" xml:space="preserve"> (_xll.RiskPercentile('Climate A'!J$67,$H10) / 10^3) / (44/12)</f>
        <v>55.114129367400125</v>
      </c>
      <c r="J117" s="1">
        <f ca="1" xml:space="preserve"> (_xll.RiskPercentile('Climate A'!K$67,$H10) / 10^3) / (44/12)</f>
        <v>62.179196697025787</v>
      </c>
      <c r="K117" s="1">
        <f ca="1" xml:space="preserve"> (_xll.RiskPercentile('Climate A'!L$67,$H10) / 10^3) / (44/12)</f>
        <v>68.088326475027316</v>
      </c>
      <c r="L117" s="1">
        <f ca="1" xml:space="preserve"> (_xll.RiskPercentile('Climate A'!M$67,$H10) / 10^3) / (44/12)</f>
        <v>72.793661306651899</v>
      </c>
      <c r="M117" s="58" t="s">
        <v>501</v>
      </c>
      <c r="N117" s="4"/>
    </row>
    <row r="118" spans="1:14" x14ac:dyDescent="0.2">
      <c r="A118" s="3"/>
      <c r="B118" s="1"/>
      <c r="C118" s="1"/>
      <c r="D118" s="1"/>
      <c r="E118" s="1"/>
      <c r="F118" s="1"/>
      <c r="G118" s="1"/>
      <c r="H118" s="1"/>
      <c r="I118" s="1"/>
      <c r="J118" s="1"/>
      <c r="K118" s="1"/>
      <c r="L118" s="1"/>
      <c r="M118" s="58"/>
      <c r="N118" s="4"/>
    </row>
    <row r="119" spans="1:14" x14ac:dyDescent="0.2">
      <c r="A119" s="3" t="s">
        <v>428</v>
      </c>
      <c r="B119" s="1"/>
      <c r="C119" s="1">
        <f ca="1" xml:space="preserve"> (_xll.RiskMean('Climate A'!D$67) / 10^3) / (44/12)</f>
        <v>13.332908036306188</v>
      </c>
      <c r="D119" s="1">
        <f ca="1" xml:space="preserve"> (_xll.RiskMean('Climate A'!E$67) / 10^3) / (44/12)</f>
        <v>14.983020166766726</v>
      </c>
      <c r="E119" s="1">
        <f ca="1" xml:space="preserve"> (_xll.RiskMean('Climate A'!F$67) / 10^3) / (44/12)</f>
        <v>16.877943967749633</v>
      </c>
      <c r="F119" s="1">
        <f ca="1" xml:space="preserve"> (_xll.RiskMean('Climate A'!G$67) / 10^3) / (44/12)</f>
        <v>21.915833981583017</v>
      </c>
      <c r="G119" s="1">
        <f ca="1" xml:space="preserve"> (_xll.RiskMean('Climate A'!H$67) / 10^3) / (44/12)</f>
        <v>28.45211996645471</v>
      </c>
      <c r="H119" s="1">
        <f ca="1" xml:space="preserve"> (_xll.RiskMean('Climate A'!I$67) / 10^3) / (44/12)</f>
        <v>35.018346726302887</v>
      </c>
      <c r="I119" s="1">
        <f ca="1" xml:space="preserve"> (_xll.RiskMean('Climate A'!J$67) / 10^3) / (44/12)</f>
        <v>41.279277683355176</v>
      </c>
      <c r="J119" s="1">
        <f ca="1" xml:space="preserve"> (_xll.RiskMean('Climate A'!K$67) / 10^3) / (44/12)</f>
        <v>46.423918626627788</v>
      </c>
      <c r="K119" s="1">
        <f ca="1" xml:space="preserve"> (_xll.RiskMean('Climate A'!L$67) / 10^3) / (44/12)</f>
        <v>50.832424519553982</v>
      </c>
      <c r="L119" s="1">
        <f ca="1" xml:space="preserve"> (_xll.RiskMean('Climate A'!M$67) / 10^3) / (44/12)</f>
        <v>54.512647098085772</v>
      </c>
      <c r="M119" s="58" t="s">
        <v>501</v>
      </c>
      <c r="N119" s="4"/>
    </row>
    <row r="120" spans="1:14" x14ac:dyDescent="0.2">
      <c r="A120" s="3" t="s">
        <v>765</v>
      </c>
      <c r="B120" s="1"/>
      <c r="C120" s="1">
        <f ca="1" xml:space="preserve"> (_xll.RiskStdDev('Climate A'!D$67) / 10^3) / (44/12)</f>
        <v>0.95271304150306724</v>
      </c>
      <c r="D120" s="1">
        <f ca="1" xml:space="preserve"> (_xll.RiskStdDev('Climate A'!E$67) / 10^3) / (44/12)</f>
        <v>1.2381379722984784</v>
      </c>
      <c r="E120" s="1">
        <f ca="1" xml:space="preserve"> (_xll.RiskStdDev('Climate A'!F$67) / 10^3) / (44/12)</f>
        <v>1.6496387060527655</v>
      </c>
      <c r="F120" s="1">
        <f ca="1" xml:space="preserve"> (_xll.RiskStdDev('Climate A'!G$67) / 10^3) / (44/12)</f>
        <v>2.9745678457844504</v>
      </c>
      <c r="G120" s="1">
        <f ca="1" xml:space="preserve"> (_xll.RiskStdDev('Climate A'!H$67) / 10^3) / (44/12)</f>
        <v>4.6211747023589895</v>
      </c>
      <c r="H120" s="1">
        <f ca="1" xml:space="preserve"> (_xll.RiskStdDev('Climate A'!I$67) / 10^3) / (44/12)</f>
        <v>6.2349824557868683</v>
      </c>
      <c r="I120" s="1">
        <f ca="1" xml:space="preserve"> (_xll.RiskStdDev('Climate A'!J$67) / 10^3) / (44/12)</f>
        <v>7.6142283769826218</v>
      </c>
      <c r="J120" s="1">
        <f ca="1" xml:space="preserve"> (_xll.RiskStdDev('Climate A'!K$67) / 10^3) / (44/12)</f>
        <v>8.6585587731488456</v>
      </c>
      <c r="K120" s="1">
        <f ca="1" xml:space="preserve"> (_xll.RiskStdDev('Climate A'!L$67) / 10^3) / (44/12)</f>
        <v>9.5408866958754199</v>
      </c>
      <c r="L120" s="1">
        <f ca="1" xml:space="preserve"> (_xll.RiskStdDev('Climate A'!M$67) / 10^3) / (44/12)</f>
        <v>10.140773484836648</v>
      </c>
      <c r="M120" s="58" t="s">
        <v>501</v>
      </c>
      <c r="N120" s="4"/>
    </row>
    <row r="121" spans="1:14" x14ac:dyDescent="0.2">
      <c r="A121" s="4"/>
      <c r="B121" s="4"/>
      <c r="C121" s="4"/>
      <c r="D121" s="4"/>
      <c r="E121" s="4"/>
      <c r="F121" s="4"/>
      <c r="G121" s="4"/>
      <c r="H121" s="4"/>
      <c r="I121" s="4"/>
      <c r="J121" s="4"/>
      <c r="K121" s="4"/>
      <c r="L121" s="4"/>
      <c r="M121" s="4"/>
      <c r="N121" s="4"/>
    </row>
    <row r="122" spans="1:14" x14ac:dyDescent="0.2">
      <c r="A122" s="5" t="s">
        <v>870</v>
      </c>
      <c r="B122" s="4"/>
      <c r="C122" s="4">
        <f t="array" ref="C122:L122">Y</f>
        <v>2020</v>
      </c>
      <c r="D122" s="4">
        <v>2025</v>
      </c>
      <c r="E122" s="4">
        <v>2030</v>
      </c>
      <c r="F122" s="4">
        <v>2040</v>
      </c>
      <c r="G122" s="4">
        <v>2050</v>
      </c>
      <c r="H122" s="4">
        <v>2060</v>
      </c>
      <c r="I122" s="4">
        <v>2070</v>
      </c>
      <c r="J122" s="4">
        <v>2080</v>
      </c>
      <c r="K122" s="4">
        <v>2090</v>
      </c>
      <c r="L122" s="4">
        <v>2100</v>
      </c>
      <c r="M122" s="59"/>
      <c r="N122" s="59"/>
    </row>
    <row r="123" spans="1:14" x14ac:dyDescent="0.2">
      <c r="A123" s="3" t="s">
        <v>499</v>
      </c>
      <c r="C123" s="1">
        <f ca="1" xml:space="preserve"> (_xll.RiskPercentile('Climate A'!D$70,$H6) / 10^3) / (16/12)</f>
        <v>0.49761864081152046</v>
      </c>
      <c r="D123" s="1">
        <f ca="1" xml:space="preserve"> (_xll.RiskPercentile('Climate A'!E$70,$H6) / 10^3) / (16/12)</f>
        <v>0.53583864134039094</v>
      </c>
      <c r="E123" s="1">
        <f ca="1" xml:space="preserve"> (_xll.RiskPercentile('Climate A'!F$70,$H6) / 10^3) / (16/12)</f>
        <v>0.57775197716508997</v>
      </c>
      <c r="F123" s="1">
        <f ca="1" xml:space="preserve"> (_xll.RiskPercentile('Climate A'!G$70,$H6) / 10^3) / (16/12)</f>
        <v>0.68376090698360126</v>
      </c>
      <c r="G123" s="1">
        <f ca="1" xml:space="preserve"> (_xll.RiskPercentile('Climate A'!H$70,$H6) / 10^3) / (16/12)</f>
        <v>0.81414483124493398</v>
      </c>
      <c r="H123" s="1">
        <f ca="1" xml:space="preserve"> (_xll.RiskPercentile('Climate A'!I$70,$H6) / 10^3) / (16/12)</f>
        <v>0.95145184170938979</v>
      </c>
      <c r="I123" s="1">
        <f ca="1" xml:space="preserve"> (_xll.RiskPercentile('Climate A'!J$70,$H6) / 10^3) / (16/12)</f>
        <v>1.0852436806932892</v>
      </c>
      <c r="J123" s="1">
        <f ca="1" xml:space="preserve"> (_xll.RiskPercentile('Climate A'!K$70,$H6) / 10^3) / (16/12)</f>
        <v>1.2083254201477289</v>
      </c>
      <c r="K123" s="1">
        <f ca="1" xml:space="preserve"> (_xll.RiskPercentile('Climate A'!L$70,$H6) / 10^3) / (16/12)</f>
        <v>1.3209287671412688</v>
      </c>
      <c r="L123" s="1">
        <f ca="1" xml:space="preserve"> (_xll.RiskPercentile('Climate A'!M$70,$H6) / 10^3) / (16/12)</f>
        <v>1.4293579270147696</v>
      </c>
      <c r="M123" s="58" t="s">
        <v>501</v>
      </c>
      <c r="N123" s="4" t="s">
        <v>508</v>
      </c>
    </row>
    <row r="124" spans="1:14" x14ac:dyDescent="0.2">
      <c r="A124" s="3" t="s">
        <v>727</v>
      </c>
      <c r="C124" s="1">
        <f ca="1" xml:space="preserve"> (_xll.RiskPercentile('Climate A'!D$70,$H7) / 10^3) / (16/12)</f>
        <v>0.63691137222762284</v>
      </c>
      <c r="D124" s="1">
        <f ca="1" xml:space="preserve"> (_xll.RiskPercentile('Climate A'!E$70,$H7) / 10^3) / (16/12)</f>
        <v>0.68323184250991942</v>
      </c>
      <c r="E124" s="1">
        <f ca="1" xml:space="preserve"> (_xll.RiskPercentile('Climate A'!F$70,$H7) / 10^3) / (16/12)</f>
        <v>0.73730699968134439</v>
      </c>
      <c r="F124" s="1">
        <f ca="1" xml:space="preserve"> (_xll.RiskPercentile('Climate A'!G$70,$H7) / 10^3) / (16/12)</f>
        <v>0.87230652208329784</v>
      </c>
      <c r="G124" s="1">
        <f ca="1" xml:space="preserve"> (_xll.RiskPercentile('Climate A'!H$70,$H7) / 10^3) / (16/12)</f>
        <v>1.0432719244927693</v>
      </c>
      <c r="H124" s="1">
        <f ca="1" xml:space="preserve"> (_xll.RiskPercentile('Climate A'!I$70,$H7) / 10^3) / (16/12)</f>
        <v>1.2245045699002639</v>
      </c>
      <c r="I124" s="1">
        <f ca="1" xml:space="preserve"> (_xll.RiskPercentile('Climate A'!J$70,$H7) / 10^3) / (16/12)</f>
        <v>1.4061630557816267</v>
      </c>
      <c r="J124" s="1">
        <f ca="1" xml:space="preserve"> (_xll.RiskPercentile('Climate A'!K$70,$H7) / 10^3) / (16/12)</f>
        <v>1.5737798413581625</v>
      </c>
      <c r="K124" s="1">
        <f ca="1" xml:space="preserve"> (_xll.RiskPercentile('Climate A'!L$70,$H7) / 10^3) / (16/12)</f>
        <v>1.7317526749130396</v>
      </c>
      <c r="L124" s="1">
        <f ca="1" xml:space="preserve"> (_xll.RiskPercentile('Climate A'!M$70,$H7) / 10^3) / (16/12)</f>
        <v>1.8789016013845032</v>
      </c>
      <c r="M124" s="58" t="s">
        <v>501</v>
      </c>
      <c r="N124" s="6"/>
    </row>
    <row r="125" spans="1:14" x14ac:dyDescent="0.2">
      <c r="A125" s="3" t="s">
        <v>572</v>
      </c>
      <c r="C125" s="1">
        <f ca="1" xml:space="preserve"> (_xll.RiskPercentile('Climate A'!D$70,$H8) / 10^3) / (16/12)</f>
        <v>0.74308740232472825</v>
      </c>
      <c r="D125" s="1">
        <f ca="1" xml:space="preserve"> (_xll.RiskPercentile('Climate A'!E$70,$H8) / 10^3) / (16/12)</f>
        <v>0.79698059244613073</v>
      </c>
      <c r="E125" s="1">
        <f ca="1" xml:space="preserve"> (_xll.RiskPercentile('Climate A'!F$70,$H8) / 10^3) / (16/12)</f>
        <v>0.85969240087383292</v>
      </c>
      <c r="F125" s="1">
        <f ca="1" xml:space="preserve"> (_xll.RiskPercentile('Climate A'!G$70,$H8) / 10^3) / (16/12)</f>
        <v>1.0236423403866324</v>
      </c>
      <c r="G125" s="1">
        <f ca="1" xml:space="preserve"> (_xll.RiskPercentile('Climate A'!H$70,$H8) / 10^3) / (16/12)</f>
        <v>1.2291316452070065</v>
      </c>
      <c r="H125" s="1">
        <f ca="1" xml:space="preserve"> (_xll.RiskPercentile('Climate A'!I$70,$H8) / 10^3) / (16/12)</f>
        <v>1.4501407745478454</v>
      </c>
      <c r="I125" s="1">
        <f ca="1" xml:space="preserve"> (_xll.RiskPercentile('Climate A'!J$70,$H8) / 10^3) / (16/12)</f>
        <v>1.6745893516152912</v>
      </c>
      <c r="J125" s="1">
        <f ca="1" xml:space="preserve"> (_xll.RiskPercentile('Climate A'!K$70,$H8) / 10^3) / (16/12)</f>
        <v>1.8856321469906976</v>
      </c>
      <c r="K125" s="1">
        <f ca="1" xml:space="preserve"> (_xll.RiskPercentile('Climate A'!L$70,$H8) / 10^3) / (16/12)</f>
        <v>2.0828393074284426</v>
      </c>
      <c r="L125" s="1">
        <f ca="1" xml:space="preserve"> (_xll.RiskPercentile('Climate A'!M$70,$H8) / 10^3) / (16/12)</f>
        <v>2.2701444143531915</v>
      </c>
      <c r="M125" s="58" t="s">
        <v>501</v>
      </c>
      <c r="N125" s="6"/>
    </row>
    <row r="126" spans="1:14" x14ac:dyDescent="0.2">
      <c r="A126" s="3" t="s">
        <v>728</v>
      </c>
      <c r="C126" s="1">
        <f ca="1" xml:space="preserve"> (_xll.RiskPercentile('Climate A'!D$70,$H9) / 10^3) / (16/12)</f>
        <v>0.85622260007272144</v>
      </c>
      <c r="D126" s="1">
        <f ca="1" xml:space="preserve"> (_xll.RiskPercentile('Climate A'!E$70,$H9) / 10^3) / (16/12)</f>
        <v>0.91931196277360128</v>
      </c>
      <c r="E126" s="1">
        <f ca="1" xml:space="preserve"> (_xll.RiskPercentile('Climate A'!F$70,$H9) / 10^3) / (16/12)</f>
        <v>0.99453489533934181</v>
      </c>
      <c r="F126" s="1">
        <f ca="1" xml:space="preserve"> (_xll.RiskPercentile('Climate A'!G$70,$H9) / 10^3) / (16/12)</f>
        <v>1.1838587394639291</v>
      </c>
      <c r="G126" s="1">
        <f ca="1" xml:space="preserve"> (_xll.RiskPercentile('Climate A'!H$70,$H9) / 10^3) / (16/12)</f>
        <v>1.4382204606547284</v>
      </c>
      <c r="H126" s="1">
        <f ca="1" xml:space="preserve"> (_xll.RiskPercentile('Climate A'!I$70,$H9) / 10^3) / (16/12)</f>
        <v>1.711431374024557</v>
      </c>
      <c r="I126" s="1">
        <f ca="1" xml:space="preserve"> (_xll.RiskPercentile('Climate A'!J$70,$H9) / 10^3) / (16/12)</f>
        <v>1.991803035586063</v>
      </c>
      <c r="J126" s="1">
        <f ca="1" xml:space="preserve"> (_xll.RiskPercentile('Climate A'!K$70,$H9) / 10^3) / (16/12)</f>
        <v>2.2566507031140062</v>
      </c>
      <c r="K126" s="1">
        <f ca="1" xml:space="preserve"> (_xll.RiskPercentile('Climate A'!L$70,$H9) / 10^3) / (16/12)</f>
        <v>2.500268657056266</v>
      </c>
      <c r="L126" s="1">
        <f ca="1" xml:space="preserve"> (_xll.RiskPercentile('Climate A'!M$70,$H9) / 10^3) / (16/12)</f>
        <v>2.7285996450012799</v>
      </c>
      <c r="M126" s="58" t="s">
        <v>501</v>
      </c>
      <c r="N126" s="4"/>
    </row>
    <row r="127" spans="1:14" x14ac:dyDescent="0.2">
      <c r="A127" s="3" t="s">
        <v>500</v>
      </c>
      <c r="C127" s="1">
        <f ca="1" xml:space="preserve"> (_xll.RiskPercentile('Climate A'!D$70,$H10) / 10^3) / (16/12)</f>
        <v>1.0146485570305606</v>
      </c>
      <c r="D127" s="1">
        <f ca="1" xml:space="preserve"> (_xll.RiskPercentile('Climate A'!E$70,$H10) / 10^3) / (16/12)</f>
        <v>1.0904412032406496</v>
      </c>
      <c r="E127" s="1">
        <f ca="1" xml:space="preserve"> (_xll.RiskPercentile('Climate A'!F$70,$H10) / 10^3) / (16/12)</f>
        <v>1.1788039943529043</v>
      </c>
      <c r="F127" s="1">
        <f ca="1" xml:space="preserve"> (_xll.RiskPercentile('Climate A'!G$70,$H10) / 10^3) / (16/12)</f>
        <v>1.432089783782118</v>
      </c>
      <c r="G127" s="1">
        <f ca="1" xml:space="preserve"> (_xll.RiskPercentile('Climate A'!H$70,$H10) / 10^3) / (16/12)</f>
        <v>1.7735260484749167</v>
      </c>
      <c r="H127" s="1">
        <f ca="1" xml:space="preserve"> (_xll.RiskPercentile('Climate A'!I$70,$H10) / 10^3) / (16/12)</f>
        <v>2.1510868350897652</v>
      </c>
      <c r="I127" s="1">
        <f ca="1" xml:space="preserve"> (_xll.RiskPercentile('Climate A'!J$70,$H10) / 10^3) / (16/12)</f>
        <v>2.5425560722333529</v>
      </c>
      <c r="J127" s="1">
        <f ca="1" xml:space="preserve"> (_xll.RiskPercentile('Climate A'!K$70,$H10) / 10^3) / (16/12)</f>
        <v>2.8979439695913558</v>
      </c>
      <c r="K127" s="1">
        <f ca="1" xml:space="preserve"> (_xll.RiskPercentile('Climate A'!L$70,$H10) / 10^3) / (16/12)</f>
        <v>3.2378362424534215</v>
      </c>
      <c r="L127" s="1">
        <f ca="1" xml:space="preserve"> (_xll.RiskPercentile('Climate A'!M$70,$H10) / 10^3) / (16/12)</f>
        <v>3.5418509105272631</v>
      </c>
      <c r="M127" s="58" t="s">
        <v>501</v>
      </c>
      <c r="N127" s="4"/>
    </row>
    <row r="128" spans="1:14" x14ac:dyDescent="0.2">
      <c r="A128" s="3"/>
      <c r="B128" s="1"/>
      <c r="C128" s="1"/>
      <c r="D128" s="1"/>
      <c r="E128" s="1"/>
      <c r="F128" s="1"/>
      <c r="G128" s="1"/>
      <c r="H128" s="1"/>
      <c r="I128" s="1"/>
      <c r="J128" s="1"/>
      <c r="K128" s="1"/>
      <c r="L128" s="1"/>
      <c r="M128" s="58"/>
      <c r="N128" s="4"/>
    </row>
    <row r="129" spans="1:14" x14ac:dyDescent="0.2">
      <c r="A129" s="3" t="s">
        <v>428</v>
      </c>
      <c r="B129" s="1"/>
      <c r="C129" s="1">
        <f ca="1" xml:space="preserve"> (_xll.RiskMean('Climate A'!D$70) / 10^3) / (16/12)</f>
        <v>0.74859322326313082</v>
      </c>
      <c r="D129" s="1">
        <f ca="1" xml:space="preserve"> (_xll.RiskMean('Climate A'!E$70) / 10^3) / (16/12)</f>
        <v>0.80396765002159332</v>
      </c>
      <c r="E129" s="1">
        <f ca="1" xml:space="preserve"> (_xll.RiskMean('Climate A'!F$70) / 10^3) / (16/12)</f>
        <v>0.86776811194161441</v>
      </c>
      <c r="F129" s="1">
        <f ca="1" xml:space="preserve"> (_xll.RiskMean('Climate A'!G$70) / 10^3) / (16/12)</f>
        <v>1.0358856285005873</v>
      </c>
      <c r="G129" s="1">
        <f ca="1" xml:space="preserve"> (_xll.RiskMean('Climate A'!H$70) / 10^3) / (16/12)</f>
        <v>1.2549383825549343</v>
      </c>
      <c r="H129" s="1">
        <f ca="1" xml:space="preserve"> (_xll.RiskMean('Climate A'!I$70) / 10^3) / (16/12)</f>
        <v>1.4884052116838395</v>
      </c>
      <c r="I129" s="1">
        <f ca="1" xml:space="preserve"> (_xll.RiskMean('Climate A'!J$70) / 10^3) / (16/12)</f>
        <v>1.7272886172351853</v>
      </c>
      <c r="J129" s="1">
        <f ca="1" xml:space="preserve"> (_xll.RiskMean('Climate A'!K$70) / 10^3) / (16/12)</f>
        <v>1.9480789724380534</v>
      </c>
      <c r="K129" s="1">
        <f ca="1" xml:space="preserve"> (_xll.RiskMean('Climate A'!L$70) / 10^3) / (16/12)</f>
        <v>2.1559013646558034</v>
      </c>
      <c r="L129" s="1">
        <f ca="1" xml:space="preserve"> (_xll.RiskMean('Climate A'!M$70) / 10^3) / (16/12)</f>
        <v>2.348195169246635</v>
      </c>
      <c r="M129" s="58" t="s">
        <v>501</v>
      </c>
      <c r="N129" s="4"/>
    </row>
    <row r="130" spans="1:14" x14ac:dyDescent="0.2">
      <c r="A130" s="3" t="s">
        <v>765</v>
      </c>
      <c r="B130" s="1"/>
      <c r="C130" s="1">
        <f ca="1" xml:space="preserve"> (_xll.RiskStdDev('Climate A'!D$70) / 10^3) / (16/12)</f>
        <v>0.15595901670719006</v>
      </c>
      <c r="D130" s="1">
        <f ca="1" xml:space="preserve"> (_xll.RiskStdDev('Climate A'!E$70) / 10^3) / (16/12)</f>
        <v>0.16786664508915008</v>
      </c>
      <c r="E130" s="1">
        <f ca="1" xml:space="preserve"> (_xll.RiskStdDev('Climate A'!F$70) / 10^3) / (16/12)</f>
        <v>0.18285150142769147</v>
      </c>
      <c r="F130" s="1">
        <f ca="1" xml:space="preserve"> (_xll.RiskStdDev('Climate A'!G$70) / 10^3) / (16/12)</f>
        <v>0.22848276252876715</v>
      </c>
      <c r="G130" s="1">
        <f ca="1" xml:space="preserve"> (_xll.RiskStdDev('Climate A'!H$70) / 10^3) / (16/12)</f>
        <v>0.29611358535467314</v>
      </c>
      <c r="H130" s="1">
        <f ca="1" xml:space="preserve"> (_xll.RiskStdDev('Climate A'!I$70) / 10^3) / (16/12)</f>
        <v>0.37233494066506667</v>
      </c>
      <c r="I130" s="1">
        <f ca="1" xml:space="preserve"> (_xll.RiskStdDev('Climate A'!J$70) / 10^3) / (16/12)</f>
        <v>0.45170363245204437</v>
      </c>
      <c r="J130" s="1">
        <f ca="1" xml:space="preserve"> (_xll.RiskStdDev('Climate A'!K$70) / 10^3) / (16/12)</f>
        <v>0.52548493518806882</v>
      </c>
      <c r="K130" s="1">
        <f ca="1" xml:space="preserve"> (_xll.RiskStdDev('Climate A'!L$70) / 10^3) / (16/12)</f>
        <v>0.59395508059832713</v>
      </c>
      <c r="L130" s="1">
        <f ca="1" xml:space="preserve"> (_xll.RiskStdDev('Climate A'!M$70) / 10^3) / (16/12)</f>
        <v>0.65612677928771812</v>
      </c>
      <c r="M130" s="58" t="s">
        <v>501</v>
      </c>
      <c r="N130" s="4"/>
    </row>
    <row r="132" spans="1:14" x14ac:dyDescent="0.2">
      <c r="A132" s="2" t="s">
        <v>920</v>
      </c>
      <c r="C132">
        <f t="array" ref="C132:L132">Y</f>
        <v>2020</v>
      </c>
      <c r="D132">
        <v>2025</v>
      </c>
      <c r="E132">
        <v>2030</v>
      </c>
      <c r="F132">
        <v>2040</v>
      </c>
      <c r="G132">
        <v>2050</v>
      </c>
      <c r="H132">
        <v>2060</v>
      </c>
      <c r="I132">
        <v>2070</v>
      </c>
      <c r="J132">
        <v>2080</v>
      </c>
      <c r="K132">
        <v>2090</v>
      </c>
      <c r="L132">
        <v>2100</v>
      </c>
    </row>
    <row r="133" spans="1:14" x14ac:dyDescent="0.2">
      <c r="A133" s="3" t="s">
        <v>499</v>
      </c>
      <c r="B133" s="156"/>
      <c r="C133" s="156">
        <f ca="1">_xll.RiskPercentile('Climate A'!D$201,$H6)</f>
        <v>-0.21173594409585939</v>
      </c>
      <c r="D133" s="156">
        <f ca="1">_xll.RiskPercentile('Climate A'!E$201,$H6)</f>
        <v>-0.2262354881915063</v>
      </c>
      <c r="E133" s="156">
        <f ca="1">_xll.RiskPercentile('Climate A'!F$201,$H6)</f>
        <v>-0.30350918590385711</v>
      </c>
      <c r="F133" s="156">
        <f ca="1">_xll.RiskPercentile('Climate A'!G$201,$H6)</f>
        <v>-0.33388593533577926</v>
      </c>
      <c r="G133" s="156">
        <f ca="1">_xll.RiskPercentile('Climate A'!H$201,$H6)</f>
        <v>-0.33625277341175475</v>
      </c>
      <c r="H133" s="156">
        <f ca="1">_xll.RiskPercentile('Climate A'!I$201,$H6)</f>
        <v>-0.42960020916885988</v>
      </c>
      <c r="I133" s="156">
        <f ca="1">_xll.RiskPercentile('Climate A'!J$201,$H6)</f>
        <v>-0.4546001709424875</v>
      </c>
      <c r="J133" s="156">
        <f ca="1">_xll.RiskPercentile('Climate A'!K$201,$H6)</f>
        <v>-0.50886630288612444</v>
      </c>
      <c r="K133" s="156">
        <f ca="1">_xll.RiskPercentile('Climate A'!L$201,$H6)</f>
        <v>-0.52835986145810532</v>
      </c>
      <c r="L133" s="156">
        <f ca="1">_xll.RiskPercentile('Climate A'!M$201,$H6)</f>
        <v>-0.53669532417988508</v>
      </c>
      <c r="N133" s="4" t="s">
        <v>508</v>
      </c>
    </row>
    <row r="134" spans="1:14" x14ac:dyDescent="0.2">
      <c r="A134" s="3" t="s">
        <v>727</v>
      </c>
      <c r="B134" s="156"/>
      <c r="C134" s="156">
        <f ca="1">_xll.RiskPercentile('Climate A'!D$201,$H7)</f>
        <v>-7.2631885286700615E-2</v>
      </c>
      <c r="D134" s="156">
        <f ca="1">_xll.RiskPercentile('Climate A'!E$201,$H7)</f>
        <v>-9.2283637206680424E-2</v>
      </c>
      <c r="E134" s="156">
        <f ca="1">_xll.RiskPercentile('Climate A'!F$201,$H7)</f>
        <v>-0.12693608318394134</v>
      </c>
      <c r="F134" s="156">
        <f ca="1">_xll.RiskPercentile('Climate A'!G$201,$H7)</f>
        <v>-0.13309431583158948</v>
      </c>
      <c r="G134" s="156">
        <f ca="1">_xll.RiskPercentile('Climate A'!H$201,$H7)</f>
        <v>-0.12687658165903581</v>
      </c>
      <c r="H134" s="156">
        <f ca="1">_xll.RiskPercentile('Climate A'!I$201,$H7)</f>
        <v>-0.21831956734506397</v>
      </c>
      <c r="I134" s="156">
        <f ca="1">_xll.RiskPercentile('Climate A'!J$201,$H7)</f>
        <v>-0.24752150366068204</v>
      </c>
      <c r="J134" s="156">
        <f ca="1">_xll.RiskPercentile('Climate A'!K$201,$H7)</f>
        <v>-0.29321546709799495</v>
      </c>
      <c r="K134" s="156">
        <f ca="1">_xll.RiskPercentile('Climate A'!L$201,$H7)</f>
        <v>-0.30965727491523898</v>
      </c>
      <c r="L134" s="156">
        <f ca="1">_xll.RiskPercentile('Climate A'!M$201,$H7)</f>
        <v>-0.31496302302476531</v>
      </c>
    </row>
    <row r="135" spans="1:14" x14ac:dyDescent="0.2">
      <c r="A135" s="3" t="s">
        <v>572</v>
      </c>
      <c r="B135" s="170"/>
      <c r="C135" s="156">
        <f ca="1">_xll.RiskPercentile('Climate A'!D$201,$H8)</f>
        <v>2.5275711527289246E-2</v>
      </c>
      <c r="D135" s="156">
        <f ca="1">_xll.RiskPercentile('Climate A'!E$201,$H8)</f>
        <v>1.5146781202981963E-2</v>
      </c>
      <c r="E135" s="156">
        <f ca="1">_xll.RiskPercentile('Climate A'!F$201,$H8)</f>
        <v>1.1688608285538971E-2</v>
      </c>
      <c r="F135" s="156">
        <f ca="1">_xll.RiskPercentile('Climate A'!G$201,$H8)</f>
        <v>2.6499142360373096E-2</v>
      </c>
      <c r="G135" s="156">
        <f ca="1">_xll.RiskPercentile('Climate A'!H$201,$H8)</f>
        <v>4.9720308726953988E-2</v>
      </c>
      <c r="H135" s="156">
        <f ca="1">_xll.RiskPercentile('Climate A'!I$201,$H8)</f>
        <v>-3.4904371864156847E-2</v>
      </c>
      <c r="I135" s="156">
        <f ca="1">_xll.RiskPercentile('Climate A'!J$201,$H8)</f>
        <v>-6.9217804469964173E-2</v>
      </c>
      <c r="J135" s="156">
        <f ca="1">_xll.RiskPercentile('Climate A'!K$201,$H8)</f>
        <v>-0.11506212795799742</v>
      </c>
      <c r="K135" s="156">
        <f ca="1">_xll.RiskPercentile('Climate A'!L$201,$H8)</f>
        <v>-0.1181015265022527</v>
      </c>
      <c r="L135" s="156">
        <f ca="1">_xll.RiskPercentile('Climate A'!M$201,$H8)</f>
        <v>-0.11643863233351781</v>
      </c>
    </row>
    <row r="136" spans="1:14" x14ac:dyDescent="0.2">
      <c r="A136" s="3" t="s">
        <v>728</v>
      </c>
      <c r="B136" s="156"/>
      <c r="C136" s="156">
        <f ca="1">_xll.RiskPercentile('Climate A'!D$201,$H9)</f>
        <v>0.12990768264112362</v>
      </c>
      <c r="D136" s="156">
        <f ca="1">_xll.RiskPercentile('Climate A'!E$201,$H9)</f>
        <v>0.132562956860242</v>
      </c>
      <c r="E136" s="156">
        <f ca="1">_xll.RiskPercentile('Climate A'!F$201,$H9)</f>
        <v>0.1712495405108474</v>
      </c>
      <c r="F136" s="156">
        <f ca="1">_xll.RiskPercentile('Climate A'!G$201,$H9)</f>
        <v>0.22149618021260853</v>
      </c>
      <c r="G136" s="156">
        <f ca="1">_xll.RiskPercentile('Climate A'!H$201,$H9)</f>
        <v>0.26206843965858395</v>
      </c>
      <c r="H136" s="156">
        <f ca="1">_xll.RiskPercentile('Climate A'!I$201,$H9)</f>
        <v>0.19016669449291035</v>
      </c>
      <c r="I136" s="156">
        <f ca="1">_xll.RiskPercentile('Climate A'!J$201,$H9)</f>
        <v>0.15016955066034798</v>
      </c>
      <c r="J136" s="156">
        <f ca="1">_xll.RiskPercentile('Climate A'!K$201,$H9)</f>
        <v>0.11248334036637142</v>
      </c>
      <c r="K136" s="156">
        <f ca="1">_xll.RiskPercentile('Climate A'!L$201,$H9)</f>
        <v>0.12303968306098212</v>
      </c>
      <c r="L136" s="156">
        <f ca="1">_xll.RiskPercentile('Climate A'!M$201,$H9)</f>
        <v>0.13506296854982369</v>
      </c>
    </row>
    <row r="137" spans="1:14" x14ac:dyDescent="0.2">
      <c r="A137" s="3" t="s">
        <v>500</v>
      </c>
      <c r="B137" s="156"/>
      <c r="C137" s="156">
        <f ca="1">_xll.RiskPercentile('Climate A'!D$201,$H10)</f>
        <v>0.28496355727467604</v>
      </c>
      <c r="D137" s="156">
        <f ca="1">_xll.RiskPercentile('Climate A'!E$201,$H10)</f>
        <v>0.31633652645749888</v>
      </c>
      <c r="E137" s="156">
        <f ca="1">_xll.RiskPercentile('Climate A'!F$201,$H10)</f>
        <v>0.45736523375801941</v>
      </c>
      <c r="F137" s="156">
        <f ca="1">_xll.RiskPercentile('Climate A'!G$201,$H10)</f>
        <v>0.58216869190674791</v>
      </c>
      <c r="G137" s="156">
        <f ca="1">_xll.RiskPercentile('Climate A'!H$201,$H10)</f>
        <v>0.67349523943217759</v>
      </c>
      <c r="H137" s="156">
        <f ca="1">_xll.RiskPercentile('Climate A'!I$201,$H10)</f>
        <v>0.62086915324933489</v>
      </c>
      <c r="I137" s="156">
        <f ca="1">_xll.RiskPercentile('Climate A'!J$201,$H10)</f>
        <v>0.5944531944306759</v>
      </c>
      <c r="J137" s="156">
        <f ca="1">_xll.RiskPercentile('Climate A'!K$201,$H10)</f>
        <v>0.56195725118297135</v>
      </c>
      <c r="K137" s="156">
        <f ca="1">_xll.RiskPercentile('Climate A'!L$201,$H10)</f>
        <v>0.59105087244095666</v>
      </c>
      <c r="L137" s="156">
        <f ca="1">_xll.RiskPercentile('Climate A'!M$201,$H10)</f>
        <v>0.63454908689909728</v>
      </c>
    </row>
    <row r="139" spans="1:14" x14ac:dyDescent="0.2">
      <c r="A139" s="2" t="s">
        <v>922</v>
      </c>
      <c r="C139">
        <f t="array" ref="C139:L139">Y</f>
        <v>2020</v>
      </c>
      <c r="D139">
        <v>2025</v>
      </c>
      <c r="E139">
        <v>2030</v>
      </c>
      <c r="F139">
        <v>2040</v>
      </c>
      <c r="G139">
        <v>2050</v>
      </c>
      <c r="H139">
        <v>2060</v>
      </c>
      <c r="I139">
        <v>2070</v>
      </c>
      <c r="J139">
        <v>2080</v>
      </c>
      <c r="K139">
        <v>2090</v>
      </c>
      <c r="L139">
        <v>2100</v>
      </c>
    </row>
    <row r="140" spans="1:14" x14ac:dyDescent="0.2">
      <c r="A140" s="3" t="s">
        <v>499</v>
      </c>
      <c r="B140" s="1"/>
      <c r="C140" s="1">
        <f ca="1">_xll.RiskPercentile('Climate A'!D$200,$H6)</f>
        <v>2.4564037547785134E-3</v>
      </c>
      <c r="D140" s="1">
        <f ca="1">_xll.RiskPercentile('Climate A'!E$200,$H6)</f>
        <v>1.4683992436710369E-3</v>
      </c>
      <c r="E140" s="1">
        <f ca="1">_xll.RiskPercentile('Climate A'!F$200,$H6)</f>
        <v>-4.7012313840333331E-4</v>
      </c>
      <c r="F140" s="1">
        <f ca="1">_xll.RiskPercentile('Climate A'!G$200,$H6)</f>
        <v>-7.0963360681216558E-3</v>
      </c>
      <c r="G140" s="1">
        <f ca="1">_xll.RiskPercentile('Climate A'!H$200,$H6)</f>
        <v>-2.0416132553369715E-2</v>
      </c>
      <c r="H140" s="1">
        <f ca="1">_xll.RiskPercentile('Climate A'!I$200,$H6)</f>
        <v>-2.9423304784399806E-2</v>
      </c>
      <c r="I140" s="1">
        <f ca="1">_xll.RiskPercentile('Climate A'!J$200,$H6)</f>
        <v>-3.3007732096607567E-2</v>
      </c>
      <c r="J140" s="1">
        <f ca="1">_xll.RiskPercentile('Climate A'!K$200,$H6)</f>
        <v>-2.8784912201679225E-2</v>
      </c>
      <c r="K140" s="1">
        <f ca="1">_xll.RiskPercentile('Climate A'!L$200,$H6)</f>
        <v>-2.6366711131760479E-2</v>
      </c>
      <c r="L140" s="1">
        <f ca="1">_xll.RiskPercentile('Climate A'!M$200,$H6)</f>
        <v>-2.2135165681566704E-2</v>
      </c>
      <c r="M140" s="3" t="s">
        <v>42</v>
      </c>
    </row>
    <row r="141" spans="1:14" x14ac:dyDescent="0.2">
      <c r="A141" s="3" t="s">
        <v>727</v>
      </c>
      <c r="B141" s="1"/>
      <c r="C141" s="1">
        <f ca="1">_xll.RiskPercentile('Climate A'!D$200,$H7)</f>
        <v>6.8645108583631487E-3</v>
      </c>
      <c r="D141" s="1">
        <f ca="1">_xll.RiskPercentile('Climate A'!E$200,$H7)</f>
        <v>6.6409052807613334E-3</v>
      </c>
      <c r="E141" s="1">
        <f ca="1">_xll.RiskPercentile('Climate A'!F$200,$H7)</f>
        <v>5.7668371419509201E-3</v>
      </c>
      <c r="F141" s="1">
        <f ca="1">_xll.RiskPercentile('Climate A'!G$200,$H7)</f>
        <v>2.3045753579974404E-3</v>
      </c>
      <c r="G141" s="1">
        <f ca="1">_xll.RiskPercentile('Climate A'!H$200,$H7)</f>
        <v>-5.0239404508980456E-3</v>
      </c>
      <c r="H141" s="1">
        <f ca="1">_xll.RiskPercentile('Climate A'!I$200,$H7)</f>
        <v>-9.0170820707291544E-3</v>
      </c>
      <c r="I141" s="1">
        <f ca="1">_xll.RiskPercentile('Climate A'!J$200,$H7)</f>
        <v>-1.0708245080796153E-2</v>
      </c>
      <c r="J141" s="1">
        <f ca="1">_xll.RiskPercentile('Climate A'!K$200,$H7)</f>
        <v>-7.9259807600207122E-3</v>
      </c>
      <c r="K141" s="1">
        <f ca="1">_xll.RiskPercentile('Climate A'!L$200,$H7)</f>
        <v>-6.1929878730845322E-3</v>
      </c>
      <c r="L141" s="1">
        <f ca="1">_xll.RiskPercentile('Climate A'!M$200,$H7)</f>
        <v>-3.8471766554701858E-3</v>
      </c>
      <c r="M141" s="3" t="s">
        <v>42</v>
      </c>
    </row>
    <row r="142" spans="1:14" x14ac:dyDescent="0.2">
      <c r="A142" s="3" t="s">
        <v>572</v>
      </c>
      <c r="B142" s="1"/>
      <c r="C142" s="1">
        <f ca="1">_xll.RiskPercentile('Climate A'!D$200,$H8)</f>
        <v>1.0743573206904056E-2</v>
      </c>
      <c r="D142" s="1">
        <f ca="1">_xll.RiskPercentile('Climate A'!E$200,$H8)</f>
        <v>1.1042303967213951E-2</v>
      </c>
      <c r="E142" s="1">
        <f ca="1">_xll.RiskPercentile('Climate A'!F$200,$H8)</f>
        <v>1.0808485353580366E-2</v>
      </c>
      <c r="F142" s="1">
        <f ca="1">_xll.RiskPercentile('Climate A'!G$200,$H8)</f>
        <v>8.9081515641644682E-3</v>
      </c>
      <c r="G142" s="1">
        <f ca="1">_xll.RiskPercentile('Climate A'!H$200,$H8)</f>
        <v>4.2290171858769821E-3</v>
      </c>
      <c r="H142" s="1">
        <f ca="1">_xll.RiskPercentile('Climate A'!I$200,$H8)</f>
        <v>2.210317106352333E-3</v>
      </c>
      <c r="I142" s="1">
        <f ca="1">_xll.RiskPercentile('Climate A'!J$200,$H8)</f>
        <v>1.1212348066569344E-3</v>
      </c>
      <c r="J142" s="1">
        <f ca="1">_xll.RiskPercentile('Climate A'!K$200,$H8)</f>
        <v>3.020426525575215E-3</v>
      </c>
      <c r="K142" s="1">
        <f ca="1">_xll.RiskPercentile('Climate A'!L$200,$H8)</f>
        <v>4.2130102166915151E-3</v>
      </c>
      <c r="L142" s="1">
        <f ca="1">_xll.RiskPercentile('Climate A'!M$200,$H8)</f>
        <v>5.558263703832278E-3</v>
      </c>
      <c r="M142" s="3" t="s">
        <v>42</v>
      </c>
    </row>
    <row r="143" spans="1:14" x14ac:dyDescent="0.2">
      <c r="A143" s="3" t="s">
        <v>728</v>
      </c>
      <c r="B143" s="1"/>
      <c r="C143" s="1">
        <f ca="1">_xll.RiskPercentile('Climate A'!D$200,$H9)</f>
        <v>1.5576454100020953E-2</v>
      </c>
      <c r="D143" s="1">
        <f ca="1">_xll.RiskPercentile('Climate A'!E$200,$H9)</f>
        <v>1.6624070867478968E-2</v>
      </c>
      <c r="E143" s="1">
        <f ca="1">_xll.RiskPercentile('Climate A'!F$200,$H9)</f>
        <v>1.6907098031134715E-2</v>
      </c>
      <c r="F143" s="1">
        <f ca="1">_xll.RiskPercentile('Climate A'!G$200,$H9)</f>
        <v>1.6661224244924833E-2</v>
      </c>
      <c r="G143" s="1">
        <f ca="1">_xll.RiskPercentile('Climate A'!H$200,$H9)</f>
        <v>1.3723463317515949E-2</v>
      </c>
      <c r="H143" s="1">
        <f ca="1">_xll.RiskPercentile('Climate A'!I$200,$H9)</f>
        <v>1.2339743871004338E-2</v>
      </c>
      <c r="I143" s="1">
        <f ca="1">_xll.RiskPercentile('Climate A'!J$200,$H9)</f>
        <v>1.164590037618729E-2</v>
      </c>
      <c r="J143" s="1">
        <f ca="1">_xll.RiskPercentile('Climate A'!K$200,$H9)</f>
        <v>1.2750456852073211E-2</v>
      </c>
      <c r="K143" s="1">
        <f ca="1">_xll.RiskPercentile('Climate A'!L$200,$H9)</f>
        <v>1.3486474612213639E-2</v>
      </c>
      <c r="L143" s="1">
        <f ca="1">_xll.RiskPercentile('Climate A'!M$200,$H9)</f>
        <v>1.4244266062251043E-2</v>
      </c>
      <c r="M143" s="3" t="s">
        <v>42</v>
      </c>
    </row>
    <row r="144" spans="1:14" x14ac:dyDescent="0.2">
      <c r="A144" s="3" t="s">
        <v>500</v>
      </c>
      <c r="B144" s="1"/>
      <c r="C144" s="1">
        <f ca="1">_xll.RiskPercentile('Climate A'!D$200,$H10)</f>
        <v>2.4737181313687184E-2</v>
      </c>
      <c r="D144" s="1">
        <f ca="1">_xll.RiskPercentile('Climate A'!E$200,$H10)</f>
        <v>2.6805790075748959E-2</v>
      </c>
      <c r="E144" s="1">
        <f ca="1">_xll.RiskPercentile('Climate A'!F$200,$H10)</f>
        <v>2.8807416436541167E-2</v>
      </c>
      <c r="F144" s="1">
        <f ca="1">_xll.RiskPercentile('Climate A'!G$200,$H10)</f>
        <v>3.0696068920147423E-2</v>
      </c>
      <c r="G144" s="1">
        <f ca="1">_xll.RiskPercentile('Climate A'!H$200,$H10)</f>
        <v>3.0833565366757298E-2</v>
      </c>
      <c r="H144" s="1">
        <f ca="1">_xll.RiskPercentile('Climate A'!I$200,$H10)</f>
        <v>2.9790160772357188E-2</v>
      </c>
      <c r="I144" s="1">
        <f ca="1">_xll.RiskPercentile('Climate A'!J$200,$H10)</f>
        <v>2.9190295177870529E-2</v>
      </c>
      <c r="J144" s="1">
        <f ca="1">_xll.RiskPercentile('Climate A'!K$200,$H10)</f>
        <v>2.9733522826508096E-2</v>
      </c>
      <c r="K144" s="1">
        <f ca="1">_xll.RiskPercentile('Climate A'!L$200,$H10)</f>
        <v>2.9694150058021895E-2</v>
      </c>
      <c r="L144" s="1">
        <f ca="1">_xll.RiskPercentile('Climate A'!M$200,$H10)</f>
        <v>2.9837597033563035E-2</v>
      </c>
      <c r="M144" s="3" t="s">
        <v>42</v>
      </c>
    </row>
    <row r="145" spans="1:13" x14ac:dyDescent="0.2">
      <c r="A145" s="3"/>
      <c r="B145" s="1"/>
      <c r="C145" s="1"/>
      <c r="D145" s="1"/>
      <c r="E145" s="1"/>
      <c r="F145" s="1"/>
      <c r="G145" s="1"/>
      <c r="H145" s="1"/>
      <c r="I145" s="1"/>
      <c r="J145" s="1"/>
      <c r="K145" s="1"/>
      <c r="L145" s="1"/>
      <c r="M145" s="3"/>
    </row>
    <row r="146" spans="1:13" x14ac:dyDescent="0.2">
      <c r="A146" s="3" t="s">
        <v>428</v>
      </c>
      <c r="B146" s="1"/>
      <c r="C146" s="1">
        <f ca="1">_xll.RiskMean('Climate A'!D$200)</f>
        <v>1.1815272737403128E-2</v>
      </c>
      <c r="D146" s="1">
        <f ca="1">_xll.RiskMean('Climate A'!E$200)</f>
        <v>1.2243702296824886E-2</v>
      </c>
      <c r="E146" s="1">
        <f ca="1">_xll.RiskMean('Climate A'!F$200)</f>
        <v>1.2007702451601491E-2</v>
      </c>
      <c r="F146" s="1">
        <f ca="1">_xll.RiskMean('Climate A'!G$200)</f>
        <v>1.0011912066991388E-2</v>
      </c>
      <c r="G146" s="1">
        <f ca="1">_xll.RiskMean('Climate A'!H$200)</f>
        <v>4.5274126121415091E-3</v>
      </c>
      <c r="H146" s="1">
        <f ca="1">_xll.RiskMean('Climate A'!I$200)</f>
        <v>1.3688835585256743E-3</v>
      </c>
      <c r="I146" s="1">
        <f ca="1">_xll.RiskMean('Climate A'!J$200)</f>
        <v>-2.2228770584000673E-5</v>
      </c>
      <c r="J146" s="1">
        <f ca="1">_xll.RiskMean('Climate A'!K$200)</f>
        <v>2.0448639411224066E-3</v>
      </c>
      <c r="K146" s="1">
        <f ca="1">_xll.RiskMean('Climate A'!L$200)</f>
        <v>3.2993737359295707E-3</v>
      </c>
      <c r="L146" s="1">
        <f ca="1">_xll.RiskMean('Climate A'!M$200)</f>
        <v>4.9977808934272977E-3</v>
      </c>
      <c r="M146" s="3" t="s">
        <v>42</v>
      </c>
    </row>
    <row r="147" spans="1:13" x14ac:dyDescent="0.2">
      <c r="A147" s="3" t="s">
        <v>765</v>
      </c>
      <c r="B147" s="1"/>
      <c r="C147" s="1">
        <f ca="1">_xll.RiskStdDev('Climate A'!D$200)</f>
        <v>6.9501441910180132E-3</v>
      </c>
      <c r="D147" s="1">
        <f ca="1">_xll.RiskStdDev('Climate A'!E$200)</f>
        <v>7.8869858068740493E-3</v>
      </c>
      <c r="E147" s="1">
        <f ca="1">_xll.RiskStdDev('Climate A'!F$200)</f>
        <v>9.0107328396546449E-3</v>
      </c>
      <c r="F147" s="1">
        <f ca="1">_xll.RiskStdDev('Climate A'!G$200)</f>
        <v>1.1612724513416054E-2</v>
      </c>
      <c r="G147" s="1">
        <f ca="1">_xll.RiskStdDev('Climate A'!H$200)</f>
        <v>1.5529617115225974E-2</v>
      </c>
      <c r="H147" s="1">
        <f ca="1">_xll.RiskStdDev('Climate A'!I$200)</f>
        <v>1.8005709478286575E-2</v>
      </c>
      <c r="I147" s="1">
        <f ca="1">_xll.RiskStdDev('Climate A'!J$200)</f>
        <v>1.8962006611229376E-2</v>
      </c>
      <c r="J147" s="1">
        <f ca="1">_xll.RiskStdDev('Climate A'!K$200)</f>
        <v>1.7836537614688265E-2</v>
      </c>
      <c r="K147" s="1">
        <f ca="1">_xll.RiskStdDev('Climate A'!L$200)</f>
        <v>1.7230373331059839E-2</v>
      </c>
      <c r="L147" s="1">
        <f ca="1">_xll.RiskStdDev('Climate A'!M$200)</f>
        <v>1.5866197178462077E-2</v>
      </c>
      <c r="M147" s="3" t="s">
        <v>42</v>
      </c>
    </row>
    <row r="148" spans="1:13" x14ac:dyDescent="0.2">
      <c r="M148" s="3"/>
    </row>
    <row r="149" spans="1:13" x14ac:dyDescent="0.2">
      <c r="A149" s="2" t="s">
        <v>923</v>
      </c>
      <c r="C149">
        <f t="array" ref="C149:L149">Y</f>
        <v>2020</v>
      </c>
      <c r="D149">
        <v>2025</v>
      </c>
      <c r="E149">
        <v>2030</v>
      </c>
      <c r="F149">
        <v>2040</v>
      </c>
      <c r="G149">
        <v>2050</v>
      </c>
      <c r="H149">
        <v>2060</v>
      </c>
      <c r="I149">
        <v>2070</v>
      </c>
      <c r="J149">
        <v>2080</v>
      </c>
      <c r="K149">
        <v>2090</v>
      </c>
      <c r="L149">
        <v>2100</v>
      </c>
    </row>
    <row r="150" spans="1:13" x14ac:dyDescent="0.2">
      <c r="A150" s="3" t="s">
        <v>499</v>
      </c>
      <c r="B150" s="1"/>
      <c r="C150" s="1">
        <f ca="1">_xll.RiskPercentile('Climate A'!D$167,$H6)</f>
        <v>-2.299892345825616E-3</v>
      </c>
      <c r="D150" s="1">
        <f ca="1">_xll.RiskPercentile('Climate A'!E$167,$H6)</f>
        <v>-3.7795498068996514E-3</v>
      </c>
      <c r="E150" s="1">
        <f ca="1">_xll.RiskPercentile('Climate A'!F$167,$H6)</f>
        <v>-5.2982475046230437E-3</v>
      </c>
      <c r="F150" s="1">
        <f ca="1">_xll.RiskPercentile('Climate A'!G$167,$H6)</f>
        <v>-8.861654983451428E-3</v>
      </c>
      <c r="G150" s="1">
        <f ca="1">_xll.RiskPercentile('Climate A'!H$167,$H6)</f>
        <v>-1.5692237980242663E-2</v>
      </c>
      <c r="H150" s="1">
        <f ca="1">_xll.RiskPercentile('Climate A'!I$167,$H6)</f>
        <v>-2.3800023403428516E-2</v>
      </c>
      <c r="I150" s="1">
        <f ca="1">_xll.RiskPercentile('Climate A'!J$167,$H6)</f>
        <v>-2.8304010846728955E-2</v>
      </c>
      <c r="J150" s="1">
        <f ca="1">_xll.RiskPercentile('Climate A'!K$167,$H6)</f>
        <v>-2.940438061610734E-2</v>
      </c>
      <c r="K150" s="1">
        <f ca="1">_xll.RiskPercentile('Climate A'!L$167,$H6)</f>
        <v>-2.7564209497144776E-2</v>
      </c>
      <c r="L150" s="1">
        <f ca="1">_xll.RiskPercentile('Climate A'!M$167,$H6)</f>
        <v>-2.5367028281934878E-2</v>
      </c>
      <c r="M150" s="3" t="s">
        <v>538</v>
      </c>
    </row>
    <row r="151" spans="1:13" x14ac:dyDescent="0.2">
      <c r="A151" s="3" t="s">
        <v>727</v>
      </c>
      <c r="B151" s="1"/>
      <c r="C151" s="1">
        <f ca="1">_xll.RiskPercentile('Climate A'!D$167,$H7)</f>
        <v>7.9341684418199332E-4</v>
      </c>
      <c r="D151" s="1">
        <f ca="1">_xll.RiskPercentile('Climate A'!E$167,$H7)</f>
        <v>-1.0743343331220956E-3</v>
      </c>
      <c r="E151" s="1">
        <f ca="1">_xll.RiskPercentile('Climate A'!F$167,$H7)</f>
        <v>-2.9497132641284063E-3</v>
      </c>
      <c r="F151" s="1">
        <f ca="1">_xll.RiskPercentile('Climate A'!G$167,$H7)</f>
        <v>-6.2409274379600643E-3</v>
      </c>
      <c r="G151" s="1">
        <f ca="1">_xll.RiskPercentile('Climate A'!H$167,$H7)</f>
        <v>-1.2156022613309281E-2</v>
      </c>
      <c r="H151" s="1">
        <f ca="1">_xll.RiskPercentile('Climate A'!I$167,$H7)</f>
        <v>-1.91156954563107E-2</v>
      </c>
      <c r="I151" s="1">
        <f ca="1">_xll.RiskPercentile('Climate A'!J$167,$H7)</f>
        <v>-2.2393708679862068E-2</v>
      </c>
      <c r="J151" s="1">
        <f ca="1">_xll.RiskPercentile('Climate A'!K$167,$H7)</f>
        <v>-2.3265001406666708E-2</v>
      </c>
      <c r="K151" s="1">
        <f ca="1">_xll.RiskPercentile('Climate A'!L$167,$H7)</f>
        <v>-2.1401382233719513E-2</v>
      </c>
      <c r="L151" s="1">
        <f ca="1">_xll.RiskPercentile('Climate A'!M$167,$H7)</f>
        <v>-1.9519441029408113E-2</v>
      </c>
      <c r="M151" s="3" t="s">
        <v>538</v>
      </c>
    </row>
    <row r="152" spans="1:13" x14ac:dyDescent="0.2">
      <c r="A152" s="3" t="s">
        <v>572</v>
      </c>
      <c r="B152" s="1"/>
      <c r="C152" s="1">
        <f ca="1">_xll.RiskPercentile('Climate A'!D$167,$H8)</f>
        <v>3.6675217621166545E-3</v>
      </c>
      <c r="D152" s="1">
        <f ca="1">_xll.RiskPercentile('Climate A'!E$167,$H8)</f>
        <v>1.6178190713231899E-3</v>
      </c>
      <c r="E152" s="1">
        <f ca="1">_xll.RiskPercentile('Climate A'!F$167,$H8)</f>
        <v>-5.7280166563700163E-4</v>
      </c>
      <c r="F152" s="1">
        <f ca="1">_xll.RiskPercentile('Climate A'!G$167,$H8)</f>
        <v>-4.0380296546221328E-3</v>
      </c>
      <c r="G152" s="1">
        <f ca="1">_xll.RiskPercentile('Climate A'!H$167,$H8)</f>
        <v>-9.6670069613204457E-3</v>
      </c>
      <c r="H152" s="1">
        <f ca="1">_xll.RiskPercentile('Climate A'!I$167,$H8)</f>
        <v>-1.5963023331686199E-2</v>
      </c>
      <c r="I152" s="1">
        <f ca="1">_xll.RiskPercentile('Climate A'!J$167,$H8)</f>
        <v>-1.8603318955792592E-2</v>
      </c>
      <c r="J152" s="1">
        <f ca="1">_xll.RiskPercentile('Climate A'!K$167,$H8)</f>
        <v>-1.9326321046327366E-2</v>
      </c>
      <c r="K152" s="1">
        <f ca="1">_xll.RiskPercentile('Climate A'!L$167,$H8)</f>
        <v>-1.7594311589751555E-2</v>
      </c>
      <c r="L152" s="1">
        <f ca="1">_xll.RiskPercentile('Climate A'!M$167,$H8)</f>
        <v>-1.5763262105561116E-2</v>
      </c>
      <c r="M152" s="3" t="s">
        <v>538</v>
      </c>
    </row>
    <row r="153" spans="1:13" x14ac:dyDescent="0.2">
      <c r="A153" s="3" t="s">
        <v>728</v>
      </c>
      <c r="B153" s="1"/>
      <c r="C153" s="1">
        <f ca="1">_xll.RiskPercentile('Climate A'!D$167,$H9)</f>
        <v>7.392849052472672E-3</v>
      </c>
      <c r="D153" s="1">
        <f ca="1">_xll.RiskPercentile('Climate A'!E$167,$H9)</f>
        <v>5.1730604436205918E-3</v>
      </c>
      <c r="E153" s="1">
        <f ca="1">_xll.RiskPercentile('Climate A'!F$167,$H9)</f>
        <v>2.8085962430001166E-3</v>
      </c>
      <c r="F153" s="1">
        <f ca="1">_xll.RiskPercentile('Climate A'!G$167,$H9)</f>
        <v>-1.1654564968102687E-3</v>
      </c>
      <c r="G153" s="1">
        <f ca="1">_xll.RiskPercentile('Climate A'!H$167,$H9)</f>
        <v>-6.8747922672072748E-3</v>
      </c>
      <c r="H153" s="1">
        <f ca="1">_xll.RiskPercentile('Climate A'!I$167,$H9)</f>
        <v>-1.2916789404098017E-2</v>
      </c>
      <c r="I153" s="1">
        <f ca="1">_xll.RiskPercentile('Climate A'!J$167,$H9)</f>
        <v>-1.5005254880918195E-2</v>
      </c>
      <c r="J153" s="1">
        <f ca="1">_xll.RiskPercentile('Climate A'!K$167,$H9)</f>
        <v>-1.5764786170904654E-2</v>
      </c>
      <c r="K153" s="1">
        <f ca="1">_xll.RiskPercentile('Climate A'!L$167,$H9)</f>
        <v>-1.396064393948071E-2</v>
      </c>
      <c r="L153" s="1">
        <f ca="1">_xll.RiskPercentile('Climate A'!M$167,$H9)</f>
        <v>-1.2219115237239064E-2</v>
      </c>
      <c r="M153" s="3" t="s">
        <v>538</v>
      </c>
    </row>
    <row r="154" spans="1:13" x14ac:dyDescent="0.2">
      <c r="A154" s="3" t="s">
        <v>500</v>
      </c>
      <c r="B154" s="1"/>
      <c r="C154" s="1">
        <f ca="1">_xll.RiskPercentile('Climate A'!D$167,$H10)</f>
        <v>1.4336247969357341E-2</v>
      </c>
      <c r="D154" s="1">
        <f ca="1">_xll.RiskPercentile('Climate A'!E$167,$H10)</f>
        <v>1.1995059873558367E-2</v>
      </c>
      <c r="E154" s="1">
        <f ca="1">_xll.RiskPercentile('Climate A'!F$167,$H10)</f>
        <v>9.3228440325406892E-3</v>
      </c>
      <c r="F154" s="1">
        <f ca="1">_xll.RiskPercentile('Climate A'!G$167,$H10)</f>
        <v>4.7288008663934344E-3</v>
      </c>
      <c r="G154" s="1">
        <f ca="1">_xll.RiskPercentile('Climate A'!H$167,$H10)</f>
        <v>-1.8320172567001247E-3</v>
      </c>
      <c r="H154" s="1">
        <f ca="1">_xll.RiskPercentile('Climate A'!I$167,$H10)</f>
        <v>-8.3498728860598725E-3</v>
      </c>
      <c r="I154" s="1">
        <f ca="1">_xll.RiskPercentile('Climate A'!J$167,$H10)</f>
        <v>-1.0135838159818888E-2</v>
      </c>
      <c r="J154" s="1">
        <f ca="1">_xll.RiskPercentile('Climate A'!K$167,$H10)</f>
        <v>-1.0758526236725185E-2</v>
      </c>
      <c r="K154" s="1">
        <f ca="1">_xll.RiskPercentile('Climate A'!L$167,$H10)</f>
        <v>-9.266215224630725E-3</v>
      </c>
      <c r="L154" s="1">
        <f ca="1">_xll.RiskPercentile('Climate A'!M$167,$H10)</f>
        <v>-7.6930429681119628E-3</v>
      </c>
      <c r="M154" s="3" t="s">
        <v>538</v>
      </c>
    </row>
    <row r="157" spans="1:13" x14ac:dyDescent="0.2">
      <c r="A157" s="172" t="str">
        <f xml:space="preserve"> "Scenario = {"&amp;SCENARIO_PAIR&amp;"}, Experiment = {"&amp;EXPERIMENT&amp;"}, Economic Impacts = {"&amp;ECON_IMPF&amp;"}"</f>
        <v>Scenario = {SSP5-34-OS}, Experiment = {Two Scenarios, Nonlinear PCF &amp; SAF}, Economic Impacts = {Burke, Pulled, Lag=2, Consum-Only}</v>
      </c>
      <c r="B157" s="172"/>
      <c r="C157" s="172"/>
      <c r="D157" s="172"/>
      <c r="E157" s="172"/>
      <c r="F157" s="172"/>
      <c r="G157" s="172"/>
    </row>
    <row r="158" spans="1:13" x14ac:dyDescent="0.2">
      <c r="A158" s="2" t="s">
        <v>577</v>
      </c>
    </row>
    <row r="159" spans="1:13" x14ac:dyDescent="0.2">
      <c r="A159" s="2"/>
    </row>
    <row r="160" spans="1:13" x14ac:dyDescent="0.2">
      <c r="A160" s="2" t="s">
        <v>537</v>
      </c>
      <c r="C160">
        <f t="array" ref="C160:L160">Y</f>
        <v>2020</v>
      </c>
      <c r="D160">
        <v>2025</v>
      </c>
      <c r="E160">
        <v>2030</v>
      </c>
      <c r="F160">
        <v>2040</v>
      </c>
      <c r="G160">
        <v>2050</v>
      </c>
      <c r="H160">
        <v>2060</v>
      </c>
      <c r="I160">
        <v>2070</v>
      </c>
      <c r="J160">
        <v>2080</v>
      </c>
      <c r="K160">
        <v>2090</v>
      </c>
      <c r="L160">
        <v>2100</v>
      </c>
    </row>
    <row r="161" spans="1:13" x14ac:dyDescent="0.2">
      <c r="A161" s="3" t="s">
        <v>499</v>
      </c>
      <c r="C161" s="6">
        <f ca="1">_xll.RiskPercentile('Climate B'!D$172,$H6)</f>
        <v>0.98456894553857133</v>
      </c>
      <c r="D161" s="6">
        <f ca="1">_xll.RiskPercentile('Climate B'!E$172,$H6)</f>
        <v>1.1330348424552157</v>
      </c>
      <c r="E161" s="6">
        <f ca="1">_xll.RiskPercentile('Climate B'!F$172,$H6)</f>
        <v>1.2469442361921876</v>
      </c>
      <c r="F161" s="6">
        <f ca="1">_xll.RiskPercentile('Climate B'!G$172,$H6)</f>
        <v>1.5782517973537216</v>
      </c>
      <c r="G161" s="6">
        <f ca="1">_xll.RiskPercentile('Climate B'!H$172,$H6)</f>
        <v>1.9105869897267151</v>
      </c>
      <c r="H161" s="6">
        <f ca="1">_xll.RiskPercentile('Climate B'!I$172,$H6)</f>
        <v>2.2968392261760879</v>
      </c>
      <c r="I161" s="6">
        <f ca="1">_xll.RiskPercentile('Climate B'!J$172,$H6)</f>
        <v>2.6327009910556161</v>
      </c>
      <c r="J161" s="6">
        <f ca="1">_xll.RiskPercentile('Climate B'!K$172,$H6)</f>
        <v>2.9959290527624272</v>
      </c>
      <c r="K161" s="6">
        <f ca="1">_xll.RiskPercentile('Climate B'!L$172,$H6)</f>
        <v>3.3464926147292231</v>
      </c>
      <c r="L161" s="6">
        <f ca="1">_xll.RiskPercentile('Climate B'!M$172,$H6)</f>
        <v>3.6982999779766494</v>
      </c>
      <c r="M161" t="s">
        <v>41</v>
      </c>
    </row>
    <row r="162" spans="1:13" x14ac:dyDescent="0.2">
      <c r="A162" s="3" t="s">
        <v>727</v>
      </c>
      <c r="C162" s="6">
        <f ca="1">_xll.RiskPercentile('Climate B'!D$172,$H7)</f>
        <v>1.1474765847782247</v>
      </c>
      <c r="D162" s="6">
        <f ca="1">_xll.RiskPercentile('Climate B'!E$172,$H7)</f>
        <v>1.316584735976986</v>
      </c>
      <c r="E162" s="6">
        <f ca="1">_xll.RiskPercentile('Climate B'!F$172,$H7)</f>
        <v>1.46639942927282</v>
      </c>
      <c r="F162" s="6">
        <f ca="1">_xll.RiskPercentile('Climate B'!G$172,$H7)</f>
        <v>1.8818410961756802</v>
      </c>
      <c r="G162" s="6">
        <f ca="1">_xll.RiskPercentile('Climate B'!H$172,$H7)</f>
        <v>2.2753869490603087</v>
      </c>
      <c r="H162" s="6">
        <f ca="1">_xll.RiskPercentile('Climate B'!I$172,$H7)</f>
        <v>2.7531998416724752</v>
      </c>
      <c r="I162" s="6">
        <f ca="1">_xll.RiskPercentile('Climate B'!J$172,$H7)</f>
        <v>3.2386947281285399</v>
      </c>
      <c r="J162" s="6">
        <f ca="1">_xll.RiskPercentile('Climate B'!K$172,$H7)</f>
        <v>3.7409141311519383</v>
      </c>
      <c r="K162" s="6">
        <f ca="1">_xll.RiskPercentile('Climate B'!L$172,$H7)</f>
        <v>4.2586498953322032</v>
      </c>
      <c r="L162" s="6">
        <f ca="1">_xll.RiskPercentile('Climate B'!M$172,$H7)</f>
        <v>4.7363385229442105</v>
      </c>
      <c r="M162" t="s">
        <v>41</v>
      </c>
    </row>
    <row r="163" spans="1:13" x14ac:dyDescent="0.2">
      <c r="A163" s="3" t="s">
        <v>572</v>
      </c>
      <c r="C163" s="6">
        <f ca="1">_xll.RiskPercentile('Climate B'!D$172,$H8)</f>
        <v>1.260670249312088</v>
      </c>
      <c r="D163" s="6">
        <f ca="1">_xll.RiskPercentile('Climate B'!E$172,$H8)</f>
        <v>1.4442238628934363</v>
      </c>
      <c r="E163" s="6">
        <f ca="1">_xll.RiskPercentile('Climate B'!F$172,$H8)</f>
        <v>1.6189654306980912</v>
      </c>
      <c r="F163" s="6">
        <f ca="1">_xll.RiskPercentile('Climate B'!G$172,$H8)</f>
        <v>2.092780584653184</v>
      </c>
      <c r="G163" s="6">
        <f ca="1">_xll.RiskPercentile('Climate B'!H$172,$H8)</f>
        <v>2.5288187651767289</v>
      </c>
      <c r="H163" s="6">
        <f ca="1">_xll.RiskPercentile('Climate B'!I$172,$H8)</f>
        <v>3.070298868316657</v>
      </c>
      <c r="I163" s="6">
        <f ca="1">_xll.RiskPercentile('Climate B'!J$172,$H8)</f>
        <v>3.6599105091063318</v>
      </c>
      <c r="J163" s="6">
        <f ca="1">_xll.RiskPercentile('Climate B'!K$172,$H8)</f>
        <v>4.2583073881808415</v>
      </c>
      <c r="K163" s="6">
        <f ca="1">_xll.RiskPercentile('Climate B'!L$172,$H8)</f>
        <v>4.892178934911172</v>
      </c>
      <c r="L163" s="6">
        <f ca="1">_xll.RiskPercentile('Climate B'!M$172,$H8)</f>
        <v>5.4577938490420719</v>
      </c>
      <c r="M163" t="s">
        <v>41</v>
      </c>
    </row>
    <row r="164" spans="1:13" x14ac:dyDescent="0.2">
      <c r="A164" s="3" t="s">
        <v>728</v>
      </c>
      <c r="C164" s="6">
        <f ca="1">_xll.RiskPercentile('Climate B'!D$172,$H9)</f>
        <v>1.3738457272170206</v>
      </c>
      <c r="D164" s="6">
        <f ca="1">_xll.RiskPercentile('Climate B'!E$172,$H9)</f>
        <v>1.571840891456119</v>
      </c>
      <c r="E164" s="6">
        <f ca="1">_xll.RiskPercentile('Climate B'!F$172,$H9)</f>
        <v>1.7714742012006657</v>
      </c>
      <c r="F164" s="6">
        <f ca="1">_xll.RiskPercentile('Climate B'!G$172,$H9)</f>
        <v>2.3036737207817244</v>
      </c>
      <c r="G164" s="6">
        <f ca="1">_xll.RiskPercentile('Climate B'!H$172,$H9)</f>
        <v>2.7822462955697951</v>
      </c>
      <c r="H164" s="6">
        <f ca="1">_xll.RiskPercentile('Climate B'!I$172,$H9)</f>
        <v>3.3873820642187411</v>
      </c>
      <c r="I164" s="6">
        <f ca="1">_xll.RiskPercentile('Climate B'!J$172,$H9)</f>
        <v>4.0809735152669893</v>
      </c>
      <c r="J164" s="6">
        <f ca="1">_xll.RiskPercentile('Climate B'!K$172,$H9)</f>
        <v>4.7755903651885436</v>
      </c>
      <c r="K164" s="6">
        <f ca="1">_xll.RiskPercentile('Climate B'!L$172,$H9)</f>
        <v>5.5259521666606171</v>
      </c>
      <c r="L164" s="6">
        <f ca="1">_xll.RiskPercentile('Climate B'!M$172,$H9)</f>
        <v>6.179272630417433</v>
      </c>
      <c r="M164" t="s">
        <v>41</v>
      </c>
    </row>
    <row r="165" spans="1:13" x14ac:dyDescent="0.2">
      <c r="A165" s="3" t="s">
        <v>500</v>
      </c>
      <c r="C165" s="6">
        <f ca="1">_xll.RiskPercentile('Climate B'!D$172,$H10)</f>
        <v>1.5366095502710959</v>
      </c>
      <c r="D165" s="6">
        <f ca="1">_xll.RiskPercentile('Climate B'!E$172,$H10)</f>
        <v>1.7553574046054923</v>
      </c>
      <c r="E165" s="6">
        <f ca="1">_xll.RiskPercentile('Climate B'!F$172,$H10)</f>
        <v>1.9907657195888548</v>
      </c>
      <c r="F165" s="6">
        <f ca="1">_xll.RiskPercentile('Climate B'!G$172,$H10)</f>
        <v>2.6071582097886346</v>
      </c>
      <c r="G165" s="6">
        <f ca="1">_xll.RiskPercentile('Climate B'!H$172,$H10)</f>
        <v>3.1467316523482984</v>
      </c>
      <c r="H165" s="6">
        <f ca="1">_xll.RiskPercentile('Climate B'!I$172,$H10)</f>
        <v>3.8437503803950106</v>
      </c>
      <c r="I165" s="6">
        <f ca="1">_xll.RiskPercentile('Climate B'!J$172,$H10)</f>
        <v>4.6864959108511925</v>
      </c>
      <c r="J165" s="6">
        <f ca="1">_xll.RiskPercentile('Climate B'!K$172,$H10)</f>
        <v>5.5196682611124999</v>
      </c>
      <c r="K165" s="6">
        <f ca="1">_xll.RiskPercentile('Climate B'!L$172,$H10)</f>
        <v>6.4368399694569272</v>
      </c>
      <c r="L165" s="6">
        <f ca="1">_xll.RiskPercentile('Climate B'!M$172,$H10)</f>
        <v>7.2165392306890972</v>
      </c>
      <c r="M165" t="s">
        <v>41</v>
      </c>
    </row>
    <row r="166" spans="1:13" x14ac:dyDescent="0.2">
      <c r="A166" s="3"/>
      <c r="C166" s="6"/>
      <c r="D166" s="6"/>
      <c r="E166" s="6"/>
      <c r="F166" s="6"/>
      <c r="G166" s="6"/>
      <c r="H166" s="6"/>
      <c r="I166" s="6"/>
      <c r="J166" s="6"/>
      <c r="K166" s="6"/>
      <c r="L166" s="6"/>
    </row>
    <row r="167" spans="1:13" x14ac:dyDescent="0.2">
      <c r="A167" s="3" t="s">
        <v>428</v>
      </c>
      <c r="C167" s="6">
        <f ca="1">_xll.RiskMean('Climate B'!D$172)</f>
        <v>1.2606964995596199</v>
      </c>
      <c r="D167" s="6">
        <f ca="1">_xll.RiskMean('Climate B'!E$172)</f>
        <v>1.4442642381321911</v>
      </c>
      <c r="E167" s="6">
        <f ca="1">_xll.RiskMean('Climate B'!F$172)</f>
        <v>1.6189575851219011</v>
      </c>
      <c r="F167" s="6">
        <f ca="1">_xll.RiskMean('Climate B'!G$172)</f>
        <v>2.0927984988069643</v>
      </c>
      <c r="G167" s="6">
        <f ca="1">_xll.RiskMean('Climate B'!H$172)</f>
        <v>2.5288700321386401</v>
      </c>
      <c r="H167" s="6">
        <f ca="1">_xll.RiskMean('Climate B'!I$172)</f>
        <v>3.0703166059313212</v>
      </c>
      <c r="I167" s="6">
        <f ca="1">_xll.RiskMean('Climate B'!J$172)</f>
        <v>3.659926438577541</v>
      </c>
      <c r="J167" s="6">
        <f ca="1">_xll.RiskMean('Climate B'!K$172)</f>
        <v>4.2582859159872948</v>
      </c>
      <c r="K167" s="6">
        <f ca="1">_xll.RiskMean('Climate B'!L$172)</f>
        <v>4.8924427317183534</v>
      </c>
      <c r="L167" s="6">
        <f ca="1">_xll.RiskMean('Climate B'!M$172)</f>
        <v>5.4580125826519916</v>
      </c>
      <c r="M167" t="s">
        <v>41</v>
      </c>
    </row>
    <row r="168" spans="1:13" x14ac:dyDescent="0.2">
      <c r="A168" s="3" t="s">
        <v>765</v>
      </c>
      <c r="C168" s="6">
        <f ca="1">_xll.RiskStdDev('Climate B'!D$172)</f>
        <v>0.16783128976040215</v>
      </c>
      <c r="D168" s="6">
        <f ca="1">_xll.RiskStdDev('Climate B'!E$172)</f>
        <v>0.18922733082099613</v>
      </c>
      <c r="E168" s="6">
        <f ca="1">_xll.RiskStdDev('Climate B'!F$172)</f>
        <v>0.22623889591434129</v>
      </c>
      <c r="F168" s="6">
        <f ca="1">_xll.RiskStdDev('Climate B'!G$172)</f>
        <v>0.31275952698387482</v>
      </c>
      <c r="G168" s="6">
        <f ca="1">_xll.RiskStdDev('Climate B'!H$172)</f>
        <v>0.37574167836218503</v>
      </c>
      <c r="H168" s="6">
        <f ca="1">_xll.RiskStdDev('Climate B'!I$172)</f>
        <v>0.47037923442232099</v>
      </c>
      <c r="I168" s="6">
        <f ca="1">_xll.RiskStdDev('Climate B'!J$172)</f>
        <v>0.62421417010057456</v>
      </c>
      <c r="J168" s="6">
        <f ca="1">_xll.RiskStdDev('Climate B'!K$172)</f>
        <v>0.7671661712491441</v>
      </c>
      <c r="K168" s="6">
        <f ca="1">_xll.RiskStdDev('Climate B'!L$172)</f>
        <v>0.93944795460487207</v>
      </c>
      <c r="L168" s="6">
        <f ca="1">_xll.RiskStdDev('Climate B'!M$172)</f>
        <v>1.0695745004911186</v>
      </c>
      <c r="M168" t="s">
        <v>41</v>
      </c>
    </row>
    <row r="171" spans="1:13" x14ac:dyDescent="0.2">
      <c r="A171" s="172" t="str">
        <f xml:space="preserve"> "Scenario = {"&amp;SCENARIO_PAIR&amp;"}, Experiment = {"&amp;EXPERIMENT&amp;"}, Economic Impacts = {"&amp;ECON_IMPF&amp;"}"</f>
        <v>Scenario = {SSP5-34-OS}, Experiment = {Two Scenarios, Nonlinear PCF &amp; SAF}, Economic Impacts = {Burke, Pulled, Lag=2, Consum-Only}</v>
      </c>
      <c r="B171" s="172"/>
      <c r="C171" s="172"/>
      <c r="D171" s="172"/>
      <c r="E171" s="172"/>
      <c r="F171" s="172"/>
      <c r="G171" s="172"/>
    </row>
    <row r="172" spans="1:13" x14ac:dyDescent="0.2">
      <c r="A172" s="2" t="s">
        <v>573</v>
      </c>
    </row>
    <row r="174" spans="1:13" x14ac:dyDescent="0.2">
      <c r="A174" s="2" t="s">
        <v>574</v>
      </c>
      <c r="C174">
        <f t="array" ref="C174:L174">Y</f>
        <v>2020</v>
      </c>
      <c r="D174">
        <v>2025</v>
      </c>
      <c r="E174">
        <v>2030</v>
      </c>
      <c r="F174">
        <v>2040</v>
      </c>
      <c r="G174">
        <v>2050</v>
      </c>
      <c r="H174">
        <v>2060</v>
      </c>
      <c r="I174">
        <v>2070</v>
      </c>
      <c r="J174">
        <v>2080</v>
      </c>
      <c r="K174">
        <v>2090</v>
      </c>
      <c r="L174">
        <v>2100</v>
      </c>
    </row>
    <row r="175" spans="1:13" x14ac:dyDescent="0.2">
      <c r="A175" s="3" t="s">
        <v>499</v>
      </c>
      <c r="C175" s="6">
        <f ca="1">_xll.RiskPercentile('Climate A-B'!D$172,$H6)</f>
        <v>-0.39964070586151568</v>
      </c>
      <c r="D175" s="6">
        <f ca="1">_xll.RiskPercentile('Climate A-B'!E$172,$H6)</f>
        <v>-0.42787370220170262</v>
      </c>
      <c r="E175" s="6">
        <f ca="1">_xll.RiskPercentile('Climate A-B'!F$172,$H6)</f>
        <v>-0.59144157270794029</v>
      </c>
      <c r="F175" s="6">
        <f ca="1">_xll.RiskPercentile('Climate A-B'!G$172,$H6)</f>
        <v>-0.85634548390078891</v>
      </c>
      <c r="G175" s="6">
        <f ca="1">_xll.RiskPercentile('Climate A-B'!H$172,$H6)</f>
        <v>-1.0066925169400134</v>
      </c>
      <c r="H175" s="6">
        <f ca="1">_xll.RiskPercentile('Climate A-B'!I$172,$H6)</f>
        <v>-1.6384549343908306</v>
      </c>
      <c r="I175" s="6">
        <f ca="1">_xll.RiskPercentile('Climate A-B'!J$172,$H6)</f>
        <v>-2.3432077380362313</v>
      </c>
      <c r="J175" s="6">
        <f ca="1">_xll.RiskPercentile('Climate A-B'!K$172,$H6)</f>
        <v>-3.2837329053175104</v>
      </c>
      <c r="K175" s="6">
        <f ca="1">_xll.RiskPercentile('Climate A-B'!L$172,$H6)</f>
        <v>-4.225841638776159</v>
      </c>
      <c r="L175" s="6">
        <f ca="1">_xll.RiskPercentile('Climate A-B'!M$172,$H6)</f>
        <v>-5.1012202014443506</v>
      </c>
      <c r="M175" t="s">
        <v>41</v>
      </c>
    </row>
    <row r="176" spans="1:13" x14ac:dyDescent="0.2">
      <c r="A176" s="3" t="s">
        <v>727</v>
      </c>
      <c r="C176" s="6">
        <f ca="1">_xll.RiskPercentile('Climate A-B'!D$172,$H7)</f>
        <v>-0.17238006602804723</v>
      </c>
      <c r="D176" s="6">
        <f ca="1">_xll.RiskPercentile('Climate A-B'!E$172,$H7)</f>
        <v>-0.18837452249831599</v>
      </c>
      <c r="E176" s="6">
        <f ca="1">_xll.RiskPercentile('Climate A-B'!F$172,$H7)</f>
        <v>-0.24105422179218383</v>
      </c>
      <c r="F176" s="6">
        <f ca="1">_xll.RiskPercentile('Climate A-B'!G$172,$H7)</f>
        <v>-0.39172310846091607</v>
      </c>
      <c r="G176" s="6">
        <f ca="1">_xll.RiskPercentile('Climate A-B'!H$172,$H7)</f>
        <v>-0.42270510416539153</v>
      </c>
      <c r="H176" s="6">
        <f ca="1">_xll.RiskPercentile('Climate A-B'!I$172,$H7)</f>
        <v>-0.92898000233722033</v>
      </c>
      <c r="I176" s="6">
        <f ca="1">_xll.RiskPercentile('Climate A-B'!J$172,$H7)</f>
        <v>-1.5288091345401131</v>
      </c>
      <c r="J176" s="6">
        <f ca="1">_xll.RiskPercentile('Climate A-B'!K$172,$H7)</f>
        <v>-2.3360321748460455</v>
      </c>
      <c r="K176" s="6">
        <f ca="1">_xll.RiskPercentile('Climate A-B'!L$172,$H7)</f>
        <v>-3.1402382492693146</v>
      </c>
      <c r="L176" s="6">
        <f ca="1">_xll.RiskPercentile('Climate A-B'!M$172,$H7)</f>
        <v>-3.8947196704142004</v>
      </c>
      <c r="M176" t="s">
        <v>41</v>
      </c>
    </row>
    <row r="177" spans="1:13" x14ac:dyDescent="0.2">
      <c r="A177" s="3" t="s">
        <v>572</v>
      </c>
      <c r="C177" s="6">
        <f ca="1">_xll.RiskPercentile('Climate A-B'!D$172,$H8)</f>
        <v>-6.5583360582253114E-3</v>
      </c>
      <c r="D177" s="6">
        <f ca="1">_xll.RiskPercentile('Climate A-B'!E$172,$H8)</f>
        <v>-1.0699450652738252E-2</v>
      </c>
      <c r="E177" s="6">
        <f ca="1">_xll.RiskPercentile('Climate A-B'!F$172,$H8)</f>
        <v>-2.4896944733641124E-3</v>
      </c>
      <c r="F177" s="6">
        <f ca="1">_xll.RiskPercentile('Climate A-B'!G$172,$H8)</f>
        <v>-6.0466537511441043E-2</v>
      </c>
      <c r="G177" s="6">
        <f ca="1">_xll.RiskPercentile('Climate A-B'!H$172,$H8)</f>
        <v>-2.1269258949881742E-2</v>
      </c>
      <c r="H177" s="6">
        <f ca="1">_xll.RiskPercentile('Climate A-B'!I$172,$H8)</f>
        <v>-0.42428459246619044</v>
      </c>
      <c r="I177" s="6">
        <f ca="1">_xll.RiskPercentile('Climate A-B'!J$172,$H8)</f>
        <v>-0.94769887267977504</v>
      </c>
      <c r="J177" s="6">
        <f ca="1">_xll.RiskPercentile('Climate A-B'!K$172,$H8)</f>
        <v>-1.6658614639535267</v>
      </c>
      <c r="K177" s="6">
        <f ca="1">_xll.RiskPercentile('Climate A-B'!L$172,$H8)</f>
        <v>-2.4111903844474525</v>
      </c>
      <c r="L177" s="6">
        <f ca="1">_xll.RiskPercentile('Climate A-B'!M$172,$H8)</f>
        <v>-3.067994356244633</v>
      </c>
      <c r="M177" t="s">
        <v>41</v>
      </c>
    </row>
    <row r="178" spans="1:13" x14ac:dyDescent="0.2">
      <c r="A178" s="3" t="s">
        <v>728</v>
      </c>
      <c r="C178" s="6">
        <f ca="1">_xll.RiskPercentile('Climate A-B'!D$172,$H9)</f>
        <v>0.15263254995234143</v>
      </c>
      <c r="D178" s="6">
        <f ca="1">_xll.RiskPercentile('Climate A-B'!E$172,$H9)</f>
        <v>0.16358443438915438</v>
      </c>
      <c r="E178" s="6">
        <f ca="1">_xll.RiskPercentile('Climate A-B'!F$172,$H9)</f>
        <v>0.23648918584105494</v>
      </c>
      <c r="F178" s="6">
        <f ca="1">_xll.RiskPercentile('Climate A-B'!G$172,$H9)</f>
        <v>0.263377187299348</v>
      </c>
      <c r="G178" s="6">
        <f ca="1">_xll.RiskPercentile('Climate A-B'!H$172,$H9)</f>
        <v>0.37503866414211906</v>
      </c>
      <c r="H178" s="6">
        <f ca="1">_xll.RiskPercentile('Climate A-B'!I$172,$H9)</f>
        <v>7.6411841314200757E-2</v>
      </c>
      <c r="I178" s="6">
        <f ca="1">_xll.RiskPercentile('Climate A-B'!J$172,$H9)</f>
        <v>-0.36149781822556415</v>
      </c>
      <c r="J178" s="6">
        <f ca="1">_xll.RiskPercentile('Climate A-B'!K$172,$H9)</f>
        <v>-1.0146024333823389</v>
      </c>
      <c r="K178" s="6">
        <f ca="1">_xll.RiskPercentile('Climate A-B'!L$172,$H9)</f>
        <v>-1.6363125158828904</v>
      </c>
      <c r="L178" s="6">
        <f ca="1">_xll.RiskPercentile('Climate A-B'!M$172,$H9)</f>
        <v>-2.2723652449159304</v>
      </c>
      <c r="M178" t="s">
        <v>41</v>
      </c>
    </row>
    <row r="179" spans="1:13" x14ac:dyDescent="0.2">
      <c r="A179" s="3" t="s">
        <v>500</v>
      </c>
      <c r="C179" s="6">
        <f ca="1">_xll.RiskPercentile('Climate A-B'!D$172,$H10)</f>
        <v>0.38472161721247078</v>
      </c>
      <c r="D179" s="6">
        <f ca="1">_xll.RiskPercentile('Climate A-B'!E$172,$H10)</f>
        <v>0.40873394487788861</v>
      </c>
      <c r="E179" s="6">
        <f ca="1">_xll.RiskPercentile('Climate A-B'!F$172,$H10)</f>
        <v>0.57913863775129659</v>
      </c>
      <c r="F179" s="6">
        <f ca="1">_xll.RiskPercentile('Climate A-B'!G$172,$H10)</f>
        <v>0.72234295638881729</v>
      </c>
      <c r="G179" s="6">
        <f ca="1">_xll.RiskPercentile('Climate A-B'!H$172,$H10)</f>
        <v>0.93671833886093792</v>
      </c>
      <c r="H179" s="6">
        <f ca="1">_xll.RiskPercentile('Climate A-B'!I$172,$H10)</f>
        <v>0.79035909504952251</v>
      </c>
      <c r="I179" s="6">
        <f ca="1">_xll.RiskPercentile('Climate A-B'!J$172,$H10)</f>
        <v>0.4908004504221184</v>
      </c>
      <c r="J179" s="6">
        <f ca="1">_xll.RiskPercentile('Climate A-B'!K$172,$H10)</f>
        <v>-4.1480935566291954E-2</v>
      </c>
      <c r="K179" s="6">
        <f ca="1">_xll.RiskPercentile('Climate A-B'!L$172,$H10)</f>
        <v>-0.54776514355898964</v>
      </c>
      <c r="L179" s="6">
        <f ca="1">_xll.RiskPercentile('Climate A-B'!M$172,$H10)</f>
        <v>-1.0566383645561674</v>
      </c>
      <c r="M179" t="s">
        <v>41</v>
      </c>
    </row>
    <row r="180" spans="1:13" x14ac:dyDescent="0.2">
      <c r="A180" s="3"/>
      <c r="C180" s="6"/>
      <c r="D180" s="6"/>
      <c r="E180" s="6"/>
      <c r="F180" s="6"/>
      <c r="G180" s="6"/>
      <c r="H180" s="6"/>
      <c r="I180" s="6"/>
      <c r="J180" s="6"/>
      <c r="K180" s="6"/>
      <c r="L180" s="6"/>
    </row>
    <row r="181" spans="1:13" x14ac:dyDescent="0.2">
      <c r="A181" s="3" t="s">
        <v>428</v>
      </c>
      <c r="C181" s="6">
        <f ca="1">_xll.RiskMean('Climate A-B'!D$172)</f>
        <v>-6.8054227929055626E-3</v>
      </c>
      <c r="D181" s="6">
        <f ca="1">_xll.RiskMean('Climate A-B'!E$172)</f>
        <v>-1.0555521582633835E-2</v>
      </c>
      <c r="E181" s="6">
        <f ca="1">_xll.RiskMean('Climate A-B'!F$172)</f>
        <v>-2.8864935181821547E-3</v>
      </c>
      <c r="F181" s="6">
        <f ca="1">_xll.RiskMean('Climate A-B'!G$172)</f>
        <v>-6.4014607223122272E-2</v>
      </c>
      <c r="G181" s="6">
        <f ca="1">_xll.RiskMean('Climate A-B'!H$172)</f>
        <v>-2.4850680364285664E-2</v>
      </c>
      <c r="H181" s="6">
        <f ca="1">_xll.RiskMean('Climate A-B'!I$172)</f>
        <v>-0.42466434162315525</v>
      </c>
      <c r="I181" s="6">
        <f ca="1">_xll.RiskMean('Climate A-B'!J$172)</f>
        <v>-0.94320202993962698</v>
      </c>
      <c r="J181" s="6">
        <f ca="1">_xll.RiskMean('Climate A-B'!K$172)</f>
        <v>-1.6715645265494565</v>
      </c>
      <c r="K181" s="6">
        <f ca="1">_xll.RiskMean('Climate A-B'!L$172)</f>
        <v>-2.3950266744386024</v>
      </c>
      <c r="L181" s="6">
        <f ca="1">_xll.RiskMean('Climate A-B'!M$172)</f>
        <v>-3.0751708418946304</v>
      </c>
      <c r="M181" t="s">
        <v>41</v>
      </c>
    </row>
    <row r="182" spans="1:13" x14ac:dyDescent="0.2">
      <c r="A182" s="3" t="s">
        <v>765</v>
      </c>
      <c r="C182" s="6">
        <f ca="1">_xll.RiskStdDev('Climate A-B'!D$172)</f>
        <v>0.23762319563087078</v>
      </c>
      <c r="D182" s="6">
        <f ca="1">_xll.RiskStdDev('Climate A-B'!E$172)</f>
        <v>0.25536646578840844</v>
      </c>
      <c r="E182" s="6">
        <f ca="1">_xll.RiskStdDev('Climate A-B'!F$172)</f>
        <v>0.35667046019218857</v>
      </c>
      <c r="F182" s="6">
        <f ca="1">_xll.RiskStdDev('Climate A-B'!G$172)</f>
        <v>0.48174102411793102</v>
      </c>
      <c r="G182" s="6">
        <f ca="1">_xll.RiskStdDev('Climate A-B'!H$172)</f>
        <v>0.59363190549557809</v>
      </c>
      <c r="H182" s="6">
        <f ca="1">_xll.RiskStdDev('Climate A-B'!I$172)</f>
        <v>0.74028995030049383</v>
      </c>
      <c r="I182" s="6">
        <f ca="1">_xll.RiskStdDev('Climate A-B'!J$172)</f>
        <v>0.87018829807444265</v>
      </c>
      <c r="J182" s="6">
        <f ca="1">_xll.RiskStdDev('Climate A-B'!K$172)</f>
        <v>0.98429850587831835</v>
      </c>
      <c r="K182" s="6">
        <f ca="1">_xll.RiskStdDev('Climate A-B'!L$172)</f>
        <v>1.1181380266162124</v>
      </c>
      <c r="L182" s="6">
        <f ca="1">_xll.RiskStdDev('Climate A-B'!M$172)</f>
        <v>1.2238774591860557</v>
      </c>
      <c r="M182" t="s">
        <v>41</v>
      </c>
    </row>
    <row r="184" spans="1:13" x14ac:dyDescent="0.2">
      <c r="A184" s="2" t="s">
        <v>575</v>
      </c>
      <c r="C184">
        <f t="array" ref="C184:L184">Y</f>
        <v>2020</v>
      </c>
      <c r="D184">
        <v>2025</v>
      </c>
      <c r="E184">
        <v>2030</v>
      </c>
      <c r="F184">
        <v>2040</v>
      </c>
      <c r="G184">
        <v>2050</v>
      </c>
      <c r="H184">
        <v>2060</v>
      </c>
      <c r="I184">
        <v>2070</v>
      </c>
      <c r="J184">
        <v>2080</v>
      </c>
      <c r="K184">
        <v>2090</v>
      </c>
      <c r="L184">
        <v>2100</v>
      </c>
      <c r="M184" s="6"/>
    </row>
    <row r="185" spans="1:13" x14ac:dyDescent="0.2">
      <c r="A185" s="3" t="s">
        <v>499</v>
      </c>
      <c r="C185" s="156">
        <f ca="1" xml:space="preserve"> _xll.RiskPercentile('Climate A-B'!D$195, $H6)</f>
        <v>-0.27727413692741687</v>
      </c>
      <c r="D185" s="156">
        <f ca="1" xml:space="preserve"> _xll.RiskPercentile('Climate A-B'!E$195, $H6)</f>
        <v>-0.26045755505380952</v>
      </c>
      <c r="E185" s="156">
        <f ca="1" xml:space="preserve"> _xll.RiskPercentile('Climate A-B'!F$195, $H6)</f>
        <v>-0.32354020191146404</v>
      </c>
      <c r="F185" s="156">
        <f ca="1" xml:space="preserve"> _xll.RiskPercentile('Climate A-B'!G$195, $H6)</f>
        <v>-0.36102177035947719</v>
      </c>
      <c r="G185" s="156">
        <f ca="1" xml:space="preserve"> _xll.RiskPercentile('Climate A-B'!H$195, $H6)</f>
        <v>-0.35239768831490731</v>
      </c>
      <c r="H185" s="156">
        <f ca="1" xml:space="preserve"> _xll.RiskPercentile('Climate A-B'!I$195, $H6)</f>
        <v>-0.47025044151355411</v>
      </c>
      <c r="I185" s="156">
        <f ca="1" xml:space="preserve"> _xll.RiskPercentile('Climate A-B'!J$195, $H6)</f>
        <v>-0.55510091076662083</v>
      </c>
      <c r="J185" s="156">
        <f ca="1" xml:space="preserve"> _xll.RiskPercentile('Climate A-B'!K$195, $H6)</f>
        <v>-0.6499689143953542</v>
      </c>
      <c r="K185" s="156">
        <f ca="1" xml:space="preserve"> _xll.RiskPercentile('Climate A-B'!L$195, $H6)</f>
        <v>-0.71254353693847361</v>
      </c>
      <c r="L185" s="156">
        <f ca="1" xml:space="preserve"> _xll.RiskPercentile('Climate A-B'!M$195, $H6)</f>
        <v>-0.75958209158391377</v>
      </c>
      <c r="M185" s="57"/>
    </row>
    <row r="186" spans="1:13" x14ac:dyDescent="0.2">
      <c r="A186" s="3" t="s">
        <v>727</v>
      </c>
      <c r="C186" s="156">
        <f ca="1" xml:space="preserve"> _xll.RiskPercentile('Climate A-B'!D$195, $H7)</f>
        <v>-0.12653135521364639</v>
      </c>
      <c r="D186" s="156">
        <f ca="1" xml:space="preserve"> _xll.RiskPercentile('Climate A-B'!E$195, $H7)</f>
        <v>-0.122821206300908</v>
      </c>
      <c r="E186" s="156">
        <f ca="1" xml:space="preserve"> _xll.RiskPercentile('Climate A-B'!F$195, $H7)</f>
        <v>-0.1408845288460279</v>
      </c>
      <c r="F186" s="156">
        <f ca="1" xml:space="preserve"> _xll.RiskPercentile('Climate A-B'!G$195, $H7)</f>
        <v>-0.17875235063961295</v>
      </c>
      <c r="G186" s="156">
        <f ca="1" xml:space="preserve"> _xll.RiskPercentile('Climate A-B'!H$195, $H7)</f>
        <v>-0.15822319349833991</v>
      </c>
      <c r="H186" s="156">
        <f ca="1" xml:space="preserve"> _xll.RiskPercentile('Climate A-B'!I$195, $H7)</f>
        <v>-0.28474206906894001</v>
      </c>
      <c r="I186" s="156">
        <f ca="1" xml:space="preserve"> _xll.RiskPercentile('Climate A-B'!J$195, $H7)</f>
        <v>-0.38921356597041129</v>
      </c>
      <c r="J186" s="156">
        <f ca="1" xml:space="preserve"> _xll.RiskPercentile('Climate A-B'!K$195, $H7)</f>
        <v>-0.50781851804287736</v>
      </c>
      <c r="K186" s="156">
        <f ca="1" xml:space="preserve"> _xll.RiskPercentile('Climate A-B'!L$195, $H7)</f>
        <v>-0.58834965221896118</v>
      </c>
      <c r="L186" s="156">
        <f ca="1" xml:space="preserve"> _xll.RiskPercentile('Climate A-B'!M$195, $H7)</f>
        <v>-0.64917732081737489</v>
      </c>
      <c r="M186" s="57"/>
    </row>
    <row r="187" spans="1:13" x14ac:dyDescent="0.2">
      <c r="A187" s="3" t="s">
        <v>572</v>
      </c>
      <c r="C187" s="156">
        <f ca="1" xml:space="preserve"> _xll.RiskPercentile('Climate A-B'!D$195, $H8)</f>
        <v>-5.3443184053154442E-3</v>
      </c>
      <c r="D187" s="156">
        <f ca="1" xml:space="preserve"> _xll.RiskPercentile('Climate A-B'!E$195, $H8)</f>
        <v>-7.7882390033921353E-3</v>
      </c>
      <c r="E187" s="156">
        <f ca="1" xml:space="preserve"> _xll.RiskPercentile('Climate A-B'!F$195, $H8)</f>
        <v>-1.4821242046814285E-3</v>
      </c>
      <c r="F187" s="156">
        <f ca="1" xml:space="preserve"> _xll.RiskPercentile('Climate A-B'!G$195, $H8)</f>
        <v>-2.9484962251333971E-2</v>
      </c>
      <c r="G187" s="156">
        <f ca="1" xml:space="preserve"> _xll.RiskPercentile('Climate A-B'!H$195, $H8)</f>
        <v>-8.2668451372800433E-3</v>
      </c>
      <c r="H187" s="156">
        <f ca="1" xml:space="preserve"> _xll.RiskPercentile('Climate A-B'!I$195, $H8)</f>
        <v>-0.13866789250317044</v>
      </c>
      <c r="I187" s="156">
        <f ca="1" xml:space="preserve"> _xll.RiskPercentile('Climate A-B'!J$195, $H8)</f>
        <v>-0.25850537369973192</v>
      </c>
      <c r="J187" s="156">
        <f ca="1" xml:space="preserve"> _xll.RiskPercentile('Climate A-B'!K$195, $H8)</f>
        <v>-0.39270528758418322</v>
      </c>
      <c r="K187" s="156">
        <f ca="1" xml:space="preserve"> _xll.RiskPercentile('Climate A-B'!L$195, $H8)</f>
        <v>-0.4919275328179647</v>
      </c>
      <c r="L187" s="156">
        <f ca="1" xml:space="preserve"> _xll.RiskPercentile('Climate A-B'!M$195, $H8)</f>
        <v>-0.56508093026803485</v>
      </c>
      <c r="M187" s="57"/>
    </row>
    <row r="188" spans="1:13" x14ac:dyDescent="0.2">
      <c r="A188" s="3" t="s">
        <v>728</v>
      </c>
      <c r="C188" s="156">
        <f ca="1" xml:space="preserve"> _xll.RiskPercentile('Climate A-B'!D$195, $H9)</f>
        <v>0.13076180867369785</v>
      </c>
      <c r="D188" s="156">
        <f ca="1" xml:space="preserve"> _xll.RiskPercentile('Climate A-B'!E$195, $H9)</f>
        <v>0.12109955994859713</v>
      </c>
      <c r="E188" s="156">
        <f ca="1" xml:space="preserve"> _xll.RiskPercentile('Climate A-B'!F$195, $H9)</f>
        <v>0.15509139837778524</v>
      </c>
      <c r="F188" s="156">
        <f ca="1" xml:space="preserve"> _xll.RiskPercentile('Climate A-B'!G$195, $H9)</f>
        <v>0.13429551855369654</v>
      </c>
      <c r="G188" s="156">
        <f ca="1" xml:space="preserve"> _xll.RiskPercentile('Climate A-B'!H$195, $H9)</f>
        <v>0.1591468365089691</v>
      </c>
      <c r="H188" s="156">
        <f ca="1" xml:space="preserve"> _xll.RiskPercentile('Climate A-B'!I$195, $H9)</f>
        <v>2.6057156820237858E-2</v>
      </c>
      <c r="I188" s="156">
        <f ca="1" xml:space="preserve"> _xll.RiskPercentile('Climate A-B'!J$195, $H9)</f>
        <v>-0.10724202665608241</v>
      </c>
      <c r="J188" s="156">
        <f ca="1" xml:space="preserve"> _xll.RiskPercentile('Climate A-B'!K$195, $H9)</f>
        <v>-0.26182732640215423</v>
      </c>
      <c r="K188" s="156">
        <f ca="1" xml:space="preserve"> _xll.RiskPercentile('Climate A-B'!L$195, $H9)</f>
        <v>-0.37215917698986334</v>
      </c>
      <c r="L188" s="156">
        <f ca="1" xml:space="preserve"> _xll.RiskPercentile('Climate A-B'!M$195, $H9)</f>
        <v>-0.46205188025008698</v>
      </c>
      <c r="M188" s="57"/>
    </row>
    <row r="189" spans="1:13" x14ac:dyDescent="0.2">
      <c r="A189" s="3" t="s">
        <v>500</v>
      </c>
      <c r="C189" s="156">
        <f ca="1" xml:space="preserve"> _xll.RiskPercentile('Climate A-B'!D$195, $H10)</f>
        <v>0.36621318030835709</v>
      </c>
      <c r="D189" s="156">
        <f ca="1" xml:space="preserve"> _xll.RiskPercentile('Climate A-B'!E$195, $H10)</f>
        <v>0.33809641013997893</v>
      </c>
      <c r="E189" s="156">
        <f ca="1" xml:space="preserve"> _xll.RiskPercentile('Climate A-B'!F$195, $H10)</f>
        <v>0.42740182721051773</v>
      </c>
      <c r="F189" s="156">
        <f ca="1" xml:space="preserve"> _xll.RiskPercentile('Climate A-B'!G$195, $H10)</f>
        <v>0.41992050430782757</v>
      </c>
      <c r="G189" s="156">
        <f ca="1" xml:space="preserve"> _xll.RiskPercentile('Climate A-B'!H$195, $H10)</f>
        <v>0.44853200977081309</v>
      </c>
      <c r="H189" s="156">
        <f ca="1" xml:space="preserve"> _xll.RiskPercentile('Climate A-B'!I$195, $H10)</f>
        <v>0.30952753345431394</v>
      </c>
      <c r="I189" s="156">
        <f ca="1" xml:space="preserve"> _xll.RiskPercentile('Climate A-B'!J$195, $H10)</f>
        <v>0.17344862584883522</v>
      </c>
      <c r="J189" s="156">
        <f ca="1" xml:space="preserve"> _xll.RiskPercentile('Climate A-B'!K$195, $H10)</f>
        <v>-1.1841646638130815E-2</v>
      </c>
      <c r="K189" s="156">
        <f ca="1" xml:space="preserve"> _xll.RiskPercentile('Climate A-B'!L$195, $H10)</f>
        <v>-0.15038155339132872</v>
      </c>
      <c r="L189" s="156">
        <f ca="1" xml:space="preserve"> _xll.RiskPercentile('Climate A-B'!M$195, $H10)</f>
        <v>-0.26813063673287862</v>
      </c>
      <c r="M189" s="57"/>
    </row>
    <row r="191" spans="1:13" x14ac:dyDescent="0.2">
      <c r="A191" s="3" t="s">
        <v>428</v>
      </c>
      <c r="C191" s="156">
        <f ca="1" xml:space="preserve"> _xll.RiskMean('Climate A-B'!D$195)</f>
        <v>1.34735380026102E-2</v>
      </c>
      <c r="D191" s="156">
        <f ca="1" xml:space="preserve"> _xll.RiskMean('Climate A-B'!E$195)</f>
        <v>1.0574348205206982E-2</v>
      </c>
      <c r="E191" s="156">
        <f ca="1" xml:space="preserve"> _xll.RiskMean('Climate A-B'!F$195)</f>
        <v>1.9171423635608281E-2</v>
      </c>
      <c r="F191" s="156">
        <f ca="1" xml:space="preserve"> _xll.RiskMean('Climate A-B'!G$195)</f>
        <v>-7.5610514811510288E-3</v>
      </c>
      <c r="G191" s="156">
        <f ca="1" xml:space="preserve"> _xll.RiskMean('Climate A-B'!H$195)</f>
        <v>1.3744722137726794E-2</v>
      </c>
      <c r="H191" s="156">
        <f ca="1" xml:space="preserve"> _xll.RiskMean('Climate A-B'!I$195)</f>
        <v>-0.1167002685102415</v>
      </c>
      <c r="I191" s="156">
        <f ca="1" xml:space="preserve"> _xll.RiskMean('Climate A-B'!J$195)</f>
        <v>-0.23341929534958827</v>
      </c>
      <c r="J191" s="156">
        <f ca="1" xml:space="preserve"> _xll.RiskMean('Climate A-B'!K$195)</f>
        <v>-0.36989805112317936</v>
      </c>
      <c r="K191" s="156">
        <f ca="1" xml:space="preserve"> _xll.RiskMean('Climate A-B'!L$195)</f>
        <v>-0.46842468925159109</v>
      </c>
      <c r="L191" s="156">
        <f ca="1" xml:space="preserve"> _xll.RiskMean('Climate A-B'!M$195)</f>
        <v>-0.54421244419174208</v>
      </c>
    </row>
    <row r="192" spans="1:13" x14ac:dyDescent="0.2">
      <c r="A192" s="3" t="s">
        <v>765</v>
      </c>
      <c r="C192" s="156">
        <f ca="1" xml:space="preserve"> _xll.RiskStdDev('Climate A-B'!D$195)</f>
        <v>0.19844487270739064</v>
      </c>
      <c r="D192" s="156">
        <f ca="1" xml:space="preserve"> _xll.RiskStdDev('Climate A-B'!E$195)</f>
        <v>0.1856753036293036</v>
      </c>
      <c r="E192" s="156">
        <f ca="1" xml:space="preserve"> _xll.RiskStdDev('Climate A-B'!F$195)</f>
        <v>0.23200973092573465</v>
      </c>
      <c r="F192" s="156">
        <f ca="1" xml:space="preserve"> _xll.RiskStdDev('Climate A-B'!G$195)</f>
        <v>0.24068353471329609</v>
      </c>
      <c r="G192" s="156">
        <f ca="1" xml:space="preserve"> _xll.RiskStdDev('Climate A-B'!H$195)</f>
        <v>0.24863456876208137</v>
      </c>
      <c r="H192" s="156">
        <f ca="1" xml:space="preserve"> _xll.RiskStdDev('Climate A-B'!I$195)</f>
        <v>0.24346999124363564</v>
      </c>
      <c r="I192" s="156">
        <f ca="1" xml:space="preserve"> _xll.RiskStdDev('Climate A-B'!J$195)</f>
        <v>0.22698308056277869</v>
      </c>
      <c r="J192" s="156">
        <f ca="1" xml:space="preserve"> _xll.RiskStdDev('Climate A-B'!K$195)</f>
        <v>0.20140930725491474</v>
      </c>
      <c r="K192" s="156">
        <f ca="1" xml:space="preserve"> _xll.RiskStdDev('Climate A-B'!L$195)</f>
        <v>0.17657803351322662</v>
      </c>
      <c r="L192" s="156">
        <f ca="1" xml:space="preserve"> _xll.RiskStdDev('Climate A-B'!M$195)</f>
        <v>0.15618496561738185</v>
      </c>
    </row>
    <row r="196" spans="1:13" x14ac:dyDescent="0.2">
      <c r="A196" s="172" t="str">
        <f xml:space="preserve"> "Scenario = {"&amp;SCENARIO_PAIR&amp;"}, Experiment = {"&amp;EXPERIMENT&amp;"}, Economic Impacts = {"&amp;ECON_IMPF&amp;"}"</f>
        <v>Scenario = {SSP5-34-OS}, Experiment = {Two Scenarios, Nonlinear PCF &amp; SAF}, Economic Impacts = {Burke, Pulled, Lag=2, Consum-Only}</v>
      </c>
      <c r="B196" s="172"/>
      <c r="C196" s="172"/>
      <c r="D196" s="172"/>
      <c r="E196" s="172"/>
      <c r="F196" s="172"/>
      <c r="G196" s="172"/>
    </row>
    <row r="197" spans="1:13" x14ac:dyDescent="0.2">
      <c r="A197" s="2" t="s">
        <v>584</v>
      </c>
    </row>
    <row r="198" spans="1:13" x14ac:dyDescent="0.2">
      <c r="A198" s="2" t="s">
        <v>775</v>
      </c>
      <c r="C198">
        <f t="array" ref="C198:L198">Y</f>
        <v>2020</v>
      </c>
      <c r="D198">
        <v>2025</v>
      </c>
      <c r="E198">
        <v>2030</v>
      </c>
      <c r="F198">
        <v>2040</v>
      </c>
      <c r="G198">
        <v>2050</v>
      </c>
      <c r="H198">
        <v>2060</v>
      </c>
      <c r="I198">
        <v>2070</v>
      </c>
      <c r="J198">
        <v>2080</v>
      </c>
      <c r="K198">
        <v>2090</v>
      </c>
      <c r="L198">
        <v>2100</v>
      </c>
    </row>
    <row r="199" spans="1:13" x14ac:dyDescent="0.2">
      <c r="A199" s="3" t="s">
        <v>772</v>
      </c>
      <c r="C199" s="241">
        <f ca="1">_xll.RiskMean('Climate A-B'!D213)</f>
        <v>1.09990612316668</v>
      </c>
      <c r="D199" s="4">
        <f ca="1">_xll.RiskMean('Climate A-B'!E213)</f>
        <v>1.09990612316668</v>
      </c>
      <c r="E199" s="4">
        <f ca="1">_xll.RiskMean('Climate A-B'!F213)</f>
        <v>-5.2160433887644881</v>
      </c>
      <c r="F199" s="4">
        <f ca="1">_xll.RiskMean('Climate A-B'!G213)</f>
        <v>30.831240604699403</v>
      </c>
      <c r="G199" s="4">
        <f ca="1">_xll.RiskMean('Climate A-B'!H213)</f>
        <v>-1306.658618319161</v>
      </c>
      <c r="H199" s="4">
        <f ca="1">_xll.RiskMean('Climate A-B'!I213)</f>
        <v>-1296.703155212881</v>
      </c>
      <c r="I199" s="4">
        <f ca="1">_xll.RiskMean('Climate A-B'!J213)</f>
        <v>4832.9444136432894</v>
      </c>
      <c r="J199" s="4">
        <f ca="1">_xll.RiskMean('Climate A-B'!K213)</f>
        <v>15571.939008910071</v>
      </c>
      <c r="K199" s="4">
        <f ca="1">_xll.RiskMean('Climate A-B'!L213)</f>
        <v>26346.783505537089</v>
      </c>
      <c r="L199" s="4">
        <f ca="1">_xll.RiskMean('Climate A-B'!M213)</f>
        <v>35238.431036452901</v>
      </c>
      <c r="M199" s="3" t="s">
        <v>585</v>
      </c>
    </row>
    <row r="200" spans="1:13" x14ac:dyDescent="0.2">
      <c r="A200" s="3" t="s">
        <v>587</v>
      </c>
      <c r="C200" s="4">
        <f ca="1">_xll.RiskMean('Climate A-B'!D68)</f>
        <v>-8.5207826030025196</v>
      </c>
      <c r="D200" s="4">
        <f ca="1">_xll.RiskMean('Climate A-B'!E68)</f>
        <v>-13.763697426122651</v>
      </c>
      <c r="E200" s="4">
        <f ca="1">_xll.RiskMean('Climate A-B'!F68)</f>
        <v>2.8378024824879966</v>
      </c>
      <c r="F200" s="4">
        <f ca="1">_xll.RiskMean('Climate A-B'!G68)</f>
        <v>-74.022042587459765</v>
      </c>
      <c r="G200" s="4">
        <f ca="1">_xll.RiskMean('Climate A-B'!H68)</f>
        <v>-12.334864593067936</v>
      </c>
      <c r="H200" s="4">
        <f ca="1">_xll.RiskMean('Climate A-B'!I68)</f>
        <v>-658.28756930494762</v>
      </c>
      <c r="I200" s="4">
        <f ca="1">_xll.RiskMean('Climate A-B'!J68)</f>
        <v>-1570.4711441527418</v>
      </c>
      <c r="J200" s="4">
        <f ca="1">_xll.RiskMean('Climate A-B'!K68)</f>
        <v>-2828.2456828450468</v>
      </c>
      <c r="K200" s="4">
        <f ca="1">_xll.RiskMean('Climate A-B'!L68)</f>
        <v>-4050.0253360167108</v>
      </c>
      <c r="L200" s="4">
        <f ca="1">_xll.RiskMean('Climate A-B'!M68)</f>
        <v>-5015.4411053032327</v>
      </c>
      <c r="M200" s="3" t="s">
        <v>585</v>
      </c>
    </row>
    <row r="201" spans="1:13" x14ac:dyDescent="0.2">
      <c r="A201" s="3" t="s">
        <v>770</v>
      </c>
      <c r="C201" s="4">
        <f ca="1">_xll.RiskMean('Climate A-B'!D218)</f>
        <v>-7.4208764798358464</v>
      </c>
      <c r="D201" s="4">
        <f ca="1">_xll.RiskMean('Climate A-B'!E218)</f>
        <v>-12.663791302956097</v>
      </c>
      <c r="E201" s="4">
        <f ca="1">_xll.RiskMean('Climate A-B'!F218)</f>
        <v>-2.3782409062765186</v>
      </c>
      <c r="F201" s="4">
        <f ca="1">_xll.RiskMean('Climate A-B'!G218)</f>
        <v>-43.190801982760277</v>
      </c>
      <c r="G201" s="4">
        <f ca="1">_xll.RiskMean('Climate A-B'!H218)</f>
        <v>-1318.9934829122276</v>
      </c>
      <c r="H201" s="4">
        <f ca="1">_xll.RiskMean('Climate A-B'!I218)</f>
        <v>-1954.9907245178324</v>
      </c>
      <c r="I201" s="4">
        <f ca="1">_xll.RiskMean('Climate A-B'!J218)</f>
        <v>3262.473269490552</v>
      </c>
      <c r="J201" s="4">
        <f ca="1">_xll.RiskMean('Climate A-B'!K218)</f>
        <v>12743.69332606494</v>
      </c>
      <c r="K201" s="4">
        <f ca="1">_xll.RiskMean('Climate A-B'!L218)</f>
        <v>22296.758169520381</v>
      </c>
      <c r="L201" s="4">
        <f ca="1">_xll.RiskMean('Climate A-B'!M218)</f>
        <v>30222.98993114951</v>
      </c>
      <c r="M201" s="3" t="s">
        <v>585</v>
      </c>
    </row>
  </sheetData>
  <phoneticPr fontId="21" type="noConversion"/>
  <conditionalFormatting sqref="B6:D10 B12:D12 B15:D19 B21:D21 B24:D28 B30:D30 B33:D37 B39:D39 D40:D41 D45:D49 D51:D53 B60:L60 B62:L62 C68:L68 C70:L71 C73:L73 C75:L75 C79:L83 C86:C88 G86:G88 C96:L100 C102:L103 C106:L110 C113:L117 C119:L120 C123:L127 C129:L130 C133:L137 C140:L144 C146:L147 C150:L154 C161:L165 C167:L168 C175:L179 C181:L182 C185:L189 C191:L192 C199:L201">
    <cfRule type="expression" dxfId="15" priority="1" stopIfTrue="1">
      <formula>RiskIsStatistics</formula>
    </cfRule>
  </conditionalFormatting>
  <pageMargins left="0.7" right="0.7" top="0.75" bottom="0.75" header="0.3" footer="0.3"/>
  <pageSetup paperSize="9" orientation="portrait"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topLeftCell="A10" zoomScaleNormal="100" workbookViewId="0">
      <selection activeCell="F22" sqref="F22"/>
    </sheetView>
  </sheetViews>
  <sheetFormatPr defaultRowHeight="12.75" x14ac:dyDescent="0.2"/>
  <cols>
    <col min="1" max="2" width="38.5703125" customWidth="1"/>
    <col min="4" max="4" width="26.140625" customWidth="1"/>
    <col min="5" max="5" width="17" customWidth="1"/>
    <col min="6" max="6" width="9.85546875" bestFit="1" customWidth="1"/>
  </cols>
  <sheetData>
    <row r="1" spans="1:12" x14ac:dyDescent="0.2">
      <c r="A1" s="2" t="str">
        <f>MODEL_NAME</f>
        <v>PAGE-ICE Nonlinear Arctic Feedbacks</v>
      </c>
      <c r="B1" s="2" t="s">
        <v>1043</v>
      </c>
      <c r="C1" s="299" t="str">
        <f xml:space="preserve"> VERSION</f>
        <v>6.22</v>
      </c>
      <c r="D1" s="2" t="s">
        <v>589</v>
      </c>
      <c r="E1" s="2"/>
      <c r="F1" s="299" t="str">
        <f xml:space="preserve"> VERSION_DATE</f>
        <v>20/03/2019</v>
      </c>
      <c r="I1" s="124" t="s">
        <v>1074</v>
      </c>
    </row>
    <row r="2" spans="1:12" x14ac:dyDescent="0.2">
      <c r="A2" s="2"/>
      <c r="B2" s="2"/>
      <c r="C2" s="299"/>
      <c r="I2" s="124" t="s">
        <v>1076</v>
      </c>
    </row>
    <row r="4" spans="1:12" x14ac:dyDescent="0.2">
      <c r="A4" s="2" t="s">
        <v>483</v>
      </c>
      <c r="B4" s="114" t="s">
        <v>1052</v>
      </c>
      <c r="D4" s="2" t="s">
        <v>1048</v>
      </c>
      <c r="I4" s="2" t="s">
        <v>486</v>
      </c>
    </row>
    <row r="5" spans="1:12" x14ac:dyDescent="0.2">
      <c r="D5" s="3" t="s">
        <v>487</v>
      </c>
      <c r="E5" s="2" t="s">
        <v>1042</v>
      </c>
      <c r="I5" s="124" t="s">
        <v>957</v>
      </c>
    </row>
    <row r="6" spans="1:12" x14ac:dyDescent="0.2">
      <c r="D6" s="3" t="s">
        <v>488</v>
      </c>
      <c r="E6" s="2" t="s">
        <v>773</v>
      </c>
      <c r="I6" s="124" t="s">
        <v>481</v>
      </c>
      <c r="L6" s="124" t="s">
        <v>1046</v>
      </c>
    </row>
    <row r="7" spans="1:12" x14ac:dyDescent="0.2">
      <c r="D7" s="3" t="s">
        <v>489</v>
      </c>
      <c r="E7" s="2" t="s">
        <v>891</v>
      </c>
      <c r="I7" s="124" t="s">
        <v>481</v>
      </c>
      <c r="J7" s="3"/>
      <c r="L7" s="124" t="s">
        <v>1047</v>
      </c>
    </row>
    <row r="8" spans="1:12" x14ac:dyDescent="0.2">
      <c r="D8" s="3" t="s">
        <v>490</v>
      </c>
      <c r="E8" s="2" t="s">
        <v>892</v>
      </c>
      <c r="I8" s="124" t="s">
        <v>481</v>
      </c>
      <c r="J8" s="3"/>
    </row>
    <row r="9" spans="1:12" x14ac:dyDescent="0.2">
      <c r="D9" s="3" t="s">
        <v>491</v>
      </c>
      <c r="E9" s="2" t="s">
        <v>1045</v>
      </c>
      <c r="I9" s="124" t="s">
        <v>482</v>
      </c>
    </row>
    <row r="10" spans="1:12" x14ac:dyDescent="0.2">
      <c r="A10" s="2"/>
      <c r="D10" s="3" t="s">
        <v>492</v>
      </c>
      <c r="E10" s="2" t="s">
        <v>774</v>
      </c>
      <c r="I10" s="124" t="s">
        <v>482</v>
      </c>
    </row>
    <row r="11" spans="1:12" x14ac:dyDescent="0.2">
      <c r="D11" s="3" t="s">
        <v>535</v>
      </c>
      <c r="E11" s="2" t="s">
        <v>893</v>
      </c>
      <c r="I11" s="124" t="s">
        <v>482</v>
      </c>
    </row>
    <row r="12" spans="1:12" x14ac:dyDescent="0.2">
      <c r="D12" s="3" t="s">
        <v>536</v>
      </c>
      <c r="E12" s="2" t="s">
        <v>894</v>
      </c>
      <c r="I12" s="124" t="s">
        <v>482</v>
      </c>
    </row>
    <row r="13" spans="1:12" x14ac:dyDescent="0.2">
      <c r="D13" s="3" t="s">
        <v>1049</v>
      </c>
      <c r="E13" s="2" t="s">
        <v>1051</v>
      </c>
      <c r="I13" s="124" t="s">
        <v>1053</v>
      </c>
    </row>
    <row r="14" spans="1:12" x14ac:dyDescent="0.2">
      <c r="D14" s="3" t="s">
        <v>1050</v>
      </c>
      <c r="E14" s="2" t="s">
        <v>1052</v>
      </c>
      <c r="I14" s="124" t="s">
        <v>1053</v>
      </c>
    </row>
    <row r="18" spans="1:9" x14ac:dyDescent="0.2">
      <c r="A18" s="2" t="s">
        <v>964</v>
      </c>
      <c r="B18" s="114" t="s">
        <v>1079</v>
      </c>
      <c r="D18" s="2" t="s">
        <v>464</v>
      </c>
      <c r="E18" s="2"/>
      <c r="F18" s="2"/>
      <c r="G18" s="2"/>
      <c r="H18" s="2"/>
      <c r="I18" s="2" t="s">
        <v>465</v>
      </c>
    </row>
    <row r="19" spans="1:9" x14ac:dyDescent="0.2">
      <c r="D19" s="3" t="s">
        <v>658</v>
      </c>
      <c r="E19" s="2"/>
      <c r="F19" s="2" t="s">
        <v>659</v>
      </c>
      <c r="I19" s="124" t="s">
        <v>531</v>
      </c>
    </row>
    <row r="20" spans="1:9" x14ac:dyDescent="0.2">
      <c r="A20" s="2" t="s">
        <v>965</v>
      </c>
      <c r="B20" s="114" t="s">
        <v>1081</v>
      </c>
      <c r="D20" s="3" t="s">
        <v>473</v>
      </c>
      <c r="E20" s="2"/>
      <c r="F20" s="2" t="s">
        <v>661</v>
      </c>
      <c r="I20" s="124" t="s">
        <v>531</v>
      </c>
    </row>
    <row r="21" spans="1:9" x14ac:dyDescent="0.2">
      <c r="B21" s="300" t="s">
        <v>1057</v>
      </c>
      <c r="D21" s="3" t="s">
        <v>472</v>
      </c>
      <c r="E21" s="2"/>
      <c r="F21" s="2" t="s">
        <v>660</v>
      </c>
      <c r="I21" s="124" t="s">
        <v>532</v>
      </c>
    </row>
    <row r="22" spans="1:9" x14ac:dyDescent="0.2">
      <c r="A22" s="2" t="s">
        <v>1061</v>
      </c>
      <c r="B22" s="114" t="s">
        <v>1062</v>
      </c>
      <c r="D22" s="3" t="s">
        <v>469</v>
      </c>
      <c r="E22" s="2"/>
      <c r="F22" s="2" t="s">
        <v>662</v>
      </c>
      <c r="I22" s="124" t="s">
        <v>656</v>
      </c>
    </row>
    <row r="23" spans="1:9" x14ac:dyDescent="0.2">
      <c r="B23" s="300" t="s">
        <v>1057</v>
      </c>
      <c r="D23" s="3" t="s">
        <v>471</v>
      </c>
      <c r="E23" s="2"/>
      <c r="F23" s="2" t="s">
        <v>649</v>
      </c>
      <c r="I23" s="124" t="s">
        <v>657</v>
      </c>
    </row>
    <row r="24" spans="1:9" x14ac:dyDescent="0.2">
      <c r="D24" s="3" t="s">
        <v>540</v>
      </c>
      <c r="E24" s="2"/>
      <c r="F24" s="2" t="s">
        <v>663</v>
      </c>
      <c r="I24" s="124" t="s">
        <v>533</v>
      </c>
    </row>
    <row r="25" spans="1:9" x14ac:dyDescent="0.2">
      <c r="D25" s="3" t="s">
        <v>581</v>
      </c>
      <c r="E25" s="2"/>
      <c r="F25" s="2" t="s">
        <v>934</v>
      </c>
      <c r="I25" s="124"/>
    </row>
    <row r="26" spans="1:9" x14ac:dyDescent="0.2">
      <c r="D26" s="3" t="s">
        <v>664</v>
      </c>
      <c r="E26" s="2" t="s">
        <v>1080</v>
      </c>
      <c r="F26" s="2" t="s">
        <v>530</v>
      </c>
      <c r="I26" s="124" t="s">
        <v>1068</v>
      </c>
    </row>
    <row r="27" spans="1:9" x14ac:dyDescent="0.2">
      <c r="D27" s="3" t="s">
        <v>665</v>
      </c>
      <c r="E27" s="2" t="s">
        <v>1082</v>
      </c>
      <c r="F27" s="2" t="s">
        <v>468</v>
      </c>
      <c r="I27" s="124" t="s">
        <v>1073</v>
      </c>
    </row>
    <row r="28" spans="1:9" x14ac:dyDescent="0.2">
      <c r="D28" s="3" t="s">
        <v>666</v>
      </c>
      <c r="E28" s="2"/>
      <c r="F28" s="2" t="s">
        <v>470</v>
      </c>
    </row>
    <row r="29" spans="1:9" x14ac:dyDescent="0.2">
      <c r="D29" s="3"/>
      <c r="E29" s="2"/>
    </row>
    <row r="30" spans="1:9" x14ac:dyDescent="0.2">
      <c r="D30" s="2" t="s">
        <v>1071</v>
      </c>
      <c r="E30" s="2"/>
    </row>
    <row r="31" spans="1:9" x14ac:dyDescent="0.2">
      <c r="D31" s="3" t="s">
        <v>1039</v>
      </c>
      <c r="E31" s="2" t="s">
        <v>1062</v>
      </c>
    </row>
    <row r="32" spans="1:9" x14ac:dyDescent="0.2">
      <c r="D32" s="3" t="s">
        <v>1040</v>
      </c>
      <c r="E32" s="2" t="s">
        <v>1063</v>
      </c>
    </row>
    <row r="34" spans="1:9" x14ac:dyDescent="0.2">
      <c r="D34" s="3"/>
      <c r="E34" s="3"/>
      <c r="I34" s="3"/>
    </row>
    <row r="35" spans="1:9" x14ac:dyDescent="0.2">
      <c r="D35" s="3"/>
      <c r="E35" s="3"/>
      <c r="I35" s="3"/>
    </row>
    <row r="36" spans="1:9" x14ac:dyDescent="0.2">
      <c r="A36" s="2" t="str">
        <f xml:space="preserve"> "Choose the "&amp;I_1_NAME&amp;" impacts:"</f>
        <v>Choose the Economic impacts:</v>
      </c>
      <c r="B36" s="114" t="s">
        <v>873</v>
      </c>
      <c r="D36" s="2" t="str">
        <f>I_1_NAME&amp;" impact functions"</f>
        <v>Economic impact functions</v>
      </c>
      <c r="E36" s="3"/>
      <c r="I36" s="2" t="s">
        <v>465</v>
      </c>
    </row>
    <row r="37" spans="1:9" x14ac:dyDescent="0.2">
      <c r="A37" s="2"/>
      <c r="B37" s="2"/>
      <c r="D37" s="3" t="str">
        <f>I_1_NAME&amp;" impact function 1:"</f>
        <v>Economic impact function 1:</v>
      </c>
      <c r="E37" s="2" t="s">
        <v>732</v>
      </c>
      <c r="I37" s="124" t="s">
        <v>722</v>
      </c>
    </row>
    <row r="38" spans="1:9" x14ac:dyDescent="0.2">
      <c r="A38" s="2"/>
      <c r="B38" s="2"/>
      <c r="D38" s="3" t="str">
        <f>I_1_NAME&amp;" impact function 2:"</f>
        <v>Economic impact function 2:</v>
      </c>
      <c r="E38" s="2" t="s">
        <v>873</v>
      </c>
      <c r="I38" s="124" t="s">
        <v>874</v>
      </c>
    </row>
    <row r="39" spans="1:9" x14ac:dyDescent="0.2">
      <c r="A39" s="2"/>
      <c r="B39" s="2"/>
      <c r="D39" s="3" t="str">
        <f>I_1_NAME&amp;" impact function 3:"</f>
        <v>Economic impact function 3:</v>
      </c>
      <c r="E39" s="2" t="s">
        <v>759</v>
      </c>
      <c r="I39" s="124" t="s">
        <v>762</v>
      </c>
    </row>
    <row r="40" spans="1:9" x14ac:dyDescent="0.2">
      <c r="D40" s="3" t="str">
        <f>I_1_NAME&amp;" impact function 4:"</f>
        <v>Economic impact function 4:</v>
      </c>
      <c r="E40" s="2" t="s">
        <v>760</v>
      </c>
      <c r="I40" s="124" t="s">
        <v>1070</v>
      </c>
    </row>
    <row r="41" spans="1:9" x14ac:dyDescent="0.2">
      <c r="D41" s="3" t="str">
        <f>I_1_NAME&amp;" impact function 5:"</f>
        <v>Economic impact function 5:</v>
      </c>
      <c r="E41" s="2" t="s">
        <v>693</v>
      </c>
      <c r="I41" s="124" t="s">
        <v>541</v>
      </c>
    </row>
    <row r="42" spans="1:9" x14ac:dyDescent="0.2">
      <c r="D42" s="3" t="str">
        <f>I_1_NAME&amp;" impact function 6:"</f>
        <v>Economic impact function 6:</v>
      </c>
      <c r="E42" s="2" t="s">
        <v>694</v>
      </c>
      <c r="I42" s="124" t="s">
        <v>542</v>
      </c>
    </row>
    <row r="43" spans="1:9" x14ac:dyDescent="0.2">
      <c r="D43" s="3"/>
      <c r="E43" s="2"/>
      <c r="I43" s="124"/>
    </row>
    <row r="44" spans="1:9" x14ac:dyDescent="0.2">
      <c r="D44" s="3"/>
      <c r="E44" s="2"/>
      <c r="I44" s="124" t="s">
        <v>1075</v>
      </c>
    </row>
    <row r="45" spans="1:9" x14ac:dyDescent="0.2">
      <c r="D45" s="3"/>
      <c r="E45" s="2"/>
      <c r="I45" s="124"/>
    </row>
    <row r="46" spans="1:9" x14ac:dyDescent="0.2">
      <c r="A46" s="2" t="s">
        <v>1037</v>
      </c>
      <c r="B46" s="114" t="s">
        <v>1038</v>
      </c>
      <c r="D46" s="2" t="s">
        <v>1036</v>
      </c>
      <c r="I46" s="2" t="s">
        <v>465</v>
      </c>
    </row>
    <row r="47" spans="1:9" s="296" customFormat="1" x14ac:dyDescent="0.2">
      <c r="A47" s="294"/>
      <c r="B47" s="295"/>
      <c r="D47" s="294" t="s">
        <v>1039</v>
      </c>
      <c r="E47" s="278" t="s">
        <v>1038</v>
      </c>
      <c r="I47" s="297" t="s">
        <v>1069</v>
      </c>
    </row>
    <row r="48" spans="1:9" s="296" customFormat="1" x14ac:dyDescent="0.2">
      <c r="A48" s="294"/>
      <c r="B48" s="295"/>
      <c r="D48" s="294" t="s">
        <v>1040</v>
      </c>
      <c r="E48" s="278" t="s">
        <v>1054</v>
      </c>
      <c r="I48" s="305" t="s">
        <v>1072</v>
      </c>
    </row>
    <row r="49" spans="1:9" s="296" customFormat="1" x14ac:dyDescent="0.2">
      <c r="A49" s="294"/>
      <c r="B49" s="295"/>
    </row>
    <row r="50" spans="1:9" s="296" customFormat="1" x14ac:dyDescent="0.2">
      <c r="A50" s="294"/>
      <c r="B50" s="295"/>
    </row>
    <row r="51" spans="1:9" s="296" customFormat="1" x14ac:dyDescent="0.2">
      <c r="A51" s="294"/>
      <c r="B51" s="295"/>
    </row>
    <row r="52" spans="1:9" s="296" customFormat="1" x14ac:dyDescent="0.2">
      <c r="A52" s="294"/>
      <c r="B52" s="295"/>
    </row>
    <row r="53" spans="1:9" s="296" customFormat="1" x14ac:dyDescent="0.2">
      <c r="A53" s="294" t="s">
        <v>1055</v>
      </c>
      <c r="B53" s="301" t="str">
        <f xml:space="preserve"> IF(EXPERIMENT = EXPERIMENT_TWOSCEN_LEGFEED, SCENARIO_PAIR_B_PRELIM, IF(EXPERIMENT = EXPERIMENT_TWOSCEN_BOTHFEED, SCENARIO_PAIR_B_PRELIM, SCENARIO_PAIR))</f>
        <v>SSP5-85</v>
      </c>
      <c r="D53" s="294" t="s">
        <v>1056</v>
      </c>
    </row>
    <row r="54" spans="1:9" s="296" customFormat="1" x14ac:dyDescent="0.2">
      <c r="A54" s="294" t="s">
        <v>1064</v>
      </c>
      <c r="B54" s="301">
        <f xml:space="preserve"> IF(WORLDB_GDPPOP_CHOICE = WORLDB_OPTION_YES, 1, 0) * IF(EXPERIMENT = EXPERIMENT_TWOSCEN_LEGFEED, 1, IF(EXPERIMENT = EXPERIMENT_TWOSCEN_BOTHFEED, 1, 0))</f>
        <v>1</v>
      </c>
      <c r="D54" s="294" t="s">
        <v>1067</v>
      </c>
    </row>
    <row r="55" spans="1:9" s="296" customFormat="1" x14ac:dyDescent="0.2">
      <c r="A55" s="294"/>
      <c r="B55" s="295"/>
    </row>
    <row r="56" spans="1:9" x14ac:dyDescent="0.2">
      <c r="A56" s="277" t="s">
        <v>962</v>
      </c>
      <c r="B56" s="211">
        <f xml:space="preserve"> IF(SCENARIO_PAIR = PAIR_ZERO, 0, 0) + IF(SCENARIO_PAIR = PAIR_15C, 1, 0) + IF(SCENARIO_PAIR = PAIR_2C, 1, 0) + IF(SCENARIO_PAIR = PAIR_25C, 2, 0) + IF(SCENARIO_PAIR = PAIR_NDC, 2, 0) + IF(SCENARIO_PAIR = PAIR_NDC_PART, 2, 0) + IF(SCENARIO_PAIR = PAIR_BAU, 2, 0) + IF(SCENARIO_PAIR = PAIR_RCP26, 3, 0) + IF(SCENARIO_PAIR = PAIR_RCP45, 3, 0) + IF(SCENARIO_PAIR = PAIR_RCP85, 3, 0)</f>
        <v>3</v>
      </c>
      <c r="D56" s="3" t="s">
        <v>668</v>
      </c>
      <c r="E56" s="2"/>
      <c r="I56" s="124"/>
    </row>
    <row r="57" spans="1:9" x14ac:dyDescent="0.2">
      <c r="A57" s="277" t="s">
        <v>963</v>
      </c>
      <c r="B57" s="211">
        <f xml:space="preserve"> IF(SCENARIO_PAIR_B = PAIR_ZERO, 0, 0) + IF(SCENARIO_PAIR_B = PAIR_15C, 1, 0) + IF(SCENARIO_PAIR_B = PAIR_2C, 1, 0) + IF(SCENARIO_PAIR_B = PAIR_25C, 2, 0) + IF(SCENARIO_PAIR_B = PAIR_NDC, 2, 0) + IF(SCENARIO_PAIR_B = PAIR_NDC_PART, 2, 0) + IF(SCENARIO_PAIR_B = PAIR_BAU, 2, 0) + IF(SCENARIO_PAIR_B = PAIR_RCP26, 3, 0) + IF(SCENARIO_PAIR_B = PAIR_RCP45, 3, 0) + IF(SCENARIO_PAIR_B = PAIR_RCP85, 3, 0)</f>
        <v>3</v>
      </c>
      <c r="D57" s="3" t="s">
        <v>668</v>
      </c>
      <c r="E57" s="2"/>
      <c r="I57" s="124"/>
    </row>
    <row r="58" spans="1:9" x14ac:dyDescent="0.2">
      <c r="A58" s="58"/>
      <c r="B58" s="276"/>
      <c r="D58" s="3"/>
      <c r="E58" s="2"/>
      <c r="I58" s="124"/>
    </row>
    <row r="59" spans="1:9" x14ac:dyDescent="0.2">
      <c r="A59" s="58" t="s">
        <v>761</v>
      </c>
      <c r="B59" s="211">
        <f xml:space="preserve"> IF(ECON_IMPF = ECON_IMPF_PAGE09_DEFAULT, 0, 0) + IF(ECON_IMPF = ECON_IMPF_PAGE09_IPCCAR5_BURKE, 0, 0) + IF(ECON_IMPF = ECON_IMPF_PAGE09_DELL_MIMIC, 0, 0) + IF(ECON_IMPF = ECON_IMPF_PAGE09_BURKE_MIMIC, 0, 0) + IF(ECON_IMPF = ECON_IMPF_PAGE09_IPCCAR5_BURKE, 0, 0) + IF(ECON_IMPF = ECON_IMPF_BURKE_LAG1_CONSUM, 1, 0) + IF(ECON_IMPF = ECON_IMPF_BURKE_LAG2_CONSUM, 1, 0)</f>
        <v>1</v>
      </c>
      <c r="D59" s="3" t="s">
        <v>958</v>
      </c>
      <c r="E59" s="2"/>
      <c r="I59" s="124"/>
    </row>
    <row r="60" spans="1:9" s="296" customFormat="1" x14ac:dyDescent="0.2">
      <c r="A60" s="277"/>
      <c r="B60" s="276"/>
      <c r="D60" s="294"/>
      <c r="E60" s="278"/>
      <c r="I60" s="297"/>
    </row>
    <row r="61" spans="1:9" s="296" customFormat="1" x14ac:dyDescent="0.2">
      <c r="A61" s="3" t="s">
        <v>1035</v>
      </c>
      <c r="B61" s="211">
        <f xml:space="preserve"> IF(WEIGHTING_AND_DISCOUNTING = WEIGHTING_WITHOUT_EQUITY, 0, 0) + IF(WEIGHTING_AND_DISCOUNTING = WEIGHTING_WITH_EQUITY, 1, 0)</f>
        <v>1</v>
      </c>
      <c r="D61" s="294" t="s">
        <v>1041</v>
      </c>
      <c r="E61" s="278"/>
    </row>
    <row r="62" spans="1:9" x14ac:dyDescent="0.2">
      <c r="A62" s="3"/>
      <c r="C62" s="3"/>
    </row>
    <row r="64" spans="1:9" x14ac:dyDescent="0.2">
      <c r="A64" s="2" t="s">
        <v>968</v>
      </c>
      <c r="D64" s="2" t="s">
        <v>669</v>
      </c>
      <c r="E64" s="2" t="s">
        <v>673</v>
      </c>
      <c r="F64" s="2"/>
      <c r="H64" s="2" t="s">
        <v>671</v>
      </c>
    </row>
    <row r="65" spans="1:11" x14ac:dyDescent="0.2">
      <c r="A65" s="3" t="s">
        <v>478</v>
      </c>
      <c r="B65" s="298">
        <f xml:space="preserve"> IF(SCENARIO_PAIR = PAIR_15C, EXTRA_ABATE_RATE_15C, 0) + IF(SCENARIO_PAIR = PAIR_2C, EXTRA_ABATE_RATE_2C, 0)</f>
        <v>0</v>
      </c>
      <c r="C65" s="3" t="s">
        <v>417</v>
      </c>
      <c r="D65" s="3" t="s">
        <v>647</v>
      </c>
      <c r="E65">
        <v>1.5</v>
      </c>
      <c r="F65" s="3" t="s">
        <v>41</v>
      </c>
      <c r="H65" s="2">
        <v>4.0530140797122707</v>
      </c>
      <c r="I65" s="3" t="s">
        <v>417</v>
      </c>
      <c r="K65" s="124" t="s">
        <v>674</v>
      </c>
    </row>
    <row r="66" spans="1:11" x14ac:dyDescent="0.2">
      <c r="A66" s="3" t="s">
        <v>476</v>
      </c>
      <c r="B66" s="114">
        <v>2020</v>
      </c>
      <c r="D66" s="3" t="s">
        <v>648</v>
      </c>
      <c r="E66">
        <v>2</v>
      </c>
      <c r="F66" s="3" t="s">
        <v>41</v>
      </c>
      <c r="H66" s="2">
        <v>0.2418203462401034</v>
      </c>
      <c r="I66" s="3" t="s">
        <v>417</v>
      </c>
      <c r="K66" s="124" t="s">
        <v>674</v>
      </c>
    </row>
    <row r="67" spans="1:11" x14ac:dyDescent="0.2">
      <c r="A67" s="3" t="s">
        <v>510</v>
      </c>
      <c r="B67" s="114">
        <v>2100</v>
      </c>
      <c r="K67" s="124"/>
    </row>
    <row r="68" spans="1:11" x14ac:dyDescent="0.2">
      <c r="B68" s="278"/>
      <c r="K68" s="124"/>
    </row>
    <row r="69" spans="1:11" x14ac:dyDescent="0.2">
      <c r="A69" s="2" t="s">
        <v>969</v>
      </c>
      <c r="K69" s="124"/>
    </row>
    <row r="70" spans="1:11" x14ac:dyDescent="0.2">
      <c r="A70" s="3" t="s">
        <v>478</v>
      </c>
      <c r="B70" s="211">
        <f xml:space="preserve"> IF(SCENARIO_PAIR_B = PAIR_15C, EXTRA_ABATE_RATE_15C, 0) + IF(SCENARIO_PAIR_B = PAIR_2C, EXTRA_ABATE_RATE_2C, 0)</f>
        <v>0</v>
      </c>
      <c r="C70" s="3" t="s">
        <v>417</v>
      </c>
      <c r="K70" s="124"/>
    </row>
    <row r="71" spans="1:11" x14ac:dyDescent="0.2">
      <c r="A71" s="3"/>
      <c r="K71" s="124"/>
    </row>
    <row r="72" spans="1:11" x14ac:dyDescent="0.2">
      <c r="A72" s="3"/>
      <c r="K72" s="124"/>
    </row>
    <row r="73" spans="1:11" x14ac:dyDescent="0.2">
      <c r="A73" s="2" t="s">
        <v>970</v>
      </c>
      <c r="D73" s="2" t="s">
        <v>669</v>
      </c>
      <c r="E73" s="2" t="s">
        <v>673</v>
      </c>
      <c r="F73" s="2"/>
      <c r="H73" s="2" t="s">
        <v>670</v>
      </c>
      <c r="K73" s="124"/>
    </row>
    <row r="74" spans="1:11" x14ac:dyDescent="0.2">
      <c r="A74" s="3" t="s">
        <v>652</v>
      </c>
      <c r="B74" s="298">
        <f xml:space="preserve"> IF(SCENARIO_PAIR = PAIR_25C, WEIGHT_25C, 0) + IF(SCENARIO_PAIR = PAIR_NDC, WEIGHT_NDC, 0) + IF(SCENARIO_PAIR = PAIR_NDC_PART, WEIGHT_NDC_PART, 0) + IF(SCENARIO_PAIR = PAIR_BAU, WEIGHT_BAU, 0)</f>
        <v>0</v>
      </c>
      <c r="C74" s="3" t="s">
        <v>38</v>
      </c>
      <c r="D74" s="3" t="s">
        <v>667</v>
      </c>
      <c r="E74">
        <v>2.5</v>
      </c>
      <c r="F74" s="3" t="s">
        <v>41</v>
      </c>
      <c r="H74" s="2">
        <v>-69.698601183341168</v>
      </c>
      <c r="I74" s="3" t="s">
        <v>38</v>
      </c>
      <c r="K74" s="124" t="s">
        <v>674</v>
      </c>
    </row>
    <row r="75" spans="1:11" x14ac:dyDescent="0.2">
      <c r="D75" s="3" t="s">
        <v>649</v>
      </c>
      <c r="E75">
        <v>3.3</v>
      </c>
      <c r="F75" s="3" t="s">
        <v>41</v>
      </c>
      <c r="H75" s="2">
        <v>-14.432092365610856</v>
      </c>
      <c r="I75" s="3" t="s">
        <v>38</v>
      </c>
      <c r="K75" s="124" t="s">
        <v>674</v>
      </c>
    </row>
    <row r="76" spans="1:11" x14ac:dyDescent="0.2">
      <c r="A76" s="2" t="s">
        <v>971</v>
      </c>
      <c r="D76" s="3" t="s">
        <v>650</v>
      </c>
      <c r="E76">
        <v>3.6</v>
      </c>
      <c r="F76" s="3" t="s">
        <v>41</v>
      </c>
      <c r="H76" s="2">
        <v>10.318413035360622</v>
      </c>
      <c r="I76" s="3" t="s">
        <v>38</v>
      </c>
      <c r="K76" s="124" t="s">
        <v>674</v>
      </c>
    </row>
    <row r="77" spans="1:11" x14ac:dyDescent="0.2">
      <c r="A77" s="3" t="s">
        <v>652</v>
      </c>
      <c r="B77" s="298">
        <f xml:space="preserve"> IF(SCENARIO_PAIR_B = PAIR_25C, WEIGHT_25C, 0) + IF(SCENARIO_PAIR_B = PAIR_NDC, WEIGHT_NDC, 0) + IF(SCENARIO_PAIR_B = PAIR_NDC_PART, WEIGHT_NDC_PART, 0) + IF(SCENARIO_PAIR_B = PAIR_BAU, WEIGHT_BAU, 0)</f>
        <v>0</v>
      </c>
      <c r="C77" s="3" t="s">
        <v>38</v>
      </c>
      <c r="D77" s="3" t="s">
        <v>651</v>
      </c>
      <c r="E77">
        <v>4.2</v>
      </c>
      <c r="F77" s="3" t="s">
        <v>41</v>
      </c>
      <c r="H77" s="2">
        <v>51.579276825415874</v>
      </c>
      <c r="I77" s="3" t="s">
        <v>38</v>
      </c>
      <c r="K77" s="124" t="s">
        <v>674</v>
      </c>
    </row>
    <row r="78" spans="1:11" x14ac:dyDescent="0.2">
      <c r="D78" s="3"/>
      <c r="F78" s="3"/>
      <c r="H78" s="2"/>
      <c r="I78" s="3"/>
      <c r="K78" s="124"/>
    </row>
    <row r="79" spans="1:11" x14ac:dyDescent="0.2">
      <c r="A79" s="2"/>
      <c r="D79" s="3"/>
      <c r="F79" s="3"/>
      <c r="H79" s="2"/>
      <c r="I79" s="3"/>
      <c r="K79" s="124"/>
    </row>
    <row r="80" spans="1:11" x14ac:dyDescent="0.2">
      <c r="A80" s="2"/>
      <c r="D80" s="3"/>
      <c r="F80" s="3"/>
      <c r="G80" s="2"/>
      <c r="H80" s="3"/>
    </row>
    <row r="81" spans="1:9" x14ac:dyDescent="0.2">
      <c r="A81" s="3"/>
      <c r="B81" s="2"/>
      <c r="C81" s="3"/>
      <c r="I81" s="124"/>
    </row>
    <row r="82" spans="1:9" x14ac:dyDescent="0.2">
      <c r="A82" s="124" t="s">
        <v>672</v>
      </c>
    </row>
    <row r="83" spans="1:9" x14ac:dyDescent="0.2">
      <c r="A83" s="124" t="s">
        <v>675</v>
      </c>
    </row>
    <row r="84" spans="1:9" x14ac:dyDescent="0.2">
      <c r="A84" s="124" t="s">
        <v>676</v>
      </c>
    </row>
    <row r="86" spans="1:9" x14ac:dyDescent="0.2">
      <c r="A86" s="124" t="s">
        <v>678</v>
      </c>
    </row>
  </sheetData>
  <phoneticPr fontId="21" type="noConversion"/>
  <dataValidations count="6">
    <dataValidation type="list" allowBlank="1" showInputMessage="1" showErrorMessage="1" sqref="B4">
      <formula1>$E$5:$E$14</formula1>
    </dataValidation>
    <dataValidation type="list" allowBlank="1" showInputMessage="1" showErrorMessage="1" sqref="B36">
      <formula1>$E$37:$E$42</formula1>
    </dataValidation>
    <dataValidation type="list" allowBlank="1" showInputMessage="1" showErrorMessage="1" sqref="B46">
      <formula1>$E$47:$E$48</formula1>
    </dataValidation>
    <dataValidation type="list" allowBlank="1" showInputMessage="1" showErrorMessage="1" sqref="B22">
      <formula1>IF(EXPERIMENT = EXPERIMENT_TWOSCEN_LEGFEED, $E$31:$E$32, IF(EXPERIMENT = EXPERIMENT_TWOSCEN_BOTHFEED, $E$31:$E$32, WORLDB_OPTION_NO))</formula1>
    </dataValidation>
    <dataValidation type="list" allowBlank="1" showInputMessage="1" showErrorMessage="1" sqref="B18">
      <formula1>$E$19:$E$28</formula1>
    </dataValidation>
    <dataValidation type="list" allowBlank="1" showInputMessage="1" showErrorMessage="1" sqref="B20">
      <formula1 xml:space="preserve"> IF(EXPERIMENT = EXPERIMENT_TWOSCEN_LEGFEED, $E$19:$E$28, IF(EXPERIMENT = EXPERIMENT_TWOSCEN_BOTHFEED, $E$19:$E$28, SCENARIO_PAIR))</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D795"/>
  <sheetViews>
    <sheetView topLeftCell="A7" zoomScale="115" zoomScaleNormal="115" workbookViewId="0">
      <selection activeCell="D26" sqref="D26:D33"/>
    </sheetView>
  </sheetViews>
  <sheetFormatPr defaultRowHeight="12.75" x14ac:dyDescent="0.2"/>
  <cols>
    <col min="1" max="1" width="34.7109375" customWidth="1"/>
    <col min="2" max="2" width="9.140625" customWidth="1"/>
    <col min="3" max="12" width="8.85546875" customWidth="1"/>
    <col min="13" max="13" width="10" bestFit="1" customWidth="1"/>
    <col min="14" max="15" width="3.85546875" customWidth="1"/>
    <col min="17" max="17" width="11" bestFit="1" customWidth="1"/>
  </cols>
  <sheetData>
    <row r="1" spans="1:21" x14ac:dyDescent="0.2">
      <c r="A1" s="2" t="s">
        <v>960</v>
      </c>
      <c r="B1" s="3" t="s">
        <v>1043</v>
      </c>
      <c r="C1" s="51" t="str">
        <f>"6.22"</f>
        <v>6.22</v>
      </c>
      <c r="E1" t="s">
        <v>116</v>
      </c>
      <c r="F1" s="46">
        <v>1</v>
      </c>
      <c r="H1" t="s">
        <v>589</v>
      </c>
      <c r="J1" s="227" t="s">
        <v>1077</v>
      </c>
      <c r="L1" s="3" t="s">
        <v>1060</v>
      </c>
      <c r="N1" t="str">
        <f>"6.21 of PAGE-ICE Nonlinear Arctic Feedbacks"</f>
        <v>6.21 of PAGE-ICE Nonlinear Arctic Feedbacks</v>
      </c>
      <c r="O1" s="3"/>
    </row>
    <row r="2" spans="1:21" x14ac:dyDescent="0.2">
      <c r="A2" t="s">
        <v>15</v>
      </c>
      <c r="B2" s="93">
        <v>2015</v>
      </c>
    </row>
    <row r="3" spans="1:21" x14ac:dyDescent="0.2">
      <c r="A3" t="s">
        <v>14</v>
      </c>
      <c r="C3" s="17">
        <v>2020</v>
      </c>
      <c r="D3" s="17">
        <v>2025</v>
      </c>
      <c r="E3" s="17">
        <v>2030</v>
      </c>
      <c r="F3" s="17">
        <v>2040</v>
      </c>
      <c r="G3" s="17">
        <v>2050</v>
      </c>
      <c r="H3" s="17">
        <v>2060</v>
      </c>
      <c r="I3" s="17">
        <v>2070</v>
      </c>
      <c r="J3" s="17">
        <v>2080</v>
      </c>
      <c r="K3" s="17">
        <v>2090</v>
      </c>
      <c r="L3" s="17">
        <v>2100</v>
      </c>
      <c r="M3" s="3" t="s">
        <v>420</v>
      </c>
    </row>
    <row r="4" spans="1:21" x14ac:dyDescent="0.2">
      <c r="A4" s="3" t="s">
        <v>416</v>
      </c>
      <c r="B4" s="83">
        <v>2020</v>
      </c>
      <c r="C4" s="84">
        <f t="shared" ref="C4:L4" si="0">IF(Y_SCC=C3,1,0)</f>
        <v>1</v>
      </c>
      <c r="D4" s="84">
        <f t="shared" si="0"/>
        <v>0</v>
      </c>
      <c r="E4" s="84">
        <f t="shared" si="0"/>
        <v>0</v>
      </c>
      <c r="F4" s="84">
        <f t="shared" si="0"/>
        <v>0</v>
      </c>
      <c r="G4" s="84">
        <f t="shared" si="0"/>
        <v>0</v>
      </c>
      <c r="H4" s="84">
        <f t="shared" si="0"/>
        <v>0</v>
      </c>
      <c r="I4" s="84">
        <f t="shared" si="0"/>
        <v>0</v>
      </c>
      <c r="J4" s="84">
        <f t="shared" si="0"/>
        <v>0</v>
      </c>
      <c r="K4" s="84">
        <f t="shared" si="0"/>
        <v>0</v>
      </c>
      <c r="L4" s="84">
        <f t="shared" si="0"/>
        <v>0</v>
      </c>
      <c r="M4" s="129">
        <f xml:space="preserve"> IF(EXPERIMENT = EXPERIMENT_SCC_LEGFEED, 10^5, 0) + IF(EXPERIMENT = EXPERIMENT_SCC_LANDPERM, 10^5, 0) + IF(EXPERIMENT = EXPERIMENT_SCC_SAF, 10^5, 0) + IF(EXPERIMENT = EXPERIMENT_SCC_BOTHFEED, 10^5, 0)</f>
        <v>0</v>
      </c>
    </row>
    <row r="5" spans="1:21" x14ac:dyDescent="0.2">
      <c r="A5" t="s">
        <v>16</v>
      </c>
      <c r="M5" t="str">
        <f>EMIT_NAME</f>
        <v>Mtonne</v>
      </c>
    </row>
    <row r="6" spans="1:21" x14ac:dyDescent="0.2">
      <c r="A6" s="3" t="s">
        <v>683</v>
      </c>
      <c r="B6" s="17" t="s">
        <v>366</v>
      </c>
    </row>
    <row r="7" spans="1:21" x14ac:dyDescent="0.2">
      <c r="A7" t="s">
        <v>17</v>
      </c>
      <c r="B7" s="17" t="s">
        <v>18</v>
      </c>
    </row>
    <row r="8" spans="1:21" x14ac:dyDescent="0.2">
      <c r="A8" t="s">
        <v>19</v>
      </c>
      <c r="B8" s="17" t="s">
        <v>106</v>
      </c>
    </row>
    <row r="9" spans="1:21" x14ac:dyDescent="0.2">
      <c r="A9" s="3" t="s">
        <v>684</v>
      </c>
      <c r="B9" s="219" t="s">
        <v>682</v>
      </c>
      <c r="H9" s="3" t="s">
        <v>449</v>
      </c>
      <c r="I9" s="3" t="s">
        <v>450</v>
      </c>
      <c r="J9" s="3" t="s">
        <v>451</v>
      </c>
    </row>
    <row r="10" spans="1:21" ht="13.5" thickBot="1" x14ac:dyDescent="0.25">
      <c r="A10" t="s">
        <v>402</v>
      </c>
      <c r="B10" s="19">
        <f ca="1">_xll.RiskTriang(H10,I10,J10)</f>
        <v>1.0333333333333334</v>
      </c>
      <c r="C10" t="s">
        <v>46</v>
      </c>
      <c r="H10" s="93">
        <v>0.1</v>
      </c>
      <c r="I10" s="93">
        <v>1</v>
      </c>
      <c r="J10" s="93">
        <v>2</v>
      </c>
      <c r="K10" t="s">
        <v>46</v>
      </c>
    </row>
    <row r="11" spans="1:21" ht="14.25" thickTop="1" thickBot="1" x14ac:dyDescent="0.25">
      <c r="A11" t="s">
        <v>143</v>
      </c>
      <c r="B11" s="19">
        <f ca="1">_xll.RiskTriang(H11,I11,J11)</f>
        <v>1.1666666666666667</v>
      </c>
      <c r="H11" s="93">
        <v>0.5</v>
      </c>
      <c r="I11" s="93">
        <v>1</v>
      </c>
      <c r="J11" s="93">
        <v>2</v>
      </c>
    </row>
    <row r="12" spans="1:21" ht="13.5" thickTop="1" x14ac:dyDescent="0.2">
      <c r="B12" t="s">
        <v>12</v>
      </c>
      <c r="C12" t="s">
        <v>13</v>
      </c>
      <c r="D12" t="s">
        <v>144</v>
      </c>
      <c r="E12" s="3" t="s">
        <v>412</v>
      </c>
    </row>
    <row r="13" spans="1:21" x14ac:dyDescent="0.2">
      <c r="A13" t="s">
        <v>27</v>
      </c>
      <c r="B13" s="20">
        <v>278000</v>
      </c>
      <c r="C13" s="20">
        <v>700</v>
      </c>
      <c r="D13" s="49">
        <v>270</v>
      </c>
      <c r="E13" s="49">
        <v>0</v>
      </c>
      <c r="F13" t="s">
        <v>48</v>
      </c>
    </row>
    <row r="14" spans="1:21" x14ac:dyDescent="0.2">
      <c r="A14" t="s">
        <v>26</v>
      </c>
      <c r="B14" s="21">
        <v>7.8</v>
      </c>
      <c r="C14" s="21">
        <v>2.78</v>
      </c>
      <c r="D14" s="21">
        <v>7.8</v>
      </c>
      <c r="E14" s="50">
        <v>100000</v>
      </c>
      <c r="F14" t="s">
        <v>109</v>
      </c>
      <c r="I14" s="253"/>
      <c r="J14" s="254"/>
      <c r="U14" s="3"/>
    </row>
    <row r="15" spans="1:21" x14ac:dyDescent="0.2">
      <c r="A15" t="s">
        <v>28</v>
      </c>
      <c r="B15" s="21">
        <v>5.5</v>
      </c>
      <c r="C15" s="21">
        <v>3.5999999999999997E-2</v>
      </c>
      <c r="D15" s="50">
        <v>0.12</v>
      </c>
      <c r="E15" s="50">
        <v>0.2</v>
      </c>
      <c r="F15" s="3" t="s">
        <v>42</v>
      </c>
      <c r="I15" s="253"/>
      <c r="J15" s="254"/>
    </row>
    <row r="16" spans="1:21" x14ac:dyDescent="0.2">
      <c r="A16" t="s">
        <v>562</v>
      </c>
      <c r="C16" s="21">
        <v>0</v>
      </c>
      <c r="D16" s="50">
        <v>0</v>
      </c>
      <c r="E16" s="50">
        <v>0</v>
      </c>
      <c r="F16" s="3" t="s">
        <v>421</v>
      </c>
      <c r="I16" s="253"/>
      <c r="J16" s="254"/>
    </row>
    <row r="17" spans="1:16" x14ac:dyDescent="0.2">
      <c r="A17" t="s">
        <v>563</v>
      </c>
      <c r="C17" s="21">
        <v>100</v>
      </c>
      <c r="D17" s="50">
        <v>100</v>
      </c>
      <c r="E17" s="50">
        <v>100</v>
      </c>
      <c r="F17" t="s">
        <v>38</v>
      </c>
    </row>
    <row r="18" spans="1:16" x14ac:dyDescent="0.2">
      <c r="A18" t="s">
        <v>564</v>
      </c>
      <c r="C18" s="21">
        <v>10.5</v>
      </c>
      <c r="D18" s="50">
        <v>114</v>
      </c>
      <c r="E18" s="50">
        <v>1000</v>
      </c>
      <c r="F18" t="s">
        <v>39</v>
      </c>
      <c r="J18" s="4"/>
    </row>
    <row r="19" spans="1:16" x14ac:dyDescent="0.2">
      <c r="A19" t="s">
        <v>29</v>
      </c>
      <c r="B19" s="150">
        <v>400859.58333333337</v>
      </c>
      <c r="C19" s="141">
        <v>1803</v>
      </c>
      <c r="D19" s="141">
        <v>324</v>
      </c>
      <c r="E19" s="21">
        <v>0.11</v>
      </c>
      <c r="F19" t="str">
        <f>F13</f>
        <v>ppb</v>
      </c>
      <c r="H19" s="3" t="s">
        <v>449</v>
      </c>
      <c r="I19" s="3" t="s">
        <v>450</v>
      </c>
      <c r="J19" s="3" t="s">
        <v>451</v>
      </c>
      <c r="L19" s="124" t="s">
        <v>739</v>
      </c>
    </row>
    <row r="20" spans="1:16" x14ac:dyDescent="0.2">
      <c r="A20" t="s">
        <v>565</v>
      </c>
      <c r="B20" s="146">
        <f ca="1">_xll.RiskTriang(H20,I20,J20)</f>
        <v>2035000</v>
      </c>
      <c r="F20" t="s">
        <v>49</v>
      </c>
      <c r="H20" s="146">
        <v>1833333</v>
      </c>
      <c r="I20" s="146">
        <v>2035000</v>
      </c>
      <c r="J20" s="146">
        <v>2236667</v>
      </c>
      <c r="K20" t="s">
        <v>49</v>
      </c>
      <c r="L20" s="124" t="s">
        <v>738</v>
      </c>
    </row>
    <row r="21" spans="1:16" ht="13.5" thickBot="1" x14ac:dyDescent="0.25">
      <c r="A21" t="s">
        <v>30</v>
      </c>
      <c r="B21" s="95">
        <v>1.68</v>
      </c>
      <c r="C21" s="95">
        <v>0.48</v>
      </c>
      <c r="D21" s="95">
        <v>0.17</v>
      </c>
      <c r="E21" s="80">
        <v>2.1999999999999999E-2</v>
      </c>
      <c r="F21" t="s">
        <v>42</v>
      </c>
    </row>
    <row r="22" spans="1:16" ht="13.5" thickTop="1" x14ac:dyDescent="0.2">
      <c r="B22" s="209"/>
      <c r="C22" s="209"/>
      <c r="D22" s="209"/>
      <c r="E22" s="209"/>
    </row>
    <row r="23" spans="1:16" x14ac:dyDescent="0.2">
      <c r="A23" s="3" t="s">
        <v>475</v>
      </c>
      <c r="B23" s="82">
        <v>0.85</v>
      </c>
      <c r="F23" t="s">
        <v>42</v>
      </c>
    </row>
    <row r="25" spans="1:16" x14ac:dyDescent="0.2">
      <c r="A25" t="s">
        <v>36</v>
      </c>
      <c r="C25" t="s">
        <v>20</v>
      </c>
      <c r="D25" t="s">
        <v>21</v>
      </c>
      <c r="E25" t="s">
        <v>137</v>
      </c>
      <c r="F25" t="s">
        <v>31</v>
      </c>
      <c r="G25" t="s">
        <v>32</v>
      </c>
      <c r="H25" t="s">
        <v>145</v>
      </c>
      <c r="I25" t="s">
        <v>410</v>
      </c>
      <c r="J25" t="s">
        <v>34</v>
      </c>
      <c r="K25" t="s">
        <v>33</v>
      </c>
      <c r="L25" t="s">
        <v>76</v>
      </c>
    </row>
    <row r="26" spans="1:16" x14ac:dyDescent="0.2">
      <c r="A26" s="167" t="s">
        <v>1089</v>
      </c>
      <c r="B26" s="17" t="s">
        <v>0</v>
      </c>
      <c r="C26" s="22">
        <v>4500000</v>
      </c>
      <c r="D26" s="87">
        <v>18443494.800000001</v>
      </c>
      <c r="E26" s="88">
        <v>511.755</v>
      </c>
      <c r="F26" s="149">
        <v>3315.451</v>
      </c>
      <c r="G26" s="149">
        <v>19.994242558782453</v>
      </c>
      <c r="H26" s="152">
        <v>1.3595020317441551</v>
      </c>
      <c r="I26" s="152">
        <v>83.163436219332326</v>
      </c>
      <c r="J26" s="152">
        <v>4.882336690157473</v>
      </c>
      <c r="K26" s="96">
        <v>7.0000000000000005E-8</v>
      </c>
      <c r="L26" s="105">
        <f t="array" aca="1" ref="L26:L33" ca="1" xml:space="preserve"> RT_G_0 * AMPF</f>
        <v>1.3929106000000004</v>
      </c>
      <c r="M26" t="s">
        <v>113</v>
      </c>
      <c r="O26" s="87">
        <v>1000</v>
      </c>
      <c r="P26" s="124" t="s">
        <v>940</v>
      </c>
    </row>
    <row r="27" spans="1:16" x14ac:dyDescent="0.2">
      <c r="A27" s="25" t="s">
        <v>3</v>
      </c>
      <c r="B27" s="17" t="s">
        <v>2</v>
      </c>
      <c r="C27" s="23">
        <v>9363000</v>
      </c>
      <c r="D27" s="89">
        <v>17183359.199999999</v>
      </c>
      <c r="E27" s="90">
        <v>328.96800000000002</v>
      </c>
      <c r="F27" s="150">
        <v>4990.1930000000002</v>
      </c>
      <c r="G27" s="150">
        <v>29.643005823505199</v>
      </c>
      <c r="H27" s="153">
        <v>1.1991070347669028</v>
      </c>
      <c r="I27" s="153">
        <v>216.49202882076008</v>
      </c>
      <c r="J27" s="153">
        <v>4.0585507780169943</v>
      </c>
      <c r="K27" s="97">
        <v>7.0000000000000005E-8</v>
      </c>
      <c r="L27" s="106">
        <f ca="1"/>
        <v>1.4696852000000002</v>
      </c>
      <c r="O27" s="89">
        <v>1000</v>
      </c>
    </row>
    <row r="28" spans="1:16" x14ac:dyDescent="0.2">
      <c r="A28" s="25" t="s">
        <v>11</v>
      </c>
      <c r="B28" s="17" t="s">
        <v>10</v>
      </c>
      <c r="C28" s="23">
        <v>14207000</v>
      </c>
      <c r="D28" s="89">
        <v>10239900.799999999</v>
      </c>
      <c r="E28" s="90">
        <v>305.35900000000009</v>
      </c>
      <c r="F28" s="150">
        <v>3109.335</v>
      </c>
      <c r="G28" s="150">
        <v>15.569057514489527</v>
      </c>
      <c r="H28" s="153">
        <v>0.6445379422015326</v>
      </c>
      <c r="I28" s="153">
        <v>77.97264727156184</v>
      </c>
      <c r="J28" s="153">
        <v>4.352952037001824</v>
      </c>
      <c r="K28" s="97">
        <v>7.0000000000000005E-8</v>
      </c>
      <c r="L28" s="106">
        <f ca="1"/>
        <v>1.3380716000000001</v>
      </c>
      <c r="O28" s="89">
        <v>1000</v>
      </c>
    </row>
    <row r="29" spans="1:16" x14ac:dyDescent="0.2">
      <c r="A29" s="25" t="s">
        <v>411</v>
      </c>
      <c r="B29" s="17" t="s">
        <v>1</v>
      </c>
      <c r="C29" s="23">
        <v>22900000</v>
      </c>
      <c r="D29" s="89">
        <v>4310074.3999999994</v>
      </c>
      <c r="E29" s="90">
        <v>279.69600000000003</v>
      </c>
      <c r="F29" s="150">
        <v>3101.0040000000004</v>
      </c>
      <c r="G29" s="150">
        <v>38.738375647742181</v>
      </c>
      <c r="H29" s="153">
        <v>0.44182528165250629</v>
      </c>
      <c r="I29" s="153">
        <v>27.885191768681864</v>
      </c>
      <c r="J29" s="153">
        <v>9.1599666294127395</v>
      </c>
      <c r="K29" s="97">
        <v>7.0000000000000005E-8</v>
      </c>
      <c r="L29" s="106">
        <f ca="1"/>
        <v>1.8096869999999998</v>
      </c>
      <c r="O29" s="89">
        <v>1000</v>
      </c>
    </row>
    <row r="30" spans="1:16" x14ac:dyDescent="0.2">
      <c r="A30" s="167" t="s">
        <v>1090</v>
      </c>
      <c r="B30" s="17" t="s">
        <v>4</v>
      </c>
      <c r="C30" s="23">
        <v>9597000</v>
      </c>
      <c r="D30" s="89">
        <v>18719800.800000001</v>
      </c>
      <c r="E30" s="90">
        <v>1368.3409999999999</v>
      </c>
      <c r="F30" s="150">
        <v>10471.290000000001</v>
      </c>
      <c r="G30" s="150">
        <v>73.281000000000006</v>
      </c>
      <c r="H30" s="153">
        <v>2.3215690000000002</v>
      </c>
      <c r="I30" s="153">
        <v>86.554115999999993</v>
      </c>
      <c r="J30" s="153">
        <v>17.545999999999999</v>
      </c>
      <c r="K30" s="97">
        <v>7.0000000000000005E-8</v>
      </c>
      <c r="L30" s="106">
        <f ca="1"/>
        <v>1.2832326000000001</v>
      </c>
      <c r="O30" s="89">
        <v>1000</v>
      </c>
      <c r="P30" s="124" t="s">
        <v>629</v>
      </c>
    </row>
    <row r="31" spans="1:16" x14ac:dyDescent="0.2">
      <c r="A31" s="167" t="s">
        <v>1091</v>
      </c>
      <c r="B31" s="17" t="s">
        <v>5</v>
      </c>
      <c r="C31" s="23">
        <v>11031000</v>
      </c>
      <c r="D31" s="89">
        <v>14906285.6</v>
      </c>
      <c r="E31" s="90">
        <v>2440.5580000000004</v>
      </c>
      <c r="F31" s="150">
        <v>5651.3629999999994</v>
      </c>
      <c r="G31" s="150">
        <v>81.960576000000003</v>
      </c>
      <c r="H31" s="153">
        <v>1.1105659999999999</v>
      </c>
      <c r="I31" s="153">
        <v>66.586636600000006</v>
      </c>
      <c r="J31" s="153">
        <v>25.474999886518301</v>
      </c>
      <c r="K31" s="97">
        <v>7.0000000000000005E-8</v>
      </c>
      <c r="L31" s="106">
        <f ca="1"/>
        <v>1.1077478000000001</v>
      </c>
      <c r="O31" s="89">
        <v>1000</v>
      </c>
      <c r="P31" s="124" t="s">
        <v>629</v>
      </c>
    </row>
    <row r="32" spans="1:16" x14ac:dyDescent="0.2">
      <c r="A32" s="25" t="s">
        <v>7</v>
      </c>
      <c r="B32" s="17" t="s">
        <v>6</v>
      </c>
      <c r="C32" s="23">
        <v>39367000</v>
      </c>
      <c r="D32" s="89">
        <v>7329259.5999999996</v>
      </c>
      <c r="E32" s="90">
        <v>1367.6130000000001</v>
      </c>
      <c r="F32" s="150">
        <v>5496.6130000000003</v>
      </c>
      <c r="G32" s="150">
        <v>67.907790545383648</v>
      </c>
      <c r="H32" s="153">
        <v>1.9485908488980486</v>
      </c>
      <c r="I32" s="153">
        <v>39.11973074395469</v>
      </c>
      <c r="J32" s="153">
        <v>19.217311882069492</v>
      </c>
      <c r="K32" s="97">
        <v>7.0000000000000005E-8</v>
      </c>
      <c r="L32" s="106">
        <f ca="1"/>
        <v>1.3271038000000002</v>
      </c>
      <c r="O32" s="89">
        <v>1000</v>
      </c>
    </row>
    <row r="33" spans="1:15" ht="13.5" thickBot="1" x14ac:dyDescent="0.25">
      <c r="A33" s="25" t="s">
        <v>9</v>
      </c>
      <c r="B33" s="17" t="s">
        <v>8</v>
      </c>
      <c r="C33" s="24">
        <v>19207000</v>
      </c>
      <c r="D33" s="91">
        <v>7947804.0000000009</v>
      </c>
      <c r="E33" s="92">
        <v>611.48099999999999</v>
      </c>
      <c r="F33" s="151">
        <v>3017.4769999999999</v>
      </c>
      <c r="G33" s="151">
        <v>60.95147103421364</v>
      </c>
      <c r="H33" s="154">
        <v>1.8743015799395168</v>
      </c>
      <c r="I33" s="154">
        <v>33.442510938201117</v>
      </c>
      <c r="J33" s="154">
        <v>8.8606240648347789</v>
      </c>
      <c r="K33" s="98">
        <v>7.0000000000000005E-8</v>
      </c>
      <c r="L33" s="107">
        <f ca="1"/>
        <v>1.1406512000000002</v>
      </c>
      <c r="O33" s="91">
        <v>1000</v>
      </c>
    </row>
    <row r="34" spans="1:15" ht="14.25" thickTop="1" thickBot="1" x14ac:dyDescent="0.25">
      <c r="A34" s="167" t="s">
        <v>204</v>
      </c>
      <c r="B34" s="17"/>
      <c r="C34" s="24">
        <f>SUM(C26:C33)</f>
        <v>130172000</v>
      </c>
      <c r="D34" s="91">
        <f t="shared" ref="D34:J34" si="1">SUM(D26:D33)</f>
        <v>99079979.199999988</v>
      </c>
      <c r="E34" s="91">
        <f t="shared" si="1"/>
        <v>7213.7710000000006</v>
      </c>
      <c r="F34" s="151">
        <f>SUM(F26:F33)</f>
        <v>39152.725999999995</v>
      </c>
      <c r="G34" s="151">
        <f t="shared" si="1"/>
        <v>388.04551912411665</v>
      </c>
      <c r="H34" s="151">
        <f t="shared" si="1"/>
        <v>10.899999719202661</v>
      </c>
      <c r="I34" s="151">
        <f t="shared" si="1"/>
        <v>631.21629836249201</v>
      </c>
      <c r="J34" s="151">
        <f t="shared" si="1"/>
        <v>93.552741968011603</v>
      </c>
      <c r="K34" s="168"/>
      <c r="L34" s="169"/>
    </row>
    <row r="35" spans="1:15" ht="13.5" thickTop="1" x14ac:dyDescent="0.2">
      <c r="C35" t="s">
        <v>50</v>
      </c>
      <c r="D35" s="135" t="str">
        <f>"$M("&amp;Y_0&amp;")"</f>
        <v>$M(2015)</v>
      </c>
      <c r="E35" s="18" t="s">
        <v>138</v>
      </c>
      <c r="F35" s="18" t="s">
        <v>264</v>
      </c>
      <c r="G35" t="str">
        <f>EMIT_NAME</f>
        <v>Mtonne</v>
      </c>
      <c r="H35" t="str">
        <f>EMIT_NAME</f>
        <v>Mtonne</v>
      </c>
      <c r="I35" t="str">
        <f>EMIT_NAME</f>
        <v>Mtonne</v>
      </c>
      <c r="J35" t="s">
        <v>51</v>
      </c>
      <c r="K35" s="1" t="s">
        <v>108</v>
      </c>
      <c r="L35" t="s">
        <v>41</v>
      </c>
    </row>
    <row r="36" spans="1:15" x14ac:dyDescent="0.2">
      <c r="D36" s="59"/>
      <c r="E36" s="1"/>
      <c r="F36" s="1"/>
      <c r="K36" s="1"/>
    </row>
    <row r="37" spans="1:15" x14ac:dyDescent="0.2">
      <c r="D37" s="1"/>
      <c r="E37" s="1"/>
      <c r="F37" s="1"/>
      <c r="H37" s="3" t="s">
        <v>449</v>
      </c>
      <c r="I37" s="3" t="s">
        <v>450</v>
      </c>
      <c r="J37" s="3" t="s">
        <v>451</v>
      </c>
      <c r="K37" s="1"/>
      <c r="L37" s="124" t="s">
        <v>680</v>
      </c>
    </row>
    <row r="38" spans="1:15" x14ac:dyDescent="0.2">
      <c r="A38" s="3" t="s">
        <v>689</v>
      </c>
      <c r="B38" s="3"/>
      <c r="C38" s="3"/>
      <c r="D38" s="103">
        <v>1.0967800000000001</v>
      </c>
      <c r="E38" s="3" t="s">
        <v>41</v>
      </c>
      <c r="H38" s="146">
        <v>0.90296172867728097</v>
      </c>
      <c r="I38" s="146">
        <v>0.94616666666666671</v>
      </c>
      <c r="J38" s="146">
        <v>0.98937160465605245</v>
      </c>
      <c r="K38" s="1" t="s">
        <v>41</v>
      </c>
      <c r="L38" s="124" t="s">
        <v>653</v>
      </c>
    </row>
    <row r="39" spans="1:15" x14ac:dyDescent="0.2">
      <c r="A39" s="3" t="s">
        <v>690</v>
      </c>
      <c r="B39" s="3"/>
      <c r="C39" s="3"/>
      <c r="D39" s="103">
        <v>0.56255555555555559</v>
      </c>
      <c r="E39" s="3" t="s">
        <v>41</v>
      </c>
      <c r="F39" s="124"/>
      <c r="K39" s="1"/>
      <c r="L39" s="124" t="s">
        <v>654</v>
      </c>
      <c r="O39" s="124"/>
    </row>
    <row r="40" spans="1:15" x14ac:dyDescent="0.2">
      <c r="A40" s="3"/>
      <c r="B40" s="3"/>
      <c r="C40" s="3"/>
      <c r="D40" s="3"/>
      <c r="E40" s="3"/>
      <c r="F40" s="124"/>
      <c r="K40" s="1"/>
      <c r="L40" s="124" t="s">
        <v>655</v>
      </c>
      <c r="O40" s="124"/>
    </row>
    <row r="41" spans="1:15" x14ac:dyDescent="0.2">
      <c r="A41" s="3" t="s">
        <v>691</v>
      </c>
      <c r="B41" s="3"/>
      <c r="C41" s="3"/>
      <c r="D41" s="3"/>
      <c r="E41" s="3"/>
      <c r="F41" s="124"/>
      <c r="H41" s="3" t="s">
        <v>449</v>
      </c>
      <c r="I41" s="3" t="s">
        <v>450</v>
      </c>
      <c r="J41" s="3" t="s">
        <v>451</v>
      </c>
      <c r="K41" s="1"/>
      <c r="L41" s="124"/>
      <c r="O41" s="124"/>
    </row>
    <row r="42" spans="1:15" x14ac:dyDescent="0.2">
      <c r="A42" s="3" t="str">
        <f t="array" ref="A42:A49">R_NAME</f>
        <v>EU &amp; UK</v>
      </c>
      <c r="B42" s="3"/>
      <c r="C42" s="3"/>
      <c r="D42" s="103">
        <f ca="1">_xll.RiskTriang(H42,I42,J42)</f>
        <v>10.122200565725677</v>
      </c>
      <c r="E42" s="3" t="s">
        <v>41</v>
      </c>
      <c r="F42" s="124"/>
      <c r="H42" s="173">
        <v>6.7623149676703278</v>
      </c>
      <c r="I42" s="173">
        <v>10.122200565725677</v>
      </c>
      <c r="J42" s="173">
        <v>13.482086163781027</v>
      </c>
      <c r="K42" s="59" t="s">
        <v>41</v>
      </c>
      <c r="L42" s="124" t="s">
        <v>729</v>
      </c>
      <c r="O42" s="124"/>
    </row>
    <row r="43" spans="1:15" x14ac:dyDescent="0.2">
      <c r="A43" s="3" t="str">
        <v>USA</v>
      </c>
      <c r="B43" s="3"/>
      <c r="C43" s="3"/>
      <c r="D43" s="103">
        <f ca="1">_xll.RiskTriang(H43,I43,J43)</f>
        <v>13.428620197528687</v>
      </c>
      <c r="E43" s="3" t="s">
        <v>41</v>
      </c>
      <c r="F43" s="124"/>
      <c r="H43" s="173">
        <v>9.5421008588382605</v>
      </c>
      <c r="I43" s="173">
        <v>13.428620197528687</v>
      </c>
      <c r="J43" s="173">
        <v>17.315139536219114</v>
      </c>
      <c r="K43" s="59" t="s">
        <v>41</v>
      </c>
      <c r="L43" s="124" t="s">
        <v>730</v>
      </c>
      <c r="O43" s="124"/>
    </row>
    <row r="44" spans="1:15" x14ac:dyDescent="0.2">
      <c r="A44" s="3" t="str">
        <v xml:space="preserve">Other OECD </v>
      </c>
      <c r="B44" s="3"/>
      <c r="C44" s="3"/>
      <c r="D44" s="103">
        <f ca="1">_xll.RiskTriang(H44,I44,J44)</f>
        <v>12.063354162339635</v>
      </c>
      <c r="E44" s="3" t="s">
        <v>41</v>
      </c>
      <c r="F44" s="124"/>
      <c r="H44" s="173">
        <v>9.0759605302808666</v>
      </c>
      <c r="I44" s="173">
        <v>12.063354162339635</v>
      </c>
      <c r="J44" s="173">
        <v>15.050747794398404</v>
      </c>
      <c r="K44" s="59" t="s">
        <v>41</v>
      </c>
      <c r="L44" s="124" t="s">
        <v>731</v>
      </c>
      <c r="O44" s="124"/>
    </row>
    <row r="45" spans="1:15" x14ac:dyDescent="0.2">
      <c r="A45" s="3" t="str">
        <v>FSU &amp; ROE</v>
      </c>
      <c r="B45" s="3"/>
      <c r="C45" s="3"/>
      <c r="D45" s="103">
        <f ca="1">_xll.RiskTriang(H45,I45,J45)</f>
        <v>7.1132129583974688</v>
      </c>
      <c r="E45" s="3" t="s">
        <v>41</v>
      </c>
      <c r="F45" s="124"/>
      <c r="H45" s="173">
        <v>3.0132054801690265</v>
      </c>
      <c r="I45" s="173">
        <v>7.1132129583974688</v>
      </c>
      <c r="J45" s="173">
        <v>11.21322043662591</v>
      </c>
      <c r="K45" s="59" t="s">
        <v>41</v>
      </c>
      <c r="L45" s="124"/>
      <c r="O45" s="124"/>
    </row>
    <row r="46" spans="1:15" x14ac:dyDescent="0.2">
      <c r="A46" s="3" t="str">
        <v>China</v>
      </c>
      <c r="B46" s="3"/>
      <c r="C46" s="3"/>
      <c r="D46" s="103">
        <f ca="1">_xll.RiskTriang(H46,I46,J46)</f>
        <v>15.012957611724232</v>
      </c>
      <c r="E46" s="3" t="s">
        <v>41</v>
      </c>
      <c r="F46" s="124"/>
      <c r="H46" s="173">
        <v>12.233040280691181</v>
      </c>
      <c r="I46" s="173">
        <v>15.012957611724232</v>
      </c>
      <c r="J46" s="173">
        <v>17.792874942757283</v>
      </c>
      <c r="K46" s="59" t="s">
        <v>41</v>
      </c>
      <c r="L46" s="124" t="s">
        <v>723</v>
      </c>
      <c r="O46" s="124"/>
    </row>
    <row r="47" spans="1:15" x14ac:dyDescent="0.2">
      <c r="A47" s="3" t="str">
        <v>India &amp; ROA</v>
      </c>
      <c r="B47" s="3"/>
      <c r="C47" s="3"/>
      <c r="D47" s="103">
        <f ca="1">_xll.RiskTriang(H47,I47,J47)</f>
        <v>24.949978982341236</v>
      </c>
      <c r="E47" s="3" t="s">
        <v>41</v>
      </c>
      <c r="F47" s="124"/>
      <c r="H47" s="173">
        <v>23.386334826335187</v>
      </c>
      <c r="I47" s="173">
        <v>24.949978982341236</v>
      </c>
      <c r="J47" s="173">
        <v>26.513623138347285</v>
      </c>
      <c r="K47" s="59" t="s">
        <v>41</v>
      </c>
      <c r="L47" s="124"/>
      <c r="O47" s="124"/>
    </row>
    <row r="48" spans="1:15" x14ac:dyDescent="0.2">
      <c r="A48" s="3" t="str">
        <v>Africa &amp; ME</v>
      </c>
      <c r="B48" s="3"/>
      <c r="C48" s="3"/>
      <c r="D48" s="103">
        <f ca="1">_xll.RiskTriang(H48,I48,J48)</f>
        <v>21.892251349427966</v>
      </c>
      <c r="E48" s="3" t="s">
        <v>41</v>
      </c>
      <c r="F48" s="124"/>
      <c r="H48" s="173">
        <v>20.186694049110667</v>
      </c>
      <c r="I48" s="173">
        <v>21.892251349427966</v>
      </c>
      <c r="J48" s="173">
        <v>23.597808649745264</v>
      </c>
      <c r="K48" s="59" t="s">
        <v>41</v>
      </c>
      <c r="L48" s="124"/>
      <c r="O48" s="124"/>
    </row>
    <row r="49" spans="1:15" x14ac:dyDescent="0.2">
      <c r="A49" s="3" t="str">
        <v>Latin America</v>
      </c>
      <c r="B49" s="3"/>
      <c r="C49" s="3"/>
      <c r="D49" s="103">
        <f ca="1">_xll.RiskTriang(H49,I49,J49)</f>
        <v>21.120399019403749</v>
      </c>
      <c r="E49" s="3" t="s">
        <v>41</v>
      </c>
      <c r="F49" s="124"/>
      <c r="H49" s="173">
        <v>19.484684975010218</v>
      </c>
      <c r="I49" s="173">
        <v>21.120399019403749</v>
      </c>
      <c r="J49" s="173">
        <v>22.756113063797279</v>
      </c>
      <c r="K49" s="59" t="s">
        <v>41</v>
      </c>
      <c r="L49" s="124"/>
      <c r="O49" s="124"/>
    </row>
    <row r="50" spans="1:15" x14ac:dyDescent="0.2">
      <c r="A50" s="3"/>
      <c r="B50" s="3"/>
      <c r="C50" s="3"/>
      <c r="D50" s="3"/>
      <c r="E50" s="3"/>
      <c r="F50" s="124"/>
      <c r="K50" s="59"/>
      <c r="L50" s="124"/>
      <c r="O50" s="124"/>
    </row>
    <row r="51" spans="1:15" x14ac:dyDescent="0.2">
      <c r="A51" s="3" t="s">
        <v>681</v>
      </c>
      <c r="B51" s="3"/>
      <c r="C51" s="3"/>
      <c r="D51" s="103">
        <v>21</v>
      </c>
      <c r="E51" s="3" t="s">
        <v>41</v>
      </c>
      <c r="F51" s="124"/>
      <c r="K51" s="3"/>
      <c r="L51" s="124"/>
      <c r="O51" s="124"/>
    </row>
    <row r="52" spans="1:15" x14ac:dyDescent="0.2">
      <c r="A52" s="3"/>
      <c r="B52" s="3"/>
      <c r="C52" s="3"/>
      <c r="D52" s="3"/>
      <c r="E52" s="3"/>
      <c r="F52" s="124"/>
      <c r="O52" s="124"/>
    </row>
    <row r="53" spans="1:15" x14ac:dyDescent="0.2">
      <c r="A53" s="3"/>
      <c r="B53" s="3"/>
      <c r="C53" s="3"/>
      <c r="D53" s="3"/>
      <c r="E53" s="3"/>
      <c r="F53" s="124"/>
    </row>
    <row r="54" spans="1:15" x14ac:dyDescent="0.2">
      <c r="D54" s="1"/>
      <c r="E54" s="1"/>
      <c r="F54" s="1"/>
      <c r="K54" s="1"/>
    </row>
    <row r="55" spans="1:15" x14ac:dyDescent="0.2">
      <c r="A55" s="103" t="s">
        <v>427</v>
      </c>
      <c r="B55" s="86"/>
      <c r="C55" s="86"/>
      <c r="D55" s="104">
        <v>510000000</v>
      </c>
      <c r="E55" t="s">
        <v>50</v>
      </c>
    </row>
    <row r="56" spans="1:15" x14ac:dyDescent="0.2">
      <c r="A56" s="3" t="s">
        <v>166</v>
      </c>
      <c r="B56" s="3"/>
      <c r="C56" s="3"/>
      <c r="D56" s="52">
        <f>SUM(AREA)</f>
        <v>130172000</v>
      </c>
      <c r="E56" s="3" t="str">
        <f>'Base data'!$C$35</f>
        <v>Km2</v>
      </c>
      <c r="F56" s="3"/>
    </row>
    <row r="57" spans="1:15" x14ac:dyDescent="0.2">
      <c r="A57" s="3" t="s">
        <v>167</v>
      </c>
      <c r="B57" s="3"/>
      <c r="C57" s="3"/>
      <c r="D57" s="52">
        <f>1-(AREA_L/AREA_E)</f>
        <v>0.7447607843137255</v>
      </c>
      <c r="E57" s="3"/>
      <c r="F57" s="3"/>
    </row>
    <row r="58" spans="1:15" x14ac:dyDescent="0.2">
      <c r="A58" s="3" t="s">
        <v>426</v>
      </c>
      <c r="B58" s="3">
        <f>Y_0</f>
        <v>2015</v>
      </c>
      <c r="C58" s="3"/>
      <c r="D58" s="102">
        <f t="array" aca="1" ref="D58" ca="1">SUM(AREA*RTL_0)/AREA_L</f>
        <v>1.3763936014334881</v>
      </c>
      <c r="E58" s="3" t="str">
        <f>'Base data'!$L$35</f>
        <v>degC</v>
      </c>
      <c r="F58" s="3"/>
    </row>
    <row r="59" spans="1:15" x14ac:dyDescent="0.2">
      <c r="D59" s="1"/>
      <c r="E59" s="1"/>
      <c r="F59" s="1"/>
      <c r="K59" s="1"/>
    </row>
    <row r="60" spans="1:15" x14ac:dyDescent="0.2">
      <c r="D60" s="1"/>
      <c r="E60" s="1"/>
      <c r="F60" s="1"/>
      <c r="K60" s="1"/>
    </row>
    <row r="62" spans="1:15" x14ac:dyDescent="0.2">
      <c r="A62" s="114" t="s">
        <v>543</v>
      </c>
      <c r="B62" s="86"/>
      <c r="C62" s="86"/>
      <c r="D62" s="86"/>
      <c r="E62" s="86"/>
      <c r="F62" s="86"/>
      <c r="G62" s="86"/>
      <c r="H62" s="86"/>
      <c r="I62" s="86"/>
      <c r="J62" s="86"/>
      <c r="K62" s="86"/>
      <c r="L62" s="247" t="s">
        <v>896</v>
      </c>
      <c r="M62" s="247"/>
    </row>
    <row r="63" spans="1:15" x14ac:dyDescent="0.2">
      <c r="A63" s="3"/>
      <c r="B63" s="1"/>
      <c r="C63" s="3"/>
      <c r="F63" s="3"/>
    </row>
    <row r="64" spans="1:15" x14ac:dyDescent="0.2">
      <c r="A64" s="2" t="s">
        <v>810</v>
      </c>
      <c r="B64" s="2"/>
      <c r="C64" s="2"/>
      <c r="D64" s="2"/>
      <c r="E64" s="2"/>
      <c r="F64" s="3" t="s">
        <v>449</v>
      </c>
      <c r="G64" s="3" t="s">
        <v>450</v>
      </c>
      <c r="H64" s="3" t="s">
        <v>451</v>
      </c>
      <c r="L64" s="3" t="s">
        <v>866</v>
      </c>
    </row>
    <row r="65" spans="1:12" x14ac:dyDescent="0.2">
      <c r="A65" s="3" t="s">
        <v>603</v>
      </c>
      <c r="D65" s="18">
        <f ca="1">_xll.RiskTriang(F65,G65,H65)</f>
        <v>3764.0529347349998</v>
      </c>
      <c r="E65" s="3" t="s">
        <v>452</v>
      </c>
      <c r="F65" s="104">
        <v>3728.584092208881</v>
      </c>
      <c r="G65" s="104">
        <v>3764.0529347349998</v>
      </c>
      <c r="H65" s="104">
        <v>3799.5217772611181</v>
      </c>
      <c r="I65" s="3" t="s">
        <v>453</v>
      </c>
      <c r="L65" s="124" t="s">
        <v>834</v>
      </c>
    </row>
    <row r="66" spans="1:12" x14ac:dyDescent="0.2">
      <c r="A66" s="3" t="s">
        <v>604</v>
      </c>
      <c r="D66" s="18">
        <f ca="1">_xll.RiskTriang(F66,G66,H66)</f>
        <v>175.56164558499998</v>
      </c>
      <c r="E66" s="3" t="s">
        <v>452</v>
      </c>
      <c r="F66" s="104">
        <v>174.78831151126414</v>
      </c>
      <c r="G66" s="104">
        <v>175.56164558499998</v>
      </c>
      <c r="H66" s="104">
        <v>176.33497965873582</v>
      </c>
      <c r="I66" s="3" t="s">
        <v>454</v>
      </c>
      <c r="L66" s="124" t="s">
        <v>846</v>
      </c>
    </row>
    <row r="67" spans="1:12" x14ac:dyDescent="0.2">
      <c r="F67" s="1"/>
      <c r="G67" s="1"/>
      <c r="H67" s="1"/>
      <c r="I67" s="3"/>
    </row>
    <row r="68" spans="1:12" x14ac:dyDescent="0.2">
      <c r="A68" s="103" t="s">
        <v>503</v>
      </c>
      <c r="D68" s="104">
        <v>560000</v>
      </c>
      <c r="E68" s="3" t="s">
        <v>452</v>
      </c>
      <c r="L68" s="124" t="s">
        <v>813</v>
      </c>
    </row>
    <row r="69" spans="1:12" x14ac:dyDescent="0.2">
      <c r="A69" s="103" t="s">
        <v>825</v>
      </c>
      <c r="D69" s="239">
        <v>22.206606297204385</v>
      </c>
      <c r="E69" s="3" t="s">
        <v>41</v>
      </c>
      <c r="L69" s="124" t="s">
        <v>813</v>
      </c>
    </row>
    <row r="70" spans="1:12" x14ac:dyDescent="0.2">
      <c r="A70" s="3"/>
      <c r="D70" s="51"/>
      <c r="E70" s="3"/>
      <c r="L70" s="124"/>
    </row>
    <row r="71" spans="1:12" x14ac:dyDescent="0.2">
      <c r="A71" s="103" t="s">
        <v>847</v>
      </c>
      <c r="D71" s="239" t="s">
        <v>826</v>
      </c>
      <c r="E71" s="3"/>
      <c r="L71" s="124" t="s">
        <v>852</v>
      </c>
    </row>
    <row r="72" spans="1:12" x14ac:dyDescent="0.2">
      <c r="A72" s="103" t="s">
        <v>848</v>
      </c>
      <c r="D72" s="239" t="s">
        <v>828</v>
      </c>
      <c r="E72" s="3"/>
      <c r="L72" s="124" t="s">
        <v>852</v>
      </c>
    </row>
    <row r="73" spans="1:12" x14ac:dyDescent="0.2">
      <c r="A73" s="3"/>
      <c r="D73" s="1"/>
      <c r="E73" s="3"/>
    </row>
    <row r="74" spans="1:12" x14ac:dyDescent="0.2">
      <c r="A74" s="103" t="s">
        <v>734</v>
      </c>
      <c r="D74" s="226">
        <v>1.3953528485263331</v>
      </c>
      <c r="E74" s="57" t="s">
        <v>504</v>
      </c>
      <c r="L74" s="124" t="s">
        <v>812</v>
      </c>
    </row>
    <row r="75" spans="1:12" x14ac:dyDescent="0.2">
      <c r="A75" s="103" t="s">
        <v>735</v>
      </c>
      <c r="D75" s="226">
        <v>0.82921299512839475</v>
      </c>
      <c r="E75" s="57" t="s">
        <v>504</v>
      </c>
      <c r="L75" s="124" t="s">
        <v>812</v>
      </c>
    </row>
    <row r="76" spans="1:12" x14ac:dyDescent="0.2">
      <c r="A76" s="103" t="s">
        <v>733</v>
      </c>
      <c r="D76" s="226">
        <v>-3.3347097448352278E-2</v>
      </c>
      <c r="E76" s="57" t="s">
        <v>504</v>
      </c>
      <c r="L76" s="124" t="s">
        <v>812</v>
      </c>
    </row>
    <row r="77" spans="1:12" x14ac:dyDescent="0.2">
      <c r="A77" s="3"/>
      <c r="D77" s="6"/>
      <c r="E77" s="57"/>
    </row>
    <row r="78" spans="1:12" x14ac:dyDescent="0.2">
      <c r="A78" s="103" t="s">
        <v>516</v>
      </c>
      <c r="D78" s="226">
        <v>-6.1634027375886635E-2</v>
      </c>
      <c r="E78" s="57" t="s">
        <v>504</v>
      </c>
      <c r="L78" s="124" t="s">
        <v>851</v>
      </c>
    </row>
    <row r="79" spans="1:12" x14ac:dyDescent="0.2">
      <c r="A79" s="103" t="s">
        <v>849</v>
      </c>
      <c r="D79" s="226">
        <v>-2.5752200686097426</v>
      </c>
      <c r="E79" s="57" t="s">
        <v>504</v>
      </c>
      <c r="L79" s="124" t="s">
        <v>851</v>
      </c>
    </row>
    <row r="80" spans="1:12" x14ac:dyDescent="0.2">
      <c r="A80" s="103" t="s">
        <v>850</v>
      </c>
      <c r="D80" s="226">
        <v>1.3992129787187544</v>
      </c>
      <c r="E80" s="57" t="s">
        <v>504</v>
      </c>
      <c r="L80" s="124" t="s">
        <v>851</v>
      </c>
    </row>
    <row r="81" spans="1:12" x14ac:dyDescent="0.2">
      <c r="A81" s="3"/>
      <c r="D81" s="6"/>
      <c r="E81" s="57"/>
    </row>
    <row r="82" spans="1:12" x14ac:dyDescent="0.2">
      <c r="A82" s="3"/>
      <c r="D82" s="6"/>
      <c r="E82" s="57"/>
    </row>
    <row r="83" spans="1:12" x14ac:dyDescent="0.2">
      <c r="A83" s="2" t="s">
        <v>811</v>
      </c>
      <c r="D83" s="2"/>
      <c r="E83" s="2"/>
      <c r="F83" s="3" t="s">
        <v>449</v>
      </c>
      <c r="G83" s="3" t="s">
        <v>450</v>
      </c>
      <c r="H83" s="3" t="s">
        <v>451</v>
      </c>
      <c r="L83" s="3" t="s">
        <v>830</v>
      </c>
    </row>
    <row r="84" spans="1:12" x14ac:dyDescent="0.2">
      <c r="A84" s="3" t="s">
        <v>603</v>
      </c>
      <c r="D84" s="18">
        <f ca="1">_xll.RiskTriang(F84,G84,H84)</f>
        <v>20040.996860659488</v>
      </c>
      <c r="E84" s="3" t="s">
        <v>452</v>
      </c>
      <c r="F84" s="104">
        <v>18834.751352671523</v>
      </c>
      <c r="G84" s="104">
        <v>20040.996860659485</v>
      </c>
      <c r="H84" s="104">
        <v>21247.24236864745</v>
      </c>
      <c r="I84" s="3" t="s">
        <v>453</v>
      </c>
      <c r="L84" s="124" t="s">
        <v>835</v>
      </c>
    </row>
    <row r="85" spans="1:12" x14ac:dyDescent="0.2">
      <c r="D85" s="1"/>
      <c r="F85" s="1"/>
      <c r="G85" s="1"/>
      <c r="H85" s="1"/>
      <c r="I85" s="3"/>
    </row>
    <row r="86" spans="1:12" x14ac:dyDescent="0.2">
      <c r="A86" s="103" t="s">
        <v>503</v>
      </c>
      <c r="D86" s="104">
        <v>738145.32839317073</v>
      </c>
      <c r="E86" s="3" t="s">
        <v>452</v>
      </c>
      <c r="L86" s="124" t="s">
        <v>813</v>
      </c>
    </row>
    <row r="87" spans="1:12" x14ac:dyDescent="0.2">
      <c r="A87" s="103" t="s">
        <v>825</v>
      </c>
      <c r="D87" s="239">
        <v>18.86448815404626</v>
      </c>
      <c r="E87" s="3" t="s">
        <v>41</v>
      </c>
      <c r="L87" s="124" t="s">
        <v>813</v>
      </c>
    </row>
    <row r="88" spans="1:12" x14ac:dyDescent="0.2">
      <c r="A88" s="3"/>
      <c r="D88" s="51"/>
      <c r="E88" s="3"/>
      <c r="L88" s="124"/>
    </row>
    <row r="89" spans="1:12" x14ac:dyDescent="0.2">
      <c r="A89" s="103" t="s">
        <v>827</v>
      </c>
      <c r="D89" s="203" t="s">
        <v>828</v>
      </c>
      <c r="E89" s="3"/>
      <c r="L89" s="124" t="s">
        <v>813</v>
      </c>
    </row>
    <row r="90" spans="1:12" x14ac:dyDescent="0.2">
      <c r="A90" s="3"/>
      <c r="D90" s="1"/>
      <c r="E90" s="3"/>
    </row>
    <row r="91" spans="1:12" x14ac:dyDescent="0.2">
      <c r="A91" s="103" t="s">
        <v>734</v>
      </c>
      <c r="D91" s="226">
        <v>-0.12186871366342877</v>
      </c>
      <c r="E91" s="57" t="s">
        <v>504</v>
      </c>
      <c r="L91" s="124" t="s">
        <v>814</v>
      </c>
    </row>
    <row r="92" spans="1:12" x14ac:dyDescent="0.2">
      <c r="A92" s="103" t="s">
        <v>735</v>
      </c>
      <c r="D92" s="226">
        <v>-0.65501154335850142</v>
      </c>
      <c r="E92" s="57" t="s">
        <v>504</v>
      </c>
      <c r="L92" s="124" t="s">
        <v>814</v>
      </c>
    </row>
    <row r="93" spans="1:12" x14ac:dyDescent="0.2">
      <c r="A93" s="103" t="s">
        <v>733</v>
      </c>
      <c r="D93" s="226">
        <v>1.6188763472782459</v>
      </c>
      <c r="E93" s="57" t="s">
        <v>504</v>
      </c>
      <c r="L93" s="124" t="s">
        <v>814</v>
      </c>
    </row>
    <row r="94" spans="1:12" x14ac:dyDescent="0.2">
      <c r="A94" s="3"/>
      <c r="D94" s="6"/>
      <c r="E94" s="57"/>
    </row>
    <row r="95" spans="1:12" x14ac:dyDescent="0.2">
      <c r="A95" s="124" t="s">
        <v>853</v>
      </c>
      <c r="D95" s="6"/>
      <c r="E95" s="57"/>
    </row>
    <row r="96" spans="1:12" x14ac:dyDescent="0.2">
      <c r="A96" s="3"/>
      <c r="D96" s="6"/>
      <c r="E96" s="57"/>
    </row>
    <row r="97" spans="1:13" x14ac:dyDescent="0.2">
      <c r="A97" s="3"/>
      <c r="D97" s="6"/>
      <c r="E97" s="57"/>
    </row>
    <row r="98" spans="1:13" x14ac:dyDescent="0.2">
      <c r="A98" s="3"/>
      <c r="D98" s="6"/>
      <c r="E98" s="57"/>
    </row>
    <row r="99" spans="1:13" x14ac:dyDescent="0.2">
      <c r="A99" s="127" t="s">
        <v>942</v>
      </c>
      <c r="B99" s="126"/>
      <c r="C99" s="126"/>
      <c r="D99" s="243"/>
      <c r="E99" s="244"/>
      <c r="F99" s="126"/>
      <c r="G99" s="126"/>
      <c r="H99" s="126"/>
      <c r="I99" s="126"/>
      <c r="J99" s="126"/>
      <c r="K99" s="126"/>
      <c r="L99" s="248" t="s">
        <v>897</v>
      </c>
      <c r="M99" s="126"/>
    </row>
    <row r="100" spans="1:13" x14ac:dyDescent="0.2">
      <c r="A100" s="3"/>
      <c r="D100" s="6"/>
      <c r="E100" s="57"/>
    </row>
    <row r="101" spans="1:13" x14ac:dyDescent="0.2">
      <c r="A101" s="2" t="s">
        <v>941</v>
      </c>
      <c r="D101" s="6"/>
      <c r="E101" s="57"/>
      <c r="L101" s="3" t="s">
        <v>898</v>
      </c>
    </row>
    <row r="102" spans="1:13" x14ac:dyDescent="0.2">
      <c r="A102" s="103" t="s">
        <v>881</v>
      </c>
      <c r="D102" s="202">
        <v>10</v>
      </c>
      <c r="E102" s="57" t="s">
        <v>41</v>
      </c>
      <c r="L102" s="247" t="s">
        <v>935</v>
      </c>
    </row>
    <row r="103" spans="1:13" x14ac:dyDescent="0.2">
      <c r="A103" s="103" t="s">
        <v>882</v>
      </c>
      <c r="D103" s="259">
        <v>-1.9584773435079722E-3</v>
      </c>
      <c r="E103" s="57" t="s">
        <v>883</v>
      </c>
      <c r="I103" s="156"/>
      <c r="L103" s="261" t="s">
        <v>946</v>
      </c>
    </row>
    <row r="104" spans="1:13" x14ac:dyDescent="0.2">
      <c r="A104" s="103" t="s">
        <v>884</v>
      </c>
      <c r="D104" s="259">
        <v>-6.3871916875607613E-3</v>
      </c>
      <c r="E104" s="57" t="s">
        <v>885</v>
      </c>
      <c r="I104" s="156"/>
    </row>
    <row r="105" spans="1:13" x14ac:dyDescent="0.2">
      <c r="A105" s="103" t="s">
        <v>886</v>
      </c>
      <c r="D105" s="260">
        <v>0.36369635494689273</v>
      </c>
      <c r="E105" s="57" t="s">
        <v>887</v>
      </c>
      <c r="I105" s="156"/>
      <c r="L105" s="124" t="s">
        <v>943</v>
      </c>
    </row>
    <row r="106" spans="1:13" x14ac:dyDescent="0.2">
      <c r="A106" s="103" t="s">
        <v>888</v>
      </c>
      <c r="D106" s="260">
        <v>0.10909664286527315</v>
      </c>
      <c r="E106" s="57" t="s">
        <v>887</v>
      </c>
      <c r="I106" s="156"/>
    </row>
    <row r="107" spans="1:13" x14ac:dyDescent="0.2">
      <c r="A107" s="103" t="s">
        <v>889</v>
      </c>
      <c r="D107" s="260">
        <v>5.6213044115084952E-2</v>
      </c>
      <c r="E107" s="57" t="s">
        <v>887</v>
      </c>
      <c r="I107" s="156"/>
    </row>
    <row r="108" spans="1:13" x14ac:dyDescent="0.2">
      <c r="A108" s="103" t="s">
        <v>890</v>
      </c>
      <c r="D108" s="260">
        <v>3.4336423855005412E-2</v>
      </c>
      <c r="E108" s="57" t="s">
        <v>887</v>
      </c>
      <c r="I108" s="156"/>
    </row>
    <row r="109" spans="1:13" x14ac:dyDescent="0.2">
      <c r="A109" s="3"/>
      <c r="B109" s="6"/>
      <c r="C109" s="57"/>
    </row>
    <row r="110" spans="1:13" x14ac:dyDescent="0.2">
      <c r="A110" s="3"/>
      <c r="B110" s="6"/>
      <c r="C110" s="57"/>
    </row>
    <row r="111" spans="1:13" x14ac:dyDescent="0.2">
      <c r="A111" s="3"/>
      <c r="B111" s="6"/>
      <c r="C111" s="57"/>
    </row>
    <row r="112" spans="1:13" x14ac:dyDescent="0.2">
      <c r="A112" s="165" t="str">
        <f>"Alternative "&amp;I_1_NAME&amp;" Damage Fucntions"</f>
        <v>Alternative Economic Damage Fucntions</v>
      </c>
      <c r="B112" s="162"/>
      <c r="C112" s="163"/>
      <c r="D112" s="164"/>
      <c r="E112" s="164"/>
      <c r="F112" s="164"/>
      <c r="G112" s="164"/>
      <c r="H112" s="164"/>
      <c r="I112" s="164"/>
      <c r="J112" s="164"/>
      <c r="K112" s="164"/>
      <c r="L112" s="164"/>
      <c r="M112" s="164"/>
    </row>
    <row r="113" spans="1:13" x14ac:dyDescent="0.2">
      <c r="A113" s="3"/>
      <c r="B113" s="125"/>
      <c r="C113" s="57"/>
    </row>
    <row r="114" spans="1:13" x14ac:dyDescent="0.2">
      <c r="A114" s="2" t="str">
        <f>ECON_IMPF_PAGE09_DEFAULT</f>
        <v>PAGE09 Default</v>
      </c>
      <c r="B114" s="125"/>
      <c r="C114" s="57"/>
      <c r="F114" t="s">
        <v>449</v>
      </c>
      <c r="G114" t="s">
        <v>450</v>
      </c>
      <c r="H114" t="s">
        <v>451</v>
      </c>
    </row>
    <row r="115" spans="1:13" x14ac:dyDescent="0.2">
      <c r="A115" t="str">
        <f>I_1_NAME&amp;" initial benefit"</f>
        <v>Economic initial benefit</v>
      </c>
      <c r="B115" s="125"/>
      <c r="C115" s="57"/>
      <c r="F115" s="9">
        <v>0</v>
      </c>
      <c r="G115" s="9">
        <v>0.1</v>
      </c>
      <c r="H115" s="9">
        <v>0.3</v>
      </c>
      <c r="I115" t="s">
        <v>213</v>
      </c>
    </row>
    <row r="116" spans="1:13" x14ac:dyDescent="0.2">
      <c r="A116" t="str">
        <f>I_1_NAME&amp;" impact at calibration temperature"</f>
        <v>Economic impact at calibration temperature</v>
      </c>
      <c r="B116" s="125"/>
      <c r="C116" s="57"/>
      <c r="F116" s="9">
        <v>0.2</v>
      </c>
      <c r="G116" s="94">
        <v>0.6</v>
      </c>
      <c r="H116" s="94">
        <v>1</v>
      </c>
      <c r="I116" t="s">
        <v>132</v>
      </c>
    </row>
    <row r="117" spans="1:13" x14ac:dyDescent="0.2">
      <c r="A117" t="str">
        <f>I_1_NAME&amp;" impact function exponent"</f>
        <v>Economic impact function exponent</v>
      </c>
      <c r="B117" s="125"/>
      <c r="C117" s="57"/>
      <c r="F117" s="9">
        <v>1.5</v>
      </c>
      <c r="G117" s="9">
        <v>2</v>
      </c>
      <c r="H117" s="9">
        <v>3</v>
      </c>
    </row>
    <row r="118" spans="1:13" x14ac:dyDescent="0.2">
      <c r="A118" t="str">
        <f>I_1_NAME&amp;" exponent with income"</f>
        <v>Economic exponent with income</v>
      </c>
      <c r="B118" s="125"/>
      <c r="C118" s="57"/>
      <c r="F118" s="9">
        <v>-0.3</v>
      </c>
      <c r="G118" s="9">
        <v>-0.1</v>
      </c>
      <c r="H118" s="9">
        <v>0</v>
      </c>
    </row>
    <row r="119" spans="1:13" x14ac:dyDescent="0.2">
      <c r="A119" s="3"/>
      <c r="B119" s="125"/>
      <c r="C119" s="57"/>
    </row>
    <row r="120" spans="1:13" x14ac:dyDescent="0.2">
      <c r="A120" s="2" t="str">
        <f xml:space="preserve"> ECON_IMPF_PAGE09_IPCCAR5_BURKE</f>
        <v>PAGE09 &amp; IPCC AR5 &amp; Burke</v>
      </c>
      <c r="B120" s="125"/>
      <c r="C120" s="57"/>
      <c r="F120" t="s">
        <v>449</v>
      </c>
      <c r="G120" t="s">
        <v>450</v>
      </c>
      <c r="H120" t="s">
        <v>451</v>
      </c>
    </row>
    <row r="121" spans="1:13" x14ac:dyDescent="0.2">
      <c r="A121" t="str">
        <f>I_1_NAME&amp;" initial benefit"</f>
        <v>Economic initial benefit</v>
      </c>
      <c r="B121" s="125"/>
      <c r="C121" s="57"/>
      <c r="F121" s="223">
        <v>1.8552006189683041</v>
      </c>
      <c r="G121" s="223">
        <v>1.9261981968052977</v>
      </c>
      <c r="H121" s="223">
        <v>2.2156990185928334</v>
      </c>
      <c r="I121" t="s">
        <v>213</v>
      </c>
      <c r="K121" s="6"/>
      <c r="L121" s="128" t="s">
        <v>724</v>
      </c>
      <c r="M121" s="6"/>
    </row>
    <row r="122" spans="1:13" x14ac:dyDescent="0.2">
      <c r="A122" t="str">
        <f>I_1_NAME&amp;" impact at calibration temperature"</f>
        <v>Economic impact at calibration temperature</v>
      </c>
      <c r="B122" s="125"/>
      <c r="C122" s="57"/>
      <c r="F122" s="223">
        <v>1.2340908716858805</v>
      </c>
      <c r="G122" s="223">
        <v>2.404937016038553</v>
      </c>
      <c r="H122" s="223">
        <v>3.0258046425140006</v>
      </c>
      <c r="I122" t="s">
        <v>132</v>
      </c>
      <c r="K122" s="6"/>
      <c r="L122" s="128" t="s">
        <v>725</v>
      </c>
      <c r="M122" s="6"/>
    </row>
    <row r="123" spans="1:13" x14ac:dyDescent="0.2">
      <c r="A123" t="str">
        <f>I_1_NAME&amp;" impact function exponent"</f>
        <v>Economic impact function exponent</v>
      </c>
      <c r="B123" s="125"/>
      <c r="C123" s="57"/>
      <c r="F123" s="223">
        <v>1.3664954452300262</v>
      </c>
      <c r="G123" s="223">
        <v>1.9712252777547403</v>
      </c>
      <c r="H123" s="223">
        <v>3.4774286391537856</v>
      </c>
      <c r="K123" s="6"/>
      <c r="L123" s="128" t="s">
        <v>726</v>
      </c>
      <c r="M123" s="6"/>
    </row>
    <row r="124" spans="1:13" x14ac:dyDescent="0.2">
      <c r="A124" t="str">
        <f>I_1_NAME&amp;" exponent with income"</f>
        <v>Economic exponent with income</v>
      </c>
      <c r="B124" s="125"/>
      <c r="C124" s="57"/>
      <c r="F124" s="9">
        <v>-0.3</v>
      </c>
      <c r="G124" s="9">
        <v>-0.1</v>
      </c>
      <c r="H124" s="9">
        <v>0</v>
      </c>
    </row>
    <row r="125" spans="1:13" x14ac:dyDescent="0.2">
      <c r="B125" s="125"/>
      <c r="C125" s="57"/>
    </row>
    <row r="126" spans="1:13" x14ac:dyDescent="0.2">
      <c r="A126" s="2" t="str">
        <f>ECON_IMPF_PAGE09_DELL_MIMIC</f>
        <v>PAGE09 Dell Mimic</v>
      </c>
      <c r="B126" s="125"/>
      <c r="C126" s="57"/>
      <c r="F126" t="s">
        <v>449</v>
      </c>
      <c r="G126" t="s">
        <v>450</v>
      </c>
      <c r="H126" t="s">
        <v>451</v>
      </c>
    </row>
    <row r="127" spans="1:13" x14ac:dyDescent="0.2">
      <c r="A127" t="str">
        <f>I_1_NAME&amp;" initial benefit"</f>
        <v>Economic initial benefit</v>
      </c>
      <c r="B127" s="125"/>
      <c r="C127" s="57"/>
      <c r="F127" s="166">
        <v>0</v>
      </c>
      <c r="G127" s="166">
        <v>0.1</v>
      </c>
      <c r="H127" s="166">
        <v>0.3</v>
      </c>
      <c r="I127" t="s">
        <v>213</v>
      </c>
    </row>
    <row r="128" spans="1:13" x14ac:dyDescent="0.2">
      <c r="A128" t="str">
        <f>I_1_NAME&amp;" impact at calibration temperature"</f>
        <v>Economic impact at calibration temperature</v>
      </c>
      <c r="B128" s="125"/>
      <c r="C128" s="57"/>
      <c r="F128" s="140">
        <v>4</v>
      </c>
      <c r="G128" s="140">
        <v>8</v>
      </c>
      <c r="H128" s="140">
        <v>12</v>
      </c>
      <c r="I128" t="s">
        <v>132</v>
      </c>
    </row>
    <row r="129" spans="1:18" x14ac:dyDescent="0.2">
      <c r="A129" t="str">
        <f>I_1_NAME&amp;" impact function exponent"</f>
        <v>Economic impact function exponent</v>
      </c>
      <c r="B129" s="125"/>
      <c r="C129" s="57"/>
      <c r="F129" s="140">
        <v>0.8</v>
      </c>
      <c r="G129" s="140">
        <v>1.2</v>
      </c>
      <c r="H129" s="140">
        <v>1.5</v>
      </c>
    </row>
    <row r="130" spans="1:18" x14ac:dyDescent="0.2">
      <c r="A130" t="str">
        <f>I_1_NAME&amp;" exponent with income"</f>
        <v>Economic exponent with income</v>
      </c>
      <c r="B130" s="125"/>
      <c r="C130" s="57"/>
      <c r="F130" s="140">
        <v>-2</v>
      </c>
      <c r="G130" s="140">
        <v>-1.5</v>
      </c>
      <c r="H130" s="140">
        <v>-1</v>
      </c>
    </row>
    <row r="131" spans="1:18" x14ac:dyDescent="0.2">
      <c r="B131" s="125"/>
      <c r="C131" s="57"/>
    </row>
    <row r="132" spans="1:18" x14ac:dyDescent="0.2">
      <c r="A132" s="2" t="str">
        <f>ECON_IMPF_PAGE09_BURKE_MIMIC</f>
        <v>PAGE09 Burke Mimic</v>
      </c>
      <c r="B132" s="125"/>
      <c r="C132" s="57"/>
      <c r="F132" t="s">
        <v>449</v>
      </c>
      <c r="G132" t="s">
        <v>450</v>
      </c>
      <c r="H132" t="s">
        <v>451</v>
      </c>
    </row>
    <row r="133" spans="1:18" x14ac:dyDescent="0.2">
      <c r="A133" t="str">
        <f>I_1_NAME&amp;" initial benefit"</f>
        <v>Economic initial benefit</v>
      </c>
      <c r="B133" s="125"/>
      <c r="C133" s="57"/>
      <c r="F133" s="166">
        <v>0</v>
      </c>
      <c r="G133" s="166">
        <v>0.1</v>
      </c>
      <c r="H133" s="166">
        <v>0.3</v>
      </c>
      <c r="I133" t="s">
        <v>213</v>
      </c>
    </row>
    <row r="134" spans="1:18" x14ac:dyDescent="0.2">
      <c r="A134" t="str">
        <f>I_1_NAME&amp;" impact at calibration temperature"</f>
        <v>Economic impact at calibration temperature</v>
      </c>
      <c r="B134" s="125"/>
      <c r="C134" s="57"/>
      <c r="F134" s="140">
        <v>-15</v>
      </c>
      <c r="G134" s="140">
        <v>20</v>
      </c>
      <c r="H134" s="140">
        <v>40</v>
      </c>
      <c r="I134" t="s">
        <v>132</v>
      </c>
    </row>
    <row r="135" spans="1:18" x14ac:dyDescent="0.2">
      <c r="A135" t="str">
        <f>I_1_NAME&amp;" impact function exponent"</f>
        <v>Economic impact function exponent</v>
      </c>
      <c r="B135" s="125"/>
      <c r="C135" s="57"/>
      <c r="F135" s="140">
        <v>0.8</v>
      </c>
      <c r="G135" s="140">
        <v>1.2</v>
      </c>
      <c r="H135" s="140">
        <v>1.5</v>
      </c>
    </row>
    <row r="136" spans="1:18" x14ac:dyDescent="0.2">
      <c r="A136" t="str">
        <f>I_1_NAME&amp;" exponent with income"</f>
        <v>Economic exponent with income</v>
      </c>
      <c r="B136" s="125"/>
      <c r="C136" s="57"/>
      <c r="F136" s="140">
        <v>-0.5</v>
      </c>
      <c r="G136" s="140">
        <v>-0.4</v>
      </c>
      <c r="H136" s="140">
        <v>-0.3</v>
      </c>
    </row>
    <row r="137" spans="1:18" x14ac:dyDescent="0.2">
      <c r="A137" s="3"/>
      <c r="B137" s="6"/>
      <c r="C137" s="57"/>
    </row>
    <row r="138" spans="1:18" x14ac:dyDescent="0.2">
      <c r="A138" s="3"/>
      <c r="B138" s="6"/>
      <c r="C138" s="57"/>
    </row>
    <row r="139" spans="1:18" x14ac:dyDescent="0.2">
      <c r="A139" s="3"/>
      <c r="B139" s="6"/>
      <c r="C139" s="57"/>
    </row>
    <row r="140" spans="1:18" x14ac:dyDescent="0.2">
      <c r="A140" s="114" t="s">
        <v>1018</v>
      </c>
      <c r="B140" s="86"/>
      <c r="C140" s="104"/>
      <c r="D140" s="114" t="str">
        <f>SCENARIO_PAIR</f>
        <v>SSP5-34-OS</v>
      </c>
      <c r="E140" s="86"/>
      <c r="F140" s="86"/>
    </row>
    <row r="141" spans="1:18" x14ac:dyDescent="0.2">
      <c r="A141" t="s">
        <v>22</v>
      </c>
      <c r="B141" t="s">
        <v>23</v>
      </c>
      <c r="C141">
        <f>Y_0</f>
        <v>2015</v>
      </c>
      <c r="D141">
        <f t="array" ref="D141:L141">Y</f>
        <v>2020</v>
      </c>
      <c r="E141">
        <v>2025</v>
      </c>
      <c r="F141">
        <v>2030</v>
      </c>
      <c r="G141">
        <v>2040</v>
      </c>
      <c r="H141">
        <v>2050</v>
      </c>
      <c r="I141">
        <v>2060</v>
      </c>
      <c r="J141">
        <v>2070</v>
      </c>
      <c r="K141">
        <v>2080</v>
      </c>
      <c r="L141">
        <v>2090</v>
      </c>
    </row>
    <row r="142" spans="1:18" x14ac:dyDescent="0.2">
      <c r="B142" t="s">
        <v>24</v>
      </c>
      <c r="C142">
        <f t="array" ref="C142:L142">Y</f>
        <v>2020</v>
      </c>
      <c r="D142">
        <v>2025</v>
      </c>
      <c r="E142">
        <v>2030</v>
      </c>
      <c r="F142">
        <v>2040</v>
      </c>
      <c r="G142">
        <v>2050</v>
      </c>
      <c r="H142">
        <v>2060</v>
      </c>
      <c r="I142">
        <v>2070</v>
      </c>
      <c r="J142">
        <v>2080</v>
      </c>
      <c r="K142">
        <v>2090</v>
      </c>
      <c r="L142">
        <v>2100</v>
      </c>
      <c r="P142" s="2" t="str">
        <f>Cockpit!D18</f>
        <v>Scenario pairs</v>
      </c>
      <c r="Q142" s="2"/>
    </row>
    <row r="143" spans="1:18" x14ac:dyDescent="0.2">
      <c r="B143" t="str">
        <f t="array" ref="B143:B150">R_CODE</f>
        <v>EU</v>
      </c>
      <c r="C143" s="99">
        <f t="array" ref="C143:L150" xml:space="preserve"> IF(SCENARIO_SWITCH = 0, SSP1_GDP_RATE, 0) + IF(SCENARIO_SWITCH = 1, SSP1_GDP_RATE, 0) + IF(SCENARIO_SWITCH = 2, SSPW_GDP_RATE, 0) + IF(SCENARIO_SWITCH = 3, ( IF(SCENARIO_PAIR = PAIR_RCP26, SSP1_GDP_RATE, 0) + IF(SCENARIO_PAIR = PAIR_RCP45, SSP2_GDP_RATE, 0) +  IF(SCENARIO_PAIR = PAIR_RCP85, SSP5_GDP_RATE, 0) ), 0)</f>
        <v>2.5146738470069208</v>
      </c>
      <c r="D143" s="99">
        <v>2.8053012391100918</v>
      </c>
      <c r="E143" s="99">
        <v>2.8547029483055208</v>
      </c>
      <c r="F143" s="99">
        <v>2.7803067990616714</v>
      </c>
      <c r="G143" s="99">
        <v>2.5187844762275313</v>
      </c>
      <c r="H143" s="99">
        <v>2.3624911417670091</v>
      </c>
      <c r="I143" s="99">
        <v>2.31585409189492</v>
      </c>
      <c r="J143" s="99">
        <v>2.1457645405380088</v>
      </c>
      <c r="K143" s="99">
        <v>2.0235768751024397</v>
      </c>
      <c r="L143" s="99">
        <v>1.9611996975199331</v>
      </c>
      <c r="M143" s="3" t="s">
        <v>417</v>
      </c>
      <c r="P143" s="3" t="str">
        <f>Cockpit!D19</f>
        <v>Scenario pair 0:</v>
      </c>
      <c r="R143" s="2">
        <f>Cockpit!E19</f>
        <v>0</v>
      </c>
    </row>
    <row r="144" spans="1:18" x14ac:dyDescent="0.2">
      <c r="B144" t="str">
        <v>US</v>
      </c>
      <c r="C144" s="100">
        <v>2.6890388191168846</v>
      </c>
      <c r="D144" s="100">
        <v>2.8171733081112871</v>
      </c>
      <c r="E144" s="100">
        <v>2.8183103404682441</v>
      </c>
      <c r="F144" s="100">
        <v>2.7553231483848251</v>
      </c>
      <c r="G144" s="100">
        <v>2.5396058301483393</v>
      </c>
      <c r="H144" s="100">
        <v>2.4180746963653021</v>
      </c>
      <c r="I144" s="100">
        <v>2.4254121700079789</v>
      </c>
      <c r="J144" s="100">
        <v>2.3541577449138762</v>
      </c>
      <c r="K144" s="100">
        <v>2.2411440832974305</v>
      </c>
      <c r="L144" s="100">
        <v>2.1303007544176911</v>
      </c>
      <c r="M144" s="3" t="s">
        <v>417</v>
      </c>
      <c r="P144" s="3" t="str">
        <f>Cockpit!D20</f>
        <v>Scenario pair 1:</v>
      </c>
      <c r="R144" s="2">
        <f>Cockpit!E20</f>
        <v>0</v>
      </c>
    </row>
    <row r="145" spans="1:18" x14ac:dyDescent="0.2">
      <c r="B145" t="str">
        <v>OT</v>
      </c>
      <c r="C145" s="100">
        <v>2.4512961714263426</v>
      </c>
      <c r="D145" s="100">
        <v>2.7058856298753708</v>
      </c>
      <c r="E145" s="100">
        <v>2.8135180616256639</v>
      </c>
      <c r="F145" s="100">
        <v>2.740541510672867</v>
      </c>
      <c r="G145" s="100">
        <v>2.492612739929756</v>
      </c>
      <c r="H145" s="100">
        <v>2.3117985636273763</v>
      </c>
      <c r="I145" s="100">
        <v>2.1872934127840971</v>
      </c>
      <c r="J145" s="100">
        <v>1.9641579688531641</v>
      </c>
      <c r="K145" s="100">
        <v>1.7867016694211424</v>
      </c>
      <c r="L145" s="100">
        <v>1.6733705678382726</v>
      </c>
      <c r="M145" s="3" t="s">
        <v>417</v>
      </c>
      <c r="P145" s="3" t="str">
        <f>Cockpit!D21</f>
        <v>Scenario pair 2:</v>
      </c>
      <c r="R145" s="2">
        <f>Cockpit!E21</f>
        <v>0</v>
      </c>
    </row>
    <row r="146" spans="1:18" x14ac:dyDescent="0.2">
      <c r="B146" t="str">
        <v>EE</v>
      </c>
      <c r="C146" s="100">
        <v>3.8482113389576078</v>
      </c>
      <c r="D146" s="100">
        <v>4.058604019923906</v>
      </c>
      <c r="E146" s="100">
        <v>3.9130969078133626</v>
      </c>
      <c r="F146" s="100">
        <v>3.2431050749578638</v>
      </c>
      <c r="G146" s="100">
        <v>2.1914833176133408</v>
      </c>
      <c r="H146" s="100">
        <v>1.7922209517737819</v>
      </c>
      <c r="I146" s="100">
        <v>1.694455304617648</v>
      </c>
      <c r="J146" s="100">
        <v>1.2502994428906788</v>
      </c>
      <c r="K146" s="100">
        <v>1.1576982854764495</v>
      </c>
      <c r="L146" s="100">
        <v>1.0380799266914487</v>
      </c>
      <c r="M146" s="3" t="s">
        <v>417</v>
      </c>
      <c r="P146" s="3" t="str">
        <f>Cockpit!D22</f>
        <v>Scenario pair 3:</v>
      </c>
      <c r="R146" s="2">
        <f>Cockpit!E22</f>
        <v>0</v>
      </c>
    </row>
    <row r="147" spans="1:18" x14ac:dyDescent="0.2">
      <c r="B147" t="str">
        <v>CA</v>
      </c>
      <c r="C147" s="100">
        <v>7.6520505071955069</v>
      </c>
      <c r="D147" s="100">
        <v>6.5424610715235199</v>
      </c>
      <c r="E147" s="100">
        <v>5.3443789988738111</v>
      </c>
      <c r="F147" s="100">
        <v>3.6588664928241421</v>
      </c>
      <c r="G147" s="100">
        <v>2.144937567331362</v>
      </c>
      <c r="H147" s="100">
        <v>1.1548285565248007</v>
      </c>
      <c r="I147" s="100">
        <v>0.7168469051887838</v>
      </c>
      <c r="J147" s="100">
        <v>0.38794546394647078</v>
      </c>
      <c r="K147" s="100">
        <v>0.20665270518405165</v>
      </c>
      <c r="L147" s="100">
        <v>-2.9984325124821076E-2</v>
      </c>
      <c r="M147" s="3" t="s">
        <v>417</v>
      </c>
      <c r="P147" s="3" t="str">
        <f>Cockpit!D23</f>
        <v>Scenario pair 4:</v>
      </c>
      <c r="R147" s="2">
        <f>Cockpit!E23</f>
        <v>0</v>
      </c>
    </row>
    <row r="148" spans="1:18" x14ac:dyDescent="0.2">
      <c r="B148" t="str">
        <v>IA</v>
      </c>
      <c r="C148" s="100">
        <v>6.7032656481740727</v>
      </c>
      <c r="D148" s="100">
        <v>6.6175093541493313</v>
      </c>
      <c r="E148" s="100">
        <v>6.1188279430422821</v>
      </c>
      <c r="F148" s="100">
        <v>5.2115148103384357</v>
      </c>
      <c r="G148" s="100">
        <v>4.0591394067171382</v>
      </c>
      <c r="H148" s="100">
        <v>3.1522180514799603</v>
      </c>
      <c r="I148" s="100">
        <v>2.5281935981365855</v>
      </c>
      <c r="J148" s="100">
        <v>2.0428334445296903</v>
      </c>
      <c r="K148" s="100">
        <v>1.7346150749839584</v>
      </c>
      <c r="L148" s="100">
        <v>1.4328767165067591</v>
      </c>
      <c r="M148" s="3" t="s">
        <v>417</v>
      </c>
      <c r="P148" s="3" t="str">
        <f>Cockpit!D24</f>
        <v>Scenario pair 5:</v>
      </c>
      <c r="R148" s="2">
        <f>Cockpit!E24</f>
        <v>0</v>
      </c>
    </row>
    <row r="149" spans="1:18" x14ac:dyDescent="0.2">
      <c r="B149" t="str">
        <v>AF</v>
      </c>
      <c r="C149" s="100">
        <v>5.1179310420283119</v>
      </c>
      <c r="D149" s="100">
        <v>5.4661373937012536</v>
      </c>
      <c r="E149" s="100">
        <v>5.6895453893275771</v>
      </c>
      <c r="F149" s="100">
        <v>5.5522972060230158</v>
      </c>
      <c r="G149" s="100">
        <v>4.8846068464477144</v>
      </c>
      <c r="H149" s="100">
        <v>4.2604572770122751</v>
      </c>
      <c r="I149" s="100">
        <v>3.7457534117330882</v>
      </c>
      <c r="J149" s="100">
        <v>3.2516134356659121</v>
      </c>
      <c r="K149" s="100">
        <v>2.9769724810781772</v>
      </c>
      <c r="L149" s="100">
        <v>2.6947066324798374</v>
      </c>
      <c r="M149" s="3" t="s">
        <v>417</v>
      </c>
      <c r="P149" s="3" t="str">
        <f>Cockpit!D25</f>
        <v>Scenario pair 6:</v>
      </c>
      <c r="R149" s="2">
        <f>Cockpit!E25</f>
        <v>0</v>
      </c>
    </row>
    <row r="150" spans="1:18" ht="13.5" thickBot="1" x14ac:dyDescent="0.25">
      <c r="B150" t="str">
        <v>LA</v>
      </c>
      <c r="C150" s="101">
        <v>3.7540157854742073</v>
      </c>
      <c r="D150" s="101">
        <v>3.8202820182502428</v>
      </c>
      <c r="E150" s="101">
        <v>3.8484899007470208</v>
      </c>
      <c r="F150" s="101">
        <v>3.7853015386530187</v>
      </c>
      <c r="G150" s="101">
        <v>3.2396858986451393</v>
      </c>
      <c r="H150" s="101">
        <v>2.5202141236581266</v>
      </c>
      <c r="I150" s="101">
        <v>2.0024950917560069</v>
      </c>
      <c r="J150" s="101">
        <v>1.6733883565962726</v>
      </c>
      <c r="K150" s="101">
        <v>1.4318026468421285</v>
      </c>
      <c r="L150" s="101">
        <v>1.1394527174828806</v>
      </c>
      <c r="M150" s="3" t="s">
        <v>417</v>
      </c>
      <c r="P150" s="3" t="str">
        <f>Cockpit!D26</f>
        <v>Extra pair 1:</v>
      </c>
      <c r="R150" s="2" t="str">
        <f>Cockpit!E26</f>
        <v>SSP5-34-OS</v>
      </c>
    </row>
    <row r="151" spans="1:18" ht="13.5" thickTop="1" x14ac:dyDescent="0.2">
      <c r="A151" s="3" t="s">
        <v>459</v>
      </c>
      <c r="P151" s="3" t="str">
        <f>Cockpit!D27</f>
        <v>Extra pair 2:</v>
      </c>
      <c r="R151" s="2" t="str">
        <f>Cockpit!E27</f>
        <v>SSP5-85</v>
      </c>
    </row>
    <row r="152" spans="1:18" x14ac:dyDescent="0.2">
      <c r="B152" t="str">
        <f t="array" ref="B152:B159">R_CODE</f>
        <v>EU</v>
      </c>
      <c r="C152" s="99">
        <f t="array" ref="C152:L159" xml:space="preserve"> IF(SCENARIO_SWITCH = 0, SSP1_POP_RATE, 0) + IF(SCENARIO_SWITCH = 1, SSP1_POP_RATE, 0) + IF(SCENARIO_SWITCH = 2, SSPW_POP_RATE, 0) + IF(SCENARIO_SWITCH = 3, ( IF(SCENARIO_PAIR = PAIR_RCP26, SSP1_POP_RATE, 0) + IF(SCENARIO_PAIR = PAIR_RCP45, SSP2_POP_RATE, 0) +  IF(SCENARIO_PAIR = PAIR_RCP85, SSP5_POP_RATE, 0) ), 0)</f>
        <v>0.46344727253684326</v>
      </c>
      <c r="D152" s="99">
        <v>0.53065124038398359</v>
      </c>
      <c r="E152" s="99">
        <v>0.54831930861103384</v>
      </c>
      <c r="F152" s="99">
        <v>0.549560158018636</v>
      </c>
      <c r="G152" s="99">
        <v>0.57756883101203194</v>
      </c>
      <c r="H152" s="99">
        <v>0.56260958462992505</v>
      </c>
      <c r="I152" s="99">
        <v>0.46075734679313918</v>
      </c>
      <c r="J152" s="99">
        <v>0.35542145530247371</v>
      </c>
      <c r="K152" s="99">
        <v>0.24072020396930238</v>
      </c>
      <c r="L152" s="99">
        <v>0.14989037409884887</v>
      </c>
      <c r="M152" s="3" t="s">
        <v>417</v>
      </c>
      <c r="P152" s="3" t="str">
        <f>Cockpit!D28</f>
        <v>Extra pair 3:</v>
      </c>
      <c r="R152" s="2">
        <f>Cockpit!E28</f>
        <v>0</v>
      </c>
    </row>
    <row r="153" spans="1:18" x14ac:dyDescent="0.2">
      <c r="B153" t="str">
        <v>US</v>
      </c>
      <c r="C153" s="100">
        <v>1.0499804392217982</v>
      </c>
      <c r="D153" s="100">
        <v>1.1414283549264548</v>
      </c>
      <c r="E153" s="100">
        <v>1.1350359148565303</v>
      </c>
      <c r="F153" s="100">
        <v>1.0677327533665348</v>
      </c>
      <c r="G153" s="100">
        <v>1.0306050466302175</v>
      </c>
      <c r="H153" s="100">
        <v>1.0308886700431952</v>
      </c>
      <c r="I153" s="100">
        <v>0.95786785438627398</v>
      </c>
      <c r="J153" s="100">
        <v>0.8421220172876831</v>
      </c>
      <c r="K153" s="100">
        <v>0.68198942308064225</v>
      </c>
      <c r="L153" s="100">
        <v>0.51290763112885607</v>
      </c>
      <c r="M153" s="3" t="s">
        <v>417</v>
      </c>
      <c r="P153" s="2"/>
      <c r="Q153" s="2"/>
    </row>
    <row r="154" spans="1:18" x14ac:dyDescent="0.2">
      <c r="B154" t="str">
        <v>OT</v>
      </c>
      <c r="C154" s="100">
        <v>0.57931319952622129</v>
      </c>
      <c r="D154" s="100">
        <v>0.56630173965326325</v>
      </c>
      <c r="E154" s="100">
        <v>0.51873446165400239</v>
      </c>
      <c r="F154" s="100">
        <v>0.45992033612427541</v>
      </c>
      <c r="G154" s="100">
        <v>0.4169232959424507</v>
      </c>
      <c r="H154" s="100">
        <v>0.36391784969425078</v>
      </c>
      <c r="I154" s="100">
        <v>0.2208470806117635</v>
      </c>
      <c r="J154" s="100">
        <v>8.5579920309664104E-2</v>
      </c>
      <c r="K154" s="100">
        <v>-5.6836098242185606E-2</v>
      </c>
      <c r="L154" s="100">
        <v>-0.17572435068882175</v>
      </c>
      <c r="M154" s="3" t="s">
        <v>417</v>
      </c>
    </row>
    <row r="155" spans="1:18" x14ac:dyDescent="0.2">
      <c r="B155" t="str">
        <v>EE</v>
      </c>
      <c r="C155" s="100">
        <v>-2.3107181145731737E-2</v>
      </c>
      <c r="D155" s="100">
        <v>-8.5767294190453036E-2</v>
      </c>
      <c r="E155" s="100">
        <v>-0.13285811989359742</v>
      </c>
      <c r="F155" s="100">
        <v>-0.13917934737032178</v>
      </c>
      <c r="G155" s="100">
        <v>-0.25624460419507722</v>
      </c>
      <c r="H155" s="100">
        <v>-0.39234658836994063</v>
      </c>
      <c r="I155" s="100">
        <v>-0.5301096869568811</v>
      </c>
      <c r="J155" s="100">
        <v>-0.72076279172097468</v>
      </c>
      <c r="K155" s="100">
        <v>-0.88608537143362032</v>
      </c>
      <c r="L155" s="100">
        <v>-1.0120075759825209</v>
      </c>
      <c r="M155" s="3" t="s">
        <v>417</v>
      </c>
    </row>
    <row r="156" spans="1:18" x14ac:dyDescent="0.2">
      <c r="B156" t="str">
        <v>CA</v>
      </c>
      <c r="C156" s="100">
        <v>0.15998818371336654</v>
      </c>
      <c r="D156" s="100">
        <v>5.364897101678423E-4</v>
      </c>
      <c r="E156" s="100">
        <v>-0.15758332681641285</v>
      </c>
      <c r="F156" s="100">
        <v>-0.3675856012035128</v>
      </c>
      <c r="G156" s="100">
        <v>-0.65109337948826562</v>
      </c>
      <c r="H156" s="100">
        <v>-0.89770303274467889</v>
      </c>
      <c r="I156" s="100">
        <v>-1.0975288700711405</v>
      </c>
      <c r="J156" s="100">
        <v>-1.247991369703072</v>
      </c>
      <c r="K156" s="100">
        <v>-1.4302463567494872</v>
      </c>
      <c r="L156" s="100">
        <v>-1.6623037811282493</v>
      </c>
      <c r="M156" s="3" t="s">
        <v>417</v>
      </c>
      <c r="P156" s="128" t="s">
        <v>677</v>
      </c>
    </row>
    <row r="157" spans="1:18" x14ac:dyDescent="0.2">
      <c r="B157" t="str">
        <v>IA</v>
      </c>
      <c r="C157" s="100">
        <v>0.93253473373862139</v>
      </c>
      <c r="D157" s="100">
        <v>0.74125200761954169</v>
      </c>
      <c r="E157" s="100">
        <v>0.56204553970327087</v>
      </c>
      <c r="F157" s="100">
        <v>0.37324698330065686</v>
      </c>
      <c r="G157" s="100">
        <v>0.10009006230666806</v>
      </c>
      <c r="H157" s="100">
        <v>-0.15990053141132776</v>
      </c>
      <c r="I157" s="100">
        <v>-0.39467333565701423</v>
      </c>
      <c r="J157" s="100">
        <v>-0.61969754246635755</v>
      </c>
      <c r="K157" s="100">
        <v>-0.83291293792217003</v>
      </c>
      <c r="L157" s="100">
        <v>-1.0180546985762873</v>
      </c>
      <c r="M157" s="3" t="s">
        <v>417</v>
      </c>
    </row>
    <row r="158" spans="1:18" x14ac:dyDescent="0.2">
      <c r="B158" t="str">
        <v>AF</v>
      </c>
      <c r="C158" s="100">
        <v>1.795898069424684</v>
      </c>
      <c r="D158" s="100">
        <v>1.5717544819874307</v>
      </c>
      <c r="E158" s="100">
        <v>1.3421873620346192</v>
      </c>
      <c r="F158" s="100">
        <v>1.1193932426543762</v>
      </c>
      <c r="G158" s="100">
        <v>0.77174342885446556</v>
      </c>
      <c r="H158" s="100">
        <v>0.46682315483923542</v>
      </c>
      <c r="I158" s="100">
        <v>0.23570564459556298</v>
      </c>
      <c r="J158" s="100">
        <v>2.2411884346418276E-2</v>
      </c>
      <c r="K158" s="100">
        <v>-0.16855489956095759</v>
      </c>
      <c r="L158" s="100">
        <v>-0.34128080224482549</v>
      </c>
      <c r="M158" s="3" t="s">
        <v>417</v>
      </c>
    </row>
    <row r="159" spans="1:18" ht="13.5" thickBot="1" x14ac:dyDescent="0.25">
      <c r="B159" t="str">
        <v>LA</v>
      </c>
      <c r="C159" s="101">
        <v>0.65888500959487839</v>
      </c>
      <c r="D159" s="101">
        <v>0.45756470488926837</v>
      </c>
      <c r="E159" s="101">
        <v>0.2879961925044805</v>
      </c>
      <c r="F159" s="101">
        <v>9.8472980755071049E-2</v>
      </c>
      <c r="G159" s="101">
        <v>-0.1614499719725937</v>
      </c>
      <c r="H159" s="101">
        <v>-0.39191557029829571</v>
      </c>
      <c r="I159" s="101">
        <v>-0.55491439723694969</v>
      </c>
      <c r="J159" s="101">
        <v>-0.69721513984296601</v>
      </c>
      <c r="K159" s="101">
        <v>-0.8860452119556661</v>
      </c>
      <c r="L159" s="101">
        <v>-1.1272382307355278</v>
      </c>
      <c r="M159" s="3" t="s">
        <v>417</v>
      </c>
    </row>
    <row r="160" spans="1:18" ht="13.5" thickTop="1" x14ac:dyDescent="0.2"/>
    <row r="161" spans="1:16" x14ac:dyDescent="0.2">
      <c r="A161" t="s">
        <v>25</v>
      </c>
      <c r="B161" t="s">
        <v>23</v>
      </c>
      <c r="C161">
        <f>Y_0</f>
        <v>2015</v>
      </c>
      <c r="D161">
        <f t="array" ref="D161:L161">Y</f>
        <v>2020</v>
      </c>
      <c r="E161">
        <v>2025</v>
      </c>
      <c r="F161">
        <v>2030</v>
      </c>
      <c r="G161">
        <v>2040</v>
      </c>
      <c r="H161">
        <v>2050</v>
      </c>
      <c r="I161">
        <v>2060</v>
      </c>
      <c r="J161">
        <v>2070</v>
      </c>
      <c r="K161">
        <v>2080</v>
      </c>
      <c r="L161">
        <v>2090</v>
      </c>
    </row>
    <row r="162" spans="1:16" x14ac:dyDescent="0.2">
      <c r="B162" t="s">
        <v>24</v>
      </c>
      <c r="C162">
        <f t="array" ref="C162:L162">Y</f>
        <v>2020</v>
      </c>
      <c r="D162">
        <v>2025</v>
      </c>
      <c r="E162">
        <v>2030</v>
      </c>
      <c r="F162">
        <v>2040</v>
      </c>
      <c r="G162">
        <v>2050</v>
      </c>
      <c r="H162">
        <v>2060</v>
      </c>
      <c r="I162">
        <v>2070</v>
      </c>
      <c r="J162">
        <v>2080</v>
      </c>
      <c r="K162">
        <v>2090</v>
      </c>
      <c r="L162">
        <v>2100</v>
      </c>
    </row>
    <row r="163" spans="1:16" x14ac:dyDescent="0.2">
      <c r="B163" t="str">
        <f t="array" ref="B163:B170">R_CODE</f>
        <v>EU</v>
      </c>
      <c r="C163" s="29">
        <f t="array" aca="1" ref="C163:L170" ca="1">PTP+(EMUC*(GRW-POP_GRW))</f>
        <v>3.4264310035484238</v>
      </c>
      <c r="D163" s="29">
        <f ca="1"/>
        <v>3.6870916651804597</v>
      </c>
      <c r="E163" s="29">
        <f ca="1"/>
        <v>3.7241142463102355</v>
      </c>
      <c r="F163" s="29">
        <f ca="1"/>
        <v>3.6358710812168749</v>
      </c>
      <c r="G163" s="29">
        <f ca="1"/>
        <v>3.2980849194180832</v>
      </c>
      <c r="H163" s="29">
        <f ca="1"/>
        <v>3.1331951499932646</v>
      </c>
      <c r="I163" s="29">
        <f ca="1"/>
        <v>3.1976128692854111</v>
      </c>
      <c r="J163" s="29">
        <f ca="1"/>
        <v>3.122066932774791</v>
      </c>
      <c r="K163" s="29">
        <f ca="1"/>
        <v>3.1133327829886603</v>
      </c>
      <c r="L163" s="29">
        <f ca="1"/>
        <v>3.1465275439912652</v>
      </c>
      <c r="M163" s="3" t="s">
        <v>417</v>
      </c>
    </row>
    <row r="164" spans="1:16" x14ac:dyDescent="0.2">
      <c r="B164" t="str">
        <v>US</v>
      </c>
      <c r="C164" s="26">
        <f ca="1"/>
        <v>2.945568109877601</v>
      </c>
      <c r="D164" s="26">
        <f ca="1"/>
        <v>2.9883691120489715</v>
      </c>
      <c r="E164" s="26">
        <f ca="1"/>
        <v>2.9971534965469999</v>
      </c>
      <c r="F164" s="26">
        <f ca="1"/>
        <v>3.0021887941880054</v>
      </c>
      <c r="G164" s="26">
        <f ca="1"/>
        <v>2.7938342474378093</v>
      </c>
      <c r="H164" s="26">
        <f ca="1"/>
        <v>2.6517170307091247</v>
      </c>
      <c r="I164" s="26">
        <f ca="1"/>
        <v>2.7454683682253229</v>
      </c>
      <c r="J164" s="26">
        <f ca="1"/>
        <v>2.7973750155638921</v>
      </c>
      <c r="K164" s="26">
        <f ca="1"/>
        <v>2.8523471035862533</v>
      </c>
      <c r="L164" s="26">
        <f ca="1"/>
        <v>2.920291977170308</v>
      </c>
      <c r="M164" s="3" t="s">
        <v>417</v>
      </c>
    </row>
    <row r="165" spans="1:16" x14ac:dyDescent="0.2">
      <c r="B165" t="str">
        <v>OT</v>
      </c>
      <c r="C165" s="26">
        <f ca="1"/>
        <v>3.2173134672168082</v>
      </c>
      <c r="D165" s="26">
        <f ca="1"/>
        <v>3.5295145385924593</v>
      </c>
      <c r="E165" s="26">
        <f ca="1"/>
        <v>3.7105808666336051</v>
      </c>
      <c r="F165" s="26">
        <f ca="1"/>
        <v>3.6940580369733569</v>
      </c>
      <c r="G165" s="26">
        <f ca="1"/>
        <v>3.4549710179851898</v>
      </c>
      <c r="H165" s="26">
        <f ca="1"/>
        <v>3.3058608329219803</v>
      </c>
      <c r="I165" s="26">
        <f ca="1"/>
        <v>3.3275207208677227</v>
      </c>
      <c r="J165" s="26">
        <f ca="1"/>
        <v>3.2250077233007506</v>
      </c>
      <c r="K165" s="26">
        <f ca="1"/>
        <v>3.1841273956072165</v>
      </c>
      <c r="L165" s="26">
        <f ca="1"/>
        <v>3.1906107382816105</v>
      </c>
      <c r="M165" s="3" t="s">
        <v>417</v>
      </c>
    </row>
    <row r="166" spans="1:16" x14ac:dyDescent="0.2">
      <c r="B166" t="str">
        <v>EE</v>
      </c>
      <c r="C166" s="26">
        <f ca="1"/>
        <v>5.5498716067872298</v>
      </c>
      <c r="D166" s="26">
        <f ca="1"/>
        <v>5.8684331998000854</v>
      </c>
      <c r="E166" s="26">
        <f ca="1"/>
        <v>5.7536141989914533</v>
      </c>
      <c r="F166" s="26">
        <f ca="1"/>
        <v>4.9793318260495498</v>
      </c>
      <c r="G166" s="26">
        <f ca="1"/>
        <v>3.8890159087764884</v>
      </c>
      <c r="H166" s="26">
        <f ca="1"/>
        <v>3.5819954635010101</v>
      </c>
      <c r="I166" s="26">
        <f ca="1"/>
        <v>3.6286591568369513</v>
      </c>
      <c r="J166" s="26">
        <f ca="1"/>
        <v>3.3329059403802628</v>
      </c>
      <c r="K166" s="26">
        <f ca="1"/>
        <v>3.4177475997284148</v>
      </c>
      <c r="L166" s="26">
        <f ca="1"/>
        <v>3.4251020864529647</v>
      </c>
      <c r="M166" s="3" t="s">
        <v>417</v>
      </c>
    </row>
    <row r="167" spans="1:16" x14ac:dyDescent="0.2">
      <c r="B167" t="str">
        <v>CA</v>
      </c>
      <c r="C167" s="26">
        <f ca="1"/>
        <v>9.7740727107291647</v>
      </c>
      <c r="D167" s="26">
        <f ca="1"/>
        <v>8.6655786787822446</v>
      </c>
      <c r="E167" s="26">
        <f ca="1"/>
        <v>7.4522893799719281</v>
      </c>
      <c r="F167" s="26">
        <f ca="1"/>
        <v>5.7308607763655974</v>
      </c>
      <c r="G167" s="26">
        <f ca="1"/>
        <v>4.2953694379562322</v>
      </c>
      <c r="H167" s="26">
        <f ca="1"/>
        <v>3.427953520814393</v>
      </c>
      <c r="I167" s="26">
        <f ca="1"/>
        <v>3.1501050711365783</v>
      </c>
      <c r="J167" s="26">
        <f ca="1"/>
        <v>2.9419263059244667</v>
      </c>
      <c r="K167" s="26">
        <f ca="1"/>
        <v>2.9430489055891291</v>
      </c>
      <c r="L167" s="26">
        <f ca="1"/>
        <v>2.9377060320039998</v>
      </c>
      <c r="M167" s="3" t="s">
        <v>417</v>
      </c>
    </row>
    <row r="168" spans="1:16" x14ac:dyDescent="0.2">
      <c r="B168" t="str">
        <v>IA</v>
      </c>
      <c r="C168" s="26">
        <f ca="1"/>
        <v>7.7658527335080265</v>
      </c>
      <c r="D168" s="26">
        <f ca="1"/>
        <v>7.8889669042847546</v>
      </c>
      <c r="E168" s="26">
        <f ca="1"/>
        <v>7.5162461372288467</v>
      </c>
      <c r="F168" s="26">
        <f ca="1"/>
        <v>6.6779791315440757</v>
      </c>
      <c r="G168" s="26">
        <f ca="1"/>
        <v>5.6522242351455487</v>
      </c>
      <c r="H168" s="26">
        <f ca="1"/>
        <v>4.8974716800398364</v>
      </c>
      <c r="I168" s="26">
        <f ca="1"/>
        <v>4.4433447560925332</v>
      </c>
      <c r="J168" s="26">
        <f ca="1"/>
        <v>4.1396194848287227</v>
      </c>
      <c r="K168" s="26">
        <f ca="1"/>
        <v>4.0287826817238166</v>
      </c>
      <c r="L168" s="26">
        <f ca="1"/>
        <v>3.8927533175968874</v>
      </c>
      <c r="M168" s="3" t="s">
        <v>417</v>
      </c>
    </row>
    <row r="169" spans="1:16" x14ac:dyDescent="0.2">
      <c r="B169" t="str">
        <v>AF</v>
      </c>
      <c r="C169" s="26">
        <f ca="1"/>
        <v>4.9090384680375667</v>
      </c>
      <c r="D169" s="26">
        <f ca="1"/>
        <v>5.5767800636661269</v>
      </c>
      <c r="E169" s="26">
        <f ca="1"/>
        <v>6.1052510318417843</v>
      </c>
      <c r="F169" s="26">
        <f ca="1"/>
        <v>6.2050546239300797</v>
      </c>
      <c r="G169" s="26">
        <f ca="1"/>
        <v>5.8316739871921239</v>
      </c>
      <c r="H169" s="26">
        <f ca="1"/>
        <v>5.4592398092018799</v>
      </c>
      <c r="I169" s="26">
        <f ca="1"/>
        <v>5.1283890616604459</v>
      </c>
      <c r="J169" s="26">
        <f ca="1"/>
        <v>4.8007351432060767</v>
      </c>
      <c r="K169" s="26">
        <f ca="1"/>
        <v>4.7031152774123246</v>
      </c>
      <c r="L169" s="26">
        <f ca="1"/>
        <v>4.5753186738454401</v>
      </c>
      <c r="M169" s="3" t="s">
        <v>417</v>
      </c>
    </row>
    <row r="170" spans="1:16" ht="13.5" thickBot="1" x14ac:dyDescent="0.25">
      <c r="B170" t="str">
        <v>LA</v>
      </c>
      <c r="C170" s="35">
        <f ca="1"/>
        <v>4.6443192385258838</v>
      </c>
      <c r="D170" s="35">
        <f ca="1"/>
        <v>4.9565035322544704</v>
      </c>
      <c r="E170" s="35">
        <f ca="1"/>
        <v>5.187242659616297</v>
      </c>
      <c r="F170" s="35">
        <f ca="1"/>
        <v>5.3346333175476053</v>
      </c>
      <c r="G170" s="35">
        <f ca="1"/>
        <v>5.0013251823873555</v>
      </c>
      <c r="H170" s="35">
        <f ca="1"/>
        <v>4.4308179762824933</v>
      </c>
      <c r="I170" s="35">
        <f ca="1"/>
        <v>4.0169777371584496</v>
      </c>
      <c r="J170" s="35">
        <f ca="1"/>
        <v>3.7990374125124458</v>
      </c>
      <c r="K170" s="35">
        <f ca="1"/>
        <v>3.7374891685974276</v>
      </c>
      <c r="L170" s="35">
        <f ca="1"/>
        <v>3.6778061062548097</v>
      </c>
      <c r="M170" s="3" t="s">
        <v>417</v>
      </c>
    </row>
    <row r="171" spans="1:16" ht="13.5" thickTop="1" x14ac:dyDescent="0.2">
      <c r="C171" s="6"/>
      <c r="D171" s="6"/>
      <c r="E171" s="6"/>
      <c r="F171" s="6"/>
      <c r="G171" s="6"/>
      <c r="H171" s="6"/>
      <c r="I171" s="6"/>
      <c r="J171" s="6"/>
      <c r="K171" s="6"/>
      <c r="L171" s="6"/>
      <c r="M171" s="3"/>
    </row>
    <row r="172" spans="1:16" x14ac:dyDescent="0.2">
      <c r="C172" s="6"/>
      <c r="D172" s="6"/>
      <c r="E172" s="6"/>
      <c r="F172" s="6"/>
      <c r="G172" s="6"/>
      <c r="H172" s="6"/>
      <c r="I172" s="6"/>
      <c r="J172" s="6"/>
      <c r="K172" s="6"/>
      <c r="L172" s="6"/>
      <c r="M172" s="3"/>
    </row>
    <row r="173" spans="1:16" x14ac:dyDescent="0.2">
      <c r="A173" s="114" t="s">
        <v>1019</v>
      </c>
      <c r="B173" s="86"/>
      <c r="C173" s="104"/>
      <c r="D173" s="114" t="str">
        <f>SCENARIO_PAIR_B</f>
        <v>SSP5-85</v>
      </c>
      <c r="E173" s="6"/>
      <c r="F173" s="6"/>
      <c r="G173" s="6"/>
      <c r="H173" s="6"/>
      <c r="I173" s="6"/>
      <c r="J173" s="6"/>
      <c r="K173" s="6"/>
      <c r="L173" s="6"/>
      <c r="M173" s="3"/>
    </row>
    <row r="174" spans="1:16" x14ac:dyDescent="0.2">
      <c r="A174" t="s">
        <v>22</v>
      </c>
      <c r="B174" t="s">
        <v>23</v>
      </c>
      <c r="C174">
        <f>Y_0</f>
        <v>2015</v>
      </c>
      <c r="D174">
        <f t="array" ref="D174:L174">Y</f>
        <v>2020</v>
      </c>
      <c r="E174">
        <v>2025</v>
      </c>
      <c r="F174">
        <v>2030</v>
      </c>
      <c r="G174">
        <v>2040</v>
      </c>
      <c r="H174">
        <v>2050</v>
      </c>
      <c r="I174">
        <v>2060</v>
      </c>
      <c r="J174">
        <v>2070</v>
      </c>
      <c r="K174">
        <v>2080</v>
      </c>
      <c r="L174">
        <v>2090</v>
      </c>
      <c r="M174" s="3"/>
    </row>
    <row r="175" spans="1:16" x14ac:dyDescent="0.2">
      <c r="B175" t="s">
        <v>24</v>
      </c>
      <c r="C175">
        <f t="array" ref="C175:L175">Y</f>
        <v>2020</v>
      </c>
      <c r="D175">
        <v>2025</v>
      </c>
      <c r="E175">
        <v>2030</v>
      </c>
      <c r="F175">
        <v>2040</v>
      </c>
      <c r="G175">
        <v>2050</v>
      </c>
      <c r="H175">
        <v>2060</v>
      </c>
      <c r="I175">
        <v>2070</v>
      </c>
      <c r="J175">
        <v>2080</v>
      </c>
      <c r="K175">
        <v>2090</v>
      </c>
      <c r="L175">
        <v>2100</v>
      </c>
      <c r="M175" s="3"/>
    </row>
    <row r="176" spans="1:16" x14ac:dyDescent="0.2">
      <c r="B176" t="str">
        <f t="array" ref="B176:B183">R_CODE</f>
        <v>EU</v>
      </c>
      <c r="C176" s="99">
        <f t="array" ref="C176:L183" xml:space="preserve"> IF(WORLDB_GDPPOP_SWITCH = 1, ( IF(SCENARIO_SWITCH_B = 0, SSP1_GDP_RATE, 0) + IF(SCENARIO_SWITCH_B = 1, SSP1_GDP_RATE, 0) + IF(SCENARIO_SWITCH_B = 2, SSPW_GDP_RATE_B, 0) + IF(SCENARIO_SWITCH_B = 3, ( IF(SCENARIO_PAIR_B = PAIR_RCP26, SSP1_GDP_RATE, 0) + IF(SCENARIO_PAIR_B = PAIR_RCP45, SSP2_GDP_RATE, 0) +  IF(SCENARIO_PAIR_B = PAIR_RCP85, SSP5_GDP_RATE, 0) ), 0) ), GRW)</f>
        <v>2.5146738470069208</v>
      </c>
      <c r="D176" s="99">
        <v>2.8053012391100918</v>
      </c>
      <c r="E176" s="99">
        <v>2.8547029483055208</v>
      </c>
      <c r="F176" s="99">
        <v>2.7803067990616714</v>
      </c>
      <c r="G176" s="99">
        <v>2.5187844762275313</v>
      </c>
      <c r="H176" s="99">
        <v>2.3624911417670091</v>
      </c>
      <c r="I176" s="99">
        <v>2.31585409189492</v>
      </c>
      <c r="J176" s="99">
        <v>2.1457645405380088</v>
      </c>
      <c r="K176" s="99">
        <v>2.0235768751024397</v>
      </c>
      <c r="L176" s="99">
        <v>1.9611996975199331</v>
      </c>
      <c r="M176" s="3" t="s">
        <v>417</v>
      </c>
      <c r="P176" s="128" t="s">
        <v>1065</v>
      </c>
    </row>
    <row r="177" spans="1:16" x14ac:dyDescent="0.2">
      <c r="B177" t="str">
        <v>US</v>
      </c>
      <c r="C177" s="100">
        <v>2.6890388191168846</v>
      </c>
      <c r="D177" s="100">
        <v>2.8171733081112871</v>
      </c>
      <c r="E177" s="100">
        <v>2.8183103404682441</v>
      </c>
      <c r="F177" s="100">
        <v>2.7553231483848251</v>
      </c>
      <c r="G177" s="100">
        <v>2.5396058301483393</v>
      </c>
      <c r="H177" s="100">
        <v>2.4180746963653021</v>
      </c>
      <c r="I177" s="100">
        <v>2.4254121700079789</v>
      </c>
      <c r="J177" s="100">
        <v>2.3541577449138762</v>
      </c>
      <c r="K177" s="100">
        <v>2.2411440832974305</v>
      </c>
      <c r="L177" s="100">
        <v>2.1303007544176911</v>
      </c>
      <c r="M177" s="3" t="s">
        <v>417</v>
      </c>
      <c r="P177" s="124" t="s">
        <v>1066</v>
      </c>
    </row>
    <row r="178" spans="1:16" x14ac:dyDescent="0.2">
      <c r="B178" t="str">
        <v>OT</v>
      </c>
      <c r="C178" s="100">
        <v>2.4512961714263426</v>
      </c>
      <c r="D178" s="100">
        <v>2.7058856298753708</v>
      </c>
      <c r="E178" s="100">
        <v>2.8135180616256639</v>
      </c>
      <c r="F178" s="100">
        <v>2.740541510672867</v>
      </c>
      <c r="G178" s="100">
        <v>2.492612739929756</v>
      </c>
      <c r="H178" s="100">
        <v>2.3117985636273763</v>
      </c>
      <c r="I178" s="100">
        <v>2.1872934127840971</v>
      </c>
      <c r="J178" s="100">
        <v>1.9641579688531641</v>
      </c>
      <c r="K178" s="100">
        <v>1.7867016694211424</v>
      </c>
      <c r="L178" s="100">
        <v>1.6733705678382726</v>
      </c>
      <c r="M178" s="3" t="s">
        <v>417</v>
      </c>
    </row>
    <row r="179" spans="1:16" x14ac:dyDescent="0.2">
      <c r="B179" t="str">
        <v>EE</v>
      </c>
      <c r="C179" s="100">
        <v>3.8482113389576078</v>
      </c>
      <c r="D179" s="100">
        <v>4.058604019923906</v>
      </c>
      <c r="E179" s="100">
        <v>3.9130969078133626</v>
      </c>
      <c r="F179" s="100">
        <v>3.2431050749578638</v>
      </c>
      <c r="G179" s="100">
        <v>2.1914833176133408</v>
      </c>
      <c r="H179" s="100">
        <v>1.7922209517737819</v>
      </c>
      <c r="I179" s="100">
        <v>1.694455304617648</v>
      </c>
      <c r="J179" s="100">
        <v>1.2502994428906788</v>
      </c>
      <c r="K179" s="100">
        <v>1.1576982854764495</v>
      </c>
      <c r="L179" s="100">
        <v>1.0380799266914487</v>
      </c>
      <c r="M179" s="3" t="s">
        <v>417</v>
      </c>
    </row>
    <row r="180" spans="1:16" x14ac:dyDescent="0.2">
      <c r="B180" t="str">
        <v>CA</v>
      </c>
      <c r="C180" s="100">
        <v>7.6520505071955069</v>
      </c>
      <c r="D180" s="100">
        <v>6.5424610715235199</v>
      </c>
      <c r="E180" s="100">
        <v>5.3443789988738111</v>
      </c>
      <c r="F180" s="100">
        <v>3.6588664928241421</v>
      </c>
      <c r="G180" s="100">
        <v>2.144937567331362</v>
      </c>
      <c r="H180" s="100">
        <v>1.1548285565248007</v>
      </c>
      <c r="I180" s="100">
        <v>0.7168469051887838</v>
      </c>
      <c r="J180" s="100">
        <v>0.38794546394647078</v>
      </c>
      <c r="K180" s="100">
        <v>0.20665270518405165</v>
      </c>
      <c r="L180" s="100">
        <v>-2.9984325124821076E-2</v>
      </c>
      <c r="M180" s="3" t="s">
        <v>417</v>
      </c>
    </row>
    <row r="181" spans="1:16" x14ac:dyDescent="0.2">
      <c r="B181" t="str">
        <v>IA</v>
      </c>
      <c r="C181" s="100">
        <v>6.7032656481740727</v>
      </c>
      <c r="D181" s="100">
        <v>6.6175093541493313</v>
      </c>
      <c r="E181" s="100">
        <v>6.1188279430422821</v>
      </c>
      <c r="F181" s="100">
        <v>5.2115148103384357</v>
      </c>
      <c r="G181" s="100">
        <v>4.0591394067171382</v>
      </c>
      <c r="H181" s="100">
        <v>3.1522180514799603</v>
      </c>
      <c r="I181" s="100">
        <v>2.5281935981365855</v>
      </c>
      <c r="J181" s="100">
        <v>2.0428334445296903</v>
      </c>
      <c r="K181" s="100">
        <v>1.7346150749839584</v>
      </c>
      <c r="L181" s="100">
        <v>1.4328767165067591</v>
      </c>
      <c r="M181" s="3" t="s">
        <v>417</v>
      </c>
    </row>
    <row r="182" spans="1:16" x14ac:dyDescent="0.2">
      <c r="B182" t="str">
        <v>AF</v>
      </c>
      <c r="C182" s="100">
        <v>5.1179310420283119</v>
      </c>
      <c r="D182" s="100">
        <v>5.4661373937012536</v>
      </c>
      <c r="E182" s="100">
        <v>5.6895453893275771</v>
      </c>
      <c r="F182" s="100">
        <v>5.5522972060230158</v>
      </c>
      <c r="G182" s="100">
        <v>4.8846068464477144</v>
      </c>
      <c r="H182" s="100">
        <v>4.2604572770122751</v>
      </c>
      <c r="I182" s="100">
        <v>3.7457534117330882</v>
      </c>
      <c r="J182" s="100">
        <v>3.2516134356659121</v>
      </c>
      <c r="K182" s="100">
        <v>2.9769724810781772</v>
      </c>
      <c r="L182" s="100">
        <v>2.6947066324798374</v>
      </c>
      <c r="M182" s="3" t="s">
        <v>417</v>
      </c>
    </row>
    <row r="183" spans="1:16" ht="13.5" thickBot="1" x14ac:dyDescent="0.25">
      <c r="B183" t="str">
        <v>LA</v>
      </c>
      <c r="C183" s="101">
        <v>3.7540157854742073</v>
      </c>
      <c r="D183" s="101">
        <v>3.8202820182502428</v>
      </c>
      <c r="E183" s="101">
        <v>3.8484899007470208</v>
      </c>
      <c r="F183" s="101">
        <v>3.7853015386530187</v>
      </c>
      <c r="G183" s="101">
        <v>3.2396858986451393</v>
      </c>
      <c r="H183" s="101">
        <v>2.5202141236581266</v>
      </c>
      <c r="I183" s="101">
        <v>2.0024950917560069</v>
      </c>
      <c r="J183" s="101">
        <v>1.6733883565962726</v>
      </c>
      <c r="K183" s="101">
        <v>1.4318026468421285</v>
      </c>
      <c r="L183" s="101">
        <v>1.1394527174828806</v>
      </c>
      <c r="M183" s="3" t="s">
        <v>417</v>
      </c>
    </row>
    <row r="184" spans="1:16" ht="13.5" thickTop="1" x14ac:dyDescent="0.2">
      <c r="A184" s="3" t="s">
        <v>459</v>
      </c>
    </row>
    <row r="185" spans="1:16" x14ac:dyDescent="0.2">
      <c r="B185" t="str">
        <f t="array" ref="B185:B192">R_CODE</f>
        <v>EU</v>
      </c>
      <c r="C185" s="99">
        <f t="array" ref="C185:L192" xml:space="preserve"> IF(WORLDB_GDPPOP_SWITCH = 1, ( IF(SCENARIO_SWITCH_B = 0, SSP1_POP_RATE, 0) + IF(SCENARIO_SWITCH_B = 1, SSP1_POP_RATE, 0) + IF(SCENARIO_SWITCH_B = 2, SSPW_POP_RATE_B, 0) + IF(SCENARIO_SWITCH_B = 3, ( IF(SCENARIO_PAIR_B = PAIR_RCP26, SSP1_POP_RATE, 0) + IF(SCENARIO_PAIR_B = PAIR_RCP45, SSP2_POP_RATE, 0) +  IF(SCENARIO_PAIR_B = PAIR_RCP85, SSP5_POP_RATE, 0) ), 0) ), POP_GRW)</f>
        <v>0.46344727253684326</v>
      </c>
      <c r="D185" s="99">
        <v>0.53065124038398359</v>
      </c>
      <c r="E185" s="99">
        <v>0.54831930861103384</v>
      </c>
      <c r="F185" s="99">
        <v>0.549560158018636</v>
      </c>
      <c r="G185" s="99">
        <v>0.57756883101203194</v>
      </c>
      <c r="H185" s="99">
        <v>0.56260958462992505</v>
      </c>
      <c r="I185" s="99">
        <v>0.46075734679313918</v>
      </c>
      <c r="J185" s="99">
        <v>0.35542145530247371</v>
      </c>
      <c r="K185" s="99">
        <v>0.24072020396930238</v>
      </c>
      <c r="L185" s="99">
        <v>0.14989037409884887</v>
      </c>
      <c r="M185" s="3" t="s">
        <v>417</v>
      </c>
    </row>
    <row r="186" spans="1:16" x14ac:dyDescent="0.2">
      <c r="B186" t="str">
        <v>US</v>
      </c>
      <c r="C186" s="100">
        <v>1.0499804392217982</v>
      </c>
      <c r="D186" s="100">
        <v>1.1414283549264548</v>
      </c>
      <c r="E186" s="100">
        <v>1.1350359148565303</v>
      </c>
      <c r="F186" s="100">
        <v>1.0677327533665348</v>
      </c>
      <c r="G186" s="100">
        <v>1.0306050466302175</v>
      </c>
      <c r="H186" s="100">
        <v>1.0308886700431952</v>
      </c>
      <c r="I186" s="100">
        <v>0.95786785438627398</v>
      </c>
      <c r="J186" s="100">
        <v>0.8421220172876831</v>
      </c>
      <c r="K186" s="100">
        <v>0.68198942308064225</v>
      </c>
      <c r="L186" s="100">
        <v>0.51290763112885607</v>
      </c>
      <c r="M186" s="3" t="s">
        <v>417</v>
      </c>
    </row>
    <row r="187" spans="1:16" x14ac:dyDescent="0.2">
      <c r="B187" t="str">
        <v>OT</v>
      </c>
      <c r="C187" s="100">
        <v>0.57931319952622129</v>
      </c>
      <c r="D187" s="100">
        <v>0.56630173965326325</v>
      </c>
      <c r="E187" s="100">
        <v>0.51873446165400239</v>
      </c>
      <c r="F187" s="100">
        <v>0.45992033612427541</v>
      </c>
      <c r="G187" s="100">
        <v>0.4169232959424507</v>
      </c>
      <c r="H187" s="100">
        <v>0.36391784969425078</v>
      </c>
      <c r="I187" s="100">
        <v>0.2208470806117635</v>
      </c>
      <c r="J187" s="100">
        <v>8.5579920309664104E-2</v>
      </c>
      <c r="K187" s="100">
        <v>-5.6836098242185606E-2</v>
      </c>
      <c r="L187" s="100">
        <v>-0.17572435068882175</v>
      </c>
      <c r="M187" s="3" t="s">
        <v>417</v>
      </c>
    </row>
    <row r="188" spans="1:16" x14ac:dyDescent="0.2">
      <c r="B188" t="str">
        <v>EE</v>
      </c>
      <c r="C188" s="100">
        <v>-2.3107181145731737E-2</v>
      </c>
      <c r="D188" s="100">
        <v>-8.5767294190453036E-2</v>
      </c>
      <c r="E188" s="100">
        <v>-0.13285811989359742</v>
      </c>
      <c r="F188" s="100">
        <v>-0.13917934737032178</v>
      </c>
      <c r="G188" s="100">
        <v>-0.25624460419507722</v>
      </c>
      <c r="H188" s="100">
        <v>-0.39234658836994063</v>
      </c>
      <c r="I188" s="100">
        <v>-0.5301096869568811</v>
      </c>
      <c r="J188" s="100">
        <v>-0.72076279172097468</v>
      </c>
      <c r="K188" s="100">
        <v>-0.88608537143362032</v>
      </c>
      <c r="L188" s="100">
        <v>-1.0120075759825209</v>
      </c>
      <c r="M188" s="3" t="s">
        <v>417</v>
      </c>
    </row>
    <row r="189" spans="1:16" x14ac:dyDescent="0.2">
      <c r="B189" t="str">
        <v>CA</v>
      </c>
      <c r="C189" s="100">
        <v>0.15998818371336654</v>
      </c>
      <c r="D189" s="100">
        <v>5.364897101678423E-4</v>
      </c>
      <c r="E189" s="100">
        <v>-0.15758332681641285</v>
      </c>
      <c r="F189" s="100">
        <v>-0.3675856012035128</v>
      </c>
      <c r="G189" s="100">
        <v>-0.65109337948826562</v>
      </c>
      <c r="H189" s="100">
        <v>-0.89770303274467889</v>
      </c>
      <c r="I189" s="100">
        <v>-1.0975288700711405</v>
      </c>
      <c r="J189" s="100">
        <v>-1.247991369703072</v>
      </c>
      <c r="K189" s="100">
        <v>-1.4302463567494872</v>
      </c>
      <c r="L189" s="100">
        <v>-1.6623037811282493</v>
      </c>
      <c r="M189" s="3" t="s">
        <v>417</v>
      </c>
    </row>
    <row r="190" spans="1:16" x14ac:dyDescent="0.2">
      <c r="B190" t="str">
        <v>IA</v>
      </c>
      <c r="C190" s="100">
        <v>0.93253473373862139</v>
      </c>
      <c r="D190" s="100">
        <v>0.74125200761954169</v>
      </c>
      <c r="E190" s="100">
        <v>0.56204553970327087</v>
      </c>
      <c r="F190" s="100">
        <v>0.37324698330065686</v>
      </c>
      <c r="G190" s="100">
        <v>0.10009006230666806</v>
      </c>
      <c r="H190" s="100">
        <v>-0.15990053141132776</v>
      </c>
      <c r="I190" s="100">
        <v>-0.39467333565701423</v>
      </c>
      <c r="J190" s="100">
        <v>-0.61969754246635755</v>
      </c>
      <c r="K190" s="100">
        <v>-0.83291293792217003</v>
      </c>
      <c r="L190" s="100">
        <v>-1.0180546985762873</v>
      </c>
      <c r="M190" s="3" t="s">
        <v>417</v>
      </c>
    </row>
    <row r="191" spans="1:16" x14ac:dyDescent="0.2">
      <c r="B191" t="str">
        <v>AF</v>
      </c>
      <c r="C191" s="100">
        <v>1.795898069424684</v>
      </c>
      <c r="D191" s="100">
        <v>1.5717544819874307</v>
      </c>
      <c r="E191" s="100">
        <v>1.3421873620346192</v>
      </c>
      <c r="F191" s="100">
        <v>1.1193932426543762</v>
      </c>
      <c r="G191" s="100">
        <v>0.77174342885446556</v>
      </c>
      <c r="H191" s="100">
        <v>0.46682315483923542</v>
      </c>
      <c r="I191" s="100">
        <v>0.23570564459556298</v>
      </c>
      <c r="J191" s="100">
        <v>2.2411884346418276E-2</v>
      </c>
      <c r="K191" s="100">
        <v>-0.16855489956095759</v>
      </c>
      <c r="L191" s="100">
        <v>-0.34128080224482549</v>
      </c>
      <c r="M191" s="3" t="s">
        <v>417</v>
      </c>
    </row>
    <row r="192" spans="1:16" ht="13.5" thickBot="1" x14ac:dyDescent="0.25">
      <c r="B192" t="str">
        <v>LA</v>
      </c>
      <c r="C192" s="101">
        <v>0.65888500959487839</v>
      </c>
      <c r="D192" s="101">
        <v>0.45756470488926837</v>
      </c>
      <c r="E192" s="101">
        <v>0.2879961925044805</v>
      </c>
      <c r="F192" s="101">
        <v>9.8472980755071049E-2</v>
      </c>
      <c r="G192" s="101">
        <v>-0.1614499719725937</v>
      </c>
      <c r="H192" s="101">
        <v>-0.39191557029829571</v>
      </c>
      <c r="I192" s="101">
        <v>-0.55491439723694969</v>
      </c>
      <c r="J192" s="101">
        <v>-0.69721513984296601</v>
      </c>
      <c r="K192" s="101">
        <v>-0.8860452119556661</v>
      </c>
      <c r="L192" s="101">
        <v>-1.1272382307355278</v>
      </c>
      <c r="M192" s="3" t="s">
        <v>417</v>
      </c>
    </row>
    <row r="193" spans="1:17" ht="13.5" thickTop="1" x14ac:dyDescent="0.2"/>
    <row r="194" spans="1:17" x14ac:dyDescent="0.2">
      <c r="A194" t="s">
        <v>25</v>
      </c>
      <c r="B194" t="s">
        <v>23</v>
      </c>
      <c r="C194">
        <f>Y_0</f>
        <v>2015</v>
      </c>
      <c r="D194">
        <f t="array" ref="D194:L194">Y</f>
        <v>2020</v>
      </c>
      <c r="E194">
        <v>2025</v>
      </c>
      <c r="F194">
        <v>2030</v>
      </c>
      <c r="G194">
        <v>2040</v>
      </c>
      <c r="H194">
        <v>2050</v>
      </c>
      <c r="I194">
        <v>2060</v>
      </c>
      <c r="J194">
        <v>2070</v>
      </c>
      <c r="K194">
        <v>2080</v>
      </c>
      <c r="L194">
        <v>2090</v>
      </c>
    </row>
    <row r="195" spans="1:17" x14ac:dyDescent="0.2">
      <c r="B195" t="s">
        <v>24</v>
      </c>
      <c r="C195">
        <f t="array" ref="C195:L195">Y</f>
        <v>2020</v>
      </c>
      <c r="D195">
        <v>2025</v>
      </c>
      <c r="E195">
        <v>2030</v>
      </c>
      <c r="F195">
        <v>2040</v>
      </c>
      <c r="G195">
        <v>2050</v>
      </c>
      <c r="H195">
        <v>2060</v>
      </c>
      <c r="I195">
        <v>2070</v>
      </c>
      <c r="J195">
        <v>2080</v>
      </c>
      <c r="K195">
        <v>2090</v>
      </c>
      <c r="L195">
        <v>2100</v>
      </c>
    </row>
    <row r="196" spans="1:17" x14ac:dyDescent="0.2">
      <c r="B196" t="str">
        <f t="array" ref="B196:B203">R_CODE</f>
        <v>EU</v>
      </c>
      <c r="C196" s="29">
        <f t="array" aca="1" ref="C196:L203" ca="1" xml:space="preserve"> IF(WORLDB_GDPPOP_SWITCH = 1, (PTP+(EMUC*(GRW_B-POP_GRW_B))), DR)</f>
        <v>3.4264310035484238</v>
      </c>
      <c r="D196" s="29">
        <f ca="1"/>
        <v>3.6870916651804597</v>
      </c>
      <c r="E196" s="29">
        <f ca="1"/>
        <v>3.7241142463102355</v>
      </c>
      <c r="F196" s="29">
        <f ca="1"/>
        <v>3.6358710812168749</v>
      </c>
      <c r="G196" s="29">
        <f ca="1"/>
        <v>3.2980849194180832</v>
      </c>
      <c r="H196" s="29">
        <f ca="1"/>
        <v>3.1331951499932646</v>
      </c>
      <c r="I196" s="29">
        <f ca="1"/>
        <v>3.1976128692854111</v>
      </c>
      <c r="J196" s="29">
        <f ca="1"/>
        <v>3.122066932774791</v>
      </c>
      <c r="K196" s="29">
        <f ca="1"/>
        <v>3.1133327829886603</v>
      </c>
      <c r="L196" s="29">
        <f ca="1"/>
        <v>3.1465275439912652</v>
      </c>
      <c r="M196" s="3" t="s">
        <v>417</v>
      </c>
    </row>
    <row r="197" spans="1:17" x14ac:dyDescent="0.2">
      <c r="B197" t="str">
        <v>US</v>
      </c>
      <c r="C197" s="26">
        <f ca="1"/>
        <v>2.945568109877601</v>
      </c>
      <c r="D197" s="26">
        <f ca="1"/>
        <v>2.9883691120489715</v>
      </c>
      <c r="E197" s="26">
        <f ca="1"/>
        <v>2.9971534965469999</v>
      </c>
      <c r="F197" s="26">
        <f ca="1"/>
        <v>3.0021887941880054</v>
      </c>
      <c r="G197" s="26">
        <f ca="1"/>
        <v>2.7938342474378093</v>
      </c>
      <c r="H197" s="26">
        <f ca="1"/>
        <v>2.6517170307091247</v>
      </c>
      <c r="I197" s="26">
        <f ca="1"/>
        <v>2.7454683682253229</v>
      </c>
      <c r="J197" s="26">
        <f ca="1"/>
        <v>2.7973750155638921</v>
      </c>
      <c r="K197" s="26">
        <f ca="1"/>
        <v>2.8523471035862533</v>
      </c>
      <c r="L197" s="26">
        <f ca="1"/>
        <v>2.920291977170308</v>
      </c>
      <c r="M197" s="3" t="s">
        <v>417</v>
      </c>
    </row>
    <row r="198" spans="1:17" x14ac:dyDescent="0.2">
      <c r="B198" t="str">
        <v>OT</v>
      </c>
      <c r="C198" s="26">
        <f ca="1"/>
        <v>3.2173134672168082</v>
      </c>
      <c r="D198" s="26">
        <f ca="1"/>
        <v>3.5295145385924593</v>
      </c>
      <c r="E198" s="26">
        <f ca="1"/>
        <v>3.7105808666336051</v>
      </c>
      <c r="F198" s="26">
        <f ca="1"/>
        <v>3.6940580369733569</v>
      </c>
      <c r="G198" s="26">
        <f ca="1"/>
        <v>3.4549710179851898</v>
      </c>
      <c r="H198" s="26">
        <f ca="1"/>
        <v>3.3058608329219803</v>
      </c>
      <c r="I198" s="26">
        <f ca="1"/>
        <v>3.3275207208677227</v>
      </c>
      <c r="J198" s="26">
        <f ca="1"/>
        <v>3.2250077233007506</v>
      </c>
      <c r="K198" s="26">
        <f ca="1"/>
        <v>3.1841273956072165</v>
      </c>
      <c r="L198" s="26">
        <f ca="1"/>
        <v>3.1906107382816105</v>
      </c>
      <c r="M198" s="3" t="s">
        <v>417</v>
      </c>
    </row>
    <row r="199" spans="1:17" x14ac:dyDescent="0.2">
      <c r="B199" t="str">
        <v>EE</v>
      </c>
      <c r="C199" s="26">
        <f ca="1"/>
        <v>5.5498716067872298</v>
      </c>
      <c r="D199" s="26">
        <f ca="1"/>
        <v>5.8684331998000854</v>
      </c>
      <c r="E199" s="26">
        <f ca="1"/>
        <v>5.7536141989914533</v>
      </c>
      <c r="F199" s="26">
        <f ca="1"/>
        <v>4.9793318260495498</v>
      </c>
      <c r="G199" s="26">
        <f ca="1"/>
        <v>3.8890159087764884</v>
      </c>
      <c r="H199" s="26">
        <f ca="1"/>
        <v>3.5819954635010101</v>
      </c>
      <c r="I199" s="26">
        <f ca="1"/>
        <v>3.6286591568369513</v>
      </c>
      <c r="J199" s="26">
        <f ca="1"/>
        <v>3.3329059403802628</v>
      </c>
      <c r="K199" s="26">
        <f ca="1"/>
        <v>3.4177475997284148</v>
      </c>
      <c r="L199" s="26">
        <f ca="1"/>
        <v>3.4251020864529647</v>
      </c>
      <c r="M199" s="3" t="s">
        <v>417</v>
      </c>
    </row>
    <row r="200" spans="1:17" x14ac:dyDescent="0.2">
      <c r="B200" t="str">
        <v>CA</v>
      </c>
      <c r="C200" s="26">
        <f ca="1"/>
        <v>9.7740727107291647</v>
      </c>
      <c r="D200" s="26">
        <f ca="1"/>
        <v>8.6655786787822446</v>
      </c>
      <c r="E200" s="26">
        <f ca="1"/>
        <v>7.4522893799719281</v>
      </c>
      <c r="F200" s="26">
        <f ca="1"/>
        <v>5.7308607763655974</v>
      </c>
      <c r="G200" s="26">
        <f ca="1"/>
        <v>4.2953694379562322</v>
      </c>
      <c r="H200" s="26">
        <f ca="1"/>
        <v>3.427953520814393</v>
      </c>
      <c r="I200" s="26">
        <f ca="1"/>
        <v>3.1501050711365783</v>
      </c>
      <c r="J200" s="26">
        <f ca="1"/>
        <v>2.9419263059244667</v>
      </c>
      <c r="K200" s="26">
        <f ca="1"/>
        <v>2.9430489055891291</v>
      </c>
      <c r="L200" s="26">
        <f ca="1"/>
        <v>2.9377060320039998</v>
      </c>
      <c r="M200" s="3" t="s">
        <v>417</v>
      </c>
    </row>
    <row r="201" spans="1:17" x14ac:dyDescent="0.2">
      <c r="B201" t="str">
        <v>IA</v>
      </c>
      <c r="C201" s="26">
        <f ca="1"/>
        <v>7.7658527335080265</v>
      </c>
      <c r="D201" s="26">
        <f ca="1"/>
        <v>7.8889669042847546</v>
      </c>
      <c r="E201" s="26">
        <f ca="1"/>
        <v>7.5162461372288467</v>
      </c>
      <c r="F201" s="26">
        <f ca="1"/>
        <v>6.6779791315440757</v>
      </c>
      <c r="G201" s="26">
        <f ca="1"/>
        <v>5.6522242351455487</v>
      </c>
      <c r="H201" s="26">
        <f ca="1"/>
        <v>4.8974716800398364</v>
      </c>
      <c r="I201" s="26">
        <f ca="1"/>
        <v>4.4433447560925332</v>
      </c>
      <c r="J201" s="26">
        <f ca="1"/>
        <v>4.1396194848287227</v>
      </c>
      <c r="K201" s="26">
        <f ca="1"/>
        <v>4.0287826817238166</v>
      </c>
      <c r="L201" s="26">
        <f ca="1"/>
        <v>3.8927533175968874</v>
      </c>
      <c r="M201" s="3" t="s">
        <v>417</v>
      </c>
    </row>
    <row r="202" spans="1:17" x14ac:dyDescent="0.2">
      <c r="B202" t="str">
        <v>AF</v>
      </c>
      <c r="C202" s="26">
        <f ca="1"/>
        <v>4.9090384680375667</v>
      </c>
      <c r="D202" s="26">
        <f ca="1"/>
        <v>5.5767800636661269</v>
      </c>
      <c r="E202" s="26">
        <f ca="1"/>
        <v>6.1052510318417843</v>
      </c>
      <c r="F202" s="26">
        <f ca="1"/>
        <v>6.2050546239300797</v>
      </c>
      <c r="G202" s="26">
        <f ca="1"/>
        <v>5.8316739871921239</v>
      </c>
      <c r="H202" s="26">
        <f ca="1"/>
        <v>5.4592398092018799</v>
      </c>
      <c r="I202" s="26">
        <f ca="1"/>
        <v>5.1283890616604459</v>
      </c>
      <c r="J202" s="26">
        <f ca="1"/>
        <v>4.8007351432060767</v>
      </c>
      <c r="K202" s="26">
        <f ca="1"/>
        <v>4.7031152774123246</v>
      </c>
      <c r="L202" s="26">
        <f ca="1"/>
        <v>4.5753186738454401</v>
      </c>
      <c r="M202" s="3" t="s">
        <v>417</v>
      </c>
    </row>
    <row r="203" spans="1:17" ht="13.5" thickBot="1" x14ac:dyDescent="0.25">
      <c r="B203" t="str">
        <v>LA</v>
      </c>
      <c r="C203" s="35">
        <f ca="1"/>
        <v>4.6443192385258838</v>
      </c>
      <c r="D203" s="35">
        <f ca="1"/>
        <v>4.9565035322544704</v>
      </c>
      <c r="E203" s="35">
        <f ca="1"/>
        <v>5.187242659616297</v>
      </c>
      <c r="F203" s="35">
        <f ca="1"/>
        <v>5.3346333175476053</v>
      </c>
      <c r="G203" s="35">
        <f ca="1"/>
        <v>5.0013251823873555</v>
      </c>
      <c r="H203" s="35">
        <f ca="1"/>
        <v>4.4308179762824933</v>
      </c>
      <c r="I203" s="35">
        <f ca="1"/>
        <v>4.0169777371584496</v>
      </c>
      <c r="J203" s="35">
        <f ca="1"/>
        <v>3.7990374125124458</v>
      </c>
      <c r="K203" s="35">
        <f ca="1"/>
        <v>3.7374891685974276</v>
      </c>
      <c r="L203" s="35">
        <f ca="1"/>
        <v>3.6778061062548097</v>
      </c>
      <c r="M203" s="3" t="s">
        <v>417</v>
      </c>
    </row>
    <row r="204" spans="1:17" ht="13.5" thickTop="1" x14ac:dyDescent="0.2">
      <c r="C204" s="6"/>
      <c r="D204" s="6"/>
      <c r="E204" s="6"/>
      <c r="F204" s="6"/>
      <c r="G204" s="6"/>
      <c r="H204" s="6"/>
      <c r="I204" s="6"/>
      <c r="J204" s="6"/>
      <c r="K204" s="6"/>
      <c r="L204" s="6"/>
      <c r="M204" s="3"/>
    </row>
    <row r="205" spans="1:17" x14ac:dyDescent="0.2">
      <c r="C205" s="6"/>
      <c r="D205" s="6"/>
      <c r="E205" s="6"/>
      <c r="F205" s="6"/>
      <c r="G205" s="6"/>
      <c r="H205" s="6"/>
      <c r="I205" s="6"/>
      <c r="J205" s="6"/>
      <c r="K205" s="6"/>
      <c r="L205" s="6"/>
      <c r="M205" s="3"/>
    </row>
    <row r="206" spans="1:17" x14ac:dyDescent="0.2">
      <c r="C206" s="6"/>
      <c r="D206" s="6"/>
      <c r="E206" s="6"/>
      <c r="F206" s="6"/>
      <c r="G206" s="6"/>
      <c r="H206" s="6"/>
      <c r="I206" s="6"/>
      <c r="J206" s="6"/>
      <c r="K206" s="6"/>
      <c r="L206" s="6"/>
      <c r="M206" s="3"/>
    </row>
    <row r="207" spans="1:17" x14ac:dyDescent="0.2">
      <c r="C207" s="6"/>
      <c r="D207" s="6"/>
      <c r="E207" s="6"/>
      <c r="F207" s="6"/>
      <c r="G207" s="6"/>
      <c r="H207" s="6"/>
      <c r="I207" s="6"/>
      <c r="J207" s="6"/>
      <c r="K207" s="6"/>
      <c r="L207" s="6"/>
      <c r="M207" s="3"/>
    </row>
    <row r="208" spans="1:17" x14ac:dyDescent="0.2">
      <c r="A208" s="283" t="s">
        <v>763</v>
      </c>
      <c r="B208" s="284"/>
      <c r="C208" s="284"/>
      <c r="Q208" s="2" t="s">
        <v>461</v>
      </c>
    </row>
    <row r="209" spans="1:17" x14ac:dyDescent="0.2">
      <c r="C209">
        <f t="array" ref="C209:L209">Y</f>
        <v>2020</v>
      </c>
      <c r="D209">
        <v>2025</v>
      </c>
      <c r="E209">
        <v>2030</v>
      </c>
      <c r="F209">
        <v>2040</v>
      </c>
      <c r="G209">
        <v>2050</v>
      </c>
      <c r="H209">
        <v>2060</v>
      </c>
      <c r="I209">
        <v>2070</v>
      </c>
      <c r="J209">
        <v>2080</v>
      </c>
      <c r="K209">
        <v>2090</v>
      </c>
      <c r="L209">
        <v>2100</v>
      </c>
    </row>
    <row r="210" spans="1:17" x14ac:dyDescent="0.2">
      <c r="A210" t="s">
        <v>12</v>
      </c>
      <c r="B210" t="str">
        <f t="array" ref="B210:B217">R_CODE</f>
        <v>EU</v>
      </c>
      <c r="C210" s="88">
        <f t="array" ref="C210:L217">RCP85_CO2</f>
        <v>107.14808474924513</v>
      </c>
      <c r="D210" s="88">
        <v>115.01972067855388</v>
      </c>
      <c r="E210" s="88">
        <v>122.89135660786265</v>
      </c>
      <c r="F210" s="88">
        <v>146.3107268040921</v>
      </c>
      <c r="G210" s="88">
        <v>175.47926828992945</v>
      </c>
      <c r="H210" s="88">
        <v>215.32652173225873</v>
      </c>
      <c r="I210" s="88">
        <v>257.02896720606623</v>
      </c>
      <c r="J210" s="88">
        <v>287.09240624855863</v>
      </c>
      <c r="K210" s="88">
        <v>297.83354766749909</v>
      </c>
      <c r="L210" s="88">
        <v>310.6155406301134</v>
      </c>
      <c r="M210" s="3" t="s">
        <v>477</v>
      </c>
      <c r="Q210" s="124" t="s">
        <v>764</v>
      </c>
    </row>
    <row r="211" spans="1:17" x14ac:dyDescent="0.2">
      <c r="A211" t="s">
        <v>12</v>
      </c>
      <c r="B211" t="str">
        <v>US</v>
      </c>
      <c r="C211" s="90">
        <v>106.62881982252256</v>
      </c>
      <c r="D211" s="90">
        <v>122.44446615330868</v>
      </c>
      <c r="E211" s="90">
        <v>138.2601124840948</v>
      </c>
      <c r="F211" s="90">
        <v>172.04080704492984</v>
      </c>
      <c r="G211" s="90">
        <v>209.54177323668222</v>
      </c>
      <c r="H211" s="90">
        <v>255.97769325823518</v>
      </c>
      <c r="I211" s="90">
        <v>283.80638149512851</v>
      </c>
      <c r="J211" s="90">
        <v>311.2986004648734</v>
      </c>
      <c r="K211" s="90">
        <v>303.74252208372735</v>
      </c>
      <c r="L211" s="90">
        <v>285.24746031781643</v>
      </c>
      <c r="M211" s="3" t="s">
        <v>477</v>
      </c>
    </row>
    <row r="212" spans="1:17" x14ac:dyDescent="0.2">
      <c r="A212" t="s">
        <v>12</v>
      </c>
      <c r="B212" t="str">
        <v>OT</v>
      </c>
      <c r="C212" s="90">
        <v>107.14808474924513</v>
      </c>
      <c r="D212" s="90">
        <v>115.01972067855388</v>
      </c>
      <c r="E212" s="90">
        <v>122.89135660786265</v>
      </c>
      <c r="F212" s="90">
        <v>146.3107268040921</v>
      </c>
      <c r="G212" s="90">
        <v>175.47926828992945</v>
      </c>
      <c r="H212" s="90">
        <v>215.32652173225873</v>
      </c>
      <c r="I212" s="90">
        <v>257.02896720606623</v>
      </c>
      <c r="J212" s="90">
        <v>287.09240624855863</v>
      </c>
      <c r="K212" s="90">
        <v>297.83354766749909</v>
      </c>
      <c r="L212" s="90">
        <v>310.6155406301134</v>
      </c>
      <c r="M212" s="3" t="s">
        <v>477</v>
      </c>
    </row>
    <row r="213" spans="1:17" x14ac:dyDescent="0.2">
      <c r="A213" t="s">
        <v>12</v>
      </c>
      <c r="B213" t="str">
        <v>EE</v>
      </c>
      <c r="C213" s="90">
        <v>105.61573024151168</v>
      </c>
      <c r="D213" s="90">
        <v>113.87425023932457</v>
      </c>
      <c r="E213" s="90">
        <v>122.13277023713744</v>
      </c>
      <c r="F213" s="90">
        <v>150.38534943121905</v>
      </c>
      <c r="G213" s="90">
        <v>184.80252143506209</v>
      </c>
      <c r="H213" s="90">
        <v>222.57392590355326</v>
      </c>
      <c r="I213" s="90">
        <v>241.91204486022838</v>
      </c>
      <c r="J213" s="90">
        <v>233.71186971717606</v>
      </c>
      <c r="K213" s="90">
        <v>208.11807141288719</v>
      </c>
      <c r="L213" s="90">
        <v>181.41973492472235</v>
      </c>
      <c r="M213" s="3" t="s">
        <v>477</v>
      </c>
    </row>
    <row r="214" spans="1:17" x14ac:dyDescent="0.2">
      <c r="A214" t="s">
        <v>12</v>
      </c>
      <c r="B214" t="str">
        <v>CA</v>
      </c>
      <c r="C214" s="90">
        <v>108.63173056885</v>
      </c>
      <c r="D214" s="90">
        <v>121.18295083959941</v>
      </c>
      <c r="E214" s="90">
        <v>133.73417111034883</v>
      </c>
      <c r="F214" s="90">
        <v>158.19260350872742</v>
      </c>
      <c r="G214" s="90">
        <v>170.05785754463326</v>
      </c>
      <c r="H214" s="90">
        <v>180.68270806352206</v>
      </c>
      <c r="I214" s="90">
        <v>184.49376836267561</v>
      </c>
      <c r="J214" s="90">
        <v>173.78000092513602</v>
      </c>
      <c r="K214" s="90">
        <v>146.80674687653598</v>
      </c>
      <c r="L214" s="90">
        <v>117.09609037713334</v>
      </c>
      <c r="M214" s="3" t="s">
        <v>477</v>
      </c>
    </row>
    <row r="215" spans="1:17" x14ac:dyDescent="0.2">
      <c r="A215" t="s">
        <v>12</v>
      </c>
      <c r="B215" t="str">
        <v>IA</v>
      </c>
      <c r="C215" s="90">
        <v>121.49841851683979</v>
      </c>
      <c r="D215" s="90">
        <v>147.70741008137139</v>
      </c>
      <c r="E215" s="90">
        <v>173.91640164590297</v>
      </c>
      <c r="F215" s="90">
        <v>247.59316842070393</v>
      </c>
      <c r="G215" s="90">
        <v>340.36727279386025</v>
      </c>
      <c r="H215" s="90">
        <v>441.84271335723167</v>
      </c>
      <c r="I215" s="90">
        <v>543.06368460783688</v>
      </c>
      <c r="J215" s="90">
        <v>631.470949081242</v>
      </c>
      <c r="K215" s="90">
        <v>656.7421714371776</v>
      </c>
      <c r="L215" s="90">
        <v>640.92552925111181</v>
      </c>
      <c r="M215" s="3" t="s">
        <v>477</v>
      </c>
    </row>
    <row r="216" spans="1:17" x14ac:dyDescent="0.2">
      <c r="A216" t="s">
        <v>12</v>
      </c>
      <c r="B216" t="str">
        <v>AF</v>
      </c>
      <c r="C216" s="90">
        <v>121.34090554348217</v>
      </c>
      <c r="D216" s="90">
        <v>142.0690654003626</v>
      </c>
      <c r="E216" s="90">
        <v>162.79722525724301</v>
      </c>
      <c r="F216" s="90">
        <v>244.44493138184831</v>
      </c>
      <c r="G216" s="90">
        <v>369.47173628537467</v>
      </c>
      <c r="H216" s="90">
        <v>543.70150803846946</v>
      </c>
      <c r="I216" s="90">
        <v>726.73259332188695</v>
      </c>
      <c r="J216" s="90">
        <v>894.63646787613914</v>
      </c>
      <c r="K216" s="90">
        <v>973.81560147441985</v>
      </c>
      <c r="L216" s="90">
        <v>1007.7329895421856</v>
      </c>
      <c r="M216" s="3" t="s">
        <v>477</v>
      </c>
    </row>
    <row r="217" spans="1:17" ht="13.5" thickBot="1" x14ac:dyDescent="0.25">
      <c r="A217" t="s">
        <v>12</v>
      </c>
      <c r="B217" t="str">
        <v>LA</v>
      </c>
      <c r="C217" s="92">
        <v>117.86185660079576</v>
      </c>
      <c r="D217" s="92">
        <v>142.05721558128539</v>
      </c>
      <c r="E217" s="92">
        <v>166.25257456177502</v>
      </c>
      <c r="F217" s="92">
        <v>221.656071784304</v>
      </c>
      <c r="G217" s="92">
        <v>268.34782021329863</v>
      </c>
      <c r="H217" s="92">
        <v>306.91869584842874</v>
      </c>
      <c r="I217" s="92">
        <v>337.68525854979663</v>
      </c>
      <c r="J217" s="92">
        <v>350.55619111745364</v>
      </c>
      <c r="K217" s="92">
        <v>340.31203527886754</v>
      </c>
      <c r="L217" s="92">
        <v>327.12802742196436</v>
      </c>
      <c r="M217" s="3" t="s">
        <v>477</v>
      </c>
    </row>
    <row r="218" spans="1:17" ht="13.5" thickTop="1" x14ac:dyDescent="0.2">
      <c r="M218" s="3"/>
    </row>
    <row r="219" spans="1:17" x14ac:dyDescent="0.2">
      <c r="A219" t="s">
        <v>13</v>
      </c>
      <c r="B219" t="str">
        <f t="array" ref="B219:B226">R_CODE</f>
        <v>EU</v>
      </c>
      <c r="C219" s="88">
        <f t="array" ref="C219:L226">RCP85_CH4</f>
        <v>99.875801476282646</v>
      </c>
      <c r="D219" s="88">
        <v>106.44454520492664</v>
      </c>
      <c r="E219" s="88">
        <v>113.01328893357065</v>
      </c>
      <c r="F219" s="88">
        <v>133.53088191023232</v>
      </c>
      <c r="G219" s="88">
        <v>152.05655607164789</v>
      </c>
      <c r="H219" s="88">
        <v>157.87581638119408</v>
      </c>
      <c r="I219" s="88">
        <v>166.50649891235639</v>
      </c>
      <c r="J219" s="88">
        <v>169.8588959198909</v>
      </c>
      <c r="K219" s="88">
        <v>195.78411368645473</v>
      </c>
      <c r="L219" s="88">
        <v>179.6355134237252</v>
      </c>
      <c r="M219" s="3" t="s">
        <v>477</v>
      </c>
    </row>
    <row r="220" spans="1:17" x14ac:dyDescent="0.2">
      <c r="A220" t="s">
        <v>13</v>
      </c>
      <c r="B220" t="str">
        <v>US</v>
      </c>
      <c r="C220" s="90">
        <v>95.688690750316368</v>
      </c>
      <c r="D220" s="90">
        <v>103.70907513080405</v>
      </c>
      <c r="E220" s="90">
        <v>111.72945951129175</v>
      </c>
      <c r="F220" s="90">
        <v>132.5640380293141</v>
      </c>
      <c r="G220" s="90">
        <v>153.54918352538499</v>
      </c>
      <c r="H220" s="90">
        <v>161.86672426847423</v>
      </c>
      <c r="I220" s="90">
        <v>155.24614341908566</v>
      </c>
      <c r="J220" s="90">
        <v>161.9802603953321</v>
      </c>
      <c r="K220" s="90">
        <v>165.05347895083301</v>
      </c>
      <c r="L220" s="90">
        <v>159.94930859317353</v>
      </c>
      <c r="M220" s="3" t="s">
        <v>477</v>
      </c>
    </row>
    <row r="221" spans="1:17" x14ac:dyDescent="0.2">
      <c r="A221" t="s">
        <v>13</v>
      </c>
      <c r="B221" t="str">
        <v>OT</v>
      </c>
      <c r="C221" s="90">
        <v>100.39252828290462</v>
      </c>
      <c r="D221" s="90">
        <v>104.29633808872731</v>
      </c>
      <c r="E221" s="90">
        <v>108.20014789455</v>
      </c>
      <c r="F221" s="90">
        <v>132.52630849713995</v>
      </c>
      <c r="G221" s="90">
        <v>155.22954265393369</v>
      </c>
      <c r="H221" s="90">
        <v>164.79201396296995</v>
      </c>
      <c r="I221" s="90">
        <v>151.88094894636589</v>
      </c>
      <c r="J221" s="90">
        <v>137.88814106709734</v>
      </c>
      <c r="K221" s="90">
        <v>136.8533198820825</v>
      </c>
      <c r="L221" s="90">
        <v>190.57316931655109</v>
      </c>
      <c r="M221" s="3" t="s">
        <v>477</v>
      </c>
    </row>
    <row r="222" spans="1:17" x14ac:dyDescent="0.2">
      <c r="A222" t="s">
        <v>13</v>
      </c>
      <c r="B222" t="str">
        <v>EE</v>
      </c>
      <c r="C222" s="90">
        <v>102.89655168069585</v>
      </c>
      <c r="D222" s="90">
        <v>107.64619471186782</v>
      </c>
      <c r="E222" s="90">
        <v>112.39583774303978</v>
      </c>
      <c r="F222" s="90">
        <v>130.15654313041583</v>
      </c>
      <c r="G222" s="90">
        <v>153.26384766151639</v>
      </c>
      <c r="H222" s="90">
        <v>175.7263923154249</v>
      </c>
      <c r="I222" s="90">
        <v>198.10933198293276</v>
      </c>
      <c r="J222" s="90">
        <v>219.18514240484154</v>
      </c>
      <c r="K222" s="90">
        <v>225.88139620865158</v>
      </c>
      <c r="L222" s="90">
        <v>223.18081804616634</v>
      </c>
      <c r="M222" s="3" t="s">
        <v>477</v>
      </c>
    </row>
    <row r="223" spans="1:17" x14ac:dyDescent="0.2">
      <c r="A223" t="s">
        <v>13</v>
      </c>
      <c r="B223" t="str">
        <v>CA</v>
      </c>
      <c r="C223" s="90">
        <v>84.753028617293509</v>
      </c>
      <c r="D223" s="90">
        <v>76.169992778264856</v>
      </c>
      <c r="E223" s="90">
        <v>67.586956939236188</v>
      </c>
      <c r="F223" s="90">
        <v>65.194391665077404</v>
      </c>
      <c r="G223" s="90">
        <v>60.793026826883455</v>
      </c>
      <c r="H223" s="90">
        <v>59.361343677636121</v>
      </c>
      <c r="I223" s="90">
        <v>57.755799569073382</v>
      </c>
      <c r="J223" s="90">
        <v>47.771030602094598</v>
      </c>
      <c r="K223" s="90">
        <v>40.924025892345909</v>
      </c>
      <c r="L223" s="90">
        <v>35.322223722264155</v>
      </c>
      <c r="M223" s="3" t="s">
        <v>477</v>
      </c>
    </row>
    <row r="224" spans="1:17" x14ac:dyDescent="0.2">
      <c r="A224" t="s">
        <v>13</v>
      </c>
      <c r="B224" t="str">
        <v>IA</v>
      </c>
      <c r="C224" s="90">
        <v>99.638985490290764</v>
      </c>
      <c r="D224" s="90">
        <v>101.60711946714721</v>
      </c>
      <c r="E224" s="90">
        <v>103.57525344400366</v>
      </c>
      <c r="F224" s="90">
        <v>109.4344455434327</v>
      </c>
      <c r="G224" s="90">
        <v>115.16657988669748</v>
      </c>
      <c r="H224" s="90">
        <v>90.785660904088246</v>
      </c>
      <c r="I224" s="90">
        <v>75.901733636955555</v>
      </c>
      <c r="J224" s="90">
        <v>59.099904050940538</v>
      </c>
      <c r="K224" s="90">
        <v>51.55974880999149</v>
      </c>
      <c r="L224" s="90">
        <v>45.42658425394653</v>
      </c>
      <c r="M224" s="3" t="s">
        <v>477</v>
      </c>
    </row>
    <row r="225" spans="1:13" x14ac:dyDescent="0.2">
      <c r="A225" t="s">
        <v>13</v>
      </c>
      <c r="B225" t="str">
        <v>AF</v>
      </c>
      <c r="C225" s="90">
        <v>122.01528518915242</v>
      </c>
      <c r="D225" s="90">
        <v>155.78227878288931</v>
      </c>
      <c r="E225" s="90">
        <v>189.54927237662622</v>
      </c>
      <c r="F225" s="90">
        <v>275.94000656195806</v>
      </c>
      <c r="G225" s="90">
        <v>330.31230627491306</v>
      </c>
      <c r="H225" s="90">
        <v>360.74546880690832</v>
      </c>
      <c r="I225" s="90">
        <v>378.69157274694476</v>
      </c>
      <c r="J225" s="90">
        <v>368.16316959280738</v>
      </c>
      <c r="K225" s="90">
        <v>309.07042357760645</v>
      </c>
      <c r="L225" s="90">
        <v>273.43018321830192</v>
      </c>
      <c r="M225" s="3" t="s">
        <v>477</v>
      </c>
    </row>
    <row r="226" spans="1:13" ht="13.5" thickBot="1" x14ac:dyDescent="0.25">
      <c r="A226" t="s">
        <v>13</v>
      </c>
      <c r="B226" t="str">
        <v>LA</v>
      </c>
      <c r="C226" s="92">
        <v>109.86411672565421</v>
      </c>
      <c r="D226" s="92">
        <v>116.13216806842394</v>
      </c>
      <c r="E226" s="92">
        <v>122.40021941119367</v>
      </c>
      <c r="F226" s="92">
        <v>128.71460163163425</v>
      </c>
      <c r="G226" s="92">
        <v>107.49732267659728</v>
      </c>
      <c r="H226" s="92">
        <v>101.08304842354472</v>
      </c>
      <c r="I226" s="92">
        <v>97.581653618065332</v>
      </c>
      <c r="J226" s="92">
        <v>90.456618055211351</v>
      </c>
      <c r="K226" s="92">
        <v>72.991532190725863</v>
      </c>
      <c r="L226" s="92">
        <v>64.980089463862143</v>
      </c>
      <c r="M226" s="3" t="s">
        <v>477</v>
      </c>
    </row>
    <row r="227" spans="1:13" ht="13.5" thickTop="1" x14ac:dyDescent="0.2">
      <c r="M227" s="3"/>
    </row>
    <row r="228" spans="1:13" x14ac:dyDescent="0.2">
      <c r="A228" s="3" t="s">
        <v>144</v>
      </c>
      <c r="B228" t="str">
        <f t="array" ref="B228:B235">R_CODE</f>
        <v>EU</v>
      </c>
      <c r="C228" s="88">
        <f t="array" ref="C228:L235">RCP85_N2O</f>
        <v>107.63919108759174</v>
      </c>
      <c r="D228" s="88">
        <v>111.83227945915688</v>
      </c>
      <c r="E228" s="88">
        <v>116.02536783072202</v>
      </c>
      <c r="F228" s="88">
        <v>122.75100576642203</v>
      </c>
      <c r="G228" s="88">
        <v>120.8373530910477</v>
      </c>
      <c r="H228" s="88">
        <v>123.27051395132386</v>
      </c>
      <c r="I228" s="88">
        <v>123.24897139129817</v>
      </c>
      <c r="J228" s="88">
        <v>123.74602201834861</v>
      </c>
      <c r="K228" s="88">
        <v>121.32090275229359</v>
      </c>
      <c r="L228" s="88">
        <v>116.74322844036696</v>
      </c>
      <c r="M228" s="3" t="s">
        <v>477</v>
      </c>
    </row>
    <row r="229" spans="1:13" x14ac:dyDescent="0.2">
      <c r="A229" s="3" t="s">
        <v>144</v>
      </c>
      <c r="B229" t="str">
        <v>US</v>
      </c>
      <c r="C229" s="90">
        <v>107.63919108759174</v>
      </c>
      <c r="D229" s="90">
        <v>111.83227945915688</v>
      </c>
      <c r="E229" s="90">
        <v>116.02536783072202</v>
      </c>
      <c r="F229" s="90">
        <v>122.75100576642203</v>
      </c>
      <c r="G229" s="90">
        <v>120.8373530910477</v>
      </c>
      <c r="H229" s="90">
        <v>123.27051395132386</v>
      </c>
      <c r="I229" s="90">
        <v>123.24897139129817</v>
      </c>
      <c r="J229" s="90">
        <v>123.74602201834861</v>
      </c>
      <c r="K229" s="90">
        <v>121.32090275229359</v>
      </c>
      <c r="L229" s="90">
        <v>116.74322844036696</v>
      </c>
      <c r="M229" s="3" t="s">
        <v>477</v>
      </c>
    </row>
    <row r="230" spans="1:13" x14ac:dyDescent="0.2">
      <c r="A230" s="3" t="s">
        <v>144</v>
      </c>
      <c r="B230" t="str">
        <v>OT</v>
      </c>
      <c r="C230" s="90">
        <v>107.63919108759174</v>
      </c>
      <c r="D230" s="90">
        <v>111.83227945915688</v>
      </c>
      <c r="E230" s="90">
        <v>116.02536783072202</v>
      </c>
      <c r="F230" s="90">
        <v>122.75100576642203</v>
      </c>
      <c r="G230" s="90">
        <v>120.8373530910477</v>
      </c>
      <c r="H230" s="90">
        <v>123.27051395132386</v>
      </c>
      <c r="I230" s="90">
        <v>123.24897139129817</v>
      </c>
      <c r="J230" s="90">
        <v>123.74602201834861</v>
      </c>
      <c r="K230" s="90">
        <v>121.32090275229359</v>
      </c>
      <c r="L230" s="90">
        <v>116.74322844036696</v>
      </c>
      <c r="M230" s="3" t="s">
        <v>477</v>
      </c>
    </row>
    <row r="231" spans="1:13" x14ac:dyDescent="0.2">
      <c r="A231" s="3" t="s">
        <v>144</v>
      </c>
      <c r="B231" t="str">
        <v>EE</v>
      </c>
      <c r="C231" s="90">
        <v>107.63919108759174</v>
      </c>
      <c r="D231" s="90">
        <v>111.83227945915688</v>
      </c>
      <c r="E231" s="90">
        <v>116.02536783072202</v>
      </c>
      <c r="F231" s="90">
        <v>122.75100576642203</v>
      </c>
      <c r="G231" s="90">
        <v>120.8373530910477</v>
      </c>
      <c r="H231" s="90">
        <v>123.27051395132386</v>
      </c>
      <c r="I231" s="90">
        <v>123.24897139129817</v>
      </c>
      <c r="J231" s="90">
        <v>123.74602201834861</v>
      </c>
      <c r="K231" s="90">
        <v>121.32090275229359</v>
      </c>
      <c r="L231" s="90">
        <v>116.74322844036696</v>
      </c>
      <c r="M231" s="3" t="s">
        <v>477</v>
      </c>
    </row>
    <row r="232" spans="1:13" x14ac:dyDescent="0.2">
      <c r="A232" s="3" t="s">
        <v>144</v>
      </c>
      <c r="B232" t="str">
        <v>CA</v>
      </c>
      <c r="C232" s="90">
        <v>107.63919108759174</v>
      </c>
      <c r="D232" s="90">
        <v>111.83227945915688</v>
      </c>
      <c r="E232" s="90">
        <v>116.02536783072202</v>
      </c>
      <c r="F232" s="90">
        <v>122.75100576642203</v>
      </c>
      <c r="G232" s="90">
        <v>120.8373530910477</v>
      </c>
      <c r="H232" s="90">
        <v>123.27051395132386</v>
      </c>
      <c r="I232" s="90">
        <v>123.24897139129817</v>
      </c>
      <c r="J232" s="90">
        <v>123.74602201834861</v>
      </c>
      <c r="K232" s="90">
        <v>121.32090275229359</v>
      </c>
      <c r="L232" s="90">
        <v>116.74322844036696</v>
      </c>
      <c r="M232" s="3" t="s">
        <v>477</v>
      </c>
    </row>
    <row r="233" spans="1:13" x14ac:dyDescent="0.2">
      <c r="A233" s="3" t="s">
        <v>144</v>
      </c>
      <c r="B233" t="str">
        <v>IA</v>
      </c>
      <c r="C233" s="90">
        <v>107.63919108759174</v>
      </c>
      <c r="D233" s="90">
        <v>111.83227945915688</v>
      </c>
      <c r="E233" s="90">
        <v>116.02536783072202</v>
      </c>
      <c r="F233" s="90">
        <v>122.75100576642203</v>
      </c>
      <c r="G233" s="90">
        <v>120.8373530910477</v>
      </c>
      <c r="H233" s="90">
        <v>123.27051395132386</v>
      </c>
      <c r="I233" s="90">
        <v>123.24897139129817</v>
      </c>
      <c r="J233" s="90">
        <v>123.74602201834861</v>
      </c>
      <c r="K233" s="90">
        <v>121.32090275229359</v>
      </c>
      <c r="L233" s="90">
        <v>116.74322844036696</v>
      </c>
      <c r="M233" s="3" t="s">
        <v>477</v>
      </c>
    </row>
    <row r="234" spans="1:13" x14ac:dyDescent="0.2">
      <c r="A234" s="3" t="s">
        <v>144</v>
      </c>
      <c r="B234" t="str">
        <v>AF</v>
      </c>
      <c r="C234" s="90">
        <v>107.63919108759174</v>
      </c>
      <c r="D234" s="90">
        <v>111.83227945915688</v>
      </c>
      <c r="E234" s="90">
        <v>116.02536783072202</v>
      </c>
      <c r="F234" s="90">
        <v>122.75100576642203</v>
      </c>
      <c r="G234" s="90">
        <v>120.8373530910477</v>
      </c>
      <c r="H234" s="90">
        <v>123.27051395132386</v>
      </c>
      <c r="I234" s="90">
        <v>123.24897139129817</v>
      </c>
      <c r="J234" s="90">
        <v>123.74602201834861</v>
      </c>
      <c r="K234" s="90">
        <v>121.32090275229359</v>
      </c>
      <c r="L234" s="90">
        <v>116.74322844036696</v>
      </c>
      <c r="M234" s="3" t="s">
        <v>477</v>
      </c>
    </row>
    <row r="235" spans="1:13" ht="13.5" thickBot="1" x14ac:dyDescent="0.25">
      <c r="A235" s="3" t="s">
        <v>144</v>
      </c>
      <c r="B235" t="str">
        <v>LA</v>
      </c>
      <c r="C235" s="92">
        <v>107.63919108759174</v>
      </c>
      <c r="D235" s="92">
        <v>111.83227945915688</v>
      </c>
      <c r="E235" s="92">
        <v>116.02536783072202</v>
      </c>
      <c r="F235" s="92">
        <v>122.75100576642203</v>
      </c>
      <c r="G235" s="92">
        <v>120.8373530910477</v>
      </c>
      <c r="H235" s="92">
        <v>123.27051395132386</v>
      </c>
      <c r="I235" s="92">
        <v>123.24897139129817</v>
      </c>
      <c r="J235" s="92">
        <v>123.74602201834861</v>
      </c>
      <c r="K235" s="92">
        <v>121.32090275229359</v>
      </c>
      <c r="L235" s="92">
        <v>116.74322844036696</v>
      </c>
      <c r="M235" s="3" t="s">
        <v>477</v>
      </c>
    </row>
    <row r="236" spans="1:13" ht="13.5" thickTop="1" x14ac:dyDescent="0.2">
      <c r="M236" s="3"/>
    </row>
    <row r="237" spans="1:13" x14ac:dyDescent="0.2">
      <c r="A237" t="str">
        <f t="array" ref="A237:A244">GLIN_NAME</f>
        <v>Lin</v>
      </c>
      <c r="B237" t="str">
        <f t="array" ref="B237:B244">R_CODE</f>
        <v>EU</v>
      </c>
      <c r="C237" s="88">
        <f t="array" ref="C237:L244">RCP85_Lin</f>
        <v>123.12461561981884</v>
      </c>
      <c r="D237" s="88">
        <v>127.87774576472447</v>
      </c>
      <c r="E237" s="88">
        <v>132.63087590963011</v>
      </c>
      <c r="F237" s="88">
        <v>137.19476273699667</v>
      </c>
      <c r="G237" s="88">
        <v>150.7712200616993</v>
      </c>
      <c r="H237" s="88">
        <v>169.03284158816098</v>
      </c>
      <c r="I237" s="88">
        <v>191.32886988371919</v>
      </c>
      <c r="J237" s="88">
        <v>200.99460176845437</v>
      </c>
      <c r="K237" s="88">
        <v>192.97575950612435</v>
      </c>
      <c r="L237" s="88">
        <v>184.06857667542283</v>
      </c>
      <c r="M237" s="3" t="s">
        <v>477</v>
      </c>
    </row>
    <row r="238" spans="1:13" x14ac:dyDescent="0.2">
      <c r="A238" t="str">
        <v>Lin</v>
      </c>
      <c r="B238" t="str">
        <v>US</v>
      </c>
      <c r="C238" s="90">
        <v>123.12461561981884</v>
      </c>
      <c r="D238" s="90">
        <v>127.87774576472447</v>
      </c>
      <c r="E238" s="90">
        <v>132.63087590963011</v>
      </c>
      <c r="F238" s="90">
        <v>137.19476273699667</v>
      </c>
      <c r="G238" s="90">
        <v>150.7712200616993</v>
      </c>
      <c r="H238" s="90">
        <v>169.03284158816098</v>
      </c>
      <c r="I238" s="90">
        <v>191.32886988371919</v>
      </c>
      <c r="J238" s="90">
        <v>200.99460176845437</v>
      </c>
      <c r="K238" s="90">
        <v>192.97575950612435</v>
      </c>
      <c r="L238" s="90">
        <v>184.06857667542283</v>
      </c>
      <c r="M238" s="3" t="s">
        <v>477</v>
      </c>
    </row>
    <row r="239" spans="1:13" x14ac:dyDescent="0.2">
      <c r="A239" t="str">
        <v>Lin</v>
      </c>
      <c r="B239" t="str">
        <v>OT</v>
      </c>
      <c r="C239" s="90">
        <v>123.12461561981884</v>
      </c>
      <c r="D239" s="90">
        <v>127.87774576472447</v>
      </c>
      <c r="E239" s="90">
        <v>132.63087590963011</v>
      </c>
      <c r="F239" s="90">
        <v>137.19476273699667</v>
      </c>
      <c r="G239" s="90">
        <v>150.7712200616993</v>
      </c>
      <c r="H239" s="90">
        <v>169.03284158816098</v>
      </c>
      <c r="I239" s="90">
        <v>191.32886988371919</v>
      </c>
      <c r="J239" s="90">
        <v>200.99460176845437</v>
      </c>
      <c r="K239" s="90">
        <v>192.97575950612435</v>
      </c>
      <c r="L239" s="90">
        <v>184.06857667542283</v>
      </c>
      <c r="M239" s="3" t="s">
        <v>477</v>
      </c>
    </row>
    <row r="240" spans="1:13" x14ac:dyDescent="0.2">
      <c r="A240" t="str">
        <v>Lin</v>
      </c>
      <c r="B240" t="str">
        <v>EE</v>
      </c>
      <c r="C240" s="90">
        <v>123.12461561981884</v>
      </c>
      <c r="D240" s="90">
        <v>127.87774576472447</v>
      </c>
      <c r="E240" s="90">
        <v>132.63087590963011</v>
      </c>
      <c r="F240" s="90">
        <v>137.19476273699667</v>
      </c>
      <c r="G240" s="90">
        <v>150.7712200616993</v>
      </c>
      <c r="H240" s="90">
        <v>169.03284158816098</v>
      </c>
      <c r="I240" s="90">
        <v>191.32886988371919</v>
      </c>
      <c r="J240" s="90">
        <v>200.99460176845437</v>
      </c>
      <c r="K240" s="90">
        <v>192.97575950612435</v>
      </c>
      <c r="L240" s="90">
        <v>184.06857667542283</v>
      </c>
      <c r="M240" s="3" t="s">
        <v>477</v>
      </c>
    </row>
    <row r="241" spans="1:16" x14ac:dyDescent="0.2">
      <c r="A241" t="str">
        <v>Lin</v>
      </c>
      <c r="B241" t="str">
        <v>CA</v>
      </c>
      <c r="C241" s="90">
        <v>123.12461561981884</v>
      </c>
      <c r="D241" s="90">
        <v>127.87774576472447</v>
      </c>
      <c r="E241" s="90">
        <v>132.63087590963011</v>
      </c>
      <c r="F241" s="90">
        <v>137.19476273699667</v>
      </c>
      <c r="G241" s="90">
        <v>150.7712200616993</v>
      </c>
      <c r="H241" s="90">
        <v>169.03284158816098</v>
      </c>
      <c r="I241" s="90">
        <v>191.32886988371919</v>
      </c>
      <c r="J241" s="90">
        <v>200.99460176845437</v>
      </c>
      <c r="K241" s="90">
        <v>192.97575950612435</v>
      </c>
      <c r="L241" s="90">
        <v>184.06857667542283</v>
      </c>
      <c r="M241" s="3" t="s">
        <v>477</v>
      </c>
    </row>
    <row r="242" spans="1:16" x14ac:dyDescent="0.2">
      <c r="A242" t="str">
        <v>Lin</v>
      </c>
      <c r="B242" t="str">
        <v>IA</v>
      </c>
      <c r="C242" s="90">
        <v>123.12461561981884</v>
      </c>
      <c r="D242" s="90">
        <v>127.87774576472447</v>
      </c>
      <c r="E242" s="90">
        <v>132.63087590963011</v>
      </c>
      <c r="F242" s="90">
        <v>137.19476273699667</v>
      </c>
      <c r="G242" s="90">
        <v>150.7712200616993</v>
      </c>
      <c r="H242" s="90">
        <v>169.03284158816098</v>
      </c>
      <c r="I242" s="90">
        <v>191.32886988371919</v>
      </c>
      <c r="J242" s="90">
        <v>200.99460176845437</v>
      </c>
      <c r="K242" s="90">
        <v>192.97575950612435</v>
      </c>
      <c r="L242" s="90">
        <v>184.06857667542283</v>
      </c>
      <c r="M242" s="3" t="s">
        <v>477</v>
      </c>
    </row>
    <row r="243" spans="1:16" x14ac:dyDescent="0.2">
      <c r="A243" t="str">
        <v>Lin</v>
      </c>
      <c r="B243" t="str">
        <v>AF</v>
      </c>
      <c r="C243" s="90">
        <v>123.12461561981884</v>
      </c>
      <c r="D243" s="90">
        <v>127.87774576472447</v>
      </c>
      <c r="E243" s="90">
        <v>132.63087590963011</v>
      </c>
      <c r="F243" s="90">
        <v>137.19476273699667</v>
      </c>
      <c r="G243" s="90">
        <v>150.7712200616993</v>
      </c>
      <c r="H243" s="90">
        <v>169.03284158816098</v>
      </c>
      <c r="I243" s="90">
        <v>191.32886988371919</v>
      </c>
      <c r="J243" s="90">
        <v>200.99460176845437</v>
      </c>
      <c r="K243" s="90">
        <v>192.97575950612435</v>
      </c>
      <c r="L243" s="90">
        <v>184.06857667542283</v>
      </c>
      <c r="M243" s="3" t="s">
        <v>477</v>
      </c>
    </row>
    <row r="244" spans="1:16" ht="13.5" thickBot="1" x14ac:dyDescent="0.25">
      <c r="A244" t="str">
        <v>Lin</v>
      </c>
      <c r="B244" t="str">
        <v>LA</v>
      </c>
      <c r="C244" s="92">
        <v>123.12461561981884</v>
      </c>
      <c r="D244" s="92">
        <v>127.87774576472447</v>
      </c>
      <c r="E244" s="92">
        <v>132.63087590963011</v>
      </c>
      <c r="F244" s="92">
        <v>137.19476273699667</v>
      </c>
      <c r="G244" s="92">
        <v>150.7712200616993</v>
      </c>
      <c r="H244" s="92">
        <v>169.03284158816098</v>
      </c>
      <c r="I244" s="92">
        <v>191.32886988371919</v>
      </c>
      <c r="J244" s="92">
        <v>200.99460176845437</v>
      </c>
      <c r="K244" s="92">
        <v>192.97575950612435</v>
      </c>
      <c r="L244" s="92">
        <v>184.06857667542283</v>
      </c>
      <c r="M244" s="3" t="s">
        <v>477</v>
      </c>
    </row>
    <row r="245" spans="1:16" ht="13.5" thickTop="1" x14ac:dyDescent="0.2">
      <c r="B245" s="125"/>
      <c r="C245" s="57"/>
    </row>
    <row r="246" spans="1:16" x14ac:dyDescent="0.2">
      <c r="A246" s="3"/>
      <c r="B246" s="125"/>
      <c r="C246" s="57"/>
    </row>
    <row r="248" spans="1:16" x14ac:dyDescent="0.2">
      <c r="A248" s="245" t="s">
        <v>474</v>
      </c>
      <c r="B248" s="246"/>
      <c r="C248" s="246"/>
      <c r="D248" s="246"/>
      <c r="E248" s="246"/>
      <c r="F248" s="246"/>
      <c r="G248" s="246"/>
      <c r="H248" s="246"/>
      <c r="I248" s="246"/>
      <c r="J248" s="246"/>
      <c r="K248" s="246"/>
      <c r="L248" s="246"/>
      <c r="M248" s="246"/>
    </row>
    <row r="250" spans="1:16" x14ac:dyDescent="0.2">
      <c r="A250" s="195" t="s">
        <v>458</v>
      </c>
      <c r="B250" s="196"/>
      <c r="C250" s="196"/>
      <c r="D250" s="196"/>
      <c r="E250" s="196"/>
      <c r="F250" s="196"/>
      <c r="G250" s="196"/>
      <c r="H250" s="196"/>
      <c r="I250" s="196"/>
      <c r="J250" s="196"/>
      <c r="K250" s="196"/>
      <c r="L250" s="196"/>
      <c r="M250" s="196"/>
      <c r="P250" s="2" t="s">
        <v>461</v>
      </c>
    </row>
    <row r="251" spans="1:16" x14ac:dyDescent="0.2">
      <c r="A251" s="2"/>
      <c r="C251" s="3"/>
      <c r="P251" s="124"/>
    </row>
    <row r="252" spans="1:16" x14ac:dyDescent="0.2">
      <c r="A252" s="2" t="s">
        <v>640</v>
      </c>
      <c r="C252" s="3"/>
      <c r="P252" s="124" t="s">
        <v>945</v>
      </c>
    </row>
    <row r="253" spans="1:16" x14ac:dyDescent="0.2">
      <c r="A253" s="2" t="s">
        <v>1083</v>
      </c>
      <c r="C253" s="3"/>
      <c r="P253" s="124"/>
    </row>
    <row r="254" spans="1:16" x14ac:dyDescent="0.2">
      <c r="A254" s="3" t="s">
        <v>22</v>
      </c>
      <c r="B254" t="s">
        <v>23</v>
      </c>
      <c r="C254" s="3">
        <f>Y_0</f>
        <v>2015</v>
      </c>
      <c r="D254">
        <f t="array" ref="D254:L254">Y</f>
        <v>2020</v>
      </c>
      <c r="E254">
        <v>2025</v>
      </c>
      <c r="F254">
        <v>2030</v>
      </c>
      <c r="G254">
        <v>2040</v>
      </c>
      <c r="H254">
        <v>2050</v>
      </c>
      <c r="I254">
        <v>2060</v>
      </c>
      <c r="J254">
        <v>2070</v>
      </c>
      <c r="K254">
        <v>2080</v>
      </c>
      <c r="L254">
        <v>2090</v>
      </c>
      <c r="P254" s="124"/>
    </row>
    <row r="255" spans="1:16" x14ac:dyDescent="0.2">
      <c r="A255" s="2"/>
      <c r="B255" t="s">
        <v>24</v>
      </c>
      <c r="C255" s="3">
        <f t="array" ref="C255:L255">Y</f>
        <v>2020</v>
      </c>
      <c r="D255">
        <v>2025</v>
      </c>
      <c r="E255">
        <v>2030</v>
      </c>
      <c r="F255">
        <v>2040</v>
      </c>
      <c r="G255">
        <v>2050</v>
      </c>
      <c r="H255">
        <v>2060</v>
      </c>
      <c r="I255">
        <v>2070</v>
      </c>
      <c r="J255">
        <v>2080</v>
      </c>
      <c r="K255">
        <v>2090</v>
      </c>
      <c r="L255">
        <v>2100</v>
      </c>
      <c r="P255" s="124"/>
    </row>
    <row r="256" spans="1:16" x14ac:dyDescent="0.2">
      <c r="A256" s="2"/>
      <c r="B256" t="s">
        <v>0</v>
      </c>
      <c r="C256" s="119">
        <v>2.5146738470069208</v>
      </c>
      <c r="D256" s="119">
        <v>2.8053012391100918</v>
      </c>
      <c r="E256" s="119">
        <v>2.8547029483055208</v>
      </c>
      <c r="F256" s="119">
        <v>2.7803067990616714</v>
      </c>
      <c r="G256" s="119">
        <v>2.5187844762275313</v>
      </c>
      <c r="H256" s="119">
        <v>2.3624911417670091</v>
      </c>
      <c r="I256" s="81">
        <v>2.31585409189492</v>
      </c>
      <c r="J256" s="81">
        <v>2.1457645405380088</v>
      </c>
      <c r="K256" s="81">
        <v>2.0235768751024397</v>
      </c>
      <c r="L256" s="81">
        <v>1.9611996975199331</v>
      </c>
      <c r="M256" s="123" t="s">
        <v>417</v>
      </c>
      <c r="P256" s="124"/>
    </row>
    <row r="257" spans="1:16" x14ac:dyDescent="0.2">
      <c r="A257" s="2"/>
      <c r="B257" t="s">
        <v>2</v>
      </c>
      <c r="C257" s="119">
        <v>2.6890388191168846</v>
      </c>
      <c r="D257" s="119">
        <v>2.8171733081112871</v>
      </c>
      <c r="E257" s="119">
        <v>2.8183103404682441</v>
      </c>
      <c r="F257" s="119">
        <v>2.7553231483848251</v>
      </c>
      <c r="G257" s="119">
        <v>2.5396058301483393</v>
      </c>
      <c r="H257" s="119">
        <v>2.4180746963653021</v>
      </c>
      <c r="I257" s="81">
        <v>2.4254121700079789</v>
      </c>
      <c r="J257" s="81">
        <v>2.3541577449138762</v>
      </c>
      <c r="K257" s="81">
        <v>2.2411440832974305</v>
      </c>
      <c r="L257" s="81">
        <v>2.1303007544176911</v>
      </c>
      <c r="M257" s="123" t="s">
        <v>417</v>
      </c>
      <c r="P257" s="124"/>
    </row>
    <row r="258" spans="1:16" x14ac:dyDescent="0.2">
      <c r="A258" s="2"/>
      <c r="B258" t="s">
        <v>10</v>
      </c>
      <c r="C258" s="119">
        <v>2.4512961714263426</v>
      </c>
      <c r="D258" s="119">
        <v>2.7058856298753708</v>
      </c>
      <c r="E258" s="119">
        <v>2.8135180616256639</v>
      </c>
      <c r="F258" s="119">
        <v>2.740541510672867</v>
      </c>
      <c r="G258" s="119">
        <v>2.492612739929756</v>
      </c>
      <c r="H258" s="119">
        <v>2.3117985636273763</v>
      </c>
      <c r="I258" s="81">
        <v>2.1872934127840971</v>
      </c>
      <c r="J258" s="81">
        <v>1.9641579688531641</v>
      </c>
      <c r="K258" s="81">
        <v>1.7867016694211424</v>
      </c>
      <c r="L258" s="81">
        <v>1.6733705678382726</v>
      </c>
      <c r="M258" s="123" t="s">
        <v>417</v>
      </c>
      <c r="P258" s="124"/>
    </row>
    <row r="259" spans="1:16" x14ac:dyDescent="0.2">
      <c r="A259" s="2"/>
      <c r="B259" t="s">
        <v>1</v>
      </c>
      <c r="C259" s="119">
        <v>3.8482113389576078</v>
      </c>
      <c r="D259" s="119">
        <v>4.058604019923906</v>
      </c>
      <c r="E259" s="119">
        <v>3.9130969078133626</v>
      </c>
      <c r="F259" s="119">
        <v>3.2431050749578638</v>
      </c>
      <c r="G259" s="119">
        <v>2.1914833176133408</v>
      </c>
      <c r="H259" s="119">
        <v>1.7922209517737819</v>
      </c>
      <c r="I259" s="81">
        <v>1.694455304617648</v>
      </c>
      <c r="J259" s="81">
        <v>1.2502994428906788</v>
      </c>
      <c r="K259" s="81">
        <v>1.1576982854764495</v>
      </c>
      <c r="L259" s="81">
        <v>1.0380799266914487</v>
      </c>
      <c r="M259" s="123" t="s">
        <v>417</v>
      </c>
      <c r="P259" s="124"/>
    </row>
    <row r="260" spans="1:16" x14ac:dyDescent="0.2">
      <c r="A260" s="2"/>
      <c r="B260" t="s">
        <v>4</v>
      </c>
      <c r="C260" s="119">
        <v>7.6520505071955069</v>
      </c>
      <c r="D260" s="119">
        <v>6.5424610715235199</v>
      </c>
      <c r="E260" s="119">
        <v>5.3443789988738111</v>
      </c>
      <c r="F260" s="119">
        <v>3.6588664928241421</v>
      </c>
      <c r="G260" s="119">
        <v>2.144937567331362</v>
      </c>
      <c r="H260" s="119">
        <v>1.1548285565248007</v>
      </c>
      <c r="I260" s="81">
        <v>0.7168469051887838</v>
      </c>
      <c r="J260" s="81">
        <v>0.38794546394647078</v>
      </c>
      <c r="K260" s="81">
        <v>0.20665270518405165</v>
      </c>
      <c r="L260" s="81">
        <v>-2.9984325124821076E-2</v>
      </c>
      <c r="M260" s="123" t="s">
        <v>417</v>
      </c>
      <c r="P260" s="124"/>
    </row>
    <row r="261" spans="1:16" x14ac:dyDescent="0.2">
      <c r="A261" s="2"/>
      <c r="B261" t="s">
        <v>5</v>
      </c>
      <c r="C261" s="119">
        <v>6.7032656481740727</v>
      </c>
      <c r="D261" s="119">
        <v>6.6175093541493313</v>
      </c>
      <c r="E261" s="119">
        <v>6.1188279430422821</v>
      </c>
      <c r="F261" s="119">
        <v>5.2115148103384357</v>
      </c>
      <c r="G261" s="119">
        <v>4.0591394067171382</v>
      </c>
      <c r="H261" s="119">
        <v>3.1522180514799603</v>
      </c>
      <c r="I261" s="81">
        <v>2.5281935981365855</v>
      </c>
      <c r="J261" s="81">
        <v>2.0428334445296903</v>
      </c>
      <c r="K261" s="81">
        <v>1.7346150749839584</v>
      </c>
      <c r="L261" s="81">
        <v>1.4328767165067591</v>
      </c>
      <c r="M261" s="123" t="s">
        <v>417</v>
      </c>
      <c r="P261" s="124"/>
    </row>
    <row r="262" spans="1:16" x14ac:dyDescent="0.2">
      <c r="A262" s="2"/>
      <c r="B262" t="s">
        <v>6</v>
      </c>
      <c r="C262" s="119">
        <v>5.1179310420283119</v>
      </c>
      <c r="D262" s="119">
        <v>5.4661373937012536</v>
      </c>
      <c r="E262" s="119">
        <v>5.6895453893275771</v>
      </c>
      <c r="F262" s="119">
        <v>5.5522972060230158</v>
      </c>
      <c r="G262" s="119">
        <v>4.8846068464477144</v>
      </c>
      <c r="H262" s="119">
        <v>4.2604572770122751</v>
      </c>
      <c r="I262" s="81">
        <v>3.7457534117330882</v>
      </c>
      <c r="J262" s="81">
        <v>3.2516134356659121</v>
      </c>
      <c r="K262" s="81">
        <v>2.9769724810781772</v>
      </c>
      <c r="L262" s="81">
        <v>2.6947066324798374</v>
      </c>
      <c r="M262" s="123" t="s">
        <v>417</v>
      </c>
      <c r="P262" s="124"/>
    </row>
    <row r="263" spans="1:16" x14ac:dyDescent="0.2">
      <c r="A263" s="2"/>
      <c r="B263" t="s">
        <v>8</v>
      </c>
      <c r="C263" s="119">
        <v>3.7540157854742073</v>
      </c>
      <c r="D263" s="119">
        <v>3.8202820182502428</v>
      </c>
      <c r="E263" s="119">
        <v>3.8484899007470208</v>
      </c>
      <c r="F263" s="119">
        <v>3.7853015386530187</v>
      </c>
      <c r="G263" s="119">
        <v>3.2396858986451393</v>
      </c>
      <c r="H263" s="119">
        <v>2.5202141236581266</v>
      </c>
      <c r="I263" s="81">
        <v>2.0024950917560069</v>
      </c>
      <c r="J263" s="81">
        <v>1.6733883565962726</v>
      </c>
      <c r="K263" s="81">
        <v>1.4318026468421285</v>
      </c>
      <c r="L263" s="81">
        <v>1.1394527174828806</v>
      </c>
      <c r="M263" s="123" t="s">
        <v>417</v>
      </c>
      <c r="P263" s="124"/>
    </row>
    <row r="264" spans="1:16" x14ac:dyDescent="0.2">
      <c r="A264" s="3" t="s">
        <v>459</v>
      </c>
      <c r="C264" s="3"/>
      <c r="M264" s="123"/>
      <c r="P264" s="124"/>
    </row>
    <row r="265" spans="1:16" x14ac:dyDescent="0.2">
      <c r="A265" s="2"/>
      <c r="B265" t="s">
        <v>0</v>
      </c>
      <c r="C265" s="119">
        <v>0.46344727253684326</v>
      </c>
      <c r="D265" s="119">
        <v>0.53065124038398359</v>
      </c>
      <c r="E265" s="119">
        <v>0.54831930861103384</v>
      </c>
      <c r="F265" s="119">
        <v>0.549560158018636</v>
      </c>
      <c r="G265" s="119">
        <v>0.57756883101203194</v>
      </c>
      <c r="H265" s="119">
        <v>0.56260958462992505</v>
      </c>
      <c r="I265" s="81">
        <v>0.46075734679313918</v>
      </c>
      <c r="J265" s="81">
        <v>0.35542145530247371</v>
      </c>
      <c r="K265" s="81">
        <v>0.24072020396930238</v>
      </c>
      <c r="L265" s="81">
        <v>0.14989037409884887</v>
      </c>
      <c r="M265" s="123" t="s">
        <v>417</v>
      </c>
      <c r="P265" s="124"/>
    </row>
    <row r="266" spans="1:16" x14ac:dyDescent="0.2">
      <c r="A266" s="2"/>
      <c r="B266" t="s">
        <v>2</v>
      </c>
      <c r="C266" s="119">
        <v>1.0499804392217982</v>
      </c>
      <c r="D266" s="119">
        <v>1.1414283549264548</v>
      </c>
      <c r="E266" s="119">
        <v>1.1350359148565303</v>
      </c>
      <c r="F266" s="119">
        <v>1.0677327533665348</v>
      </c>
      <c r="G266" s="119">
        <v>1.0306050466302175</v>
      </c>
      <c r="H266" s="119">
        <v>1.0308886700431952</v>
      </c>
      <c r="I266" s="81">
        <v>0.95786785438627398</v>
      </c>
      <c r="J266" s="81">
        <v>0.8421220172876831</v>
      </c>
      <c r="K266" s="81">
        <v>0.68198942308064225</v>
      </c>
      <c r="L266" s="81">
        <v>0.51290763112885607</v>
      </c>
      <c r="M266" s="123" t="s">
        <v>417</v>
      </c>
      <c r="P266" s="124"/>
    </row>
    <row r="267" spans="1:16" x14ac:dyDescent="0.2">
      <c r="A267" s="2"/>
      <c r="B267" t="s">
        <v>10</v>
      </c>
      <c r="C267" s="119">
        <v>0.57931319952622129</v>
      </c>
      <c r="D267" s="119">
        <v>0.56630173965326325</v>
      </c>
      <c r="E267" s="119">
        <v>0.51873446165400239</v>
      </c>
      <c r="F267" s="119">
        <v>0.45992033612427541</v>
      </c>
      <c r="G267" s="119">
        <v>0.4169232959424507</v>
      </c>
      <c r="H267" s="119">
        <v>0.36391784969425078</v>
      </c>
      <c r="I267" s="81">
        <v>0.2208470806117635</v>
      </c>
      <c r="J267" s="81">
        <v>8.5579920309664104E-2</v>
      </c>
      <c r="K267" s="81">
        <v>-5.6836098242185606E-2</v>
      </c>
      <c r="L267" s="81">
        <v>-0.17572435068882175</v>
      </c>
      <c r="M267" s="123" t="s">
        <v>417</v>
      </c>
      <c r="P267" s="124"/>
    </row>
    <row r="268" spans="1:16" x14ac:dyDescent="0.2">
      <c r="A268" s="2"/>
      <c r="B268" t="s">
        <v>1</v>
      </c>
      <c r="C268" s="119">
        <v>-2.3107181145731737E-2</v>
      </c>
      <c r="D268" s="119">
        <v>-8.5767294190453036E-2</v>
      </c>
      <c r="E268" s="119">
        <v>-0.13285811989359742</v>
      </c>
      <c r="F268" s="119">
        <v>-0.13917934737032178</v>
      </c>
      <c r="G268" s="119">
        <v>-0.25624460419507722</v>
      </c>
      <c r="H268" s="119">
        <v>-0.39234658836994063</v>
      </c>
      <c r="I268" s="81">
        <v>-0.5301096869568811</v>
      </c>
      <c r="J268" s="81">
        <v>-0.72076279172097468</v>
      </c>
      <c r="K268" s="81">
        <v>-0.88608537143362032</v>
      </c>
      <c r="L268" s="81">
        <v>-1.0120075759825209</v>
      </c>
      <c r="M268" s="123" t="s">
        <v>417</v>
      </c>
      <c r="P268" s="124"/>
    </row>
    <row r="269" spans="1:16" x14ac:dyDescent="0.2">
      <c r="A269" s="2"/>
      <c r="B269" t="s">
        <v>4</v>
      </c>
      <c r="C269" s="119">
        <v>0.15998818371336654</v>
      </c>
      <c r="D269" s="119">
        <v>5.364897101678423E-4</v>
      </c>
      <c r="E269" s="119">
        <v>-0.15758332681641285</v>
      </c>
      <c r="F269" s="119">
        <v>-0.3675856012035128</v>
      </c>
      <c r="G269" s="119">
        <v>-0.65109337948826562</v>
      </c>
      <c r="H269" s="119">
        <v>-0.89770303274467889</v>
      </c>
      <c r="I269" s="81">
        <v>-1.0975288700711405</v>
      </c>
      <c r="J269" s="81">
        <v>-1.247991369703072</v>
      </c>
      <c r="K269" s="81">
        <v>-1.4302463567494872</v>
      </c>
      <c r="L269" s="81">
        <v>-1.6623037811282493</v>
      </c>
      <c r="M269" s="123" t="s">
        <v>417</v>
      </c>
      <c r="P269" s="124"/>
    </row>
    <row r="270" spans="1:16" x14ac:dyDescent="0.2">
      <c r="A270" s="2"/>
      <c r="B270" t="s">
        <v>5</v>
      </c>
      <c r="C270" s="119">
        <v>0.93253473373862139</v>
      </c>
      <c r="D270" s="119">
        <v>0.74125200761954169</v>
      </c>
      <c r="E270" s="119">
        <v>0.56204553970327087</v>
      </c>
      <c r="F270" s="119">
        <v>0.37324698330065686</v>
      </c>
      <c r="G270" s="119">
        <v>0.10009006230666806</v>
      </c>
      <c r="H270" s="119">
        <v>-0.15990053141132776</v>
      </c>
      <c r="I270" s="81">
        <v>-0.39467333565701423</v>
      </c>
      <c r="J270" s="81">
        <v>-0.61969754246635755</v>
      </c>
      <c r="K270" s="81">
        <v>-0.83291293792217003</v>
      </c>
      <c r="L270" s="81">
        <v>-1.0180546985762873</v>
      </c>
      <c r="M270" s="123" t="s">
        <v>417</v>
      </c>
      <c r="P270" s="124"/>
    </row>
    <row r="271" spans="1:16" x14ac:dyDescent="0.2">
      <c r="A271" s="2"/>
      <c r="B271" t="s">
        <v>6</v>
      </c>
      <c r="C271" s="119">
        <v>1.795898069424684</v>
      </c>
      <c r="D271" s="119">
        <v>1.5717544819874307</v>
      </c>
      <c r="E271" s="119">
        <v>1.3421873620346192</v>
      </c>
      <c r="F271" s="119">
        <v>1.1193932426543762</v>
      </c>
      <c r="G271" s="119">
        <v>0.77174342885446556</v>
      </c>
      <c r="H271" s="119">
        <v>0.46682315483923542</v>
      </c>
      <c r="I271" s="81">
        <v>0.23570564459556298</v>
      </c>
      <c r="J271" s="81">
        <v>2.2411884346418276E-2</v>
      </c>
      <c r="K271" s="81">
        <v>-0.16855489956095759</v>
      </c>
      <c r="L271" s="81">
        <v>-0.34128080224482549</v>
      </c>
      <c r="M271" s="123" t="s">
        <v>417</v>
      </c>
      <c r="P271" s="124"/>
    </row>
    <row r="272" spans="1:16" x14ac:dyDescent="0.2">
      <c r="A272" s="2"/>
      <c r="B272" t="s">
        <v>8</v>
      </c>
      <c r="C272" s="119">
        <v>0.65888500959487839</v>
      </c>
      <c r="D272" s="119">
        <v>0.45756470488926837</v>
      </c>
      <c r="E272" s="119">
        <v>0.2879961925044805</v>
      </c>
      <c r="F272" s="119">
        <v>9.8472980755071049E-2</v>
      </c>
      <c r="G272" s="119">
        <v>-0.1614499719725937</v>
      </c>
      <c r="H272" s="119">
        <v>-0.39191557029829571</v>
      </c>
      <c r="I272" s="81">
        <v>-0.55491439723694969</v>
      </c>
      <c r="J272" s="81">
        <v>-0.69721513984296601</v>
      </c>
      <c r="K272" s="81">
        <v>-0.8860452119556661</v>
      </c>
      <c r="L272" s="81">
        <v>-1.1272382307355278</v>
      </c>
      <c r="M272" s="123" t="s">
        <v>417</v>
      </c>
      <c r="P272" s="124"/>
    </row>
    <row r="273" spans="1:16" x14ac:dyDescent="0.2">
      <c r="A273" s="2"/>
      <c r="C273" s="3"/>
      <c r="M273" s="123"/>
      <c r="P273" s="124"/>
    </row>
    <row r="274" spans="1:16" x14ac:dyDescent="0.2">
      <c r="A274" s="2"/>
      <c r="C274" s="3"/>
      <c r="M274" s="123"/>
      <c r="P274" s="124"/>
    </row>
    <row r="275" spans="1:16" x14ac:dyDescent="0.2">
      <c r="A275" s="2" t="s">
        <v>1083</v>
      </c>
      <c r="M275" s="123"/>
    </row>
    <row r="276" spans="1:16" x14ac:dyDescent="0.2">
      <c r="A276" t="s">
        <v>22</v>
      </c>
      <c r="B276" t="s">
        <v>23</v>
      </c>
      <c r="C276">
        <f>Y_0</f>
        <v>2015</v>
      </c>
      <c r="D276">
        <f t="array" ref="D276:L276">Y</f>
        <v>2020</v>
      </c>
      <c r="E276">
        <v>2025</v>
      </c>
      <c r="F276">
        <v>2030</v>
      </c>
      <c r="G276">
        <v>2040</v>
      </c>
      <c r="H276">
        <v>2050</v>
      </c>
      <c r="I276">
        <v>2060</v>
      </c>
      <c r="J276">
        <v>2070</v>
      </c>
      <c r="K276">
        <v>2080</v>
      </c>
      <c r="L276">
        <v>2090</v>
      </c>
      <c r="M276" s="123"/>
    </row>
    <row r="277" spans="1:16" x14ac:dyDescent="0.2">
      <c r="B277" t="s">
        <v>24</v>
      </c>
      <c r="C277">
        <f t="array" ref="C277:L277">Y</f>
        <v>2020</v>
      </c>
      <c r="D277">
        <v>2025</v>
      </c>
      <c r="E277">
        <v>2030</v>
      </c>
      <c r="F277">
        <v>2040</v>
      </c>
      <c r="G277">
        <v>2050</v>
      </c>
      <c r="H277">
        <v>2060</v>
      </c>
      <c r="I277">
        <v>2070</v>
      </c>
      <c r="J277">
        <v>2080</v>
      </c>
      <c r="K277">
        <v>2090</v>
      </c>
      <c r="L277">
        <v>2100</v>
      </c>
      <c r="M277" s="123"/>
      <c r="P277" s="2"/>
    </row>
    <row r="278" spans="1:16" x14ac:dyDescent="0.2">
      <c r="B278" t="str">
        <f t="array" ref="B278:B285">R_CODE</f>
        <v>EU</v>
      </c>
      <c r="C278" s="121">
        <v>2.5146738470069208</v>
      </c>
      <c r="D278" s="121">
        <v>2.8053012391100918</v>
      </c>
      <c r="E278" s="121">
        <v>2.8547029483055208</v>
      </c>
      <c r="F278" s="121">
        <v>2.7803067990616714</v>
      </c>
      <c r="G278" s="121">
        <v>2.5187844762275313</v>
      </c>
      <c r="H278" s="121">
        <v>2.3624911417670091</v>
      </c>
      <c r="I278" s="81">
        <v>2.31585409189492</v>
      </c>
      <c r="J278" s="81">
        <v>2.1457645405380088</v>
      </c>
      <c r="K278" s="81">
        <v>2.0235768751024397</v>
      </c>
      <c r="L278" s="81">
        <v>1.9611996975199331</v>
      </c>
      <c r="M278" s="3" t="s">
        <v>417</v>
      </c>
      <c r="P278" s="124"/>
    </row>
    <row r="279" spans="1:16" x14ac:dyDescent="0.2">
      <c r="B279" t="str">
        <v>US</v>
      </c>
      <c r="C279" s="119">
        <v>2.6890388191168846</v>
      </c>
      <c r="D279" s="119">
        <v>2.8171733081112871</v>
      </c>
      <c r="E279" s="119">
        <v>2.8183103404682441</v>
      </c>
      <c r="F279" s="119">
        <v>2.7553231483848251</v>
      </c>
      <c r="G279" s="119">
        <v>2.5396058301483393</v>
      </c>
      <c r="H279" s="119">
        <v>2.4180746963653021</v>
      </c>
      <c r="I279" s="81">
        <v>2.4254121700079789</v>
      </c>
      <c r="J279" s="81">
        <v>2.3541577449138762</v>
      </c>
      <c r="K279" s="81">
        <v>2.2411440832974305</v>
      </c>
      <c r="L279" s="81">
        <v>2.1303007544176911</v>
      </c>
      <c r="M279" s="3" t="s">
        <v>417</v>
      </c>
    </row>
    <row r="280" spans="1:16" x14ac:dyDescent="0.2">
      <c r="B280" t="str">
        <v>OT</v>
      </c>
      <c r="C280" s="119">
        <v>2.4512961714263426</v>
      </c>
      <c r="D280" s="119">
        <v>2.7058856298753708</v>
      </c>
      <c r="E280" s="119">
        <v>2.8135180616256639</v>
      </c>
      <c r="F280" s="119">
        <v>2.740541510672867</v>
      </c>
      <c r="G280" s="119">
        <v>2.492612739929756</v>
      </c>
      <c r="H280" s="119">
        <v>2.3117985636273763</v>
      </c>
      <c r="I280" s="81">
        <v>2.1872934127840971</v>
      </c>
      <c r="J280" s="81">
        <v>1.9641579688531641</v>
      </c>
      <c r="K280" s="81">
        <v>1.7867016694211424</v>
      </c>
      <c r="L280" s="81">
        <v>1.6733705678382726</v>
      </c>
      <c r="M280" s="3" t="s">
        <v>417</v>
      </c>
      <c r="P280" s="124"/>
    </row>
    <row r="281" spans="1:16" x14ac:dyDescent="0.2">
      <c r="B281" t="str">
        <v>EE</v>
      </c>
      <c r="C281" s="119">
        <v>3.8482113389576078</v>
      </c>
      <c r="D281" s="119">
        <v>4.058604019923906</v>
      </c>
      <c r="E281" s="119">
        <v>3.9130969078133626</v>
      </c>
      <c r="F281" s="119">
        <v>3.2431050749578638</v>
      </c>
      <c r="G281" s="119">
        <v>2.1914833176133408</v>
      </c>
      <c r="H281" s="119">
        <v>1.7922209517737819</v>
      </c>
      <c r="I281" s="81">
        <v>1.694455304617648</v>
      </c>
      <c r="J281" s="81">
        <v>1.2502994428906788</v>
      </c>
      <c r="K281" s="81">
        <v>1.1576982854764495</v>
      </c>
      <c r="L281" s="81">
        <v>1.0380799266914487</v>
      </c>
      <c r="M281" s="3" t="s">
        <v>417</v>
      </c>
      <c r="P281" s="124"/>
    </row>
    <row r="282" spans="1:16" x14ac:dyDescent="0.2">
      <c r="B282" t="str">
        <v>CA</v>
      </c>
      <c r="C282" s="119">
        <v>7.6520505071955069</v>
      </c>
      <c r="D282" s="119">
        <v>6.5424610715235199</v>
      </c>
      <c r="E282" s="119">
        <v>5.3443789988738111</v>
      </c>
      <c r="F282" s="119">
        <v>3.6588664928241421</v>
      </c>
      <c r="G282" s="119">
        <v>2.144937567331362</v>
      </c>
      <c r="H282" s="119">
        <v>1.1548285565248007</v>
      </c>
      <c r="I282" s="81">
        <v>0.7168469051887838</v>
      </c>
      <c r="J282" s="81">
        <v>0.38794546394647078</v>
      </c>
      <c r="K282" s="81">
        <v>0.20665270518405165</v>
      </c>
      <c r="L282" s="81">
        <v>-2.9984325124821076E-2</v>
      </c>
      <c r="M282" s="3" t="s">
        <v>417</v>
      </c>
      <c r="P282" s="124"/>
    </row>
    <row r="283" spans="1:16" x14ac:dyDescent="0.2">
      <c r="B283" t="str">
        <v>IA</v>
      </c>
      <c r="C283" s="119">
        <v>6.7032656481740727</v>
      </c>
      <c r="D283" s="119">
        <v>6.6175093541493313</v>
      </c>
      <c r="E283" s="119">
        <v>6.1188279430422821</v>
      </c>
      <c r="F283" s="119">
        <v>5.2115148103384357</v>
      </c>
      <c r="G283" s="119">
        <v>4.0591394067171382</v>
      </c>
      <c r="H283" s="119">
        <v>3.1522180514799603</v>
      </c>
      <c r="I283" s="81">
        <v>2.5281935981365855</v>
      </c>
      <c r="J283" s="81">
        <v>2.0428334445296903</v>
      </c>
      <c r="K283" s="81">
        <v>1.7346150749839584</v>
      </c>
      <c r="L283" s="81">
        <v>1.4328767165067591</v>
      </c>
      <c r="M283" s="3" t="s">
        <v>417</v>
      </c>
      <c r="P283" s="124"/>
    </row>
    <row r="284" spans="1:16" x14ac:dyDescent="0.2">
      <c r="B284" t="str">
        <v>AF</v>
      </c>
      <c r="C284" s="119">
        <v>5.1179310420283119</v>
      </c>
      <c r="D284" s="119">
        <v>5.4661373937012536</v>
      </c>
      <c r="E284" s="119">
        <v>5.6895453893275771</v>
      </c>
      <c r="F284" s="119">
        <v>5.5522972060230158</v>
      </c>
      <c r="G284" s="119">
        <v>4.8846068464477144</v>
      </c>
      <c r="H284" s="119">
        <v>4.2604572770122751</v>
      </c>
      <c r="I284" s="81">
        <v>3.7457534117330882</v>
      </c>
      <c r="J284" s="81">
        <v>3.2516134356659121</v>
      </c>
      <c r="K284" s="81">
        <v>2.9769724810781772</v>
      </c>
      <c r="L284" s="81">
        <v>2.6947066324798374</v>
      </c>
      <c r="M284" s="3" t="s">
        <v>417</v>
      </c>
    </row>
    <row r="285" spans="1:16" ht="13.5" thickBot="1" x14ac:dyDescent="0.25">
      <c r="B285" t="str">
        <v>LA</v>
      </c>
      <c r="C285" s="122">
        <v>3.7540157854742073</v>
      </c>
      <c r="D285" s="122">
        <v>3.8202820182502428</v>
      </c>
      <c r="E285" s="122">
        <v>3.8484899007470208</v>
      </c>
      <c r="F285" s="122">
        <v>3.7853015386530187</v>
      </c>
      <c r="G285" s="122">
        <v>3.2396858986451393</v>
      </c>
      <c r="H285" s="122">
        <v>2.5202141236581266</v>
      </c>
      <c r="I285" s="81">
        <v>2.0024950917560069</v>
      </c>
      <c r="J285" s="81">
        <v>1.6733883565962726</v>
      </c>
      <c r="K285" s="81">
        <v>1.4318026468421285</v>
      </c>
      <c r="L285" s="81">
        <v>1.1394527174828806</v>
      </c>
      <c r="M285" s="3" t="s">
        <v>417</v>
      </c>
    </row>
    <row r="286" spans="1:16" ht="13.5" thickTop="1" x14ac:dyDescent="0.2">
      <c r="A286" s="3" t="s">
        <v>459</v>
      </c>
      <c r="P286" s="2"/>
    </row>
    <row r="287" spans="1:16" x14ac:dyDescent="0.2">
      <c r="B287" t="str">
        <f t="array" ref="B287:B294">R_CODE</f>
        <v>EU</v>
      </c>
      <c r="C287" s="121">
        <v>0.46344727253684326</v>
      </c>
      <c r="D287" s="121">
        <v>0.53065124038398359</v>
      </c>
      <c r="E287" s="121">
        <v>0.54831930861103384</v>
      </c>
      <c r="F287" s="121">
        <v>0.549560158018636</v>
      </c>
      <c r="G287" s="121">
        <v>0.57756883101203194</v>
      </c>
      <c r="H287" s="121">
        <v>0.56260958462992505</v>
      </c>
      <c r="I287" s="81">
        <v>0.46075734679313918</v>
      </c>
      <c r="J287" s="81">
        <v>0.35542145530247371</v>
      </c>
      <c r="K287" s="81">
        <v>0.24072020396930238</v>
      </c>
      <c r="L287" s="81">
        <v>0.14989037409884887</v>
      </c>
      <c r="M287" s="3" t="s">
        <v>417</v>
      </c>
      <c r="P287" s="124"/>
    </row>
    <row r="288" spans="1:16" x14ac:dyDescent="0.2">
      <c r="B288" t="str">
        <v>US</v>
      </c>
      <c r="C288" s="119">
        <v>1.0499804392217982</v>
      </c>
      <c r="D288" s="119">
        <v>1.1414283549264548</v>
      </c>
      <c r="E288" s="119">
        <v>1.1350359148565303</v>
      </c>
      <c r="F288" s="119">
        <v>1.0677327533665348</v>
      </c>
      <c r="G288" s="119">
        <v>1.0306050466302175</v>
      </c>
      <c r="H288" s="119">
        <v>1.0308886700431952</v>
      </c>
      <c r="I288" s="81">
        <v>0.95786785438627398</v>
      </c>
      <c r="J288" s="81">
        <v>0.8421220172876831</v>
      </c>
      <c r="K288" s="81">
        <v>0.68198942308064225</v>
      </c>
      <c r="L288" s="81">
        <v>0.51290763112885607</v>
      </c>
      <c r="M288" s="3" t="s">
        <v>417</v>
      </c>
    </row>
    <row r="289" spans="1:17" x14ac:dyDescent="0.2">
      <c r="B289" t="str">
        <v>OT</v>
      </c>
      <c r="C289" s="119">
        <v>0.57931319952622129</v>
      </c>
      <c r="D289" s="119">
        <v>0.56630173965326325</v>
      </c>
      <c r="E289" s="119">
        <v>0.51873446165400239</v>
      </c>
      <c r="F289" s="119">
        <v>0.45992033612427541</v>
      </c>
      <c r="G289" s="119">
        <v>0.4169232959424507</v>
      </c>
      <c r="H289" s="119">
        <v>0.36391784969425078</v>
      </c>
      <c r="I289" s="81">
        <v>0.2208470806117635</v>
      </c>
      <c r="J289" s="81">
        <v>8.5579920309664104E-2</v>
      </c>
      <c r="K289" s="81">
        <v>-5.6836098242185606E-2</v>
      </c>
      <c r="L289" s="81">
        <v>-0.17572435068882175</v>
      </c>
      <c r="M289" s="3" t="s">
        <v>417</v>
      </c>
    </row>
    <row r="290" spans="1:17" x14ac:dyDescent="0.2">
      <c r="B290" t="str">
        <v>EE</v>
      </c>
      <c r="C290" s="119">
        <v>-2.3107181145731737E-2</v>
      </c>
      <c r="D290" s="119">
        <v>-8.5767294190453036E-2</v>
      </c>
      <c r="E290" s="119">
        <v>-0.13285811989359742</v>
      </c>
      <c r="F290" s="119">
        <v>-0.13917934737032178</v>
      </c>
      <c r="G290" s="119">
        <v>-0.25624460419507722</v>
      </c>
      <c r="H290" s="119">
        <v>-0.39234658836994063</v>
      </c>
      <c r="I290" s="81">
        <v>-0.5301096869568811</v>
      </c>
      <c r="J290" s="81">
        <v>-0.72076279172097468</v>
      </c>
      <c r="K290" s="81">
        <v>-0.88608537143362032</v>
      </c>
      <c r="L290" s="81">
        <v>-1.0120075759825209</v>
      </c>
      <c r="M290" s="3" t="s">
        <v>417</v>
      </c>
    </row>
    <row r="291" spans="1:17" x14ac:dyDescent="0.2">
      <c r="B291" t="str">
        <v>CA</v>
      </c>
      <c r="C291" s="119">
        <v>0.15998818371336654</v>
      </c>
      <c r="D291" s="119">
        <v>5.364897101678423E-4</v>
      </c>
      <c r="E291" s="119">
        <v>-0.15758332681641285</v>
      </c>
      <c r="F291" s="119">
        <v>-0.3675856012035128</v>
      </c>
      <c r="G291" s="119">
        <v>-0.65109337948826562</v>
      </c>
      <c r="H291" s="119">
        <v>-0.89770303274467889</v>
      </c>
      <c r="I291" s="81">
        <v>-1.0975288700711405</v>
      </c>
      <c r="J291" s="81">
        <v>-1.247991369703072</v>
      </c>
      <c r="K291" s="81">
        <v>-1.4302463567494872</v>
      </c>
      <c r="L291" s="81">
        <v>-1.6623037811282493</v>
      </c>
      <c r="M291" s="3" t="s">
        <v>417</v>
      </c>
    </row>
    <row r="292" spans="1:17" x14ac:dyDescent="0.2">
      <c r="B292" t="str">
        <v>IA</v>
      </c>
      <c r="C292" s="119">
        <v>0.93253473373862139</v>
      </c>
      <c r="D292" s="119">
        <v>0.74125200761954169</v>
      </c>
      <c r="E292" s="119">
        <v>0.56204553970327087</v>
      </c>
      <c r="F292" s="119">
        <v>0.37324698330065686</v>
      </c>
      <c r="G292" s="119">
        <v>0.10009006230666806</v>
      </c>
      <c r="H292" s="119">
        <v>-0.15990053141132776</v>
      </c>
      <c r="I292" s="81">
        <v>-0.39467333565701423</v>
      </c>
      <c r="J292" s="81">
        <v>-0.61969754246635755</v>
      </c>
      <c r="K292" s="81">
        <v>-0.83291293792217003</v>
      </c>
      <c r="L292" s="81">
        <v>-1.0180546985762873</v>
      </c>
      <c r="M292" s="3" t="s">
        <v>417</v>
      </c>
    </row>
    <row r="293" spans="1:17" x14ac:dyDescent="0.2">
      <c r="B293" t="str">
        <v>AF</v>
      </c>
      <c r="C293" s="119">
        <v>1.795898069424684</v>
      </c>
      <c r="D293" s="119">
        <v>1.5717544819874307</v>
      </c>
      <c r="E293" s="119">
        <v>1.3421873620346192</v>
      </c>
      <c r="F293" s="119">
        <v>1.1193932426543762</v>
      </c>
      <c r="G293" s="119">
        <v>0.77174342885446556</v>
      </c>
      <c r="H293" s="119">
        <v>0.46682315483923542</v>
      </c>
      <c r="I293" s="81">
        <v>0.23570564459556298</v>
      </c>
      <c r="J293" s="81">
        <v>2.2411884346418276E-2</v>
      </c>
      <c r="K293" s="81">
        <v>-0.16855489956095759</v>
      </c>
      <c r="L293" s="81">
        <v>-0.34128080224482549</v>
      </c>
      <c r="M293" s="3" t="s">
        <v>417</v>
      </c>
    </row>
    <row r="294" spans="1:17" ht="13.5" thickBot="1" x14ac:dyDescent="0.25">
      <c r="B294" t="str">
        <v>LA</v>
      </c>
      <c r="C294" s="122">
        <v>0.65888500959487839</v>
      </c>
      <c r="D294" s="122">
        <v>0.45756470488926837</v>
      </c>
      <c r="E294" s="122">
        <v>0.2879961925044805</v>
      </c>
      <c r="F294" s="122">
        <v>9.8472980755071049E-2</v>
      </c>
      <c r="G294" s="122">
        <v>-0.1614499719725937</v>
      </c>
      <c r="H294" s="122">
        <v>-0.39191557029829571</v>
      </c>
      <c r="I294" s="81">
        <v>-0.55491439723694969</v>
      </c>
      <c r="J294" s="81">
        <v>-0.69721513984296601</v>
      </c>
      <c r="K294" s="81">
        <v>-0.8860452119556661</v>
      </c>
      <c r="L294" s="81">
        <v>-1.1272382307355278</v>
      </c>
      <c r="M294" s="3" t="s">
        <v>417</v>
      </c>
    </row>
    <row r="295" spans="1:17" ht="13.5" thickTop="1" x14ac:dyDescent="0.2">
      <c r="M295" s="123"/>
    </row>
    <row r="296" spans="1:17" x14ac:dyDescent="0.2">
      <c r="M296" s="123"/>
    </row>
    <row r="297" spans="1:17" x14ac:dyDescent="0.2">
      <c r="A297" s="306" t="s">
        <v>638</v>
      </c>
      <c r="B297" s="307"/>
      <c r="C297" s="307"/>
      <c r="D297" s="307"/>
      <c r="E297" s="307"/>
      <c r="F297" s="307"/>
      <c r="G297" s="307"/>
      <c r="H297" s="307"/>
      <c r="I297" s="307"/>
      <c r="J297" s="307"/>
      <c r="K297" s="307"/>
      <c r="L297" s="307"/>
      <c r="M297" s="308"/>
      <c r="N297" s="307"/>
      <c r="O297" s="307"/>
      <c r="P297" s="307"/>
      <c r="Q297" s="307"/>
    </row>
    <row r="298" spans="1:17" x14ac:dyDescent="0.2">
      <c r="A298" s="307" t="s">
        <v>22</v>
      </c>
      <c r="B298" s="307" t="s">
        <v>23</v>
      </c>
      <c r="C298" s="307">
        <v>2015</v>
      </c>
      <c r="D298" s="307">
        <v>2020</v>
      </c>
      <c r="E298" s="307">
        <v>2030</v>
      </c>
      <c r="F298" s="307">
        <v>2040</v>
      </c>
      <c r="G298" s="307">
        <v>2050</v>
      </c>
      <c r="H298" s="307">
        <v>2075</v>
      </c>
      <c r="I298" s="307">
        <v>2100</v>
      </c>
      <c r="J298" s="307">
        <v>2150</v>
      </c>
      <c r="K298" s="307">
        <v>2200</v>
      </c>
      <c r="L298" s="307">
        <v>2250</v>
      </c>
      <c r="M298" s="307"/>
      <c r="N298" s="307"/>
      <c r="O298" s="307"/>
      <c r="P298" s="307"/>
      <c r="Q298" s="307"/>
    </row>
    <row r="299" spans="1:17" x14ac:dyDescent="0.2">
      <c r="A299" s="307"/>
      <c r="B299" s="307" t="s">
        <v>24</v>
      </c>
      <c r="C299" s="307">
        <v>2020</v>
      </c>
      <c r="D299" s="307">
        <v>2030</v>
      </c>
      <c r="E299" s="307">
        <v>2040</v>
      </c>
      <c r="F299" s="307">
        <v>2050</v>
      </c>
      <c r="G299" s="307">
        <v>2075</v>
      </c>
      <c r="H299" s="307">
        <v>2100</v>
      </c>
      <c r="I299" s="307">
        <v>2150</v>
      </c>
      <c r="J299" s="307">
        <v>2200</v>
      </c>
      <c r="K299" s="307">
        <v>2250</v>
      </c>
      <c r="L299" s="307">
        <v>2300</v>
      </c>
      <c r="M299" s="307"/>
      <c r="N299" s="307"/>
      <c r="O299" s="307"/>
      <c r="P299" s="306"/>
      <c r="Q299" s="307"/>
    </row>
    <row r="300" spans="1:17" x14ac:dyDescent="0.2">
      <c r="A300" s="307"/>
      <c r="B300" s="307" t="s">
        <v>0</v>
      </c>
      <c r="C300" s="309">
        <v>1.1599999999999999</v>
      </c>
      <c r="D300" s="309">
        <v>0.54</v>
      </c>
      <c r="E300" s="309">
        <v>0.21</v>
      </c>
      <c r="F300" s="309">
        <v>-0.09</v>
      </c>
      <c r="G300" s="309">
        <v>-0.22</v>
      </c>
      <c r="H300" s="309">
        <v>-0.18</v>
      </c>
      <c r="I300" s="308">
        <f>IF($H300 &gt; 0, $G300*EXP(-(0.5*(I$254+I$255) - 0.5*($H$254+$H$255)) / (($H$254-$G$254)/LN($G300/$H300))), $H300)</f>
        <v>-0.18</v>
      </c>
      <c r="J300" s="308">
        <f t="shared" ref="J300:L307" si="2">IF($H300 &gt; 0, $G300*EXP(-(0.5*(J$254+J$255) - 0.5*($H$254+$H$255)) / (($H$254-$G$254)/LN($G300/$H300))), $H300)</f>
        <v>-0.18</v>
      </c>
      <c r="K300" s="308">
        <f t="shared" si="2"/>
        <v>-0.18</v>
      </c>
      <c r="L300" s="308">
        <f t="shared" si="2"/>
        <v>-0.18</v>
      </c>
      <c r="M300" s="307" t="s">
        <v>417</v>
      </c>
      <c r="N300" s="307"/>
      <c r="O300" s="307"/>
      <c r="P300" s="310" t="s">
        <v>463</v>
      </c>
      <c r="Q300" s="307"/>
    </row>
    <row r="301" spans="1:17" x14ac:dyDescent="0.2">
      <c r="A301" s="307"/>
      <c r="B301" s="307" t="s">
        <v>2</v>
      </c>
      <c r="C301" s="308">
        <v>1.91</v>
      </c>
      <c r="D301" s="308">
        <v>1.06</v>
      </c>
      <c r="E301" s="308">
        <v>0.44</v>
      </c>
      <c r="F301" s="308">
        <v>0.09</v>
      </c>
      <c r="G301" s="308">
        <v>-0.12</v>
      </c>
      <c r="H301" s="308">
        <v>-0.27</v>
      </c>
      <c r="I301" s="308">
        <f t="shared" ref="I301:I307" si="3">IF($H301 &gt; 0, $G301*EXP(-(0.5*(I$254+I$255) - 0.5*($H$254+$H$255)) / (($H$254-$G$254)/LN($G301/$H301))), $H301)</f>
        <v>-0.27</v>
      </c>
      <c r="J301" s="308">
        <f t="shared" si="2"/>
        <v>-0.27</v>
      </c>
      <c r="K301" s="308">
        <f t="shared" si="2"/>
        <v>-0.27</v>
      </c>
      <c r="L301" s="308">
        <f t="shared" si="2"/>
        <v>-0.27</v>
      </c>
      <c r="M301" s="307" t="s">
        <v>417</v>
      </c>
      <c r="N301" s="307"/>
      <c r="O301" s="307"/>
      <c r="P301" s="310"/>
      <c r="Q301" s="307"/>
    </row>
    <row r="302" spans="1:17" x14ac:dyDescent="0.2">
      <c r="A302" s="307"/>
      <c r="B302" s="307" t="s">
        <v>10</v>
      </c>
      <c r="C302" s="308">
        <v>1.49</v>
      </c>
      <c r="D302" s="308">
        <v>0.85</v>
      </c>
      <c r="E302" s="308">
        <v>0.46</v>
      </c>
      <c r="F302" s="308">
        <v>0.23</v>
      </c>
      <c r="G302" s="308">
        <v>0.06</v>
      </c>
      <c r="H302" s="308">
        <v>0.04</v>
      </c>
      <c r="I302" s="308">
        <f t="shared" si="3"/>
        <v>3.9999999999999994E-2</v>
      </c>
      <c r="J302" s="308">
        <f t="shared" si="2"/>
        <v>2.6666666666666665E-2</v>
      </c>
      <c r="K302" s="308">
        <f t="shared" si="2"/>
        <v>1.7777777777777778E-2</v>
      </c>
      <c r="L302" s="308">
        <f t="shared" si="2"/>
        <v>1.1851851851851851E-2</v>
      </c>
      <c r="M302" s="307" t="s">
        <v>417</v>
      </c>
      <c r="N302" s="307"/>
      <c r="O302" s="307"/>
      <c r="P302" s="310" t="s">
        <v>590</v>
      </c>
      <c r="Q302" s="307"/>
    </row>
    <row r="303" spans="1:17" x14ac:dyDescent="0.2">
      <c r="A303" s="307"/>
      <c r="B303" s="307" t="s">
        <v>1</v>
      </c>
      <c r="C303" s="308">
        <v>2.59</v>
      </c>
      <c r="D303" s="308">
        <v>2.0499999999999998</v>
      </c>
      <c r="E303" s="308">
        <v>1.79</v>
      </c>
      <c r="F303" s="308">
        <v>0.87</v>
      </c>
      <c r="G303" s="308">
        <v>1.05</v>
      </c>
      <c r="H303" s="308">
        <v>1.39</v>
      </c>
      <c r="I303" s="308">
        <f t="shared" si="3"/>
        <v>1.3900000000000001</v>
      </c>
      <c r="J303" s="308">
        <f t="shared" si="2"/>
        <v>1.840095238095238</v>
      </c>
      <c r="K303" s="308">
        <f t="shared" si="2"/>
        <v>2.4359356009070292</v>
      </c>
      <c r="L303" s="308">
        <f t="shared" si="2"/>
        <v>3.2247147478674001</v>
      </c>
      <c r="M303" s="307" t="s">
        <v>417</v>
      </c>
      <c r="N303" s="307"/>
      <c r="O303" s="307"/>
      <c r="P303" s="310" t="s">
        <v>591</v>
      </c>
      <c r="Q303" s="307"/>
    </row>
    <row r="304" spans="1:17" x14ac:dyDescent="0.2">
      <c r="A304" s="307"/>
      <c r="B304" s="307" t="s">
        <v>4</v>
      </c>
      <c r="C304" s="308">
        <v>5.97</v>
      </c>
      <c r="D304" s="308">
        <v>3.39</v>
      </c>
      <c r="E304" s="308">
        <v>2.19</v>
      </c>
      <c r="F304" s="308">
        <v>1.54</v>
      </c>
      <c r="G304" s="308">
        <v>0.9</v>
      </c>
      <c r="H304" s="308">
        <v>0.63</v>
      </c>
      <c r="I304" s="308">
        <f t="shared" si="3"/>
        <v>0.63</v>
      </c>
      <c r="J304" s="308">
        <f t="shared" si="2"/>
        <v>0.441</v>
      </c>
      <c r="K304" s="308">
        <f t="shared" si="2"/>
        <v>0.30869999999999992</v>
      </c>
      <c r="L304" s="308">
        <f t="shared" si="2"/>
        <v>0.21608999999999998</v>
      </c>
      <c r="M304" s="307" t="s">
        <v>417</v>
      </c>
      <c r="N304" s="307"/>
      <c r="O304" s="307"/>
      <c r="P304" s="310" t="s">
        <v>593</v>
      </c>
      <c r="Q304" s="307"/>
    </row>
    <row r="305" spans="1:17" x14ac:dyDescent="0.2">
      <c r="A305" s="307"/>
      <c r="B305" s="307" t="s">
        <v>5</v>
      </c>
      <c r="C305" s="308">
        <v>5.0599999999999996</v>
      </c>
      <c r="D305" s="308">
        <v>3.88</v>
      </c>
      <c r="E305" s="308">
        <v>3.27</v>
      </c>
      <c r="F305" s="308">
        <v>2.78</v>
      </c>
      <c r="G305" s="308">
        <v>2.2200000000000002</v>
      </c>
      <c r="H305" s="308">
        <v>1.7</v>
      </c>
      <c r="I305" s="308">
        <f t="shared" si="3"/>
        <v>1.6999999999999997</v>
      </c>
      <c r="J305" s="308">
        <f t="shared" si="2"/>
        <v>1.3018018018018014</v>
      </c>
      <c r="K305" s="308">
        <f t="shared" si="2"/>
        <v>0.99687525363201002</v>
      </c>
      <c r="L305" s="308">
        <f t="shared" si="2"/>
        <v>0.76337294197045791</v>
      </c>
      <c r="M305" s="307" t="s">
        <v>417</v>
      </c>
      <c r="N305" s="307"/>
      <c r="O305" s="307"/>
      <c r="P305" s="310" t="s">
        <v>592</v>
      </c>
      <c r="Q305" s="307"/>
    </row>
    <row r="306" spans="1:17" x14ac:dyDescent="0.2">
      <c r="A306" s="307"/>
      <c r="B306" s="307" t="s">
        <v>6</v>
      </c>
      <c r="C306" s="308">
        <v>4.08</v>
      </c>
      <c r="D306" s="308">
        <v>3.42</v>
      </c>
      <c r="E306" s="308">
        <v>3.33</v>
      </c>
      <c r="F306" s="308">
        <v>3.03</v>
      </c>
      <c r="G306" s="308">
        <v>3.11</v>
      </c>
      <c r="H306" s="308">
        <v>3.22</v>
      </c>
      <c r="I306" s="308">
        <f t="shared" si="3"/>
        <v>3.22</v>
      </c>
      <c r="J306" s="308">
        <f t="shared" si="2"/>
        <v>3.3338906752411583</v>
      </c>
      <c r="K306" s="308">
        <f t="shared" si="2"/>
        <v>3.451809638031039</v>
      </c>
      <c r="L306" s="308">
        <f t="shared" si="2"/>
        <v>3.5738993679935516</v>
      </c>
      <c r="M306" s="307" t="s">
        <v>417</v>
      </c>
      <c r="N306" s="307"/>
      <c r="O306" s="307"/>
      <c r="P306" s="307"/>
      <c r="Q306" s="307"/>
    </row>
    <row r="307" spans="1:17" ht="13.5" thickBot="1" x14ac:dyDescent="0.25">
      <c r="A307" s="307"/>
      <c r="B307" s="307" t="s">
        <v>8</v>
      </c>
      <c r="C307" s="311">
        <v>3.22</v>
      </c>
      <c r="D307" s="311">
        <v>2.37</v>
      </c>
      <c r="E307" s="311">
        <v>2.1</v>
      </c>
      <c r="F307" s="311">
        <v>1.99</v>
      </c>
      <c r="G307" s="311">
        <v>1.98</v>
      </c>
      <c r="H307" s="311">
        <v>1.81</v>
      </c>
      <c r="I307" s="308">
        <f t="shared" si="3"/>
        <v>1.8100000000000003</v>
      </c>
      <c r="J307" s="308">
        <f t="shared" si="2"/>
        <v>1.6545959595959598</v>
      </c>
      <c r="K307" s="308">
        <f t="shared" si="2"/>
        <v>1.5125346903377213</v>
      </c>
      <c r="L307" s="308">
        <f t="shared" si="2"/>
        <v>1.3826706007632705</v>
      </c>
      <c r="M307" s="307" t="s">
        <v>417</v>
      </c>
      <c r="N307" s="307"/>
      <c r="O307" s="307"/>
      <c r="P307" s="307"/>
      <c r="Q307" s="307"/>
    </row>
    <row r="308" spans="1:17" ht="13.5" thickTop="1" x14ac:dyDescent="0.2">
      <c r="A308" s="307" t="s">
        <v>459</v>
      </c>
      <c r="B308" s="307"/>
      <c r="C308" s="307"/>
      <c r="D308" s="307"/>
      <c r="E308" s="307"/>
      <c r="F308" s="307"/>
      <c r="G308" s="307"/>
      <c r="H308" s="307"/>
      <c r="I308" s="307"/>
      <c r="J308" s="307"/>
      <c r="K308" s="307"/>
      <c r="L308" s="307"/>
      <c r="M308" s="307"/>
      <c r="N308" s="307"/>
      <c r="O308" s="307"/>
      <c r="P308" s="306"/>
      <c r="Q308" s="307"/>
    </row>
    <row r="309" spans="1:17" x14ac:dyDescent="0.2">
      <c r="A309" s="307"/>
      <c r="B309" s="307" t="s">
        <v>0</v>
      </c>
      <c r="C309" s="309">
        <v>-0.18</v>
      </c>
      <c r="D309" s="309">
        <v>-0.42</v>
      </c>
      <c r="E309" s="309">
        <v>-0.6</v>
      </c>
      <c r="F309" s="309">
        <v>-0.8</v>
      </c>
      <c r="G309" s="309">
        <v>-1.03</v>
      </c>
      <c r="H309" s="309">
        <v>-1</v>
      </c>
      <c r="I309" s="308">
        <v>0</v>
      </c>
      <c r="J309" s="308">
        <v>0</v>
      </c>
      <c r="K309" s="308">
        <v>0</v>
      </c>
      <c r="L309" s="308">
        <v>0</v>
      </c>
      <c r="M309" s="307" t="s">
        <v>417</v>
      </c>
      <c r="N309" s="307"/>
      <c r="O309" s="307"/>
      <c r="P309" s="310" t="s">
        <v>462</v>
      </c>
      <c r="Q309" s="307"/>
    </row>
    <row r="310" spans="1:17" x14ac:dyDescent="0.2">
      <c r="A310" s="307"/>
      <c r="B310" s="307" t="s">
        <v>2</v>
      </c>
      <c r="C310" s="308">
        <v>0.27</v>
      </c>
      <c r="D310" s="308">
        <v>0</v>
      </c>
      <c r="E310" s="308">
        <v>-0.21</v>
      </c>
      <c r="F310" s="308">
        <v>-0.46</v>
      </c>
      <c r="G310" s="308">
        <v>-0.67</v>
      </c>
      <c r="H310" s="308">
        <v>-0.89</v>
      </c>
      <c r="I310" s="308">
        <v>0</v>
      </c>
      <c r="J310" s="308">
        <v>0</v>
      </c>
      <c r="K310" s="308">
        <v>0</v>
      </c>
      <c r="L310" s="308">
        <v>0</v>
      </c>
      <c r="M310" s="307" t="s">
        <v>417</v>
      </c>
      <c r="N310" s="307"/>
      <c r="O310" s="307"/>
      <c r="P310" s="307"/>
      <c r="Q310" s="307"/>
    </row>
    <row r="311" spans="1:17" x14ac:dyDescent="0.2">
      <c r="A311" s="307"/>
      <c r="B311" s="307" t="s">
        <v>10</v>
      </c>
      <c r="C311" s="308">
        <v>0.23</v>
      </c>
      <c r="D311" s="308">
        <v>-0.04</v>
      </c>
      <c r="E311" s="308">
        <v>-0.28000000000000003</v>
      </c>
      <c r="F311" s="308">
        <v>-0.43</v>
      </c>
      <c r="G311" s="308">
        <v>-0.63</v>
      </c>
      <c r="H311" s="308">
        <v>-0.61</v>
      </c>
      <c r="I311" s="308">
        <v>0</v>
      </c>
      <c r="J311" s="308">
        <v>0</v>
      </c>
      <c r="K311" s="308">
        <v>0</v>
      </c>
      <c r="L311" s="308">
        <v>0</v>
      </c>
      <c r="M311" s="307" t="s">
        <v>417</v>
      </c>
      <c r="N311" s="307"/>
      <c r="O311" s="307"/>
      <c r="P311" s="307"/>
      <c r="Q311" s="307"/>
    </row>
    <row r="312" spans="1:17" x14ac:dyDescent="0.2">
      <c r="A312" s="307"/>
      <c r="B312" s="307" t="s">
        <v>1</v>
      </c>
      <c r="C312" s="308">
        <v>0.28999999999999998</v>
      </c>
      <c r="D312" s="308">
        <v>0.12</v>
      </c>
      <c r="E312" s="308">
        <v>7.0000000000000007E-2</v>
      </c>
      <c r="F312" s="308">
        <v>0.19</v>
      </c>
      <c r="G312" s="308">
        <v>0.14000000000000001</v>
      </c>
      <c r="H312" s="308">
        <v>0.28999999999999998</v>
      </c>
      <c r="I312" s="308">
        <v>0</v>
      </c>
      <c r="J312" s="308">
        <v>0</v>
      </c>
      <c r="K312" s="308">
        <v>0</v>
      </c>
      <c r="L312" s="308">
        <v>0</v>
      </c>
      <c r="M312" s="307" t="s">
        <v>417</v>
      </c>
      <c r="N312" s="307"/>
      <c r="O312" s="307"/>
      <c r="P312" s="307"/>
      <c r="Q312" s="307"/>
    </row>
    <row r="313" spans="1:17" x14ac:dyDescent="0.2">
      <c r="A313" s="307"/>
      <c r="B313" s="307" t="s">
        <v>4</v>
      </c>
      <c r="C313" s="308">
        <v>0.52</v>
      </c>
      <c r="D313" s="308">
        <v>0.24</v>
      </c>
      <c r="E313" s="308">
        <v>-0.06</v>
      </c>
      <c r="F313" s="308">
        <v>-0.24</v>
      </c>
      <c r="G313" s="308">
        <v>-0.41</v>
      </c>
      <c r="H313" s="308">
        <v>-0.28000000000000003</v>
      </c>
      <c r="I313" s="308">
        <v>0</v>
      </c>
      <c r="J313" s="308">
        <v>0</v>
      </c>
      <c r="K313" s="308">
        <v>0</v>
      </c>
      <c r="L313" s="308">
        <v>0</v>
      </c>
      <c r="M313" s="307" t="s">
        <v>417</v>
      </c>
      <c r="N313" s="307"/>
      <c r="O313" s="307"/>
      <c r="P313" s="307"/>
      <c r="Q313" s="307"/>
    </row>
    <row r="314" spans="1:17" x14ac:dyDescent="0.2">
      <c r="A314" s="307"/>
      <c r="B314" s="307" t="s">
        <v>5</v>
      </c>
      <c r="C314" s="308">
        <v>1.52</v>
      </c>
      <c r="D314" s="308">
        <v>1.25</v>
      </c>
      <c r="E314" s="308">
        <v>0.95</v>
      </c>
      <c r="F314" s="308">
        <v>0.77</v>
      </c>
      <c r="G314" s="308">
        <v>0.44</v>
      </c>
      <c r="H314" s="308">
        <v>0.22</v>
      </c>
      <c r="I314" s="308">
        <v>0</v>
      </c>
      <c r="J314" s="308">
        <v>0</v>
      </c>
      <c r="K314" s="308">
        <v>0</v>
      </c>
      <c r="L314" s="308">
        <v>0</v>
      </c>
      <c r="M314" s="307" t="s">
        <v>417</v>
      </c>
      <c r="N314" s="307"/>
      <c r="O314" s="307"/>
      <c r="P314" s="307"/>
      <c r="Q314" s="307"/>
    </row>
    <row r="315" spans="1:17" x14ac:dyDescent="0.2">
      <c r="A315" s="307"/>
      <c r="B315" s="307" t="s">
        <v>6</v>
      </c>
      <c r="C315" s="308">
        <v>2.61</v>
      </c>
      <c r="D315" s="308">
        <v>2.4</v>
      </c>
      <c r="E315" s="308">
        <v>2.2000000000000002</v>
      </c>
      <c r="F315" s="308">
        <v>2.09</v>
      </c>
      <c r="G315" s="308">
        <v>1.73</v>
      </c>
      <c r="H315" s="308">
        <v>1.29</v>
      </c>
      <c r="I315" s="308">
        <v>0</v>
      </c>
      <c r="J315" s="308">
        <v>0</v>
      </c>
      <c r="K315" s="308">
        <v>0</v>
      </c>
      <c r="L315" s="308">
        <v>0</v>
      </c>
      <c r="M315" s="307" t="s">
        <v>417</v>
      </c>
      <c r="N315" s="307"/>
      <c r="O315" s="307"/>
      <c r="P315" s="307"/>
      <c r="Q315" s="307"/>
    </row>
    <row r="316" spans="1:17" ht="13.5" thickBot="1" x14ac:dyDescent="0.25">
      <c r="A316" s="307"/>
      <c r="B316" s="307" t="s">
        <v>8</v>
      </c>
      <c r="C316" s="311">
        <v>1.43</v>
      </c>
      <c r="D316" s="311">
        <v>1.31</v>
      </c>
      <c r="E316" s="311">
        <v>1.0900000000000001</v>
      </c>
      <c r="F316" s="311">
        <v>0.9</v>
      </c>
      <c r="G316" s="311">
        <v>0.66</v>
      </c>
      <c r="H316" s="311">
        <v>0.52</v>
      </c>
      <c r="I316" s="308">
        <v>0</v>
      </c>
      <c r="J316" s="308">
        <v>0</v>
      </c>
      <c r="K316" s="308">
        <v>0</v>
      </c>
      <c r="L316" s="308">
        <v>0</v>
      </c>
      <c r="M316" s="307" t="s">
        <v>417</v>
      </c>
      <c r="N316" s="307"/>
      <c r="O316" s="307"/>
      <c r="P316" s="307"/>
      <c r="Q316" s="307"/>
    </row>
    <row r="317" spans="1:17" ht="13.5" thickTop="1" x14ac:dyDescent="0.2">
      <c r="A317" s="307"/>
      <c r="B317" s="307"/>
      <c r="C317" s="307"/>
      <c r="D317" s="307"/>
      <c r="E317" s="307"/>
      <c r="F317" s="307"/>
      <c r="G317" s="307"/>
      <c r="H317" s="307"/>
      <c r="I317" s="307"/>
      <c r="J317" s="307"/>
      <c r="K317" s="307"/>
      <c r="L317" s="307"/>
      <c r="M317" s="308"/>
      <c r="N317" s="307"/>
      <c r="O317" s="307"/>
      <c r="P317" s="307"/>
      <c r="Q317" s="307"/>
    </row>
    <row r="318" spans="1:17" x14ac:dyDescent="0.2">
      <c r="A318" s="307"/>
      <c r="B318" s="307"/>
      <c r="C318" s="307"/>
      <c r="D318" s="307"/>
      <c r="E318" s="307"/>
      <c r="F318" s="307"/>
      <c r="G318" s="307"/>
      <c r="H318" s="307"/>
      <c r="I318" s="307"/>
      <c r="J318" s="307"/>
      <c r="K318" s="307"/>
      <c r="L318" s="307"/>
      <c r="M318" s="308"/>
      <c r="N318" s="307"/>
      <c r="O318" s="307"/>
      <c r="P318" s="307"/>
      <c r="Q318" s="307"/>
    </row>
    <row r="319" spans="1:17" x14ac:dyDescent="0.2">
      <c r="A319" s="306" t="s">
        <v>639</v>
      </c>
      <c r="B319" s="307"/>
      <c r="C319" s="307"/>
      <c r="D319" s="307"/>
      <c r="E319" s="307"/>
      <c r="F319" s="307"/>
      <c r="G319" s="307"/>
      <c r="H319" s="307"/>
      <c r="I319" s="307"/>
      <c r="J319" s="307"/>
      <c r="K319" s="307"/>
      <c r="L319" s="307"/>
      <c r="M319" s="308"/>
      <c r="N319" s="307"/>
      <c r="O319" s="307"/>
      <c r="P319" s="307"/>
      <c r="Q319" s="307"/>
    </row>
    <row r="320" spans="1:17" x14ac:dyDescent="0.2">
      <c r="A320" s="307" t="s">
        <v>22</v>
      </c>
      <c r="B320" s="307" t="s">
        <v>23</v>
      </c>
      <c r="C320" s="307">
        <v>2015</v>
      </c>
      <c r="D320" s="307">
        <v>2020</v>
      </c>
      <c r="E320" s="307">
        <v>2030</v>
      </c>
      <c r="F320" s="307">
        <v>2040</v>
      </c>
      <c r="G320" s="307">
        <v>2050</v>
      </c>
      <c r="H320" s="307">
        <v>2075</v>
      </c>
      <c r="I320" s="307">
        <v>2100</v>
      </c>
      <c r="J320" s="307">
        <v>2150</v>
      </c>
      <c r="K320" s="307">
        <v>2200</v>
      </c>
      <c r="L320" s="307">
        <v>2250</v>
      </c>
      <c r="M320" s="307"/>
      <c r="N320" s="307"/>
      <c r="O320" s="307"/>
      <c r="P320" s="307"/>
      <c r="Q320" s="307"/>
    </row>
    <row r="321" spans="1:17" x14ac:dyDescent="0.2">
      <c r="A321" s="307"/>
      <c r="B321" s="307" t="s">
        <v>24</v>
      </c>
      <c r="C321" s="307">
        <v>2020</v>
      </c>
      <c r="D321" s="307">
        <v>2030</v>
      </c>
      <c r="E321" s="307">
        <v>2040</v>
      </c>
      <c r="F321" s="307">
        <v>2050</v>
      </c>
      <c r="G321" s="307">
        <v>2075</v>
      </c>
      <c r="H321" s="307">
        <v>2100</v>
      </c>
      <c r="I321" s="307">
        <v>2150</v>
      </c>
      <c r="J321" s="307">
        <v>2200</v>
      </c>
      <c r="K321" s="307">
        <v>2250</v>
      </c>
      <c r="L321" s="307">
        <v>2300</v>
      </c>
      <c r="M321" s="307"/>
      <c r="N321" s="307"/>
      <c r="O321" s="307"/>
      <c r="P321" s="306"/>
      <c r="Q321" s="307"/>
    </row>
    <row r="322" spans="1:17" x14ac:dyDescent="0.2">
      <c r="A322" s="307"/>
      <c r="B322" s="307" t="s">
        <v>0</v>
      </c>
      <c r="C322" s="309">
        <v>1.6</v>
      </c>
      <c r="D322" s="309">
        <v>1.36</v>
      </c>
      <c r="E322" s="309">
        <v>1.18</v>
      </c>
      <c r="F322" s="309">
        <v>0.93</v>
      </c>
      <c r="G322" s="309">
        <v>0.75</v>
      </c>
      <c r="H322" s="309">
        <v>0.63</v>
      </c>
      <c r="I322" s="308">
        <f>IF($H322 &gt; 0, $G322*EXP(-(0.5*(I$254+I$255) - 0.5*($H$254+$H$255)) / (($H$254-$G$254)/LN($G322/$H322))), $H322)</f>
        <v>0.63</v>
      </c>
      <c r="J322" s="308">
        <f t="shared" ref="J322:L329" si="4">IF($H322 &gt; 0, $G322*EXP(-(0.5*(J$254+J$255) - 0.5*($H$254+$H$255)) / (($H$254-$G$254)/LN($G322/$H322))), $H322)</f>
        <v>0.5292</v>
      </c>
      <c r="K322" s="308">
        <f t="shared" si="4"/>
        <v>0.44452800000000003</v>
      </c>
      <c r="L322" s="308">
        <f t="shared" si="4"/>
        <v>0.37340352000000004</v>
      </c>
      <c r="M322" s="307" t="s">
        <v>417</v>
      </c>
      <c r="N322" s="307"/>
      <c r="O322" s="307"/>
      <c r="P322" s="310" t="s">
        <v>463</v>
      </c>
      <c r="Q322" s="307"/>
    </row>
    <row r="323" spans="1:17" x14ac:dyDescent="0.2">
      <c r="A323" s="307"/>
      <c r="B323" s="307" t="s">
        <v>2</v>
      </c>
      <c r="C323" s="308">
        <v>2.68</v>
      </c>
      <c r="D323" s="308">
        <v>1.94</v>
      </c>
      <c r="E323" s="308">
        <v>1.27</v>
      </c>
      <c r="F323" s="308">
        <v>0.92</v>
      </c>
      <c r="G323" s="308">
        <v>0.79</v>
      </c>
      <c r="H323" s="308">
        <v>0.67</v>
      </c>
      <c r="I323" s="308">
        <f t="shared" ref="I323:I329" si="5">IF($H323 &gt; 0, $G323*EXP(-(0.5*(I$254+I$255) - 0.5*($H$254+$H$255)) / (($H$254-$G$254)/LN($G323/$H323))), $H323)</f>
        <v>0.67</v>
      </c>
      <c r="J323" s="308">
        <f t="shared" si="4"/>
        <v>0.56822784810126581</v>
      </c>
      <c r="K323" s="308">
        <f t="shared" si="4"/>
        <v>0.48191475725044053</v>
      </c>
      <c r="L323" s="308">
        <f t="shared" si="4"/>
        <v>0.40871251564277866</v>
      </c>
      <c r="M323" s="307" t="s">
        <v>417</v>
      </c>
      <c r="N323" s="307"/>
      <c r="O323" s="307"/>
      <c r="P323" s="310"/>
      <c r="Q323" s="307"/>
    </row>
    <row r="324" spans="1:17" x14ac:dyDescent="0.2">
      <c r="A324" s="307"/>
      <c r="B324" s="307" t="s">
        <v>10</v>
      </c>
      <c r="C324" s="308">
        <v>2.13</v>
      </c>
      <c r="D324" s="308">
        <v>1.75</v>
      </c>
      <c r="E324" s="308">
        <v>1.22</v>
      </c>
      <c r="F324" s="308">
        <v>0.87</v>
      </c>
      <c r="G324" s="308">
        <v>0.6</v>
      </c>
      <c r="H324" s="308">
        <v>0.38</v>
      </c>
      <c r="I324" s="308">
        <f t="shared" si="5"/>
        <v>0.38000000000000006</v>
      </c>
      <c r="J324" s="308">
        <f t="shared" si="4"/>
        <v>0.24066666666666667</v>
      </c>
      <c r="K324" s="308">
        <f t="shared" si="4"/>
        <v>0.15242222222222224</v>
      </c>
      <c r="L324" s="308">
        <f t="shared" si="4"/>
        <v>9.6534074074074092E-2</v>
      </c>
      <c r="M324" s="307" t="s">
        <v>417</v>
      </c>
      <c r="N324" s="307"/>
      <c r="O324" s="307"/>
      <c r="P324" s="310" t="s">
        <v>590</v>
      </c>
      <c r="Q324" s="307"/>
    </row>
    <row r="325" spans="1:17" x14ac:dyDescent="0.2">
      <c r="A325" s="307"/>
      <c r="B325" s="307" t="s">
        <v>1</v>
      </c>
      <c r="C325" s="308">
        <v>4.13</v>
      </c>
      <c r="D325" s="308">
        <v>3.75</v>
      </c>
      <c r="E325" s="308">
        <v>2.78</v>
      </c>
      <c r="F325" s="308">
        <v>1.32</v>
      </c>
      <c r="G325" s="308">
        <v>0.72</v>
      </c>
      <c r="H325" s="308">
        <v>0.5</v>
      </c>
      <c r="I325" s="308">
        <f t="shared" si="5"/>
        <v>0.49999999999999994</v>
      </c>
      <c r="J325" s="308">
        <f t="shared" si="4"/>
        <v>0.34722222222222221</v>
      </c>
      <c r="K325" s="308">
        <f t="shared" si="4"/>
        <v>0.24112654320987653</v>
      </c>
      <c r="L325" s="308">
        <f t="shared" si="4"/>
        <v>0.16744898834019203</v>
      </c>
      <c r="M325" s="307" t="s">
        <v>417</v>
      </c>
      <c r="N325" s="307"/>
      <c r="O325" s="307"/>
      <c r="P325" s="310" t="s">
        <v>591</v>
      </c>
      <c r="Q325" s="307"/>
    </row>
    <row r="326" spans="1:17" x14ac:dyDescent="0.2">
      <c r="A326" s="307"/>
      <c r="B326" s="307" t="s">
        <v>4</v>
      </c>
      <c r="C326" s="308">
        <v>8.6999999999999993</v>
      </c>
      <c r="D326" s="308">
        <v>6.01</v>
      </c>
      <c r="E326" s="308">
        <v>3.37</v>
      </c>
      <c r="F326" s="308">
        <v>1.73</v>
      </c>
      <c r="G326" s="308">
        <v>0.17</v>
      </c>
      <c r="H326" s="308">
        <v>-0.47</v>
      </c>
      <c r="I326" s="308">
        <f t="shared" si="5"/>
        <v>-0.47</v>
      </c>
      <c r="J326" s="308">
        <f t="shared" si="4"/>
        <v>-0.47</v>
      </c>
      <c r="K326" s="308">
        <f t="shared" si="4"/>
        <v>-0.47</v>
      </c>
      <c r="L326" s="308">
        <f t="shared" si="4"/>
        <v>-0.47</v>
      </c>
      <c r="M326" s="307" t="s">
        <v>417</v>
      </c>
      <c r="N326" s="307"/>
      <c r="O326" s="307"/>
      <c r="P326" s="310" t="s">
        <v>593</v>
      </c>
      <c r="Q326" s="307"/>
    </row>
    <row r="327" spans="1:17" x14ac:dyDescent="0.2">
      <c r="A327" s="307"/>
      <c r="B327" s="307" t="s">
        <v>5</v>
      </c>
      <c r="C327" s="308">
        <v>6.41</v>
      </c>
      <c r="D327" s="308">
        <v>5.64</v>
      </c>
      <c r="E327" s="308">
        <v>4.51</v>
      </c>
      <c r="F327" s="308">
        <v>3.38</v>
      </c>
      <c r="G327" s="308">
        <v>2</v>
      </c>
      <c r="H327" s="308">
        <v>0.98</v>
      </c>
      <c r="I327" s="308">
        <f t="shared" si="5"/>
        <v>0.98</v>
      </c>
      <c r="J327" s="308">
        <f t="shared" si="4"/>
        <v>0.48019999999999996</v>
      </c>
      <c r="K327" s="308">
        <f t="shared" si="4"/>
        <v>0.2352979999999999</v>
      </c>
      <c r="L327" s="308">
        <f t="shared" si="4"/>
        <v>0.11529601999999999</v>
      </c>
      <c r="M327" s="307" t="s">
        <v>417</v>
      </c>
      <c r="N327" s="307"/>
      <c r="O327" s="307"/>
      <c r="P327" s="310" t="s">
        <v>592</v>
      </c>
      <c r="Q327" s="307"/>
    </row>
    <row r="328" spans="1:17" x14ac:dyDescent="0.2">
      <c r="A328" s="307"/>
      <c r="B328" s="307" t="s">
        <v>6</v>
      </c>
      <c r="C328" s="308">
        <v>4.4400000000000004</v>
      </c>
      <c r="D328" s="308">
        <v>4.18</v>
      </c>
      <c r="E328" s="308">
        <v>4.07</v>
      </c>
      <c r="F328" s="308">
        <v>3.61</v>
      </c>
      <c r="G328" s="308">
        <v>3.45</v>
      </c>
      <c r="H328" s="308">
        <v>3.39</v>
      </c>
      <c r="I328" s="308">
        <f t="shared" si="5"/>
        <v>3.39</v>
      </c>
      <c r="J328" s="308">
        <f t="shared" si="4"/>
        <v>3.3310434782608698</v>
      </c>
      <c r="K328" s="308">
        <f t="shared" si="4"/>
        <v>3.2731122873345937</v>
      </c>
      <c r="L328" s="308">
        <f t="shared" si="4"/>
        <v>3.2161885953809479</v>
      </c>
      <c r="M328" s="307" t="s">
        <v>417</v>
      </c>
      <c r="N328" s="307"/>
      <c r="O328" s="307"/>
      <c r="P328" s="307"/>
      <c r="Q328" s="307"/>
    </row>
    <row r="329" spans="1:17" ht="13.5" thickBot="1" x14ac:dyDescent="0.25">
      <c r="A329" s="307"/>
      <c r="B329" s="307" t="s">
        <v>8</v>
      </c>
      <c r="C329" s="311">
        <v>3.73</v>
      </c>
      <c r="D329" s="311">
        <v>3.28</v>
      </c>
      <c r="E329" s="311">
        <v>2.8</v>
      </c>
      <c r="F329" s="311">
        <v>2.2799999999999998</v>
      </c>
      <c r="G329" s="311">
        <v>1.71</v>
      </c>
      <c r="H329" s="311">
        <v>1.19</v>
      </c>
      <c r="I329" s="308">
        <f t="shared" si="5"/>
        <v>1.19</v>
      </c>
      <c r="J329" s="308">
        <f t="shared" si="4"/>
        <v>0.82812865497076016</v>
      </c>
      <c r="K329" s="308">
        <f t="shared" si="4"/>
        <v>0.57630005813754659</v>
      </c>
      <c r="L329" s="308">
        <f t="shared" si="4"/>
        <v>0.40105091765127504</v>
      </c>
      <c r="M329" s="307" t="s">
        <v>417</v>
      </c>
      <c r="N329" s="307"/>
      <c r="O329" s="307"/>
      <c r="P329" s="307"/>
      <c r="Q329" s="307"/>
    </row>
    <row r="330" spans="1:17" ht="13.5" thickTop="1" x14ac:dyDescent="0.2">
      <c r="A330" s="307" t="s">
        <v>459</v>
      </c>
      <c r="B330" s="307"/>
      <c r="C330" s="307"/>
      <c r="D330" s="307"/>
      <c r="E330" s="307"/>
      <c r="F330" s="307"/>
      <c r="G330" s="307"/>
      <c r="H330" s="307"/>
      <c r="I330" s="307"/>
      <c r="J330" s="307"/>
      <c r="K330" s="307"/>
      <c r="L330" s="307"/>
      <c r="M330" s="307"/>
      <c r="N330" s="307"/>
      <c r="O330" s="307"/>
      <c r="P330" s="306"/>
      <c r="Q330" s="307"/>
    </row>
    <row r="331" spans="1:17" x14ac:dyDescent="0.2">
      <c r="A331" s="307"/>
      <c r="B331" s="307" t="s">
        <v>0</v>
      </c>
      <c r="C331" s="309">
        <v>-0.02</v>
      </c>
      <c r="D331" s="309">
        <v>-0.15</v>
      </c>
      <c r="E331" s="309">
        <v>-0.28999999999999998</v>
      </c>
      <c r="F331" s="309">
        <v>-0.46</v>
      </c>
      <c r="G331" s="309">
        <v>-0.73</v>
      </c>
      <c r="H331" s="309">
        <v>-0.84</v>
      </c>
      <c r="I331" s="308">
        <v>0</v>
      </c>
      <c r="J331" s="308">
        <v>0</v>
      </c>
      <c r="K331" s="308">
        <v>0</v>
      </c>
      <c r="L331" s="308">
        <v>0</v>
      </c>
      <c r="M331" s="307" t="s">
        <v>417</v>
      </c>
      <c r="N331" s="307"/>
      <c r="O331" s="307"/>
      <c r="P331" s="310" t="s">
        <v>462</v>
      </c>
      <c r="Q331" s="307"/>
    </row>
    <row r="332" spans="1:17" x14ac:dyDescent="0.2">
      <c r="A332" s="307"/>
      <c r="B332" s="307" t="s">
        <v>2</v>
      </c>
      <c r="C332" s="308">
        <v>0.52</v>
      </c>
      <c r="D332" s="308">
        <v>0.39</v>
      </c>
      <c r="E332" s="308">
        <v>0.25</v>
      </c>
      <c r="F332" s="308">
        <v>0.06</v>
      </c>
      <c r="G332" s="308">
        <v>-0.16</v>
      </c>
      <c r="H332" s="308">
        <v>-0.51</v>
      </c>
      <c r="I332" s="308">
        <v>0</v>
      </c>
      <c r="J332" s="308">
        <v>0</v>
      </c>
      <c r="K332" s="308">
        <v>0</v>
      </c>
      <c r="L332" s="308">
        <v>0</v>
      </c>
      <c r="M332" s="307" t="s">
        <v>417</v>
      </c>
      <c r="N332" s="307"/>
      <c r="O332" s="307"/>
      <c r="P332" s="307"/>
      <c r="Q332" s="307"/>
    </row>
    <row r="333" spans="1:17" x14ac:dyDescent="0.2">
      <c r="A333" s="307"/>
      <c r="B333" s="307" t="s">
        <v>10</v>
      </c>
      <c r="C333" s="308">
        <v>0.23</v>
      </c>
      <c r="D333" s="308">
        <v>0.01</v>
      </c>
      <c r="E333" s="308">
        <v>-0.2</v>
      </c>
      <c r="F333" s="308">
        <v>-0.41</v>
      </c>
      <c r="G333" s="308">
        <v>-0.73</v>
      </c>
      <c r="H333" s="308">
        <v>-1</v>
      </c>
      <c r="I333" s="308">
        <v>0</v>
      </c>
      <c r="J333" s="308">
        <v>0</v>
      </c>
      <c r="K333" s="308">
        <v>0</v>
      </c>
      <c r="L333" s="308">
        <v>0</v>
      </c>
      <c r="M333" s="307" t="s">
        <v>417</v>
      </c>
      <c r="N333" s="307"/>
      <c r="O333" s="307"/>
      <c r="P333" s="307"/>
      <c r="Q333" s="307"/>
    </row>
    <row r="334" spans="1:17" x14ac:dyDescent="0.2">
      <c r="A334" s="307"/>
      <c r="B334" s="307" t="s">
        <v>1</v>
      </c>
      <c r="C334" s="308">
        <v>-7.0000000000000007E-2</v>
      </c>
      <c r="D334" s="308">
        <v>-0.27</v>
      </c>
      <c r="E334" s="308">
        <v>-0.38</v>
      </c>
      <c r="F334" s="308">
        <v>-0.52</v>
      </c>
      <c r="G334" s="308">
        <v>-0.78</v>
      </c>
      <c r="H334" s="308">
        <v>-0.86</v>
      </c>
      <c r="I334" s="308">
        <v>0</v>
      </c>
      <c r="J334" s="308">
        <v>0</v>
      </c>
      <c r="K334" s="308">
        <v>0</v>
      </c>
      <c r="L334" s="308">
        <v>0</v>
      </c>
      <c r="M334" s="307" t="s">
        <v>417</v>
      </c>
      <c r="N334" s="307"/>
      <c r="O334" s="307"/>
      <c r="P334" s="307"/>
      <c r="Q334" s="307"/>
    </row>
    <row r="335" spans="1:17" x14ac:dyDescent="0.2">
      <c r="A335" s="307"/>
      <c r="B335" s="307" t="s">
        <v>4</v>
      </c>
      <c r="C335" s="308">
        <v>0.18</v>
      </c>
      <c r="D335" s="308">
        <v>-0.1</v>
      </c>
      <c r="E335" s="308">
        <v>-0.43</v>
      </c>
      <c r="F335" s="308">
        <v>-0.78</v>
      </c>
      <c r="G335" s="308">
        <v>-1.24</v>
      </c>
      <c r="H335" s="308">
        <v>-1.57</v>
      </c>
      <c r="I335" s="308">
        <v>0</v>
      </c>
      <c r="J335" s="308">
        <v>0</v>
      </c>
      <c r="K335" s="308">
        <v>0</v>
      </c>
      <c r="L335" s="308">
        <v>0</v>
      </c>
      <c r="M335" s="307" t="s">
        <v>417</v>
      </c>
      <c r="N335" s="307"/>
      <c r="O335" s="307"/>
      <c r="P335" s="307"/>
      <c r="Q335" s="307"/>
    </row>
    <row r="336" spans="1:17" x14ac:dyDescent="0.2">
      <c r="A336" s="307"/>
      <c r="B336" s="307" t="s">
        <v>5</v>
      </c>
      <c r="C336" s="308">
        <v>1.08</v>
      </c>
      <c r="D336" s="308">
        <v>0.81</v>
      </c>
      <c r="E336" s="308">
        <v>0.51</v>
      </c>
      <c r="F336" s="308">
        <v>0.26</v>
      </c>
      <c r="G336" s="308">
        <v>-0.17</v>
      </c>
      <c r="H336" s="308">
        <v>-0.5</v>
      </c>
      <c r="I336" s="308">
        <v>0</v>
      </c>
      <c r="J336" s="308">
        <v>0</v>
      </c>
      <c r="K336" s="308">
        <v>0</v>
      </c>
      <c r="L336" s="308">
        <v>0</v>
      </c>
      <c r="M336" s="307" t="s">
        <v>417</v>
      </c>
      <c r="N336" s="307"/>
      <c r="O336" s="307"/>
      <c r="P336" s="307"/>
      <c r="Q336" s="307"/>
    </row>
    <row r="337" spans="1:17" x14ac:dyDescent="0.2">
      <c r="A337" s="307"/>
      <c r="B337" s="307" t="s">
        <v>6</v>
      </c>
      <c r="C337" s="308">
        <v>2.54</v>
      </c>
      <c r="D337" s="308">
        <v>2.39</v>
      </c>
      <c r="E337" s="308">
        <v>2.27</v>
      </c>
      <c r="F337" s="308">
        <v>2.17</v>
      </c>
      <c r="G337" s="308">
        <v>1.86</v>
      </c>
      <c r="H337" s="308">
        <v>1.42</v>
      </c>
      <c r="I337" s="308">
        <v>0</v>
      </c>
      <c r="J337" s="308">
        <v>0</v>
      </c>
      <c r="K337" s="308">
        <v>0</v>
      </c>
      <c r="L337" s="308">
        <v>0</v>
      </c>
      <c r="M337" s="307" t="s">
        <v>417</v>
      </c>
      <c r="N337" s="307"/>
      <c r="O337" s="307"/>
      <c r="P337" s="307"/>
      <c r="Q337" s="307"/>
    </row>
    <row r="338" spans="1:17" ht="13.5" thickBot="1" x14ac:dyDescent="0.25">
      <c r="A338" s="307"/>
      <c r="B338" s="307" t="s">
        <v>8</v>
      </c>
      <c r="C338" s="311">
        <v>0.93</v>
      </c>
      <c r="D338" s="311">
        <v>0.77</v>
      </c>
      <c r="E338" s="311">
        <v>0.59</v>
      </c>
      <c r="F338" s="311">
        <v>0.32</v>
      </c>
      <c r="G338" s="311">
        <v>0.03</v>
      </c>
      <c r="H338" s="311">
        <v>-0.08</v>
      </c>
      <c r="I338" s="308">
        <v>0</v>
      </c>
      <c r="J338" s="308">
        <v>0</v>
      </c>
      <c r="K338" s="308">
        <v>0</v>
      </c>
      <c r="L338" s="308">
        <v>0</v>
      </c>
      <c r="M338" s="307" t="s">
        <v>417</v>
      </c>
      <c r="N338" s="307"/>
      <c r="O338" s="307"/>
      <c r="P338" s="307"/>
      <c r="Q338" s="307"/>
    </row>
    <row r="339" spans="1:17" ht="13.5" thickTop="1" x14ac:dyDescent="0.2">
      <c r="A339" s="307"/>
      <c r="B339" s="307"/>
      <c r="C339" s="307"/>
      <c r="D339" s="307"/>
      <c r="E339" s="307"/>
      <c r="F339" s="307"/>
      <c r="G339" s="307"/>
      <c r="H339" s="307"/>
      <c r="I339" s="307"/>
      <c r="J339" s="307"/>
      <c r="K339" s="307"/>
      <c r="L339" s="307"/>
      <c r="M339" s="308"/>
      <c r="N339" s="307"/>
      <c r="O339" s="307"/>
      <c r="P339" s="307"/>
      <c r="Q339" s="307"/>
    </row>
    <row r="340" spans="1:17" x14ac:dyDescent="0.2">
      <c r="A340" s="307"/>
      <c r="B340" s="307"/>
      <c r="C340" s="307"/>
      <c r="D340" s="307"/>
      <c r="E340" s="307"/>
      <c r="F340" s="307"/>
      <c r="G340" s="307"/>
      <c r="H340" s="307"/>
      <c r="I340" s="307"/>
      <c r="J340" s="307"/>
      <c r="K340" s="307"/>
      <c r="L340" s="307"/>
      <c r="M340" s="308"/>
      <c r="N340" s="307"/>
      <c r="O340" s="307"/>
      <c r="P340" s="307"/>
      <c r="Q340" s="307"/>
    </row>
    <row r="341" spans="1:17" x14ac:dyDescent="0.2">
      <c r="A341" s="306" t="s">
        <v>460</v>
      </c>
      <c r="B341" s="307"/>
      <c r="C341" s="307"/>
      <c r="D341" s="307"/>
      <c r="E341" s="307"/>
      <c r="F341" s="307"/>
      <c r="G341" s="307"/>
      <c r="H341" s="307"/>
      <c r="I341" s="307"/>
      <c r="J341" s="307"/>
      <c r="K341" s="307"/>
      <c r="L341" s="307"/>
      <c r="M341" s="308"/>
      <c r="N341" s="307"/>
      <c r="O341" s="307"/>
      <c r="P341" s="307"/>
      <c r="Q341" s="307"/>
    </row>
    <row r="342" spans="1:17" x14ac:dyDescent="0.2">
      <c r="A342" s="307" t="str">
        <f>A276</f>
        <v>GDP growth rates:</v>
      </c>
      <c r="B342" s="307" t="str">
        <f>B276</f>
        <v>start</v>
      </c>
      <c r="C342" s="307">
        <f>Y_0</f>
        <v>2015</v>
      </c>
      <c r="D342" s="307">
        <f t="array" ref="D342:L342">Y</f>
        <v>2020</v>
      </c>
      <c r="E342" s="307">
        <v>2025</v>
      </c>
      <c r="F342" s="307">
        <v>2030</v>
      </c>
      <c r="G342" s="307">
        <v>2040</v>
      </c>
      <c r="H342" s="307">
        <v>2050</v>
      </c>
      <c r="I342" s="307">
        <v>2060</v>
      </c>
      <c r="J342" s="307">
        <v>2070</v>
      </c>
      <c r="K342" s="307">
        <v>2080</v>
      </c>
      <c r="L342" s="307">
        <v>2090</v>
      </c>
      <c r="M342" s="307"/>
      <c r="N342" s="307"/>
      <c r="O342" s="307"/>
      <c r="P342" s="307"/>
      <c r="Q342" s="307"/>
    </row>
    <row r="343" spans="1:17" x14ac:dyDescent="0.2">
      <c r="A343" s="307"/>
      <c r="B343" s="307" t="str">
        <f t="shared" ref="B343:B351" si="6">B277</f>
        <v>end</v>
      </c>
      <c r="C343" s="307">
        <f t="array" ref="C343:L343">Y</f>
        <v>2020</v>
      </c>
      <c r="D343" s="307">
        <v>2025</v>
      </c>
      <c r="E343" s="307">
        <v>2030</v>
      </c>
      <c r="F343" s="307">
        <v>2040</v>
      </c>
      <c r="G343" s="307">
        <v>2050</v>
      </c>
      <c r="H343" s="307">
        <v>2060</v>
      </c>
      <c r="I343" s="307">
        <v>2070</v>
      </c>
      <c r="J343" s="307">
        <v>2080</v>
      </c>
      <c r="K343" s="307">
        <v>2090</v>
      </c>
      <c r="L343" s="307">
        <v>2100</v>
      </c>
      <c r="M343" s="307"/>
      <c r="N343" s="307"/>
      <c r="O343" s="307"/>
      <c r="P343" s="306"/>
      <c r="Q343" s="307"/>
    </row>
    <row r="344" spans="1:17" x14ac:dyDescent="0.2">
      <c r="A344" s="307"/>
      <c r="B344" s="307" t="str">
        <f t="shared" si="6"/>
        <v>EU</v>
      </c>
      <c r="C344" s="309">
        <v>1.84</v>
      </c>
      <c r="D344" s="309">
        <v>2.0299999999999998</v>
      </c>
      <c r="E344" s="309">
        <v>2.29</v>
      </c>
      <c r="F344" s="309">
        <v>2.42</v>
      </c>
      <c r="G344" s="309">
        <v>2.54</v>
      </c>
      <c r="H344" s="309">
        <v>2.52</v>
      </c>
      <c r="I344" s="308">
        <f>IF($H344 &gt; 0, $G344*EXP(-(0.5*(I$254+I$255) - 0.5*($H$254+$H$255)) / (($H$254-$G$254)/LN($G344/$H344))), $H344)</f>
        <v>2.52</v>
      </c>
      <c r="J344" s="308">
        <f t="shared" ref="J344:L351" si="7">IF($H344 &gt; 0, $G344*EXP(-(0.5*(J$254+J$255) - 0.5*($H$254+$H$255)) / (($H$254-$G$254)/LN($G344/$H344))), $H344)</f>
        <v>2.5001574803149609</v>
      </c>
      <c r="K344" s="308">
        <f t="shared" si="7"/>
        <v>2.4804712009424019</v>
      </c>
      <c r="L344" s="308">
        <f t="shared" si="7"/>
        <v>2.4609399316436433</v>
      </c>
      <c r="M344" s="307" t="str">
        <f t="shared" ref="M344:M351" si="8">M278</f>
        <v>%/year</v>
      </c>
      <c r="N344" s="307"/>
      <c r="O344" s="307"/>
      <c r="P344" s="310">
        <f>P278</f>
        <v>0</v>
      </c>
      <c r="Q344" s="307"/>
    </row>
    <row r="345" spans="1:17" x14ac:dyDescent="0.2">
      <c r="A345" s="307"/>
      <c r="B345" s="307" t="str">
        <f t="shared" si="6"/>
        <v>US</v>
      </c>
      <c r="C345" s="308">
        <v>3.02</v>
      </c>
      <c r="D345" s="308">
        <v>2.58</v>
      </c>
      <c r="E345" s="308">
        <v>2.35</v>
      </c>
      <c r="F345" s="308">
        <v>2.4500000000000002</v>
      </c>
      <c r="G345" s="308">
        <v>2.65</v>
      </c>
      <c r="H345" s="308">
        <v>2.63</v>
      </c>
      <c r="I345" s="308">
        <f t="shared" ref="I345:I351" si="9">IF($H345 &gt; 0, $G345*EXP(-(0.5*(I$254+I$255) - 0.5*($H$254+$H$255)) / (($H$254-$G$254)/LN($G345/$H345))), $H345)</f>
        <v>2.6299999999999994</v>
      </c>
      <c r="J345" s="308">
        <f t="shared" si="7"/>
        <v>2.610150943396226</v>
      </c>
      <c r="K345" s="308">
        <f t="shared" si="7"/>
        <v>2.5904516909932354</v>
      </c>
      <c r="L345" s="308">
        <f t="shared" si="7"/>
        <v>2.5709011121932863</v>
      </c>
      <c r="M345" s="307" t="str">
        <f t="shared" si="8"/>
        <v>%/year</v>
      </c>
      <c r="N345" s="307"/>
      <c r="O345" s="307"/>
      <c r="P345" s="310"/>
      <c r="Q345" s="307"/>
    </row>
    <row r="346" spans="1:17" x14ac:dyDescent="0.2">
      <c r="A346" s="307"/>
      <c r="B346" s="307" t="str">
        <f t="shared" si="6"/>
        <v>OT</v>
      </c>
      <c r="C346" s="308">
        <v>2.4500000000000002</v>
      </c>
      <c r="D346" s="308">
        <v>2.4700000000000002</v>
      </c>
      <c r="E346" s="308">
        <v>2.37</v>
      </c>
      <c r="F346" s="308">
        <v>2.33</v>
      </c>
      <c r="G346" s="308">
        <v>2.27</v>
      </c>
      <c r="H346" s="308">
        <v>2.12</v>
      </c>
      <c r="I346" s="308">
        <f t="shared" si="9"/>
        <v>2.12</v>
      </c>
      <c r="J346" s="308">
        <f t="shared" si="7"/>
        <v>1.979911894273128</v>
      </c>
      <c r="K346" s="308">
        <f t="shared" si="7"/>
        <v>1.8490807118321726</v>
      </c>
      <c r="L346" s="308">
        <f t="shared" si="7"/>
        <v>1.7268947617111041</v>
      </c>
      <c r="M346" s="307" t="str">
        <f t="shared" si="8"/>
        <v>%/year</v>
      </c>
      <c r="N346" s="307"/>
      <c r="O346" s="307"/>
      <c r="P346" s="310" t="s">
        <v>590</v>
      </c>
      <c r="Q346" s="307"/>
    </row>
    <row r="347" spans="1:17" x14ac:dyDescent="0.2">
      <c r="A347" s="307"/>
      <c r="B347" s="307" t="str">
        <f t="shared" si="6"/>
        <v>EE</v>
      </c>
      <c r="C347" s="308">
        <v>4.83</v>
      </c>
      <c r="D347" s="308">
        <v>4.5599999999999996</v>
      </c>
      <c r="E347" s="308">
        <v>3.53</v>
      </c>
      <c r="F347" s="308">
        <v>2.11</v>
      </c>
      <c r="G347" s="308">
        <v>1.49</v>
      </c>
      <c r="H347" s="308">
        <v>1.22</v>
      </c>
      <c r="I347" s="308">
        <f t="shared" si="9"/>
        <v>1.22</v>
      </c>
      <c r="J347" s="308">
        <f t="shared" si="7"/>
        <v>0.99892617449664445</v>
      </c>
      <c r="K347" s="308">
        <f t="shared" si="7"/>
        <v>0.8179127066348364</v>
      </c>
      <c r="L347" s="308">
        <f t="shared" si="7"/>
        <v>0.66970033697617481</v>
      </c>
      <c r="M347" s="307" t="str">
        <f t="shared" si="8"/>
        <v>%/year</v>
      </c>
      <c r="N347" s="307"/>
      <c r="O347" s="307"/>
      <c r="P347" s="310" t="s">
        <v>591</v>
      </c>
      <c r="Q347" s="307"/>
    </row>
    <row r="348" spans="1:17" x14ac:dyDescent="0.2">
      <c r="A348" s="307"/>
      <c r="B348" s="307" t="str">
        <f t="shared" si="6"/>
        <v>CA</v>
      </c>
      <c r="C348" s="308">
        <v>9.89</v>
      </c>
      <c r="D348" s="308">
        <v>7.13</v>
      </c>
      <c r="E348" s="308">
        <v>4.17</v>
      </c>
      <c r="F348" s="308">
        <v>2.4500000000000002</v>
      </c>
      <c r="G348" s="308">
        <v>0.93</v>
      </c>
      <c r="H348" s="308">
        <v>0.35</v>
      </c>
      <c r="I348" s="308">
        <f t="shared" si="9"/>
        <v>0.35</v>
      </c>
      <c r="J348" s="308">
        <f t="shared" si="7"/>
        <v>0.13172043010752685</v>
      </c>
      <c r="K348" s="308">
        <f t="shared" si="7"/>
        <v>4.9572204879176775E-2</v>
      </c>
      <c r="L348" s="308">
        <f t="shared" si="7"/>
        <v>1.8656206137324584E-2</v>
      </c>
      <c r="M348" s="307" t="str">
        <f t="shared" si="8"/>
        <v>%/year</v>
      </c>
      <c r="N348" s="307"/>
      <c r="O348" s="307"/>
      <c r="P348" s="310" t="s">
        <v>593</v>
      </c>
      <c r="Q348" s="307"/>
    </row>
    <row r="349" spans="1:17" x14ac:dyDescent="0.2">
      <c r="A349" s="307"/>
      <c r="B349" s="307" t="str">
        <f t="shared" si="6"/>
        <v>IA</v>
      </c>
      <c r="C349" s="308">
        <v>7.12</v>
      </c>
      <c r="D349" s="308">
        <v>6.89</v>
      </c>
      <c r="E349" s="308">
        <v>5.91</v>
      </c>
      <c r="F349" s="308">
        <v>4.76</v>
      </c>
      <c r="G349" s="308">
        <v>3.23</v>
      </c>
      <c r="H349" s="308">
        <v>1.89</v>
      </c>
      <c r="I349" s="308">
        <f t="shared" si="9"/>
        <v>1.89</v>
      </c>
      <c r="J349" s="308">
        <f t="shared" si="7"/>
        <v>1.1059133126934986</v>
      </c>
      <c r="K349" s="308">
        <f t="shared" si="7"/>
        <v>0.64711336253582419</v>
      </c>
      <c r="L349" s="308">
        <f t="shared" si="7"/>
        <v>0.37865147219588469</v>
      </c>
      <c r="M349" s="307" t="str">
        <f t="shared" si="8"/>
        <v>%/year</v>
      </c>
      <c r="N349" s="307"/>
      <c r="O349" s="307"/>
      <c r="P349" s="310" t="s">
        <v>592</v>
      </c>
      <c r="Q349" s="307"/>
    </row>
    <row r="350" spans="1:17" x14ac:dyDescent="0.2">
      <c r="A350" s="307"/>
      <c r="B350" s="307" t="str">
        <f t="shared" si="6"/>
        <v>AF</v>
      </c>
      <c r="C350" s="308">
        <v>4.8600000000000003</v>
      </c>
      <c r="D350" s="308">
        <v>5.39</v>
      </c>
      <c r="E350" s="308">
        <v>5.86</v>
      </c>
      <c r="F350" s="308">
        <v>5.63</v>
      </c>
      <c r="G350" s="308">
        <v>5.03</v>
      </c>
      <c r="H350" s="308">
        <v>3.68</v>
      </c>
      <c r="I350" s="308">
        <f t="shared" si="9"/>
        <v>3.68</v>
      </c>
      <c r="J350" s="308">
        <f t="shared" si="7"/>
        <v>2.6923260437375744</v>
      </c>
      <c r="K350" s="308">
        <f t="shared" si="7"/>
        <v>1.9697335667901141</v>
      </c>
      <c r="L350" s="308">
        <f t="shared" si="7"/>
        <v>1.4410774405144373</v>
      </c>
      <c r="M350" s="307" t="str">
        <f t="shared" si="8"/>
        <v>%/year</v>
      </c>
      <c r="N350" s="307"/>
      <c r="O350" s="307"/>
      <c r="P350" s="307"/>
      <c r="Q350" s="307"/>
    </row>
    <row r="351" spans="1:17" ht="13.5" thickBot="1" x14ac:dyDescent="0.25">
      <c r="A351" s="307"/>
      <c r="B351" s="307" t="str">
        <f t="shared" si="6"/>
        <v>LA</v>
      </c>
      <c r="C351" s="311">
        <v>4.04</v>
      </c>
      <c r="D351" s="311">
        <v>4.1100000000000003</v>
      </c>
      <c r="E351" s="311">
        <v>3.92</v>
      </c>
      <c r="F351" s="311">
        <v>3.47</v>
      </c>
      <c r="G351" s="311">
        <v>2.81</v>
      </c>
      <c r="H351" s="311">
        <v>2.02</v>
      </c>
      <c r="I351" s="308">
        <f t="shared" si="9"/>
        <v>2.02</v>
      </c>
      <c r="J351" s="308">
        <f t="shared" si="7"/>
        <v>1.452099644128114</v>
      </c>
      <c r="K351" s="308">
        <f t="shared" si="7"/>
        <v>1.0438581071668294</v>
      </c>
      <c r="L351" s="308">
        <f t="shared" si="7"/>
        <v>0.75038910194910868</v>
      </c>
      <c r="M351" s="307" t="str">
        <f t="shared" si="8"/>
        <v>%/year</v>
      </c>
      <c r="N351" s="307"/>
      <c r="O351" s="307"/>
      <c r="P351" s="307"/>
      <c r="Q351" s="307"/>
    </row>
    <row r="352" spans="1:17" ht="13.5" thickTop="1" x14ac:dyDescent="0.2">
      <c r="A352" s="307" t="str">
        <f>A286</f>
        <v>Pop growth rates:</v>
      </c>
      <c r="B352" s="307"/>
      <c r="C352" s="307"/>
      <c r="D352" s="307"/>
      <c r="E352" s="307"/>
      <c r="F352" s="307"/>
      <c r="G352" s="307"/>
      <c r="H352" s="307"/>
      <c r="I352" s="307"/>
      <c r="J352" s="307"/>
      <c r="K352" s="307"/>
      <c r="L352" s="307"/>
      <c r="M352" s="307"/>
      <c r="N352" s="307"/>
      <c r="O352" s="307"/>
      <c r="P352" s="306"/>
      <c r="Q352" s="307"/>
    </row>
    <row r="353" spans="1:17" x14ac:dyDescent="0.2">
      <c r="A353" s="307"/>
      <c r="B353" s="307" t="str">
        <f t="shared" ref="B353:B360" si="10">B287</f>
        <v>EU</v>
      </c>
      <c r="C353" s="309">
        <v>0.45</v>
      </c>
      <c r="D353" s="309">
        <v>0.47</v>
      </c>
      <c r="E353" s="309">
        <v>0.4</v>
      </c>
      <c r="F353" s="309">
        <v>0.4</v>
      </c>
      <c r="G353" s="309">
        <v>0.3</v>
      </c>
      <c r="H353" s="309">
        <v>0.25</v>
      </c>
      <c r="I353" s="308">
        <v>0</v>
      </c>
      <c r="J353" s="308">
        <v>0</v>
      </c>
      <c r="K353" s="308">
        <v>0</v>
      </c>
      <c r="L353" s="308">
        <v>0</v>
      </c>
      <c r="M353" s="307" t="str">
        <f t="shared" ref="M353:M360" si="11">M287</f>
        <v>%/year</v>
      </c>
      <c r="N353" s="307"/>
      <c r="O353" s="307"/>
      <c r="P353" s="310">
        <f>P287</f>
        <v>0</v>
      </c>
      <c r="Q353" s="307"/>
    </row>
    <row r="354" spans="1:17" x14ac:dyDescent="0.2">
      <c r="A354" s="307"/>
      <c r="B354" s="307" t="str">
        <f t="shared" si="10"/>
        <v>US</v>
      </c>
      <c r="C354" s="308">
        <v>1.1200000000000001</v>
      </c>
      <c r="D354" s="308">
        <v>1.17</v>
      </c>
      <c r="E354" s="308">
        <v>1.07</v>
      </c>
      <c r="F354" s="308">
        <v>1.03</v>
      </c>
      <c r="G354" s="308">
        <v>0.91</v>
      </c>
      <c r="H354" s="308">
        <v>0.63</v>
      </c>
      <c r="I354" s="308">
        <v>0</v>
      </c>
      <c r="J354" s="308">
        <v>0</v>
      </c>
      <c r="K354" s="308">
        <v>0</v>
      </c>
      <c r="L354" s="308">
        <v>0</v>
      </c>
      <c r="M354" s="307" t="str">
        <f t="shared" si="11"/>
        <v>%/year</v>
      </c>
      <c r="N354" s="307"/>
      <c r="O354" s="307"/>
      <c r="P354" s="307"/>
      <c r="Q354" s="307"/>
    </row>
    <row r="355" spans="1:17" x14ac:dyDescent="0.2">
      <c r="A355" s="307"/>
      <c r="B355" s="307" t="str">
        <f t="shared" si="10"/>
        <v>OT</v>
      </c>
      <c r="C355" s="308">
        <v>0.56000000000000005</v>
      </c>
      <c r="D355" s="308">
        <v>0.47</v>
      </c>
      <c r="E355" s="308">
        <v>0.31</v>
      </c>
      <c r="F355" s="308">
        <v>0.24</v>
      </c>
      <c r="G355" s="308">
        <v>0.05</v>
      </c>
      <c r="H355" s="308">
        <v>-0.09</v>
      </c>
      <c r="I355" s="308">
        <v>0</v>
      </c>
      <c r="J355" s="308">
        <v>0</v>
      </c>
      <c r="K355" s="308">
        <v>0</v>
      </c>
      <c r="L355" s="308">
        <v>0</v>
      </c>
      <c r="M355" s="307" t="str">
        <f t="shared" si="11"/>
        <v>%/year</v>
      </c>
      <c r="N355" s="307"/>
      <c r="O355" s="307"/>
      <c r="P355" s="307"/>
      <c r="Q355" s="307"/>
    </row>
    <row r="356" spans="1:17" x14ac:dyDescent="0.2">
      <c r="A356" s="307"/>
      <c r="B356" s="307" t="str">
        <f t="shared" si="10"/>
        <v>EE</v>
      </c>
      <c r="C356" s="308">
        <v>-0.06</v>
      </c>
      <c r="D356" s="308">
        <v>-0.25</v>
      </c>
      <c r="E356" s="308">
        <v>-0.34</v>
      </c>
      <c r="F356" s="308">
        <v>-0.47</v>
      </c>
      <c r="G356" s="308">
        <v>-0.73</v>
      </c>
      <c r="H356" s="308">
        <v>-0.85</v>
      </c>
      <c r="I356" s="308">
        <v>0</v>
      </c>
      <c r="J356" s="308">
        <v>0</v>
      </c>
      <c r="K356" s="308">
        <v>0</v>
      </c>
      <c r="L356" s="308">
        <v>0</v>
      </c>
      <c r="M356" s="307" t="str">
        <f t="shared" si="11"/>
        <v>%/year</v>
      </c>
      <c r="N356" s="307"/>
      <c r="O356" s="307"/>
      <c r="P356" s="307"/>
      <c r="Q356" s="307"/>
    </row>
    <row r="357" spans="1:17" x14ac:dyDescent="0.2">
      <c r="A357" s="307"/>
      <c r="B357" s="307" t="str">
        <f t="shared" si="10"/>
        <v>CA</v>
      </c>
      <c r="C357" s="308">
        <v>0.17</v>
      </c>
      <c r="D357" s="308">
        <v>-0.1</v>
      </c>
      <c r="E357" s="308">
        <v>-0.39</v>
      </c>
      <c r="F357" s="308">
        <v>-0.71</v>
      </c>
      <c r="G357" s="308">
        <v>-1.1399999999999999</v>
      </c>
      <c r="H357" s="308">
        <v>-1.48</v>
      </c>
      <c r="I357" s="308">
        <v>0</v>
      </c>
      <c r="J357" s="308">
        <v>0</v>
      </c>
      <c r="K357" s="308">
        <v>0</v>
      </c>
      <c r="L357" s="308">
        <v>0</v>
      </c>
      <c r="M357" s="307" t="str">
        <f t="shared" si="11"/>
        <v>%/year</v>
      </c>
      <c r="N357" s="307"/>
      <c r="O357" s="307"/>
      <c r="P357" s="307"/>
      <c r="Q357" s="307"/>
    </row>
    <row r="358" spans="1:17" x14ac:dyDescent="0.2">
      <c r="A358" s="307"/>
      <c r="B358" s="307" t="str">
        <f t="shared" si="10"/>
        <v>IA</v>
      </c>
      <c r="C358" s="308">
        <v>0.91</v>
      </c>
      <c r="D358" s="308">
        <v>0.63</v>
      </c>
      <c r="E358" s="308">
        <v>0.36</v>
      </c>
      <c r="F358" s="308">
        <v>0.08</v>
      </c>
      <c r="G358" s="308">
        <v>-0.37</v>
      </c>
      <c r="H358" s="308">
        <v>-0.84</v>
      </c>
      <c r="I358" s="308">
        <v>0</v>
      </c>
      <c r="J358" s="308">
        <v>0</v>
      </c>
      <c r="K358" s="308">
        <v>0</v>
      </c>
      <c r="L358" s="308">
        <v>0</v>
      </c>
      <c r="M358" s="307" t="str">
        <f t="shared" si="11"/>
        <v>%/year</v>
      </c>
      <c r="N358" s="307"/>
      <c r="O358" s="307"/>
      <c r="P358" s="307"/>
      <c r="Q358" s="307"/>
    </row>
    <row r="359" spans="1:17" x14ac:dyDescent="0.2">
      <c r="A359" s="307"/>
      <c r="B359" s="307" t="str">
        <f t="shared" si="10"/>
        <v>AF</v>
      </c>
      <c r="C359" s="308">
        <v>1.75</v>
      </c>
      <c r="D359" s="308">
        <v>1.48</v>
      </c>
      <c r="E359" s="308">
        <v>1.28</v>
      </c>
      <c r="F359" s="308">
        <v>1.01</v>
      </c>
      <c r="G359" s="308">
        <v>0.61</v>
      </c>
      <c r="H359" s="308">
        <v>0.1</v>
      </c>
      <c r="I359" s="308">
        <v>0</v>
      </c>
      <c r="J359" s="308">
        <v>0</v>
      </c>
      <c r="K359" s="308">
        <v>0</v>
      </c>
      <c r="L359" s="308">
        <v>0</v>
      </c>
      <c r="M359" s="307" t="str">
        <f t="shared" si="11"/>
        <v>%/year</v>
      </c>
      <c r="N359" s="307"/>
      <c r="O359" s="307"/>
      <c r="P359" s="307"/>
      <c r="Q359" s="307"/>
    </row>
    <row r="360" spans="1:17" ht="13.5" thickBot="1" x14ac:dyDescent="0.25">
      <c r="A360" s="307"/>
      <c r="B360" s="307" t="str">
        <f t="shared" si="10"/>
        <v>LA</v>
      </c>
      <c r="C360" s="311">
        <v>0.73</v>
      </c>
      <c r="D360" s="311">
        <v>0.52</v>
      </c>
      <c r="E360" s="311">
        <v>0.28999999999999998</v>
      </c>
      <c r="F360" s="311">
        <v>0</v>
      </c>
      <c r="G360" s="311">
        <v>-0.32</v>
      </c>
      <c r="H360" s="311">
        <v>-0.69</v>
      </c>
      <c r="I360" s="308">
        <v>0</v>
      </c>
      <c r="J360" s="308">
        <v>0</v>
      </c>
      <c r="K360" s="308">
        <v>0</v>
      </c>
      <c r="L360" s="308">
        <v>0</v>
      </c>
      <c r="M360" s="307" t="str">
        <f t="shared" si="11"/>
        <v>%/year</v>
      </c>
      <c r="N360" s="307"/>
      <c r="O360" s="307"/>
      <c r="P360" s="307"/>
      <c r="Q360" s="307"/>
    </row>
    <row r="361" spans="1:17" ht="13.5" thickTop="1" x14ac:dyDescent="0.2">
      <c r="A361" s="307"/>
      <c r="B361" s="307"/>
      <c r="C361" s="307"/>
      <c r="D361" s="307"/>
      <c r="E361" s="307"/>
      <c r="F361" s="307"/>
      <c r="G361" s="307"/>
      <c r="H361" s="307"/>
      <c r="I361" s="307"/>
      <c r="J361" s="307"/>
      <c r="K361" s="307"/>
      <c r="L361" s="307"/>
      <c r="M361" s="307"/>
      <c r="N361" s="307"/>
      <c r="O361" s="307"/>
      <c r="P361" s="307"/>
      <c r="Q361" s="307"/>
    </row>
    <row r="362" spans="1:17" x14ac:dyDescent="0.2">
      <c r="A362" s="307"/>
      <c r="B362" s="307"/>
      <c r="C362" s="307"/>
      <c r="D362" s="307"/>
      <c r="E362" s="307"/>
      <c r="F362" s="307"/>
      <c r="G362" s="307"/>
      <c r="H362" s="307"/>
      <c r="I362" s="307"/>
      <c r="J362" s="307"/>
      <c r="K362" s="307"/>
      <c r="L362" s="307"/>
      <c r="M362" s="307"/>
      <c r="N362" s="307"/>
      <c r="O362" s="307"/>
      <c r="P362" s="307"/>
      <c r="Q362" s="307"/>
    </row>
    <row r="363" spans="1:17" x14ac:dyDescent="0.2">
      <c r="A363" s="306" t="s">
        <v>644</v>
      </c>
      <c r="B363" s="307"/>
      <c r="C363" s="307"/>
      <c r="D363" s="307"/>
      <c r="E363" s="307"/>
      <c r="F363" s="307"/>
      <c r="G363" s="307"/>
      <c r="H363" s="307"/>
      <c r="I363" s="307"/>
      <c r="J363" s="307"/>
      <c r="K363" s="307"/>
      <c r="L363" s="307"/>
      <c r="M363" s="307"/>
      <c r="N363" s="307"/>
      <c r="O363" s="307"/>
      <c r="P363" s="307"/>
      <c r="Q363" s="307"/>
    </row>
    <row r="364" spans="1:17" x14ac:dyDescent="0.2">
      <c r="A364" s="306" t="s">
        <v>641</v>
      </c>
      <c r="B364" s="307"/>
      <c r="C364" s="307"/>
      <c r="D364" s="307"/>
      <c r="E364" s="307"/>
      <c r="F364" s="307"/>
      <c r="G364" s="307"/>
      <c r="H364" s="307"/>
      <c r="I364" s="307"/>
      <c r="J364" s="307"/>
      <c r="K364" s="307"/>
      <c r="L364" s="307"/>
      <c r="M364" s="308"/>
      <c r="N364" s="307"/>
      <c r="O364" s="307"/>
      <c r="P364" s="307"/>
      <c r="Q364" s="307"/>
    </row>
    <row r="365" spans="1:17" x14ac:dyDescent="0.2">
      <c r="A365" s="307" t="str">
        <f>A342</f>
        <v>GDP growth rates:</v>
      </c>
      <c r="B365" s="307" t="str">
        <f>B342</f>
        <v>start</v>
      </c>
      <c r="C365" s="307">
        <f>Y_0</f>
        <v>2015</v>
      </c>
      <c r="D365" s="307">
        <f t="array" ref="D365:L365">Y</f>
        <v>2020</v>
      </c>
      <c r="E365" s="307">
        <v>2025</v>
      </c>
      <c r="F365" s="307">
        <v>2030</v>
      </c>
      <c r="G365" s="307">
        <v>2040</v>
      </c>
      <c r="H365" s="307">
        <v>2050</v>
      </c>
      <c r="I365" s="307">
        <v>2060</v>
      </c>
      <c r="J365" s="307">
        <v>2070</v>
      </c>
      <c r="K365" s="307">
        <v>2080</v>
      </c>
      <c r="L365" s="307">
        <v>2090</v>
      </c>
      <c r="M365" s="307"/>
      <c r="N365" s="307"/>
      <c r="O365" s="307"/>
      <c r="P365" s="307"/>
      <c r="Q365" s="307"/>
    </row>
    <row r="366" spans="1:17" x14ac:dyDescent="0.2">
      <c r="A366" s="307"/>
      <c r="B366" s="307" t="str">
        <f t="shared" ref="B366:B374" si="12">B343</f>
        <v>end</v>
      </c>
      <c r="C366" s="307">
        <f t="array" ref="C366:L366">Y</f>
        <v>2020</v>
      </c>
      <c r="D366" s="307">
        <v>2025</v>
      </c>
      <c r="E366" s="307">
        <v>2030</v>
      </c>
      <c r="F366" s="307">
        <v>2040</v>
      </c>
      <c r="G366" s="307">
        <v>2050</v>
      </c>
      <c r="H366" s="307">
        <v>2060</v>
      </c>
      <c r="I366" s="307">
        <v>2070</v>
      </c>
      <c r="J366" s="307">
        <v>2080</v>
      </c>
      <c r="K366" s="307">
        <v>2090</v>
      </c>
      <c r="L366" s="307">
        <v>2100</v>
      </c>
      <c r="M366" s="307"/>
      <c r="N366" s="307"/>
      <c r="O366" s="307"/>
      <c r="P366" s="307"/>
      <c r="Q366" s="307"/>
    </row>
    <row r="367" spans="1:17" x14ac:dyDescent="0.2">
      <c r="A367" s="307"/>
      <c r="B367" s="307" t="str">
        <f t="shared" si="12"/>
        <v>EU</v>
      </c>
      <c r="C367" s="309">
        <f t="array" ref="C367:L374">(SSP2_GDP_RATE + SSP3_GDP_RATE + SSP4_GDP_RATE)/3</f>
        <v>1.7582246156689738</v>
      </c>
      <c r="D367" s="309">
        <v>1.5684337463700306</v>
      </c>
      <c r="E367" s="309">
        <v>1.4149009827685068</v>
      </c>
      <c r="F367" s="309">
        <v>1.2067689330205573</v>
      </c>
      <c r="G367" s="309">
        <v>1.0162614920758437</v>
      </c>
      <c r="H367" s="309">
        <v>0.93749704725566962</v>
      </c>
      <c r="I367" s="308">
        <v>0.92195136396497324</v>
      </c>
      <c r="J367" s="308">
        <v>0.83165484684600299</v>
      </c>
      <c r="K367" s="308">
        <v>0.76270162503414662</v>
      </c>
      <c r="L367" s="308">
        <v>0.71820107250664433</v>
      </c>
      <c r="M367" s="307" t="str">
        <f t="shared" ref="M367:M374" si="13">M344</f>
        <v>%/year</v>
      </c>
      <c r="N367" s="307"/>
      <c r="O367" s="307"/>
      <c r="P367" s="312" t="s">
        <v>646</v>
      </c>
      <c r="Q367" s="310"/>
    </row>
    <row r="368" spans="1:17" x14ac:dyDescent="0.2">
      <c r="A368" s="307"/>
      <c r="B368" s="307" t="str">
        <f t="shared" si="12"/>
        <v>US</v>
      </c>
      <c r="C368" s="308">
        <v>2.4263462730389613</v>
      </c>
      <c r="D368" s="308">
        <v>1.939057769370429</v>
      </c>
      <c r="E368" s="308">
        <v>1.5094367801560813</v>
      </c>
      <c r="F368" s="308">
        <v>1.2551077161282749</v>
      </c>
      <c r="G368" s="308">
        <v>1.0698686100494463</v>
      </c>
      <c r="H368" s="308">
        <v>0.93935823212176739</v>
      </c>
      <c r="I368" s="308">
        <v>0.94180405666932632</v>
      </c>
      <c r="J368" s="308">
        <v>0.8841285310050474</v>
      </c>
      <c r="K368" s="308">
        <v>0.81768628018262357</v>
      </c>
      <c r="L368" s="308">
        <v>0.75633775668682324</v>
      </c>
      <c r="M368" s="307" t="str">
        <f t="shared" si="13"/>
        <v>%/year</v>
      </c>
      <c r="N368" s="307"/>
      <c r="O368" s="307"/>
      <c r="P368" s="312"/>
      <c r="Q368" s="307"/>
    </row>
    <row r="369" spans="1:17" x14ac:dyDescent="0.2">
      <c r="A369" s="307"/>
      <c r="B369" s="307" t="str">
        <f t="shared" si="12"/>
        <v>OT</v>
      </c>
      <c r="C369" s="308">
        <v>2.0237653904754476</v>
      </c>
      <c r="D369" s="308">
        <v>1.7686285432917905</v>
      </c>
      <c r="E369" s="308">
        <v>1.4978393538752213</v>
      </c>
      <c r="F369" s="308">
        <v>1.2801805035576224</v>
      </c>
      <c r="G369" s="308">
        <v>1.0508709133099188</v>
      </c>
      <c r="H369" s="308">
        <v>0.91059952120912546</v>
      </c>
      <c r="I369" s="308">
        <v>0.86909780426136563</v>
      </c>
      <c r="J369" s="308">
        <v>0.74383043406216576</v>
      </c>
      <c r="K369" s="308">
        <v>0.6523005564737141</v>
      </c>
      <c r="L369" s="308">
        <v>0.59391883125473288</v>
      </c>
      <c r="M369" s="307" t="str">
        <f t="shared" si="13"/>
        <v>%/year</v>
      </c>
      <c r="N369" s="307"/>
      <c r="O369" s="307"/>
      <c r="P369" s="312"/>
      <c r="Q369" s="307"/>
    </row>
    <row r="370" spans="1:17" x14ac:dyDescent="0.2">
      <c r="A370" s="307"/>
      <c r="B370" s="307" t="str">
        <f t="shared" si="12"/>
        <v>EE</v>
      </c>
      <c r="C370" s="308">
        <v>3.5227371129858689</v>
      </c>
      <c r="D370" s="308">
        <v>3.2862013399746353</v>
      </c>
      <c r="E370" s="308">
        <v>2.8276989692711205</v>
      </c>
      <c r="F370" s="308">
        <v>1.8110350249859548</v>
      </c>
      <c r="G370" s="308">
        <v>1.3204944392044469</v>
      </c>
      <c r="H370" s="308">
        <v>1.2274069839245938</v>
      </c>
      <c r="I370" s="308">
        <v>1.1948184348725495</v>
      </c>
      <c r="J370" s="308">
        <v>1.1458723010693797</v>
      </c>
      <c r="K370" s="308">
        <v>1.2782534765311184</v>
      </c>
      <c r="L370" s="308">
        <v>1.4767478876330138</v>
      </c>
      <c r="M370" s="307" t="str">
        <f t="shared" si="13"/>
        <v>%/year</v>
      </c>
      <c r="N370" s="307"/>
      <c r="O370" s="307"/>
      <c r="P370" s="312"/>
      <c r="Q370" s="307"/>
    </row>
    <row r="371" spans="1:17" x14ac:dyDescent="0.2">
      <c r="A371" s="307"/>
      <c r="B371" s="307" t="str">
        <f t="shared" si="12"/>
        <v>CA</v>
      </c>
      <c r="C371" s="308">
        <v>7.4406835023985023</v>
      </c>
      <c r="D371" s="308">
        <v>5.3141536905078395</v>
      </c>
      <c r="E371" s="308">
        <v>3.6347929996246031</v>
      </c>
      <c r="F371" s="308">
        <v>2.3096221642747139</v>
      </c>
      <c r="G371" s="308">
        <v>1.0716458557771207</v>
      </c>
      <c r="H371" s="308">
        <v>0.43827618550826686</v>
      </c>
      <c r="I371" s="308">
        <v>0.29228230172959457</v>
      </c>
      <c r="J371" s="308">
        <v>0.11964848798215695</v>
      </c>
      <c r="K371" s="308">
        <v>1.5117568394683886E-2</v>
      </c>
      <c r="L371" s="308">
        <v>-9.4631441708273686E-2</v>
      </c>
      <c r="M371" s="307" t="str">
        <f t="shared" si="13"/>
        <v>%/year</v>
      </c>
      <c r="N371" s="307"/>
      <c r="O371" s="307"/>
      <c r="P371" s="312"/>
      <c r="Q371" s="307"/>
    </row>
    <row r="372" spans="1:17" x14ac:dyDescent="0.2">
      <c r="A372" s="307"/>
      <c r="B372" s="307" t="str">
        <f t="shared" si="12"/>
        <v>IA</v>
      </c>
      <c r="C372" s="308">
        <v>6.0577552160580241</v>
      </c>
      <c r="D372" s="308">
        <v>5.379169784716443</v>
      </c>
      <c r="E372" s="308">
        <v>4.6329426476807605</v>
      </c>
      <c r="F372" s="308">
        <v>3.7905049367794788</v>
      </c>
      <c r="G372" s="308">
        <v>2.7597131355723796</v>
      </c>
      <c r="H372" s="308">
        <v>1.9440726838266535</v>
      </c>
      <c r="I372" s="308">
        <v>1.7360645327121951</v>
      </c>
      <c r="J372" s="308">
        <v>1.2749450821104971</v>
      </c>
      <c r="K372" s="308">
        <v>0.98892944287198936</v>
      </c>
      <c r="L372" s="308">
        <v>0.77051522615907242</v>
      </c>
      <c r="M372" s="307" t="str">
        <f t="shared" si="13"/>
        <v>%/year</v>
      </c>
      <c r="N372" s="307"/>
      <c r="O372" s="307"/>
      <c r="P372" s="312"/>
      <c r="Q372" s="307"/>
    </row>
    <row r="373" spans="1:17" x14ac:dyDescent="0.2">
      <c r="A373" s="307"/>
      <c r="B373" s="307" t="str">
        <f t="shared" si="12"/>
        <v>AF</v>
      </c>
      <c r="C373" s="308">
        <v>4.5459770140094378</v>
      </c>
      <c r="D373" s="308">
        <v>4.3553791312337511</v>
      </c>
      <c r="E373" s="308">
        <v>4.3631817964425261</v>
      </c>
      <c r="F373" s="308">
        <v>4.0640990686743388</v>
      </c>
      <c r="G373" s="308">
        <v>3.8148689488159051</v>
      </c>
      <c r="H373" s="308">
        <v>3.6234857590040921</v>
      </c>
      <c r="I373" s="308">
        <v>3.4519178039110296</v>
      </c>
      <c r="J373" s="308">
        <v>3.3055158630559802</v>
      </c>
      <c r="K373" s="308">
        <v>3.2339648021479364</v>
      </c>
      <c r="L373" s="308">
        <v>3.1615981986181119</v>
      </c>
      <c r="M373" s="307" t="str">
        <f t="shared" si="13"/>
        <v>%/year</v>
      </c>
      <c r="N373" s="307"/>
      <c r="O373" s="307"/>
      <c r="P373" s="312"/>
      <c r="Q373" s="307"/>
    </row>
    <row r="374" spans="1:17" ht="13.5" thickBot="1" x14ac:dyDescent="0.25">
      <c r="A374" s="307"/>
      <c r="B374" s="307" t="str">
        <f t="shared" si="12"/>
        <v>LA</v>
      </c>
      <c r="C374" s="311">
        <v>3.568005261824736</v>
      </c>
      <c r="D374" s="311">
        <v>3.1567606727500812</v>
      </c>
      <c r="E374" s="311">
        <v>2.9161633002490071</v>
      </c>
      <c r="F374" s="311">
        <v>2.6851005128843397</v>
      </c>
      <c r="G374" s="311">
        <v>2.3098952995483795</v>
      </c>
      <c r="H374" s="311">
        <v>1.8400713745527089</v>
      </c>
      <c r="I374" s="308">
        <v>1.6674983639186689</v>
      </c>
      <c r="J374" s="308">
        <v>1.3853709903876641</v>
      </c>
      <c r="K374" s="308">
        <v>1.1735457984391322</v>
      </c>
      <c r="L374" s="308">
        <v>0.9743914119658087</v>
      </c>
      <c r="M374" s="307" t="str">
        <f t="shared" si="13"/>
        <v>%/year</v>
      </c>
      <c r="N374" s="307"/>
      <c r="O374" s="307"/>
      <c r="P374" s="312"/>
      <c r="Q374" s="307"/>
    </row>
    <row r="375" spans="1:17" ht="13.5" thickTop="1" x14ac:dyDescent="0.2">
      <c r="A375" s="307" t="str">
        <f>A352</f>
        <v>Pop growth rates:</v>
      </c>
      <c r="B375" s="307"/>
      <c r="C375" s="307"/>
      <c r="D375" s="307"/>
      <c r="E375" s="307"/>
      <c r="F375" s="307"/>
      <c r="G375" s="307"/>
      <c r="H375" s="307"/>
      <c r="I375" s="307"/>
      <c r="J375" s="307"/>
      <c r="K375" s="307"/>
      <c r="L375" s="307"/>
      <c r="M375" s="307"/>
      <c r="N375" s="307"/>
      <c r="O375" s="307"/>
      <c r="P375" s="312"/>
      <c r="Q375" s="307"/>
    </row>
    <row r="376" spans="1:17" x14ac:dyDescent="0.2">
      <c r="A376" s="307"/>
      <c r="B376" s="307" t="str">
        <f t="shared" ref="B376:B383" si="14">B353</f>
        <v>EU</v>
      </c>
      <c r="C376" s="309">
        <f t="array" ref="C376:L383">(SSP2_POP_RATE + SSP3_POP_RATE + SSP4_POP_RATE)/3</f>
        <v>8.7815757512281087E-2</v>
      </c>
      <c r="D376" s="309">
        <v>-1.3116253205338796E-2</v>
      </c>
      <c r="E376" s="309">
        <v>-0.11389356379632204</v>
      </c>
      <c r="F376" s="309">
        <v>-0.23681328066045468</v>
      </c>
      <c r="G376" s="309">
        <v>-0.39414372299598938</v>
      </c>
      <c r="H376" s="309">
        <v>-0.42579680512335827</v>
      </c>
      <c r="I376" s="308">
        <v>0.15358578226437972</v>
      </c>
      <c r="J376" s="308">
        <v>0.1184738184341579</v>
      </c>
      <c r="K376" s="308">
        <v>8.0240067989767461E-2</v>
      </c>
      <c r="L376" s="308">
        <v>4.9963458032949624E-2</v>
      </c>
      <c r="M376" s="307" t="str">
        <f t="shared" ref="M376:M383" si="15">M353</f>
        <v>%/year</v>
      </c>
      <c r="N376" s="307"/>
      <c r="O376" s="307"/>
      <c r="P376" s="312" t="s">
        <v>646</v>
      </c>
      <c r="Q376" s="310"/>
    </row>
    <row r="377" spans="1:17" x14ac:dyDescent="0.2">
      <c r="A377" s="307"/>
      <c r="B377" s="307" t="str">
        <f t="shared" si="14"/>
        <v>US</v>
      </c>
      <c r="C377" s="308">
        <v>0.61332681307393278</v>
      </c>
      <c r="D377" s="308">
        <v>0.51047611830881834</v>
      </c>
      <c r="E377" s="308">
        <v>0.39167863828551014</v>
      </c>
      <c r="F377" s="308">
        <v>0.22257758445551165</v>
      </c>
      <c r="G377" s="308">
        <v>6.6868348876739134E-2</v>
      </c>
      <c r="H377" s="308">
        <v>-0.12303710998560162</v>
      </c>
      <c r="I377" s="308">
        <v>0.31928928479542468</v>
      </c>
      <c r="J377" s="308">
        <v>0.28070733909589435</v>
      </c>
      <c r="K377" s="308">
        <v>0.22732980769354741</v>
      </c>
      <c r="L377" s="308">
        <v>0.17096921037628535</v>
      </c>
      <c r="M377" s="307" t="str">
        <f t="shared" si="15"/>
        <v>%/year</v>
      </c>
      <c r="N377" s="307"/>
      <c r="O377" s="307"/>
      <c r="P377" s="312"/>
      <c r="Q377" s="307"/>
    </row>
    <row r="378" spans="1:17" x14ac:dyDescent="0.2">
      <c r="A378" s="307"/>
      <c r="B378" s="307" t="str">
        <f t="shared" si="14"/>
        <v>OT</v>
      </c>
      <c r="C378" s="308">
        <v>0.3464377331754071</v>
      </c>
      <c r="D378" s="308">
        <v>0.17876724655108775</v>
      </c>
      <c r="E378" s="308">
        <v>1.2911487218000783E-2</v>
      </c>
      <c r="F378" s="308">
        <v>-0.12669322129190819</v>
      </c>
      <c r="G378" s="308">
        <v>-0.31435890135251643</v>
      </c>
      <c r="H378" s="308">
        <v>-0.41536071676858305</v>
      </c>
      <c r="I378" s="308">
        <v>7.3615693537254501E-2</v>
      </c>
      <c r="J378" s="308">
        <v>2.8526640103221368E-2</v>
      </c>
      <c r="K378" s="308">
        <v>-1.8945366080728537E-2</v>
      </c>
      <c r="L378" s="308">
        <v>-5.8574783562940581E-2</v>
      </c>
      <c r="M378" s="307" t="str">
        <f t="shared" si="15"/>
        <v>%/year</v>
      </c>
      <c r="N378" s="307"/>
      <c r="O378" s="307"/>
      <c r="P378" s="307"/>
      <c r="Q378" s="307"/>
    </row>
    <row r="379" spans="1:17" x14ac:dyDescent="0.2">
      <c r="A379" s="307"/>
      <c r="B379" s="307" t="str">
        <f t="shared" si="14"/>
        <v>EE</v>
      </c>
      <c r="C379" s="308">
        <v>6.5630939618089412E-2</v>
      </c>
      <c r="D379" s="308">
        <v>-7.8589098063484353E-2</v>
      </c>
      <c r="E379" s="308">
        <v>-0.14761937329786581</v>
      </c>
      <c r="F379" s="308">
        <v>-0.15639311579010726</v>
      </c>
      <c r="G379" s="308">
        <v>-0.29874820139835906</v>
      </c>
      <c r="H379" s="308">
        <v>-0.32078219612331355</v>
      </c>
      <c r="I379" s="308">
        <v>-0.17670322898562704</v>
      </c>
      <c r="J379" s="308">
        <v>-0.24025426390699156</v>
      </c>
      <c r="K379" s="308">
        <v>-0.29536179047787342</v>
      </c>
      <c r="L379" s="308">
        <v>-0.33733585866084032</v>
      </c>
      <c r="M379" s="307" t="str">
        <f t="shared" si="15"/>
        <v>%/year</v>
      </c>
      <c r="N379" s="307"/>
      <c r="O379" s="307"/>
      <c r="P379" s="307"/>
      <c r="Q379" s="307"/>
    </row>
    <row r="380" spans="1:17" x14ac:dyDescent="0.2">
      <c r="A380" s="307"/>
      <c r="B380" s="307" t="str">
        <f t="shared" si="14"/>
        <v>CA</v>
      </c>
      <c r="C380" s="308">
        <v>0.28666272790445552</v>
      </c>
      <c r="D380" s="308">
        <v>4.684549657005594E-2</v>
      </c>
      <c r="E380" s="308">
        <v>-0.21586110893880428</v>
      </c>
      <c r="F380" s="308">
        <v>-0.46252853373450425</v>
      </c>
      <c r="G380" s="308">
        <v>-0.76703112649608851</v>
      </c>
      <c r="H380" s="308">
        <v>-0.91590101091489295</v>
      </c>
      <c r="I380" s="308">
        <v>-0.36584295669038019</v>
      </c>
      <c r="J380" s="308">
        <v>-0.41599712323435734</v>
      </c>
      <c r="K380" s="308">
        <v>-0.47674878558316242</v>
      </c>
      <c r="L380" s="308">
        <v>-0.55410126037608309</v>
      </c>
      <c r="M380" s="307" t="str">
        <f t="shared" si="15"/>
        <v>%/year</v>
      </c>
      <c r="N380" s="307"/>
      <c r="O380" s="307"/>
      <c r="P380" s="307"/>
      <c r="Q380" s="307"/>
    </row>
    <row r="381" spans="1:17" x14ac:dyDescent="0.2">
      <c r="A381" s="307"/>
      <c r="B381" s="307" t="str">
        <f t="shared" si="14"/>
        <v>IA</v>
      </c>
      <c r="C381" s="308">
        <v>1.1775115779128738</v>
      </c>
      <c r="D381" s="308">
        <v>0.93375066920651395</v>
      </c>
      <c r="E381" s="308">
        <v>0.67401517990109028</v>
      </c>
      <c r="F381" s="308">
        <v>0.46774899443355228</v>
      </c>
      <c r="G381" s="308">
        <v>0.12336335410222266</v>
      </c>
      <c r="H381" s="308">
        <v>-0.1466335104704426</v>
      </c>
      <c r="I381" s="308">
        <v>-0.13155777855233808</v>
      </c>
      <c r="J381" s="308">
        <v>-0.20656584748878584</v>
      </c>
      <c r="K381" s="308">
        <v>-0.27763764597405666</v>
      </c>
      <c r="L381" s="308">
        <v>-0.33935156619209578</v>
      </c>
      <c r="M381" s="307" t="str">
        <f t="shared" si="15"/>
        <v>%/year</v>
      </c>
      <c r="N381" s="307"/>
      <c r="O381" s="307"/>
      <c r="P381" s="307"/>
      <c r="Q381" s="307"/>
    </row>
    <row r="382" spans="1:17" x14ac:dyDescent="0.2">
      <c r="A382" s="307"/>
      <c r="B382" s="307" t="str">
        <f t="shared" si="14"/>
        <v>AF</v>
      </c>
      <c r="C382" s="308">
        <v>2.3152993564748945</v>
      </c>
      <c r="D382" s="308">
        <v>2.1205848273291434</v>
      </c>
      <c r="E382" s="308">
        <v>1.9373957873448731</v>
      </c>
      <c r="F382" s="308">
        <v>1.793131080884792</v>
      </c>
      <c r="G382" s="308">
        <v>1.4539144762848217</v>
      </c>
      <c r="H382" s="308">
        <v>1.0589410516130784</v>
      </c>
      <c r="I382" s="308">
        <v>7.8568548198520993E-2</v>
      </c>
      <c r="J382" s="308">
        <v>7.4706281154727589E-3</v>
      </c>
      <c r="K382" s="308">
        <v>-5.61849665203192E-2</v>
      </c>
      <c r="L382" s="308">
        <v>-0.11376026741494183</v>
      </c>
      <c r="M382" s="307" t="str">
        <f t="shared" si="15"/>
        <v>%/year</v>
      </c>
      <c r="N382" s="307"/>
      <c r="O382" s="307"/>
      <c r="P382" s="307"/>
      <c r="Q382" s="307"/>
    </row>
    <row r="383" spans="1:17" ht="13.5" thickBot="1" x14ac:dyDescent="0.25">
      <c r="A383" s="307"/>
      <c r="B383" s="307" t="str">
        <f t="shared" si="14"/>
        <v>LA</v>
      </c>
      <c r="C383" s="311">
        <v>1.0062950031982927</v>
      </c>
      <c r="D383" s="311">
        <v>0.84585490162975618</v>
      </c>
      <c r="E383" s="311">
        <v>0.65599873083482685</v>
      </c>
      <c r="F383" s="311">
        <v>0.43949099358502369</v>
      </c>
      <c r="G383" s="311">
        <v>0.17618334267580213</v>
      </c>
      <c r="H383" s="311">
        <v>1.6028143233901435E-2</v>
      </c>
      <c r="I383" s="308">
        <v>-0.1849714657456499</v>
      </c>
      <c r="J383" s="308">
        <v>-0.23240504661432201</v>
      </c>
      <c r="K383" s="308">
        <v>-0.29534840398522205</v>
      </c>
      <c r="L383" s="308">
        <v>-0.37574607691184259</v>
      </c>
      <c r="M383" s="307" t="str">
        <f t="shared" si="15"/>
        <v>%/year</v>
      </c>
      <c r="N383" s="307"/>
      <c r="O383" s="307"/>
      <c r="P383" s="307"/>
      <c r="Q383" s="307"/>
    </row>
    <row r="384" spans="1:17" ht="13.5" thickTop="1" x14ac:dyDescent="0.2">
      <c r="A384" s="307"/>
      <c r="B384" s="307"/>
      <c r="C384" s="307"/>
      <c r="D384" s="307"/>
      <c r="E384" s="307"/>
      <c r="F384" s="307"/>
      <c r="G384" s="307"/>
      <c r="H384" s="307"/>
      <c r="I384" s="307"/>
      <c r="J384" s="307"/>
      <c r="K384" s="307"/>
      <c r="L384" s="307"/>
      <c r="M384" s="307"/>
      <c r="N384" s="307"/>
      <c r="O384" s="307"/>
      <c r="P384" s="307"/>
      <c r="Q384" s="307"/>
    </row>
    <row r="385" spans="1:26" x14ac:dyDescent="0.2">
      <c r="A385" s="307"/>
      <c r="B385" s="307"/>
      <c r="C385" s="307"/>
      <c r="D385" s="307"/>
      <c r="E385" s="307"/>
      <c r="F385" s="307"/>
      <c r="G385" s="307"/>
      <c r="H385" s="307"/>
      <c r="I385" s="307"/>
      <c r="J385" s="307"/>
      <c r="K385" s="307"/>
      <c r="L385" s="307"/>
      <c r="M385" s="307"/>
      <c r="N385" s="307"/>
      <c r="O385" s="307"/>
      <c r="P385" s="307"/>
      <c r="Q385" s="307"/>
    </row>
    <row r="386" spans="1:26" x14ac:dyDescent="0.2">
      <c r="A386" s="306" t="s">
        <v>1020</v>
      </c>
      <c r="B386" s="307"/>
      <c r="C386" s="307"/>
      <c r="D386" s="307"/>
      <c r="E386" s="307"/>
      <c r="F386" s="307"/>
      <c r="G386" s="307"/>
      <c r="H386" s="307"/>
      <c r="I386" s="307"/>
      <c r="J386" s="307"/>
      <c r="K386" s="307"/>
      <c r="L386" s="307"/>
      <c r="M386" s="307"/>
      <c r="N386" s="307"/>
      <c r="O386" s="307"/>
      <c r="P386" s="307"/>
      <c r="Q386" s="307"/>
    </row>
    <row r="387" spans="1:26" x14ac:dyDescent="0.2">
      <c r="A387" s="307" t="str">
        <f t="shared" ref="A387:B387" si="16">A365</f>
        <v>GDP growth rates:</v>
      </c>
      <c r="B387" s="307" t="str">
        <f t="shared" si="16"/>
        <v>start</v>
      </c>
      <c r="C387" s="307">
        <f>Y_0</f>
        <v>2015</v>
      </c>
      <c r="D387" s="307">
        <f t="array" ref="D387:L387">Y</f>
        <v>2020</v>
      </c>
      <c r="E387" s="307">
        <v>2025</v>
      </c>
      <c r="F387" s="307">
        <v>2030</v>
      </c>
      <c r="G387" s="307">
        <v>2040</v>
      </c>
      <c r="H387" s="307">
        <v>2050</v>
      </c>
      <c r="I387" s="307">
        <v>2060</v>
      </c>
      <c r="J387" s="307">
        <v>2070</v>
      </c>
      <c r="K387" s="307">
        <v>2080</v>
      </c>
      <c r="L387" s="307">
        <v>2090</v>
      </c>
      <c r="M387" s="307"/>
      <c r="N387" s="307"/>
      <c r="O387" s="307"/>
      <c r="P387" s="307"/>
      <c r="Q387" s="307"/>
    </row>
    <row r="388" spans="1:26" x14ac:dyDescent="0.2">
      <c r="A388" s="307"/>
      <c r="B388" s="307" t="str">
        <f t="shared" ref="B388" si="17">B366</f>
        <v>end</v>
      </c>
      <c r="C388" s="307">
        <f t="array" ref="C388:L388">Y</f>
        <v>2020</v>
      </c>
      <c r="D388" s="307">
        <v>2025</v>
      </c>
      <c r="E388" s="307">
        <v>2030</v>
      </c>
      <c r="F388" s="307">
        <v>2040</v>
      </c>
      <c r="G388" s="307">
        <v>2050</v>
      </c>
      <c r="H388" s="307">
        <v>2060</v>
      </c>
      <c r="I388" s="307">
        <v>2070</v>
      </c>
      <c r="J388" s="307">
        <v>2080</v>
      </c>
      <c r="K388" s="307">
        <v>2090</v>
      </c>
      <c r="L388" s="307">
        <v>2100</v>
      </c>
      <c r="M388" s="307"/>
      <c r="N388" s="307"/>
      <c r="O388" s="307"/>
      <c r="P388" s="307"/>
      <c r="Q388" s="307"/>
    </row>
    <row r="389" spans="1:26" x14ac:dyDescent="0.2">
      <c r="A389" s="307"/>
      <c r="B389" s="307" t="str">
        <f t="shared" ref="B389" si="18">B367</f>
        <v>EU</v>
      </c>
      <c r="C389" s="309">
        <f t="array" ref="C389:L396" xml:space="preserve"> SSP1_GDP_RATE * (0.25*((1 - WEIGHT_SCENARIOS/100)^2)) + SSP234_GDP_RATE * (0.5*(1 - (WEIGHT_SCENARIOS/100)^2)) +  SSP5_GDP_RATE * (0.25*((1 + WEIGHT_SCENARIOS/100)^2))</f>
        <v>1.9677807695862171</v>
      </c>
      <c r="D389" s="309">
        <v>1.993042182962538</v>
      </c>
      <c r="E389" s="309">
        <v>1.9936262284606336</v>
      </c>
      <c r="F389" s="309">
        <v>1.9034611662756964</v>
      </c>
      <c r="G389" s="309">
        <v>1.7728268650948047</v>
      </c>
      <c r="H389" s="309">
        <v>1.6893713090695872</v>
      </c>
      <c r="I389" s="308">
        <v>1.6699392049562167</v>
      </c>
      <c r="J389" s="308">
        <v>1.5773079286362439</v>
      </c>
      <c r="K389" s="308">
        <v>1.5073628315282837</v>
      </c>
      <c r="L389" s="308">
        <v>1.4646354435442164</v>
      </c>
      <c r="M389" s="307" t="str">
        <f t="shared" ref="M389:M396" si="19">M367</f>
        <v>%/year</v>
      </c>
      <c r="N389" s="307"/>
      <c r="O389" s="307"/>
      <c r="P389" s="312" t="s">
        <v>679</v>
      </c>
      <c r="Q389" s="313"/>
      <c r="R389" s="6"/>
      <c r="S389" s="6"/>
      <c r="T389" s="6"/>
      <c r="U389" s="6"/>
      <c r="V389" s="6"/>
      <c r="W389" s="6"/>
      <c r="X389" s="6"/>
      <c r="Y389" s="6"/>
      <c r="Z389" s="6"/>
    </row>
    <row r="390" spans="1:26" x14ac:dyDescent="0.2">
      <c r="A390" s="307"/>
      <c r="B390" s="307" t="str">
        <f t="shared" ref="B390" si="20">B368</f>
        <v>US</v>
      </c>
      <c r="C390" s="308">
        <v>2.6404328412987019</v>
      </c>
      <c r="D390" s="308">
        <v>2.3188222117130364</v>
      </c>
      <c r="E390" s="308">
        <v>2.0467959751951015</v>
      </c>
      <c r="F390" s="308">
        <v>1.9288846451603436</v>
      </c>
      <c r="G390" s="308">
        <v>1.832335762561808</v>
      </c>
      <c r="H390" s="308">
        <v>1.7316977901522093</v>
      </c>
      <c r="I390" s="308">
        <v>1.7347550708366577</v>
      </c>
      <c r="J390" s="308">
        <v>1.6831414375800493</v>
      </c>
      <c r="K390" s="308">
        <v>1.6167420836639783</v>
      </c>
      <c r="L390" s="308">
        <v>1.5534693449961559</v>
      </c>
      <c r="M390" s="307" t="str">
        <f t="shared" si="19"/>
        <v>%/year</v>
      </c>
      <c r="N390" s="307"/>
      <c r="O390" s="307"/>
      <c r="P390" s="312"/>
      <c r="Q390" s="313"/>
      <c r="R390" s="6"/>
      <c r="S390" s="6"/>
      <c r="T390" s="6"/>
      <c r="U390" s="6"/>
      <c r="V390" s="6"/>
      <c r="W390" s="6"/>
      <c r="X390" s="6"/>
      <c r="Y390" s="6"/>
      <c r="Z390" s="6"/>
    </row>
    <row r="391" spans="1:26" x14ac:dyDescent="0.2">
      <c r="A391" s="307"/>
      <c r="B391" s="307" t="str">
        <f t="shared" ref="B391" si="21">B369</f>
        <v>OT</v>
      </c>
      <c r="C391" s="308">
        <v>2.2372067380943097</v>
      </c>
      <c r="D391" s="308">
        <v>2.178285679114738</v>
      </c>
      <c r="E391" s="308">
        <v>2.0447991923440263</v>
      </c>
      <c r="F391" s="308">
        <v>1.9077256294470279</v>
      </c>
      <c r="G391" s="308">
        <v>1.7160886416373984</v>
      </c>
      <c r="H391" s="308">
        <v>1.5632494015114069</v>
      </c>
      <c r="I391" s="308">
        <v>1.511372255326707</v>
      </c>
      <c r="J391" s="308">
        <v>1.3579326828126559</v>
      </c>
      <c r="K391" s="308">
        <v>1.2350958735501858</v>
      </c>
      <c r="L391" s="308">
        <v>1.1470257480147108</v>
      </c>
      <c r="M391" s="307" t="str">
        <f t="shared" si="19"/>
        <v>%/year</v>
      </c>
      <c r="N391" s="307"/>
      <c r="O391" s="307"/>
      <c r="P391" s="312"/>
      <c r="Q391" s="313"/>
      <c r="R391" s="6"/>
      <c r="S391" s="6"/>
      <c r="T391" s="6"/>
      <c r="U391" s="6"/>
      <c r="V391" s="6"/>
      <c r="W391" s="6"/>
      <c r="X391" s="6"/>
      <c r="Y391" s="6"/>
      <c r="Z391" s="6"/>
    </row>
    <row r="392" spans="1:26" x14ac:dyDescent="0.2">
      <c r="A392" s="307"/>
      <c r="B392" s="307" t="str">
        <f t="shared" ref="B392" si="22">B370</f>
        <v>EE</v>
      </c>
      <c r="C392" s="308">
        <v>3.9309213912323364</v>
      </c>
      <c r="D392" s="308">
        <v>3.7977516749682936</v>
      </c>
      <c r="E392" s="308">
        <v>3.2746237115889008</v>
      </c>
      <c r="F392" s="308">
        <v>2.2437937812324433</v>
      </c>
      <c r="G392" s="308">
        <v>1.5806180490055586</v>
      </c>
      <c r="H392" s="308">
        <v>1.3667587299057422</v>
      </c>
      <c r="I392" s="308">
        <v>1.3260230435906866</v>
      </c>
      <c r="J392" s="308">
        <v>1.1352425548815206</v>
      </c>
      <c r="K392" s="308">
        <v>1.1330294862933807</v>
      </c>
      <c r="L392" s="308">
        <v>1.1653190097334127</v>
      </c>
      <c r="M392" s="307" t="str">
        <f t="shared" si="19"/>
        <v>%/year</v>
      </c>
      <c r="N392" s="307"/>
      <c r="O392" s="307"/>
      <c r="P392" s="312"/>
      <c r="Q392" s="313"/>
      <c r="R392" s="6"/>
      <c r="S392" s="6"/>
      <c r="T392" s="6"/>
      <c r="U392" s="6"/>
      <c r="V392" s="6"/>
      <c r="W392" s="6"/>
      <c r="X392" s="6"/>
      <c r="Y392" s="6"/>
      <c r="Z392" s="6"/>
    </row>
    <row r="393" spans="1:26" x14ac:dyDescent="0.2">
      <c r="A393" s="307"/>
      <c r="B393" s="307" t="str">
        <f t="shared" ref="B393" si="23">B371</f>
        <v>CA</v>
      </c>
      <c r="C393" s="308">
        <v>8.1058543779981278</v>
      </c>
      <c r="D393" s="308">
        <v>6.0751921131347997</v>
      </c>
      <c r="E393" s="308">
        <v>4.1959912495307545</v>
      </c>
      <c r="F393" s="308">
        <v>2.6820277053433923</v>
      </c>
      <c r="G393" s="308">
        <v>1.3045573197214009</v>
      </c>
      <c r="H393" s="308">
        <v>0.59534523188533361</v>
      </c>
      <c r="I393" s="308">
        <v>0.41285287716199326</v>
      </c>
      <c r="J393" s="308">
        <v>0.18974071750457788</v>
      </c>
      <c r="K393" s="308">
        <v>7.1615011713149046E-2</v>
      </c>
      <c r="L393" s="308">
        <v>-5.0147750601010968E-2</v>
      </c>
      <c r="M393" s="307" t="str">
        <f t="shared" si="19"/>
        <v>%/year</v>
      </c>
      <c r="N393" s="307"/>
      <c r="O393" s="307"/>
      <c r="P393" s="312"/>
      <c r="Q393" s="313"/>
      <c r="R393" s="6"/>
      <c r="S393" s="6"/>
      <c r="T393" s="6"/>
      <c r="U393" s="6"/>
      <c r="V393" s="6"/>
      <c r="W393" s="6"/>
      <c r="X393" s="6"/>
      <c r="Y393" s="6"/>
      <c r="Z393" s="6"/>
    </row>
    <row r="394" spans="1:26" x14ac:dyDescent="0.2">
      <c r="A394" s="307"/>
      <c r="B394" s="307" t="str">
        <f t="shared" ref="B394" si="24">B372</f>
        <v>IA</v>
      </c>
      <c r="C394" s="308">
        <v>6.4846940200725305</v>
      </c>
      <c r="D394" s="308">
        <v>6.0664622308955547</v>
      </c>
      <c r="E394" s="308">
        <v>5.3236783096009503</v>
      </c>
      <c r="F394" s="308">
        <v>4.3881311709743489</v>
      </c>
      <c r="G394" s="308">
        <v>3.2021414194654745</v>
      </c>
      <c r="H394" s="308">
        <v>2.2325908547833171</v>
      </c>
      <c r="I394" s="308">
        <v>1.9725806658902438</v>
      </c>
      <c r="J394" s="308">
        <v>1.4246592303610459</v>
      </c>
      <c r="K394" s="308">
        <v>1.0898968308159405</v>
      </c>
      <c r="L394" s="308">
        <v>0.83813966025519715</v>
      </c>
      <c r="M394" s="307" t="str">
        <f t="shared" si="19"/>
        <v>%/year</v>
      </c>
      <c r="N394" s="307"/>
      <c r="O394" s="307"/>
      <c r="P394" s="312"/>
      <c r="Q394" s="313"/>
      <c r="R394" s="6"/>
      <c r="S394" s="6"/>
      <c r="T394" s="6"/>
      <c r="U394" s="6"/>
      <c r="V394" s="6"/>
      <c r="W394" s="6"/>
      <c r="X394" s="6"/>
      <c r="Y394" s="6"/>
      <c r="Z394" s="6"/>
    </row>
    <row r="395" spans="1:26" x14ac:dyDescent="0.2">
      <c r="A395" s="307"/>
      <c r="B395" s="307" t="str">
        <f t="shared" ref="B395" si="25">B373</f>
        <v>AF</v>
      </c>
      <c r="C395" s="308">
        <v>4.7674712675117972</v>
      </c>
      <c r="D395" s="308">
        <v>4.8917239140421893</v>
      </c>
      <c r="E395" s="308">
        <v>5.0689772455531577</v>
      </c>
      <c r="F395" s="308">
        <v>4.8276238358429229</v>
      </c>
      <c r="G395" s="308">
        <v>4.386086186019881</v>
      </c>
      <c r="H395" s="308">
        <v>3.7968571987551147</v>
      </c>
      <c r="I395" s="308">
        <v>3.5823972548887868</v>
      </c>
      <c r="J395" s="308">
        <v>3.1387428013788621</v>
      </c>
      <c r="K395" s="308">
        <v>2.8536589130410412</v>
      </c>
      <c r="L395" s="308">
        <v>2.6147451175576246</v>
      </c>
      <c r="M395" s="307" t="str">
        <f t="shared" si="19"/>
        <v>%/year</v>
      </c>
      <c r="N395" s="307"/>
      <c r="O395" s="307"/>
      <c r="P395" s="312"/>
      <c r="Q395" s="313"/>
      <c r="R395" s="6"/>
      <c r="S395" s="6"/>
      <c r="T395" s="6"/>
      <c r="U395" s="6"/>
      <c r="V395" s="6"/>
      <c r="W395" s="6"/>
      <c r="X395" s="6"/>
      <c r="Y395" s="6"/>
      <c r="Z395" s="6"/>
    </row>
    <row r="396" spans="1:26" ht="13.5" thickBot="1" x14ac:dyDescent="0.25">
      <c r="A396" s="307"/>
      <c r="B396" s="307" t="str">
        <f t="shared" ref="B396" si="26">B374</f>
        <v>LA</v>
      </c>
      <c r="C396" s="311">
        <v>3.7325065772809198</v>
      </c>
      <c r="D396" s="311">
        <v>3.5609508409376014</v>
      </c>
      <c r="E396" s="311">
        <v>3.4002041253112587</v>
      </c>
      <c r="F396" s="311">
        <v>3.1563756411054249</v>
      </c>
      <c r="G396" s="311">
        <v>2.6673691244354747</v>
      </c>
      <c r="H396" s="311">
        <v>2.055089218190886</v>
      </c>
      <c r="I396" s="308">
        <v>1.839372954898336</v>
      </c>
      <c r="J396" s="308">
        <v>1.4740574953749286</v>
      </c>
      <c r="K396" s="308">
        <v>1.2056880877218057</v>
      </c>
      <c r="L396" s="308">
        <v>0.95965616084090177</v>
      </c>
      <c r="M396" s="307" t="str">
        <f t="shared" si="19"/>
        <v>%/year</v>
      </c>
      <c r="N396" s="307"/>
      <c r="O396" s="307"/>
      <c r="P396" s="312"/>
      <c r="Q396" s="313"/>
      <c r="R396" s="6"/>
      <c r="S396" s="6"/>
      <c r="T396" s="6"/>
      <c r="U396" s="6"/>
      <c r="V396" s="6"/>
      <c r="W396" s="6"/>
      <c r="X396" s="6"/>
      <c r="Y396" s="6"/>
      <c r="Z396" s="6"/>
    </row>
    <row r="397" spans="1:26" ht="13.5" thickTop="1" x14ac:dyDescent="0.2">
      <c r="A397" s="307" t="str">
        <f>A375</f>
        <v>Pop growth rates:</v>
      </c>
      <c r="B397" s="307"/>
      <c r="C397" s="307"/>
      <c r="D397" s="307"/>
      <c r="E397" s="307"/>
      <c r="F397" s="307"/>
      <c r="G397" s="307"/>
      <c r="H397" s="307"/>
      <c r="I397" s="307"/>
      <c r="J397" s="307"/>
      <c r="K397" s="307"/>
      <c r="L397" s="307"/>
      <c r="M397" s="307"/>
      <c r="N397" s="307"/>
      <c r="O397" s="307"/>
      <c r="P397" s="312"/>
      <c r="Q397" s="313"/>
      <c r="R397" s="6"/>
      <c r="S397" s="6"/>
      <c r="T397" s="6"/>
      <c r="U397" s="6"/>
      <c r="V397" s="6"/>
      <c r="W397" s="6"/>
      <c r="X397" s="6"/>
      <c r="Y397" s="6"/>
      <c r="Z397" s="6"/>
    </row>
    <row r="398" spans="1:26" x14ac:dyDescent="0.2">
      <c r="A398" s="307"/>
      <c r="B398" s="307" t="str">
        <f t="shared" ref="B398:B405" si="27">B376</f>
        <v>EU</v>
      </c>
      <c r="C398" s="309">
        <f t="array" ref="C398:L405" xml:space="preserve"> SSP1_POP_RATE * (0.25*((1 - WEIGHT_SCENARIOS/100)^2)) + SSP234_POP_RATE * (0.5*(1 - (WEIGHT_SCENARIOS/100)^2)) +  SSP5_POP_RATE * (0.25*((1 + WEIGHT_SCENARIOS/100)^2))</f>
        <v>0.27226969689035135</v>
      </c>
      <c r="D398" s="309">
        <v>0.24360468349332648</v>
      </c>
      <c r="E398" s="309">
        <v>0.18013304525459745</v>
      </c>
      <c r="F398" s="309">
        <v>0.11898339917443167</v>
      </c>
      <c r="G398" s="309">
        <v>2.2320346255013293E-2</v>
      </c>
      <c r="H398" s="309">
        <v>-9.7460064041978711E-3</v>
      </c>
      <c r="I398" s="308">
        <v>0.19198222783047464</v>
      </c>
      <c r="J398" s="308">
        <v>0.14809227304269737</v>
      </c>
      <c r="K398" s="308">
        <v>0.10030008498720933</v>
      </c>
      <c r="L398" s="308">
        <v>6.2454322541187032E-2</v>
      </c>
      <c r="M398" s="307" t="str">
        <f t="shared" ref="M398:M405" si="28">M376</f>
        <v>%/year</v>
      </c>
      <c r="N398" s="307"/>
      <c r="O398" s="307"/>
      <c r="P398" s="312" t="s">
        <v>679</v>
      </c>
      <c r="Q398" s="313"/>
      <c r="R398" s="6"/>
      <c r="S398" s="6"/>
      <c r="T398" s="6"/>
      <c r="U398" s="6"/>
      <c r="V398" s="6"/>
      <c r="W398" s="6"/>
      <c r="X398" s="6"/>
      <c r="Y398" s="6"/>
      <c r="Z398" s="6"/>
    </row>
    <row r="399" spans="1:26" x14ac:dyDescent="0.2">
      <c r="A399" s="307"/>
      <c r="B399" s="307" t="str">
        <f t="shared" si="27"/>
        <v>US</v>
      </c>
      <c r="C399" s="308">
        <v>0.84915851634241601</v>
      </c>
      <c r="D399" s="308">
        <v>0.8330951478860229</v>
      </c>
      <c r="E399" s="308">
        <v>0.74709829785688764</v>
      </c>
      <c r="F399" s="308">
        <v>0.63572198056938956</v>
      </c>
      <c r="G399" s="308">
        <v>0.51858543609592389</v>
      </c>
      <c r="H399" s="308">
        <v>0.35370361251799798</v>
      </c>
      <c r="I399" s="308">
        <v>0.39911160599428086</v>
      </c>
      <c r="J399" s="308">
        <v>0.35088417386986792</v>
      </c>
      <c r="K399" s="308">
        <v>0.28416225961693425</v>
      </c>
      <c r="L399" s="308">
        <v>0.21371151297035668</v>
      </c>
      <c r="M399" s="307" t="str">
        <f t="shared" si="28"/>
        <v>%/year</v>
      </c>
      <c r="N399" s="307"/>
      <c r="O399" s="307"/>
      <c r="P399" s="312"/>
      <c r="Q399" s="313"/>
      <c r="R399" s="6"/>
      <c r="S399" s="6"/>
      <c r="T399" s="6"/>
      <c r="U399" s="6"/>
      <c r="V399" s="6"/>
      <c r="W399" s="6"/>
      <c r="X399" s="6"/>
      <c r="Y399" s="6"/>
      <c r="Z399" s="6"/>
    </row>
    <row r="400" spans="1:26" x14ac:dyDescent="0.2">
      <c r="A400" s="307"/>
      <c r="B400" s="307" t="str">
        <f t="shared" si="27"/>
        <v>OT</v>
      </c>
      <c r="C400" s="308">
        <v>0.45804716646925892</v>
      </c>
      <c r="D400" s="308">
        <v>0.34845905818885969</v>
      </c>
      <c r="E400" s="308">
        <v>0.21363935902250097</v>
      </c>
      <c r="F400" s="308">
        <v>0.11163347338511476</v>
      </c>
      <c r="G400" s="308">
        <v>-4.0448626690645542E-2</v>
      </c>
      <c r="H400" s="308">
        <v>-0.13920089596072882</v>
      </c>
      <c r="I400" s="308">
        <v>9.2019616921568126E-2</v>
      </c>
      <c r="J400" s="308">
        <v>3.565830012902671E-2</v>
      </c>
      <c r="K400" s="308">
        <v>-2.3681707600910672E-2</v>
      </c>
      <c r="L400" s="308">
        <v>-7.3218479453675725E-2</v>
      </c>
      <c r="M400" s="307" t="str">
        <f t="shared" si="28"/>
        <v>%/year</v>
      </c>
      <c r="N400" s="307"/>
      <c r="O400" s="307"/>
      <c r="P400" s="313"/>
      <c r="Q400" s="313"/>
      <c r="R400" s="6"/>
      <c r="S400" s="6"/>
      <c r="T400" s="6"/>
      <c r="U400" s="6"/>
      <c r="V400" s="6"/>
      <c r="W400" s="6"/>
      <c r="X400" s="6"/>
      <c r="Y400" s="6"/>
      <c r="Z400" s="6"/>
    </row>
    <row r="401" spans="1:26" x14ac:dyDescent="0.2">
      <c r="A401" s="307"/>
      <c r="B401" s="307" t="str">
        <f t="shared" si="27"/>
        <v>EE</v>
      </c>
      <c r="C401" s="308">
        <v>1.2038674522611773E-2</v>
      </c>
      <c r="D401" s="308">
        <v>-0.12323637257935544</v>
      </c>
      <c r="E401" s="308">
        <v>-0.19202421662233227</v>
      </c>
      <c r="F401" s="308">
        <v>-0.23049139473763408</v>
      </c>
      <c r="G401" s="308">
        <v>-0.39593525174794886</v>
      </c>
      <c r="H401" s="308">
        <v>-0.47097774515414192</v>
      </c>
      <c r="I401" s="308">
        <v>-0.22087903623203381</v>
      </c>
      <c r="J401" s="308">
        <v>-0.30031782988373945</v>
      </c>
      <c r="K401" s="308">
        <v>-0.36920223809734176</v>
      </c>
      <c r="L401" s="308">
        <v>-0.42166982332605041</v>
      </c>
      <c r="M401" s="307" t="str">
        <f t="shared" si="28"/>
        <v>%/year</v>
      </c>
      <c r="N401" s="307"/>
      <c r="O401" s="307"/>
      <c r="P401" s="313"/>
      <c r="Q401" s="313"/>
      <c r="R401" s="6"/>
      <c r="S401" s="6"/>
      <c r="T401" s="6"/>
      <c r="U401" s="6"/>
      <c r="V401" s="6"/>
      <c r="W401" s="6"/>
      <c r="X401" s="6"/>
      <c r="Y401" s="6"/>
      <c r="Z401" s="6"/>
    </row>
    <row r="402" spans="1:26" x14ac:dyDescent="0.2">
      <c r="A402" s="307"/>
      <c r="B402" s="307" t="str">
        <f t="shared" si="27"/>
        <v>CA</v>
      </c>
      <c r="C402" s="308">
        <v>0.2258284098805694</v>
      </c>
      <c r="D402" s="308">
        <v>-1.4431292874300707E-3</v>
      </c>
      <c r="E402" s="308">
        <v>-0.24482638617350536</v>
      </c>
      <c r="F402" s="308">
        <v>-0.50066066716813029</v>
      </c>
      <c r="G402" s="308">
        <v>-0.83128890812011069</v>
      </c>
      <c r="H402" s="308">
        <v>-1.052376263643616</v>
      </c>
      <c r="I402" s="308">
        <v>-0.45730369586297526</v>
      </c>
      <c r="J402" s="308">
        <v>-0.51999640404294667</v>
      </c>
      <c r="K402" s="308">
        <v>-0.59593598197895303</v>
      </c>
      <c r="L402" s="308">
        <v>-0.69262657547010387</v>
      </c>
      <c r="M402" s="307" t="str">
        <f t="shared" si="28"/>
        <v>%/year</v>
      </c>
      <c r="N402" s="307"/>
      <c r="O402" s="307"/>
      <c r="P402" s="313"/>
      <c r="Q402" s="313"/>
      <c r="R402" s="6"/>
      <c r="S402" s="6"/>
      <c r="T402" s="6"/>
      <c r="U402" s="6"/>
      <c r="V402" s="6"/>
      <c r="W402" s="6"/>
      <c r="X402" s="6"/>
      <c r="Y402" s="6"/>
      <c r="Z402" s="6"/>
    </row>
    <row r="403" spans="1:26" x14ac:dyDescent="0.2">
      <c r="A403" s="307"/>
      <c r="B403" s="307" t="str">
        <f t="shared" si="27"/>
        <v>IA</v>
      </c>
      <c r="C403" s="308">
        <v>1.0493894723910921</v>
      </c>
      <c r="D403" s="308">
        <v>0.80968833650814243</v>
      </c>
      <c r="E403" s="308">
        <v>0.56751897487636283</v>
      </c>
      <c r="F403" s="308">
        <v>0.34718624304194035</v>
      </c>
      <c r="G403" s="308">
        <v>-5.7958073722216563E-3</v>
      </c>
      <c r="H403" s="308">
        <v>-0.3232918880880532</v>
      </c>
      <c r="I403" s="308">
        <v>-0.1644472231904226</v>
      </c>
      <c r="J403" s="308">
        <v>-0.2582073093609823</v>
      </c>
      <c r="K403" s="308">
        <v>-0.34704705746757081</v>
      </c>
      <c r="L403" s="308">
        <v>-0.42418945774011974</v>
      </c>
      <c r="M403" s="307" t="str">
        <f t="shared" si="28"/>
        <v>%/year</v>
      </c>
      <c r="N403" s="307"/>
      <c r="O403" s="307"/>
      <c r="P403" s="313"/>
      <c r="Q403" s="313"/>
      <c r="R403" s="6"/>
      <c r="S403" s="6"/>
      <c r="T403" s="6"/>
      <c r="U403" s="6"/>
      <c r="V403" s="6"/>
      <c r="W403" s="6"/>
      <c r="X403" s="6"/>
      <c r="Y403" s="6"/>
      <c r="Z403" s="6"/>
    </row>
    <row r="404" spans="1:26" x14ac:dyDescent="0.2">
      <c r="A404" s="307"/>
      <c r="B404" s="307" t="str">
        <f t="shared" si="27"/>
        <v>AF</v>
      </c>
      <c r="C404" s="308">
        <v>2.0441241955936182</v>
      </c>
      <c r="D404" s="308">
        <v>1.8232310341614295</v>
      </c>
      <c r="E404" s="308">
        <v>1.6242447341810913</v>
      </c>
      <c r="F404" s="308">
        <v>1.42891385110599</v>
      </c>
      <c r="G404" s="308">
        <v>1.0723930953560272</v>
      </c>
      <c r="H404" s="308">
        <v>0.67117631451634807</v>
      </c>
      <c r="I404" s="308">
        <v>9.8210685248151242E-2</v>
      </c>
      <c r="J404" s="308">
        <v>9.3382851443409489E-3</v>
      </c>
      <c r="K404" s="308">
        <v>-7.0231208150399002E-2</v>
      </c>
      <c r="L404" s="308">
        <v>-0.14220033426867729</v>
      </c>
      <c r="M404" s="307" t="str">
        <f t="shared" si="28"/>
        <v>%/year</v>
      </c>
      <c r="N404" s="307"/>
      <c r="O404" s="307"/>
      <c r="P404" s="313"/>
      <c r="Q404" s="313"/>
      <c r="R404" s="6"/>
      <c r="S404" s="6"/>
      <c r="T404" s="6"/>
      <c r="U404" s="6"/>
      <c r="V404" s="6"/>
      <c r="W404" s="6"/>
      <c r="X404" s="6"/>
      <c r="Y404" s="6"/>
      <c r="Z404" s="6"/>
    </row>
    <row r="405" spans="1:26" ht="13.5" thickBot="1" x14ac:dyDescent="0.25">
      <c r="A405" s="307"/>
      <c r="B405" s="307" t="str">
        <f t="shared" si="27"/>
        <v>LA</v>
      </c>
      <c r="C405" s="311">
        <v>0.85036875399786593</v>
      </c>
      <c r="D405" s="311">
        <v>0.66731862703719524</v>
      </c>
      <c r="E405" s="311">
        <v>0.47249841354353356</v>
      </c>
      <c r="F405" s="311">
        <v>0.24436374198127961</v>
      </c>
      <c r="G405" s="311">
        <v>-3.2270821655247361E-2</v>
      </c>
      <c r="H405" s="311">
        <v>-0.26246482095762319</v>
      </c>
      <c r="I405" s="308">
        <v>-0.23121433218206239</v>
      </c>
      <c r="J405" s="308">
        <v>-0.29050630826790252</v>
      </c>
      <c r="K405" s="308">
        <v>-0.36918550498152758</v>
      </c>
      <c r="L405" s="308">
        <v>-0.46968259613980323</v>
      </c>
      <c r="M405" s="307" t="str">
        <f t="shared" si="28"/>
        <v>%/year</v>
      </c>
      <c r="N405" s="307"/>
      <c r="O405" s="307"/>
      <c r="P405" s="313"/>
      <c r="Q405" s="313"/>
      <c r="R405" s="6"/>
      <c r="S405" s="6"/>
      <c r="T405" s="6"/>
      <c r="U405" s="6"/>
      <c r="V405" s="6"/>
      <c r="W405" s="6"/>
      <c r="X405" s="6"/>
      <c r="Y405" s="6"/>
      <c r="Z405" s="6"/>
    </row>
    <row r="406" spans="1:26" ht="13.5" thickTop="1" x14ac:dyDescent="0.2">
      <c r="A406" s="307"/>
      <c r="B406" s="307"/>
      <c r="C406" s="307"/>
      <c r="D406" s="307"/>
      <c r="E406" s="307"/>
      <c r="F406" s="307"/>
      <c r="G406" s="307"/>
      <c r="H406" s="307"/>
      <c r="I406" s="307"/>
      <c r="J406" s="307"/>
      <c r="K406" s="307"/>
      <c r="L406" s="307"/>
      <c r="M406" s="307"/>
      <c r="N406" s="307"/>
      <c r="O406" s="307"/>
      <c r="P406" s="307"/>
      <c r="Q406" s="307"/>
    </row>
    <row r="407" spans="1:26" x14ac:dyDescent="0.2">
      <c r="A407" s="307"/>
      <c r="B407" s="307"/>
      <c r="C407" s="307"/>
      <c r="D407" s="307"/>
      <c r="E407" s="307"/>
      <c r="F407" s="307"/>
      <c r="G407" s="307"/>
      <c r="H407" s="307"/>
      <c r="I407" s="307"/>
      <c r="J407" s="307"/>
      <c r="K407" s="307"/>
      <c r="L407" s="307"/>
      <c r="M407" s="307"/>
      <c r="N407" s="307"/>
      <c r="O407" s="307"/>
      <c r="P407" s="307"/>
      <c r="Q407" s="307"/>
    </row>
    <row r="408" spans="1:26" x14ac:dyDescent="0.2">
      <c r="A408" s="306" t="s">
        <v>1021</v>
      </c>
      <c r="B408" s="307"/>
      <c r="C408" s="307"/>
      <c r="D408" s="307"/>
      <c r="E408" s="307"/>
      <c r="F408" s="307"/>
      <c r="G408" s="307"/>
      <c r="H408" s="307"/>
      <c r="I408" s="307"/>
      <c r="J408" s="307"/>
      <c r="K408" s="307"/>
      <c r="L408" s="307"/>
      <c r="M408" s="307"/>
      <c r="N408" s="307"/>
      <c r="O408" s="307"/>
      <c r="P408" s="307"/>
      <c r="Q408" s="307"/>
    </row>
    <row r="409" spans="1:26" x14ac:dyDescent="0.2">
      <c r="A409" s="307" t="str">
        <f t="shared" ref="A409:B418" si="29">A387</f>
        <v>GDP growth rates:</v>
      </c>
      <c r="B409" s="307" t="str">
        <f t="shared" si="29"/>
        <v>start</v>
      </c>
      <c r="C409" s="307">
        <f>Y_0</f>
        <v>2015</v>
      </c>
      <c r="D409" s="307">
        <f t="array" ref="D409:L409">Y</f>
        <v>2020</v>
      </c>
      <c r="E409" s="307">
        <v>2025</v>
      </c>
      <c r="F409" s="307">
        <v>2030</v>
      </c>
      <c r="G409" s="307">
        <v>2040</v>
      </c>
      <c r="H409" s="307">
        <v>2050</v>
      </c>
      <c r="I409" s="307">
        <v>2060</v>
      </c>
      <c r="J409" s="307">
        <v>2070</v>
      </c>
      <c r="K409" s="307">
        <v>2080</v>
      </c>
      <c r="L409" s="307">
        <v>2090</v>
      </c>
      <c r="M409" s="307"/>
      <c r="N409" s="307"/>
      <c r="O409" s="307"/>
      <c r="P409" s="307"/>
      <c r="Q409" s="307"/>
    </row>
    <row r="410" spans="1:26" x14ac:dyDescent="0.2">
      <c r="A410" s="307"/>
      <c r="B410" s="307" t="str">
        <f t="shared" si="29"/>
        <v>end</v>
      </c>
      <c r="C410" s="307">
        <f t="array" ref="C410:L410">Y</f>
        <v>2020</v>
      </c>
      <c r="D410" s="307">
        <v>2025</v>
      </c>
      <c r="E410" s="307">
        <v>2030</v>
      </c>
      <c r="F410" s="307">
        <v>2040</v>
      </c>
      <c r="G410" s="307">
        <v>2050</v>
      </c>
      <c r="H410" s="307">
        <v>2060</v>
      </c>
      <c r="I410" s="307">
        <v>2070</v>
      </c>
      <c r="J410" s="307">
        <v>2080</v>
      </c>
      <c r="K410" s="307">
        <v>2090</v>
      </c>
      <c r="L410" s="307">
        <v>2100</v>
      </c>
      <c r="M410" s="307"/>
      <c r="N410" s="307"/>
      <c r="O410" s="307"/>
      <c r="P410" s="307"/>
      <c r="Q410" s="307"/>
    </row>
    <row r="411" spans="1:26" x14ac:dyDescent="0.2">
      <c r="A411" s="307"/>
      <c r="B411" s="307" t="str">
        <f t="shared" si="29"/>
        <v>EU</v>
      </c>
      <c r="C411" s="309">
        <f t="array" ref="C411:L418" xml:space="preserve"> SSP1_GDP_RATE * (0.25*((1 - WEIGHT_SCENARIOS_B/100)^2)) + SSP234_GDP_RATE * (0.5*(1 - (WEIGHT_SCENARIOS_B/100)^2)) +  SSP5_GDP_RATE * (0.25*((1 + WEIGHT_SCENARIOS_B/100)^2))</f>
        <v>1.9677807695862171</v>
      </c>
      <c r="D411" s="309">
        <v>1.993042182962538</v>
      </c>
      <c r="E411" s="309">
        <v>1.9936262284606336</v>
      </c>
      <c r="F411" s="309">
        <v>1.9034611662756964</v>
      </c>
      <c r="G411" s="309">
        <v>1.7728268650948047</v>
      </c>
      <c r="H411" s="309">
        <v>1.6893713090695872</v>
      </c>
      <c r="I411" s="308">
        <v>1.6699392049562167</v>
      </c>
      <c r="J411" s="308">
        <v>1.5773079286362439</v>
      </c>
      <c r="K411" s="308">
        <v>1.5073628315282837</v>
      </c>
      <c r="L411" s="308">
        <v>1.4646354435442164</v>
      </c>
      <c r="M411" s="307" t="str">
        <f t="shared" ref="M411:M418" si="30">M389</f>
        <v>%/year</v>
      </c>
      <c r="N411" s="307"/>
      <c r="O411" s="307"/>
      <c r="P411" s="307"/>
      <c r="Q411" s="307"/>
    </row>
    <row r="412" spans="1:26" x14ac:dyDescent="0.2">
      <c r="A412" s="307"/>
      <c r="B412" s="307" t="str">
        <f t="shared" si="29"/>
        <v>US</v>
      </c>
      <c r="C412" s="308">
        <v>2.6404328412987019</v>
      </c>
      <c r="D412" s="308">
        <v>2.3188222117130364</v>
      </c>
      <c r="E412" s="308">
        <v>2.0467959751951015</v>
      </c>
      <c r="F412" s="308">
        <v>1.9288846451603436</v>
      </c>
      <c r="G412" s="308">
        <v>1.832335762561808</v>
      </c>
      <c r="H412" s="308">
        <v>1.7316977901522093</v>
      </c>
      <c r="I412" s="308">
        <v>1.7347550708366577</v>
      </c>
      <c r="J412" s="308">
        <v>1.6831414375800493</v>
      </c>
      <c r="K412" s="308">
        <v>1.6167420836639783</v>
      </c>
      <c r="L412" s="308">
        <v>1.5534693449961559</v>
      </c>
      <c r="M412" s="307" t="str">
        <f t="shared" si="30"/>
        <v>%/year</v>
      </c>
      <c r="N412" s="307"/>
      <c r="O412" s="307"/>
      <c r="P412" s="307"/>
      <c r="Q412" s="307"/>
    </row>
    <row r="413" spans="1:26" x14ac:dyDescent="0.2">
      <c r="A413" s="307"/>
      <c r="B413" s="307" t="str">
        <f t="shared" si="29"/>
        <v>OT</v>
      </c>
      <c r="C413" s="308">
        <v>2.2372067380943097</v>
      </c>
      <c r="D413" s="308">
        <v>2.178285679114738</v>
      </c>
      <c r="E413" s="308">
        <v>2.0447991923440263</v>
      </c>
      <c r="F413" s="308">
        <v>1.9077256294470279</v>
      </c>
      <c r="G413" s="308">
        <v>1.7160886416373984</v>
      </c>
      <c r="H413" s="308">
        <v>1.5632494015114069</v>
      </c>
      <c r="I413" s="308">
        <v>1.511372255326707</v>
      </c>
      <c r="J413" s="308">
        <v>1.3579326828126559</v>
      </c>
      <c r="K413" s="308">
        <v>1.2350958735501858</v>
      </c>
      <c r="L413" s="308">
        <v>1.1470257480147108</v>
      </c>
      <c r="M413" s="307" t="str">
        <f t="shared" si="30"/>
        <v>%/year</v>
      </c>
      <c r="N413" s="307"/>
      <c r="O413" s="307"/>
      <c r="P413" s="307"/>
      <c r="Q413" s="307"/>
    </row>
    <row r="414" spans="1:26" x14ac:dyDescent="0.2">
      <c r="A414" s="307"/>
      <c r="B414" s="307" t="str">
        <f t="shared" si="29"/>
        <v>EE</v>
      </c>
      <c r="C414" s="308">
        <v>3.9309213912323364</v>
      </c>
      <c r="D414" s="308">
        <v>3.7977516749682936</v>
      </c>
      <c r="E414" s="308">
        <v>3.2746237115889008</v>
      </c>
      <c r="F414" s="308">
        <v>2.2437937812324433</v>
      </c>
      <c r="G414" s="308">
        <v>1.5806180490055586</v>
      </c>
      <c r="H414" s="308">
        <v>1.3667587299057422</v>
      </c>
      <c r="I414" s="308">
        <v>1.3260230435906866</v>
      </c>
      <c r="J414" s="308">
        <v>1.1352425548815206</v>
      </c>
      <c r="K414" s="308">
        <v>1.1330294862933807</v>
      </c>
      <c r="L414" s="308">
        <v>1.1653190097334127</v>
      </c>
      <c r="M414" s="307" t="str">
        <f t="shared" si="30"/>
        <v>%/year</v>
      </c>
      <c r="N414" s="307"/>
      <c r="O414" s="307"/>
      <c r="P414" s="307"/>
      <c r="Q414" s="307"/>
    </row>
    <row r="415" spans="1:26" x14ac:dyDescent="0.2">
      <c r="A415" s="307"/>
      <c r="B415" s="307" t="str">
        <f t="shared" si="29"/>
        <v>CA</v>
      </c>
      <c r="C415" s="308">
        <v>8.1058543779981278</v>
      </c>
      <c r="D415" s="308">
        <v>6.0751921131347997</v>
      </c>
      <c r="E415" s="308">
        <v>4.1959912495307545</v>
      </c>
      <c r="F415" s="308">
        <v>2.6820277053433923</v>
      </c>
      <c r="G415" s="308">
        <v>1.3045573197214009</v>
      </c>
      <c r="H415" s="308">
        <v>0.59534523188533361</v>
      </c>
      <c r="I415" s="308">
        <v>0.41285287716199326</v>
      </c>
      <c r="J415" s="308">
        <v>0.18974071750457788</v>
      </c>
      <c r="K415" s="308">
        <v>7.1615011713149046E-2</v>
      </c>
      <c r="L415" s="308">
        <v>-5.0147750601010968E-2</v>
      </c>
      <c r="M415" s="307" t="str">
        <f t="shared" si="30"/>
        <v>%/year</v>
      </c>
      <c r="N415" s="307"/>
      <c r="O415" s="307"/>
      <c r="P415" s="307"/>
      <c r="Q415" s="307"/>
    </row>
    <row r="416" spans="1:26" x14ac:dyDescent="0.2">
      <c r="A416" s="307"/>
      <c r="B416" s="307" t="str">
        <f t="shared" si="29"/>
        <v>IA</v>
      </c>
      <c r="C416" s="308">
        <v>6.4846940200725305</v>
      </c>
      <c r="D416" s="308">
        <v>6.0664622308955547</v>
      </c>
      <c r="E416" s="308">
        <v>5.3236783096009503</v>
      </c>
      <c r="F416" s="308">
        <v>4.3881311709743489</v>
      </c>
      <c r="G416" s="308">
        <v>3.2021414194654745</v>
      </c>
      <c r="H416" s="308">
        <v>2.2325908547833171</v>
      </c>
      <c r="I416" s="308">
        <v>1.9725806658902438</v>
      </c>
      <c r="J416" s="308">
        <v>1.4246592303610459</v>
      </c>
      <c r="K416" s="308">
        <v>1.0898968308159405</v>
      </c>
      <c r="L416" s="308">
        <v>0.83813966025519715</v>
      </c>
      <c r="M416" s="307" t="str">
        <f t="shared" si="30"/>
        <v>%/year</v>
      </c>
      <c r="N416" s="307"/>
      <c r="O416" s="307"/>
      <c r="P416" s="307"/>
      <c r="Q416" s="307"/>
    </row>
    <row r="417" spans="1:17" x14ac:dyDescent="0.2">
      <c r="A417" s="307"/>
      <c r="B417" s="307" t="str">
        <f t="shared" si="29"/>
        <v>AF</v>
      </c>
      <c r="C417" s="308">
        <v>4.7674712675117972</v>
      </c>
      <c r="D417" s="308">
        <v>4.8917239140421893</v>
      </c>
      <c r="E417" s="308">
        <v>5.0689772455531577</v>
      </c>
      <c r="F417" s="308">
        <v>4.8276238358429229</v>
      </c>
      <c r="G417" s="308">
        <v>4.386086186019881</v>
      </c>
      <c r="H417" s="308">
        <v>3.7968571987551147</v>
      </c>
      <c r="I417" s="308">
        <v>3.5823972548887868</v>
      </c>
      <c r="J417" s="308">
        <v>3.1387428013788621</v>
      </c>
      <c r="K417" s="308">
        <v>2.8536589130410412</v>
      </c>
      <c r="L417" s="308">
        <v>2.6147451175576246</v>
      </c>
      <c r="M417" s="307" t="str">
        <f t="shared" si="30"/>
        <v>%/year</v>
      </c>
      <c r="N417" s="307"/>
      <c r="O417" s="307"/>
      <c r="P417" s="307"/>
      <c r="Q417" s="307"/>
    </row>
    <row r="418" spans="1:17" ht="13.5" thickBot="1" x14ac:dyDescent="0.25">
      <c r="A418" s="307"/>
      <c r="B418" s="307" t="str">
        <f t="shared" si="29"/>
        <v>LA</v>
      </c>
      <c r="C418" s="311">
        <v>3.7325065772809198</v>
      </c>
      <c r="D418" s="311">
        <v>3.5609508409376014</v>
      </c>
      <c r="E418" s="311">
        <v>3.4002041253112587</v>
      </c>
      <c r="F418" s="311">
        <v>3.1563756411054249</v>
      </c>
      <c r="G418" s="311">
        <v>2.6673691244354747</v>
      </c>
      <c r="H418" s="311">
        <v>2.055089218190886</v>
      </c>
      <c r="I418" s="308">
        <v>1.839372954898336</v>
      </c>
      <c r="J418" s="308">
        <v>1.4740574953749286</v>
      </c>
      <c r="K418" s="308">
        <v>1.2056880877218057</v>
      </c>
      <c r="L418" s="308">
        <v>0.95965616084090177</v>
      </c>
      <c r="M418" s="307" t="str">
        <f t="shared" si="30"/>
        <v>%/year</v>
      </c>
      <c r="N418" s="307"/>
      <c r="O418" s="307"/>
      <c r="P418" s="307"/>
      <c r="Q418" s="307"/>
    </row>
    <row r="419" spans="1:17" ht="13.5" thickTop="1" x14ac:dyDescent="0.2">
      <c r="A419" s="307" t="str">
        <f>A397</f>
        <v>Pop growth rates:</v>
      </c>
      <c r="B419" s="307"/>
      <c r="C419" s="307"/>
      <c r="D419" s="307"/>
      <c r="E419" s="307"/>
      <c r="F419" s="307"/>
      <c r="G419" s="307"/>
      <c r="H419" s="307"/>
      <c r="I419" s="307"/>
      <c r="J419" s="307"/>
      <c r="K419" s="307"/>
      <c r="L419" s="307"/>
      <c r="M419" s="307"/>
      <c r="N419" s="307"/>
      <c r="O419" s="307"/>
      <c r="P419" s="307"/>
      <c r="Q419" s="307"/>
    </row>
    <row r="420" spans="1:17" x14ac:dyDescent="0.2">
      <c r="A420" s="307"/>
      <c r="B420" s="307" t="str">
        <f t="shared" ref="B420:B427" si="31">B398</f>
        <v>EU</v>
      </c>
      <c r="C420" s="309">
        <f t="array" ref="C420:L427" xml:space="preserve"> SSP1_POP_RATE * (0.25*((1 - WEIGHT_SCENARIOS_B/100)^2)) + SSP234_POP_RATE * (0.5*(1 - (WEIGHT_SCENARIOS_B/100)^2)) +  SSP5_POP_RATE * (0.25*((1 + WEIGHT_SCENARIOS_B/100)^2))</f>
        <v>0.27226969689035135</v>
      </c>
      <c r="D420" s="309">
        <v>0.24360468349332648</v>
      </c>
      <c r="E420" s="309">
        <v>0.18013304525459745</v>
      </c>
      <c r="F420" s="309">
        <v>0.11898339917443167</v>
      </c>
      <c r="G420" s="309">
        <v>2.2320346255013293E-2</v>
      </c>
      <c r="H420" s="309">
        <v>-9.7460064041978711E-3</v>
      </c>
      <c r="I420" s="308">
        <v>0.19198222783047464</v>
      </c>
      <c r="J420" s="308">
        <v>0.14809227304269737</v>
      </c>
      <c r="K420" s="308">
        <v>0.10030008498720933</v>
      </c>
      <c r="L420" s="308">
        <v>6.2454322541187032E-2</v>
      </c>
      <c r="M420" s="307" t="str">
        <f t="shared" ref="M420:M427" si="32">M398</f>
        <v>%/year</v>
      </c>
      <c r="N420" s="307"/>
      <c r="O420" s="307"/>
      <c r="P420" s="307"/>
      <c r="Q420" s="307"/>
    </row>
    <row r="421" spans="1:17" x14ac:dyDescent="0.2">
      <c r="A421" s="307"/>
      <c r="B421" s="307" t="str">
        <f t="shared" si="31"/>
        <v>US</v>
      </c>
      <c r="C421" s="308">
        <v>0.84915851634241601</v>
      </c>
      <c r="D421" s="308">
        <v>0.8330951478860229</v>
      </c>
      <c r="E421" s="308">
        <v>0.74709829785688764</v>
      </c>
      <c r="F421" s="308">
        <v>0.63572198056938956</v>
      </c>
      <c r="G421" s="308">
        <v>0.51858543609592389</v>
      </c>
      <c r="H421" s="308">
        <v>0.35370361251799798</v>
      </c>
      <c r="I421" s="308">
        <v>0.39911160599428086</v>
      </c>
      <c r="J421" s="308">
        <v>0.35088417386986792</v>
      </c>
      <c r="K421" s="308">
        <v>0.28416225961693425</v>
      </c>
      <c r="L421" s="308">
        <v>0.21371151297035668</v>
      </c>
      <c r="M421" s="307" t="str">
        <f t="shared" si="32"/>
        <v>%/year</v>
      </c>
      <c r="N421" s="307"/>
      <c r="O421" s="307"/>
      <c r="P421" s="307"/>
      <c r="Q421" s="307"/>
    </row>
    <row r="422" spans="1:17" x14ac:dyDescent="0.2">
      <c r="A422" s="307"/>
      <c r="B422" s="307" t="str">
        <f t="shared" si="31"/>
        <v>OT</v>
      </c>
      <c r="C422" s="308">
        <v>0.45804716646925892</v>
      </c>
      <c r="D422" s="308">
        <v>0.34845905818885969</v>
      </c>
      <c r="E422" s="308">
        <v>0.21363935902250097</v>
      </c>
      <c r="F422" s="308">
        <v>0.11163347338511476</v>
      </c>
      <c r="G422" s="308">
        <v>-4.0448626690645542E-2</v>
      </c>
      <c r="H422" s="308">
        <v>-0.13920089596072882</v>
      </c>
      <c r="I422" s="308">
        <v>9.2019616921568126E-2</v>
      </c>
      <c r="J422" s="308">
        <v>3.565830012902671E-2</v>
      </c>
      <c r="K422" s="308">
        <v>-2.3681707600910672E-2</v>
      </c>
      <c r="L422" s="308">
        <v>-7.3218479453675725E-2</v>
      </c>
      <c r="M422" s="307" t="str">
        <f t="shared" si="32"/>
        <v>%/year</v>
      </c>
      <c r="N422" s="307"/>
      <c r="O422" s="307"/>
      <c r="P422" s="307"/>
      <c r="Q422" s="307"/>
    </row>
    <row r="423" spans="1:17" x14ac:dyDescent="0.2">
      <c r="A423" s="307"/>
      <c r="B423" s="307" t="str">
        <f t="shared" si="31"/>
        <v>EE</v>
      </c>
      <c r="C423" s="308">
        <v>1.2038674522611773E-2</v>
      </c>
      <c r="D423" s="308">
        <v>-0.12323637257935544</v>
      </c>
      <c r="E423" s="308">
        <v>-0.19202421662233227</v>
      </c>
      <c r="F423" s="308">
        <v>-0.23049139473763408</v>
      </c>
      <c r="G423" s="308">
        <v>-0.39593525174794886</v>
      </c>
      <c r="H423" s="308">
        <v>-0.47097774515414192</v>
      </c>
      <c r="I423" s="308">
        <v>-0.22087903623203381</v>
      </c>
      <c r="J423" s="308">
        <v>-0.30031782988373945</v>
      </c>
      <c r="K423" s="308">
        <v>-0.36920223809734176</v>
      </c>
      <c r="L423" s="308">
        <v>-0.42166982332605041</v>
      </c>
      <c r="M423" s="307" t="str">
        <f t="shared" si="32"/>
        <v>%/year</v>
      </c>
      <c r="N423" s="307"/>
      <c r="O423" s="307"/>
      <c r="P423" s="307"/>
      <c r="Q423" s="307"/>
    </row>
    <row r="424" spans="1:17" x14ac:dyDescent="0.2">
      <c r="A424" s="307"/>
      <c r="B424" s="307" t="str">
        <f t="shared" si="31"/>
        <v>CA</v>
      </c>
      <c r="C424" s="308">
        <v>0.2258284098805694</v>
      </c>
      <c r="D424" s="308">
        <v>-1.4431292874300707E-3</v>
      </c>
      <c r="E424" s="308">
        <v>-0.24482638617350536</v>
      </c>
      <c r="F424" s="308">
        <v>-0.50066066716813029</v>
      </c>
      <c r="G424" s="308">
        <v>-0.83128890812011069</v>
      </c>
      <c r="H424" s="308">
        <v>-1.052376263643616</v>
      </c>
      <c r="I424" s="308">
        <v>-0.45730369586297526</v>
      </c>
      <c r="J424" s="308">
        <v>-0.51999640404294667</v>
      </c>
      <c r="K424" s="308">
        <v>-0.59593598197895303</v>
      </c>
      <c r="L424" s="308">
        <v>-0.69262657547010387</v>
      </c>
      <c r="M424" s="307" t="str">
        <f t="shared" si="32"/>
        <v>%/year</v>
      </c>
      <c r="N424" s="307"/>
      <c r="O424" s="307"/>
      <c r="P424" s="307"/>
      <c r="Q424" s="307"/>
    </row>
    <row r="425" spans="1:17" x14ac:dyDescent="0.2">
      <c r="A425" s="307"/>
      <c r="B425" s="307" t="str">
        <f t="shared" si="31"/>
        <v>IA</v>
      </c>
      <c r="C425" s="308">
        <v>1.0493894723910921</v>
      </c>
      <c r="D425" s="308">
        <v>0.80968833650814243</v>
      </c>
      <c r="E425" s="308">
        <v>0.56751897487636283</v>
      </c>
      <c r="F425" s="308">
        <v>0.34718624304194035</v>
      </c>
      <c r="G425" s="308">
        <v>-5.7958073722216563E-3</v>
      </c>
      <c r="H425" s="308">
        <v>-0.3232918880880532</v>
      </c>
      <c r="I425" s="308">
        <v>-0.1644472231904226</v>
      </c>
      <c r="J425" s="308">
        <v>-0.2582073093609823</v>
      </c>
      <c r="K425" s="308">
        <v>-0.34704705746757081</v>
      </c>
      <c r="L425" s="308">
        <v>-0.42418945774011974</v>
      </c>
      <c r="M425" s="307" t="str">
        <f t="shared" si="32"/>
        <v>%/year</v>
      </c>
      <c r="N425" s="307"/>
      <c r="O425" s="307"/>
      <c r="P425" s="307"/>
      <c r="Q425" s="307"/>
    </row>
    <row r="426" spans="1:17" x14ac:dyDescent="0.2">
      <c r="A426" s="307"/>
      <c r="B426" s="307" t="str">
        <f t="shared" si="31"/>
        <v>AF</v>
      </c>
      <c r="C426" s="308">
        <v>2.0441241955936182</v>
      </c>
      <c r="D426" s="308">
        <v>1.8232310341614295</v>
      </c>
      <c r="E426" s="308">
        <v>1.6242447341810913</v>
      </c>
      <c r="F426" s="308">
        <v>1.42891385110599</v>
      </c>
      <c r="G426" s="308">
        <v>1.0723930953560272</v>
      </c>
      <c r="H426" s="308">
        <v>0.67117631451634807</v>
      </c>
      <c r="I426" s="308">
        <v>9.8210685248151242E-2</v>
      </c>
      <c r="J426" s="308">
        <v>9.3382851443409489E-3</v>
      </c>
      <c r="K426" s="308">
        <v>-7.0231208150399002E-2</v>
      </c>
      <c r="L426" s="308">
        <v>-0.14220033426867729</v>
      </c>
      <c r="M426" s="307" t="str">
        <f t="shared" si="32"/>
        <v>%/year</v>
      </c>
      <c r="N426" s="307"/>
      <c r="O426" s="307"/>
      <c r="P426" s="307"/>
      <c r="Q426" s="307"/>
    </row>
    <row r="427" spans="1:17" ht="13.5" thickBot="1" x14ac:dyDescent="0.25">
      <c r="A427" s="307"/>
      <c r="B427" s="307" t="str">
        <f t="shared" si="31"/>
        <v>LA</v>
      </c>
      <c r="C427" s="311">
        <v>0.85036875399786593</v>
      </c>
      <c r="D427" s="311">
        <v>0.66731862703719524</v>
      </c>
      <c r="E427" s="311">
        <v>0.47249841354353356</v>
      </c>
      <c r="F427" s="311">
        <v>0.24436374198127961</v>
      </c>
      <c r="G427" s="311">
        <v>-3.2270821655247361E-2</v>
      </c>
      <c r="H427" s="311">
        <v>-0.26246482095762319</v>
      </c>
      <c r="I427" s="308">
        <v>-0.23121433218206239</v>
      </c>
      <c r="J427" s="308">
        <v>-0.29050630826790252</v>
      </c>
      <c r="K427" s="308">
        <v>-0.36918550498152758</v>
      </c>
      <c r="L427" s="308">
        <v>-0.46968259613980323</v>
      </c>
      <c r="M427" s="307" t="str">
        <f t="shared" si="32"/>
        <v>%/year</v>
      </c>
      <c r="N427" s="307"/>
      <c r="O427" s="307"/>
      <c r="P427" s="307"/>
      <c r="Q427" s="307"/>
    </row>
    <row r="428" spans="1:17" ht="13.5" thickTop="1" x14ac:dyDescent="0.2">
      <c r="A428" s="307"/>
      <c r="B428" s="307"/>
      <c r="C428" s="307"/>
      <c r="D428" s="307"/>
      <c r="E428" s="307"/>
      <c r="F428" s="307"/>
      <c r="G428" s="307"/>
      <c r="H428" s="307"/>
      <c r="I428" s="307"/>
      <c r="J428" s="307"/>
      <c r="K428" s="307"/>
      <c r="L428" s="307"/>
      <c r="M428" s="307"/>
      <c r="N428" s="307"/>
      <c r="O428" s="307"/>
      <c r="P428" s="307"/>
      <c r="Q428" s="307"/>
    </row>
    <row r="431" spans="1:17" x14ac:dyDescent="0.2">
      <c r="A431" s="197" t="s">
        <v>466</v>
      </c>
      <c r="B431" s="198"/>
      <c r="C431" s="198"/>
      <c r="D431" s="198"/>
      <c r="E431" s="198"/>
      <c r="F431" s="198"/>
      <c r="G431" s="198"/>
      <c r="H431" s="198"/>
      <c r="I431" s="198"/>
      <c r="J431" s="198"/>
      <c r="K431" s="198"/>
      <c r="L431" s="198"/>
      <c r="M431" s="198"/>
      <c r="Q431" s="2" t="s">
        <v>461</v>
      </c>
    </row>
    <row r="432" spans="1:17" x14ac:dyDescent="0.2">
      <c r="A432" s="2"/>
      <c r="Q432" s="124"/>
    </row>
    <row r="433" spans="1:17" x14ac:dyDescent="0.2">
      <c r="A433" s="2"/>
      <c r="Q433" s="124" t="s">
        <v>1078</v>
      </c>
    </row>
    <row r="434" spans="1:17" x14ac:dyDescent="0.2">
      <c r="A434" s="2" t="s">
        <v>1084</v>
      </c>
    </row>
    <row r="435" spans="1:17" x14ac:dyDescent="0.2">
      <c r="C435">
        <f t="array" ref="C435:L435">Y</f>
        <v>2020</v>
      </c>
      <c r="D435">
        <v>2025</v>
      </c>
      <c r="E435">
        <v>2030</v>
      </c>
      <c r="F435">
        <v>2040</v>
      </c>
      <c r="G435">
        <v>2050</v>
      </c>
      <c r="H435">
        <v>2060</v>
      </c>
      <c r="I435">
        <v>2070</v>
      </c>
      <c r="J435">
        <v>2080</v>
      </c>
      <c r="K435">
        <v>2090</v>
      </c>
      <c r="L435">
        <v>2100</v>
      </c>
    </row>
    <row r="436" spans="1:17" x14ac:dyDescent="0.2">
      <c r="A436" t="str">
        <f t="array" ref="A436:A443">R_CODE&amp;" "&amp;'Base data'!$B$12&amp;" emissions"</f>
        <v>EU CO2 emissions</v>
      </c>
      <c r="C436" s="88">
        <v>107.20490184978931</v>
      </c>
      <c r="D436" s="88">
        <v>115.14885338478642</v>
      </c>
      <c r="E436" s="88">
        <v>123.09280491978353</v>
      </c>
      <c r="F436" s="88">
        <v>146.76892454566476</v>
      </c>
      <c r="G436" s="88">
        <v>109.34432453127907</v>
      </c>
      <c r="H436" s="138">
        <v>27.79838331722198</v>
      </c>
      <c r="I436" s="132">
        <v>-20.860229932661333</v>
      </c>
      <c r="J436" s="132">
        <v>-37.892958066302626</v>
      </c>
      <c r="K436" s="132">
        <v>-47.051397300711962</v>
      </c>
      <c r="L436" s="132">
        <v>-49.237525154831836</v>
      </c>
      <c r="M436" s="3" t="s">
        <v>477</v>
      </c>
      <c r="Q436" s="124"/>
    </row>
    <row r="437" spans="1:17" x14ac:dyDescent="0.2">
      <c r="A437" t="str">
        <v>US CO2 emissions</v>
      </c>
      <c r="C437" s="90">
        <v>106.62881982252256</v>
      </c>
      <c r="D437" s="90">
        <v>122.44446615330868</v>
      </c>
      <c r="E437" s="90">
        <v>138.2601124840948</v>
      </c>
      <c r="F437" s="90">
        <v>172.04080704492984</v>
      </c>
      <c r="G437" s="90">
        <v>121.70061577261383</v>
      </c>
      <c r="H437" s="134">
        <v>15.280574946805919</v>
      </c>
      <c r="I437" s="130">
        <v>-41.850001764128471</v>
      </c>
      <c r="J437" s="130">
        <v>-61.1664743800618</v>
      </c>
      <c r="K437" s="130">
        <v>-64.56498121356131</v>
      </c>
      <c r="L437" s="130">
        <v>-64.244990741894554</v>
      </c>
      <c r="M437" s="3" t="s">
        <v>477</v>
      </c>
    </row>
    <row r="438" spans="1:17" x14ac:dyDescent="0.2">
      <c r="A438" t="str">
        <v>OT CO2 emissions</v>
      </c>
      <c r="C438" s="90">
        <v>107.20490184978931</v>
      </c>
      <c r="D438" s="90">
        <v>115.14885338478642</v>
      </c>
      <c r="E438" s="90">
        <v>123.09280491978353</v>
      </c>
      <c r="F438" s="90">
        <v>146.76892454566476</v>
      </c>
      <c r="G438" s="90">
        <v>109.34432453127907</v>
      </c>
      <c r="H438" s="134">
        <v>27.79838331722198</v>
      </c>
      <c r="I438" s="130">
        <v>-20.860229932661333</v>
      </c>
      <c r="J438" s="130">
        <v>-37.892958066302626</v>
      </c>
      <c r="K438" s="130">
        <v>-47.051397300711962</v>
      </c>
      <c r="L438" s="130">
        <v>-49.237525154831836</v>
      </c>
      <c r="M438" s="3" t="s">
        <v>477</v>
      </c>
    </row>
    <row r="439" spans="1:17" x14ac:dyDescent="0.2">
      <c r="A439" t="str">
        <v>EE CO2 emissions</v>
      </c>
      <c r="C439" s="90">
        <v>105.49656700523606</v>
      </c>
      <c r="D439" s="90">
        <v>113.59984065280277</v>
      </c>
      <c r="E439" s="90">
        <v>121.70311430036948</v>
      </c>
      <c r="F439" s="90">
        <v>149.49618165580483</v>
      </c>
      <c r="G439" s="90">
        <v>90.757515398788939</v>
      </c>
      <c r="H439" s="134">
        <v>-4.7394508423443469</v>
      </c>
      <c r="I439" s="130">
        <v>-46.757683772189047</v>
      </c>
      <c r="J439" s="130">
        <v>-56.176786862708845</v>
      </c>
      <c r="K439" s="130">
        <v>-58.257370024848093</v>
      </c>
      <c r="L439" s="130">
        <v>-58.752509327799572</v>
      </c>
      <c r="M439" s="3" t="s">
        <v>477</v>
      </c>
    </row>
    <row r="440" spans="1:17" x14ac:dyDescent="0.2">
      <c r="A440" t="str">
        <v>CA CO2 emissions</v>
      </c>
      <c r="C440" s="90">
        <v>108.63173056885</v>
      </c>
      <c r="D440" s="90">
        <v>121.18295083959941</v>
      </c>
      <c r="E440" s="90">
        <v>133.73417111034883</v>
      </c>
      <c r="F440" s="90">
        <v>158.19260350872742</v>
      </c>
      <c r="G440" s="90">
        <v>101.74675680684209</v>
      </c>
      <c r="H440" s="134">
        <v>26.184763125271015</v>
      </c>
      <c r="I440" s="130">
        <v>-11.116643975830678</v>
      </c>
      <c r="J440" s="130">
        <v>-21.483216138218783</v>
      </c>
      <c r="K440" s="130">
        <v>-22.971713822157124</v>
      </c>
      <c r="L440" s="130">
        <v>-23.349875188381066</v>
      </c>
      <c r="M440" s="3" t="s">
        <v>477</v>
      </c>
    </row>
    <row r="441" spans="1:17" x14ac:dyDescent="0.2">
      <c r="A441" t="str">
        <v>IA CO2 emissions</v>
      </c>
      <c r="C441" s="90">
        <v>121.49843909165486</v>
      </c>
      <c r="D441" s="90">
        <v>147.70743065618643</v>
      </c>
      <c r="E441" s="90">
        <v>173.91642222071798</v>
      </c>
      <c r="F441" s="90">
        <v>247.59323014514914</v>
      </c>
      <c r="G441" s="90">
        <v>196.18806286264396</v>
      </c>
      <c r="H441" s="134">
        <v>69.019472210728907</v>
      </c>
      <c r="I441" s="130">
        <v>-4.2416627248750114</v>
      </c>
      <c r="J441" s="130">
        <v>-28.947900659031905</v>
      </c>
      <c r="K441" s="130">
        <v>-39.782906896287088</v>
      </c>
      <c r="L441" s="130">
        <v>-40.393958329004043</v>
      </c>
      <c r="M441" s="3" t="s">
        <v>477</v>
      </c>
    </row>
    <row r="442" spans="1:17" x14ac:dyDescent="0.2">
      <c r="A442" t="str">
        <v>AF CO2 emissions</v>
      </c>
      <c r="C442" s="90">
        <v>121.31752254253364</v>
      </c>
      <c r="D442" s="90">
        <v>142.01842724554854</v>
      </c>
      <c r="E442" s="90">
        <v>162.71933194856342</v>
      </c>
      <c r="F442" s="90">
        <v>244.20674895241751</v>
      </c>
      <c r="G442" s="90">
        <v>186.66313470289481</v>
      </c>
      <c r="H442" s="134">
        <v>15.073751005559089</v>
      </c>
      <c r="I442" s="130">
        <v>-77.884513789667054</v>
      </c>
      <c r="J442" s="130">
        <v>-115.35374668315583</v>
      </c>
      <c r="K442" s="130">
        <v>-138.96256318513093</v>
      </c>
      <c r="L442" s="130">
        <v>-148.89850757020903</v>
      </c>
      <c r="M442" s="3" t="s">
        <v>477</v>
      </c>
      <c r="Q442" s="124"/>
    </row>
    <row r="443" spans="1:17" ht="13.5" thickBot="1" x14ac:dyDescent="0.25">
      <c r="A443" t="str">
        <v>LA CO2 emissions</v>
      </c>
      <c r="C443" s="92">
        <v>117.86191020957818</v>
      </c>
      <c r="D443" s="92">
        <v>142.0573764076326</v>
      </c>
      <c r="E443" s="92">
        <v>166.25284260568705</v>
      </c>
      <c r="F443" s="92">
        <v>221.65671508969282</v>
      </c>
      <c r="G443" s="92">
        <v>169.3358300730259</v>
      </c>
      <c r="H443" s="139">
        <v>24.18227843758276</v>
      </c>
      <c r="I443" s="133">
        <v>-62.052755330589271</v>
      </c>
      <c r="J443" s="133">
        <v>-107.93758436682131</v>
      </c>
      <c r="K443" s="133">
        <v>-121.29281867472655</v>
      </c>
      <c r="L443" s="133">
        <v>-140.5035258496188</v>
      </c>
      <c r="M443" s="3" t="s">
        <v>477</v>
      </c>
      <c r="Q443" s="124"/>
    </row>
    <row r="444" spans="1:17" ht="13.5" thickTop="1" x14ac:dyDescent="0.2"/>
    <row r="445" spans="1:17" x14ac:dyDescent="0.2">
      <c r="A445" t="str">
        <f t="array" ref="A445:A452">R_CODE&amp;" "&amp;'Base data'!$C$12&amp;" emissions"</f>
        <v>EU CH4 emissions</v>
      </c>
      <c r="C445" s="88">
        <v>99.875801476282646</v>
      </c>
      <c r="D445" s="88">
        <v>106.44454520492664</v>
      </c>
      <c r="E445" s="88">
        <v>113.01328893357065</v>
      </c>
      <c r="F445" s="88">
        <v>133.53088191023232</v>
      </c>
      <c r="G445" s="88">
        <v>65.373782669638615</v>
      </c>
      <c r="H445" s="138">
        <v>80.171264690408805</v>
      </c>
      <c r="I445" s="132">
        <v>102.45228282183703</v>
      </c>
      <c r="J445" s="132">
        <v>113.94408831076416</v>
      </c>
      <c r="K445" s="132">
        <v>117.88233361710525</v>
      </c>
      <c r="L445" s="132">
        <v>119.15706979396602</v>
      </c>
      <c r="M445" s="3" t="s">
        <v>477</v>
      </c>
    </row>
    <row r="446" spans="1:17" x14ac:dyDescent="0.2">
      <c r="A446" t="str">
        <v>US CH4 emissions</v>
      </c>
      <c r="C446" s="90">
        <v>95.688690750316368</v>
      </c>
      <c r="D446" s="90">
        <v>103.70907513080405</v>
      </c>
      <c r="E446" s="90">
        <v>111.72945951129175</v>
      </c>
      <c r="F446" s="90">
        <v>132.5640380293141</v>
      </c>
      <c r="G446" s="90">
        <v>57.838997979510481</v>
      </c>
      <c r="H446" s="134">
        <v>62.059243463644108</v>
      </c>
      <c r="I446" s="130">
        <v>62.53024054467204</v>
      </c>
      <c r="J446" s="130">
        <v>77.574410656063236</v>
      </c>
      <c r="K446" s="130">
        <v>92.945638714022635</v>
      </c>
      <c r="L446" s="130">
        <v>96.180704498466213</v>
      </c>
      <c r="M446" s="3" t="s">
        <v>477</v>
      </c>
    </row>
    <row r="447" spans="1:17" x14ac:dyDescent="0.2">
      <c r="A447" t="str">
        <v>OT CH4 emissions</v>
      </c>
      <c r="C447" s="90">
        <v>100.39252828290462</v>
      </c>
      <c r="D447" s="90">
        <v>104.29633808872731</v>
      </c>
      <c r="E447" s="90">
        <v>108.20014789455</v>
      </c>
      <c r="F447" s="90">
        <v>132.52630849713995</v>
      </c>
      <c r="G447" s="90">
        <v>70.907633588651848</v>
      </c>
      <c r="H447" s="134">
        <v>42.366804429764869</v>
      </c>
      <c r="I447" s="130">
        <v>33.613765190964884</v>
      </c>
      <c r="J447" s="130">
        <v>30.126864912712147</v>
      </c>
      <c r="K447" s="130">
        <v>28.350367470923956</v>
      </c>
      <c r="L447" s="130">
        <v>26.603270919845716</v>
      </c>
      <c r="M447" s="3" t="s">
        <v>477</v>
      </c>
    </row>
    <row r="448" spans="1:17" x14ac:dyDescent="0.2">
      <c r="A448" t="str">
        <v>EE CH4 emissions</v>
      </c>
      <c r="C448" s="90">
        <v>102.89655168069585</v>
      </c>
      <c r="D448" s="90">
        <v>107.64619471186782</v>
      </c>
      <c r="E448" s="90">
        <v>112.39583774303978</v>
      </c>
      <c r="F448" s="90">
        <v>130.15654313041583</v>
      </c>
      <c r="G448" s="90">
        <v>56.031809939421947</v>
      </c>
      <c r="H448" s="134">
        <v>31.535248474358067</v>
      </c>
      <c r="I448" s="130">
        <v>30.073757391061051</v>
      </c>
      <c r="J448" s="130">
        <v>27.2932587370859</v>
      </c>
      <c r="K448" s="130">
        <v>25.676379285623881</v>
      </c>
      <c r="L448" s="130">
        <v>22.909917035553477</v>
      </c>
      <c r="M448" s="3" t="s">
        <v>477</v>
      </c>
    </row>
    <row r="449" spans="1:13" x14ac:dyDescent="0.2">
      <c r="A449" t="str">
        <v>CA CH4 emissions</v>
      </c>
      <c r="C449" s="90">
        <v>84.753028617293509</v>
      </c>
      <c r="D449" s="90">
        <v>76.169992778264856</v>
      </c>
      <c r="E449" s="90">
        <v>67.586956939236188</v>
      </c>
      <c r="F449" s="90">
        <v>65.194391665077404</v>
      </c>
      <c r="G449" s="90">
        <v>24.96008567859624</v>
      </c>
      <c r="H449" s="134">
        <v>17.239161113846958</v>
      </c>
      <c r="I449" s="130">
        <v>13.996914674835512</v>
      </c>
      <c r="J449" s="130">
        <v>11.722654282720022</v>
      </c>
      <c r="K449" s="130">
        <v>7.2822417578574266</v>
      </c>
      <c r="L449" s="130">
        <v>6.1480183224812235</v>
      </c>
      <c r="M449" s="3" t="s">
        <v>477</v>
      </c>
    </row>
    <row r="450" spans="1:13" x14ac:dyDescent="0.2">
      <c r="A450" t="str">
        <v>IA CH4 emissions</v>
      </c>
      <c r="C450" s="90">
        <v>99.638985490290764</v>
      </c>
      <c r="D450" s="90">
        <v>101.60711946714721</v>
      </c>
      <c r="E450" s="90">
        <v>103.57525344400366</v>
      </c>
      <c r="F450" s="90">
        <v>109.4344455434327</v>
      </c>
      <c r="G450" s="90">
        <v>47.848310741274865</v>
      </c>
      <c r="H450" s="134">
        <v>37.442718263055809</v>
      </c>
      <c r="I450" s="130">
        <v>35.164307236152879</v>
      </c>
      <c r="J450" s="130">
        <v>27.527982521682169</v>
      </c>
      <c r="K450" s="130">
        <v>21.114930808087287</v>
      </c>
      <c r="L450" s="130">
        <v>17.383767624657718</v>
      </c>
      <c r="M450" s="3" t="s">
        <v>477</v>
      </c>
    </row>
    <row r="451" spans="1:13" x14ac:dyDescent="0.2">
      <c r="A451" t="str">
        <v>AF CH4 emissions</v>
      </c>
      <c r="C451" s="90">
        <v>122.01528518915242</v>
      </c>
      <c r="D451" s="90">
        <v>155.78227878288931</v>
      </c>
      <c r="E451" s="90">
        <v>189.54927237662622</v>
      </c>
      <c r="F451" s="90">
        <v>275.94000656195806</v>
      </c>
      <c r="G451" s="90">
        <v>157.59499641301761</v>
      </c>
      <c r="H451" s="134">
        <v>72.001159080457924</v>
      </c>
      <c r="I451" s="130">
        <v>43.409953385545819</v>
      </c>
      <c r="J451" s="130">
        <v>35.372597666354679</v>
      </c>
      <c r="K451" s="130">
        <v>29.132322025885298</v>
      </c>
      <c r="L451" s="130">
        <v>24.25610054297255</v>
      </c>
      <c r="M451" s="3" t="s">
        <v>477</v>
      </c>
    </row>
    <row r="452" spans="1:13" ht="13.5" thickBot="1" x14ac:dyDescent="0.25">
      <c r="A452" t="str">
        <v>LA CH4 emissions</v>
      </c>
      <c r="C452" s="92">
        <v>109.86411672565421</v>
      </c>
      <c r="D452" s="92">
        <v>116.13216806842394</v>
      </c>
      <c r="E452" s="92">
        <v>122.40021941119367</v>
      </c>
      <c r="F452" s="92">
        <v>128.71460163163425</v>
      </c>
      <c r="G452" s="92">
        <v>52.919969631994313</v>
      </c>
      <c r="H452" s="139">
        <v>29.525657240297516</v>
      </c>
      <c r="I452" s="133">
        <v>24.015512639953773</v>
      </c>
      <c r="J452" s="133">
        <v>20.149331194567573</v>
      </c>
      <c r="K452" s="133">
        <v>16.423719704343934</v>
      </c>
      <c r="L452" s="133">
        <v>12.883167222436349</v>
      </c>
      <c r="M452" s="3" t="s">
        <v>477</v>
      </c>
    </row>
    <row r="453" spans="1:13" ht="13.5" thickTop="1" x14ac:dyDescent="0.2">
      <c r="M453" s="3"/>
    </row>
    <row r="454" spans="1:13" x14ac:dyDescent="0.2">
      <c r="A454" t="str">
        <f t="array" ref="A454:A461">R_CODE&amp;" "&amp;'Base data'!$D$12&amp;" emissions"</f>
        <v>EU N2O emissions</v>
      </c>
      <c r="C454" s="88">
        <v>107.63919108759174</v>
      </c>
      <c r="D454" s="88">
        <v>111.83227945915688</v>
      </c>
      <c r="E454" s="88">
        <v>116.02536783072202</v>
      </c>
      <c r="F454" s="88">
        <v>122.75100576642203</v>
      </c>
      <c r="G454" s="88">
        <v>88.975206959298518</v>
      </c>
      <c r="H454" s="138">
        <v>112.0322086024367</v>
      </c>
      <c r="I454" s="132">
        <v>117.15827107032109</v>
      </c>
      <c r="J454" s="132">
        <v>113.1663119266055</v>
      </c>
      <c r="K454" s="132">
        <v>108.62489724770641</v>
      </c>
      <c r="L454" s="132">
        <v>105.36972018348624</v>
      </c>
      <c r="M454" s="3" t="s">
        <v>477</v>
      </c>
    </row>
    <row r="455" spans="1:13" x14ac:dyDescent="0.2">
      <c r="A455" t="str">
        <v>US N2O emissions</v>
      </c>
      <c r="C455" s="88">
        <v>107.63919108759174</v>
      </c>
      <c r="D455" s="88">
        <v>111.83227945915688</v>
      </c>
      <c r="E455" s="88">
        <v>116.02536783072202</v>
      </c>
      <c r="F455" s="88">
        <v>122.75100576642203</v>
      </c>
      <c r="G455" s="88">
        <v>88.975206959298518</v>
      </c>
      <c r="H455" s="138">
        <v>112.0322086024367</v>
      </c>
      <c r="I455" s="132">
        <v>117.15827107032109</v>
      </c>
      <c r="J455" s="132">
        <v>113.1663119266055</v>
      </c>
      <c r="K455" s="132">
        <v>108.62489724770641</v>
      </c>
      <c r="L455" s="132">
        <v>105.36972018348624</v>
      </c>
      <c r="M455" s="3" t="s">
        <v>477</v>
      </c>
    </row>
    <row r="456" spans="1:13" x14ac:dyDescent="0.2">
      <c r="A456" t="str">
        <v>OT N2O emissions</v>
      </c>
      <c r="C456" s="88">
        <v>107.63919108759174</v>
      </c>
      <c r="D456" s="88">
        <v>111.83227945915688</v>
      </c>
      <c r="E456" s="88">
        <v>116.02536783072202</v>
      </c>
      <c r="F456" s="88">
        <v>122.75100576642203</v>
      </c>
      <c r="G456" s="88">
        <v>88.975206959298518</v>
      </c>
      <c r="H456" s="138">
        <v>112.0322086024367</v>
      </c>
      <c r="I456" s="132">
        <v>117.15827107032109</v>
      </c>
      <c r="J456" s="132">
        <v>113.1663119266055</v>
      </c>
      <c r="K456" s="132">
        <v>108.62489724770641</v>
      </c>
      <c r="L456" s="132">
        <v>105.36972018348624</v>
      </c>
      <c r="M456" s="3" t="s">
        <v>477</v>
      </c>
    </row>
    <row r="457" spans="1:13" x14ac:dyDescent="0.2">
      <c r="A457" t="str">
        <v>EE N2O emissions</v>
      </c>
      <c r="C457" s="88">
        <v>107.63919108759174</v>
      </c>
      <c r="D457" s="88">
        <v>111.83227945915688</v>
      </c>
      <c r="E457" s="88">
        <v>116.02536783072202</v>
      </c>
      <c r="F457" s="88">
        <v>122.75100576642203</v>
      </c>
      <c r="G457" s="88">
        <v>88.975206959298518</v>
      </c>
      <c r="H457" s="138">
        <v>112.0322086024367</v>
      </c>
      <c r="I457" s="132">
        <v>117.15827107032109</v>
      </c>
      <c r="J457" s="132">
        <v>113.1663119266055</v>
      </c>
      <c r="K457" s="132">
        <v>108.62489724770641</v>
      </c>
      <c r="L457" s="132">
        <v>105.36972018348624</v>
      </c>
      <c r="M457" s="3" t="s">
        <v>477</v>
      </c>
    </row>
    <row r="458" spans="1:13" x14ac:dyDescent="0.2">
      <c r="A458" t="str">
        <v>CA N2O emissions</v>
      </c>
      <c r="C458" s="88">
        <v>107.63919108759174</v>
      </c>
      <c r="D458" s="88">
        <v>111.83227945915688</v>
      </c>
      <c r="E458" s="88">
        <v>116.02536783072202</v>
      </c>
      <c r="F458" s="88">
        <v>122.75100576642203</v>
      </c>
      <c r="G458" s="88">
        <v>88.975206959298518</v>
      </c>
      <c r="H458" s="138">
        <v>112.0322086024367</v>
      </c>
      <c r="I458" s="132">
        <v>117.15827107032109</v>
      </c>
      <c r="J458" s="132">
        <v>113.1663119266055</v>
      </c>
      <c r="K458" s="132">
        <v>108.62489724770641</v>
      </c>
      <c r="L458" s="132">
        <v>105.36972018348624</v>
      </c>
      <c r="M458" s="3" t="s">
        <v>477</v>
      </c>
    </row>
    <row r="459" spans="1:13" x14ac:dyDescent="0.2">
      <c r="A459" t="str">
        <v>IA N2O emissions</v>
      </c>
      <c r="C459" s="88">
        <v>107.63919108759174</v>
      </c>
      <c r="D459" s="88">
        <v>111.83227945915688</v>
      </c>
      <c r="E459" s="88">
        <v>116.02536783072202</v>
      </c>
      <c r="F459" s="88">
        <v>122.75100576642203</v>
      </c>
      <c r="G459" s="88">
        <v>88.975206959298518</v>
      </c>
      <c r="H459" s="138">
        <v>112.0322086024367</v>
      </c>
      <c r="I459" s="132">
        <v>117.15827107032109</v>
      </c>
      <c r="J459" s="132">
        <v>113.1663119266055</v>
      </c>
      <c r="K459" s="132">
        <v>108.62489724770641</v>
      </c>
      <c r="L459" s="132">
        <v>105.36972018348624</v>
      </c>
      <c r="M459" s="3" t="s">
        <v>477</v>
      </c>
    </row>
    <row r="460" spans="1:13" x14ac:dyDescent="0.2">
      <c r="A460" t="str">
        <v>AF N2O emissions</v>
      </c>
      <c r="C460" s="88">
        <v>107.63919108759174</v>
      </c>
      <c r="D460" s="88">
        <v>111.83227945915688</v>
      </c>
      <c r="E460" s="88">
        <v>116.02536783072202</v>
      </c>
      <c r="F460" s="88">
        <v>122.75100576642203</v>
      </c>
      <c r="G460" s="88">
        <v>88.975206959298518</v>
      </c>
      <c r="H460" s="138">
        <v>112.0322086024367</v>
      </c>
      <c r="I460" s="132">
        <v>117.15827107032109</v>
      </c>
      <c r="J460" s="132">
        <v>113.1663119266055</v>
      </c>
      <c r="K460" s="132">
        <v>108.62489724770641</v>
      </c>
      <c r="L460" s="132">
        <v>105.36972018348624</v>
      </c>
      <c r="M460" s="3" t="s">
        <v>477</v>
      </c>
    </row>
    <row r="461" spans="1:13" x14ac:dyDescent="0.2">
      <c r="A461" t="str">
        <v>LA N2O emissions</v>
      </c>
      <c r="C461" s="88">
        <v>107.63919108759174</v>
      </c>
      <c r="D461" s="88">
        <v>111.83227945915688</v>
      </c>
      <c r="E461" s="88">
        <v>116.02536783072202</v>
      </c>
      <c r="F461" s="88">
        <v>122.75100576642203</v>
      </c>
      <c r="G461" s="88">
        <v>88.975206959298518</v>
      </c>
      <c r="H461" s="138">
        <v>112.0322086024367</v>
      </c>
      <c r="I461" s="132">
        <v>117.15827107032109</v>
      </c>
      <c r="J461" s="132">
        <v>113.1663119266055</v>
      </c>
      <c r="K461" s="132">
        <v>108.62489724770641</v>
      </c>
      <c r="L461" s="132">
        <v>105.36972018348624</v>
      </c>
      <c r="M461" s="3" t="s">
        <v>477</v>
      </c>
    </row>
    <row r="462" spans="1:13" x14ac:dyDescent="0.2">
      <c r="M462" s="3"/>
    </row>
    <row r="463" spans="1:13" x14ac:dyDescent="0.2">
      <c r="A463" t="str">
        <f t="array" ref="A463:A470">R_CODE&amp;" "&amp;GLIN_NAME&amp;" emissions"</f>
        <v>EU Lin emissions</v>
      </c>
      <c r="C463" s="88">
        <v>123.12461561981884</v>
      </c>
      <c r="D463" s="88">
        <v>127.87774576472447</v>
      </c>
      <c r="E463" s="88">
        <v>132.63087590963011</v>
      </c>
      <c r="F463" s="88">
        <v>137.19476273699667</v>
      </c>
      <c r="G463" s="88">
        <v>81.844233192137963</v>
      </c>
      <c r="H463" s="138">
        <v>10.918165037973296</v>
      </c>
      <c r="I463" s="132">
        <v>10.420168838777277</v>
      </c>
      <c r="J463" s="132">
        <v>10.104184708640975</v>
      </c>
      <c r="K463" s="132">
        <v>9.383084665274815</v>
      </c>
      <c r="L463" s="132">
        <v>8.6517348529388673</v>
      </c>
      <c r="M463" s="3" t="s">
        <v>477</v>
      </c>
    </row>
    <row r="464" spans="1:13" x14ac:dyDescent="0.2">
      <c r="A464" t="str">
        <v>US Lin emissions</v>
      </c>
      <c r="C464" s="88">
        <v>123.12461561981884</v>
      </c>
      <c r="D464" s="88">
        <v>127.87774576472447</v>
      </c>
      <c r="E464" s="88">
        <v>132.63087590963011</v>
      </c>
      <c r="F464" s="88">
        <v>137.19476273699667</v>
      </c>
      <c r="G464" s="88">
        <v>81.844233192137963</v>
      </c>
      <c r="H464" s="138">
        <v>10.918165037973296</v>
      </c>
      <c r="I464" s="132">
        <v>10.420168838777277</v>
      </c>
      <c r="J464" s="132">
        <v>10.104184708640975</v>
      </c>
      <c r="K464" s="132">
        <v>9.383084665274815</v>
      </c>
      <c r="L464" s="132">
        <v>8.6517348529388673</v>
      </c>
      <c r="M464" s="3" t="s">
        <v>477</v>
      </c>
    </row>
    <row r="465" spans="1:13" x14ac:dyDescent="0.2">
      <c r="A465" t="str">
        <v>OT Lin emissions</v>
      </c>
      <c r="C465" s="88">
        <v>123.12461561981884</v>
      </c>
      <c r="D465" s="88">
        <v>127.87774576472447</v>
      </c>
      <c r="E465" s="88">
        <v>132.63087590963011</v>
      </c>
      <c r="F465" s="88">
        <v>137.19476273699667</v>
      </c>
      <c r="G465" s="88">
        <v>81.844233192137963</v>
      </c>
      <c r="H465" s="138">
        <v>10.918165037973296</v>
      </c>
      <c r="I465" s="132">
        <v>10.420168838777277</v>
      </c>
      <c r="J465" s="132">
        <v>10.104184708640975</v>
      </c>
      <c r="K465" s="132">
        <v>9.383084665274815</v>
      </c>
      <c r="L465" s="132">
        <v>8.6517348529388673</v>
      </c>
      <c r="M465" s="3" t="s">
        <v>477</v>
      </c>
    </row>
    <row r="466" spans="1:13" x14ac:dyDescent="0.2">
      <c r="A466" t="str">
        <v>EE Lin emissions</v>
      </c>
      <c r="C466" s="88">
        <v>123.12461561981884</v>
      </c>
      <c r="D466" s="88">
        <v>127.87774576472447</v>
      </c>
      <c r="E466" s="88">
        <v>132.63087590963011</v>
      </c>
      <c r="F466" s="88">
        <v>137.19476273699667</v>
      </c>
      <c r="G466" s="88">
        <v>81.844233192137963</v>
      </c>
      <c r="H466" s="138">
        <v>10.918165037973296</v>
      </c>
      <c r="I466" s="132">
        <v>10.420168838777277</v>
      </c>
      <c r="J466" s="132">
        <v>10.104184708640975</v>
      </c>
      <c r="K466" s="132">
        <v>9.383084665274815</v>
      </c>
      <c r="L466" s="132">
        <v>8.6517348529388673</v>
      </c>
      <c r="M466" s="3" t="s">
        <v>477</v>
      </c>
    </row>
    <row r="467" spans="1:13" x14ac:dyDescent="0.2">
      <c r="A467" t="str">
        <v>CA Lin emissions</v>
      </c>
      <c r="C467" s="88">
        <v>123.12461561981884</v>
      </c>
      <c r="D467" s="88">
        <v>127.87774576472447</v>
      </c>
      <c r="E467" s="88">
        <v>132.63087590963011</v>
      </c>
      <c r="F467" s="88">
        <v>137.19476273699667</v>
      </c>
      <c r="G467" s="88">
        <v>81.844233192137963</v>
      </c>
      <c r="H467" s="138">
        <v>10.918165037973296</v>
      </c>
      <c r="I467" s="132">
        <v>10.420168838777277</v>
      </c>
      <c r="J467" s="132">
        <v>10.104184708640975</v>
      </c>
      <c r="K467" s="132">
        <v>9.383084665274815</v>
      </c>
      <c r="L467" s="132">
        <v>8.6517348529388673</v>
      </c>
      <c r="M467" s="3" t="s">
        <v>477</v>
      </c>
    </row>
    <row r="468" spans="1:13" x14ac:dyDescent="0.2">
      <c r="A468" t="str">
        <v>IA Lin emissions</v>
      </c>
      <c r="C468" s="88">
        <v>123.12461561981884</v>
      </c>
      <c r="D468" s="88">
        <v>127.87774576472447</v>
      </c>
      <c r="E468" s="88">
        <v>132.63087590963011</v>
      </c>
      <c r="F468" s="88">
        <v>137.19476273699667</v>
      </c>
      <c r="G468" s="88">
        <v>81.844233192137963</v>
      </c>
      <c r="H468" s="138">
        <v>10.918165037973296</v>
      </c>
      <c r="I468" s="132">
        <v>10.420168838777277</v>
      </c>
      <c r="J468" s="132">
        <v>10.104184708640975</v>
      </c>
      <c r="K468" s="132">
        <v>9.383084665274815</v>
      </c>
      <c r="L468" s="132">
        <v>8.6517348529388673</v>
      </c>
      <c r="M468" s="3" t="s">
        <v>477</v>
      </c>
    </row>
    <row r="469" spans="1:13" x14ac:dyDescent="0.2">
      <c r="A469" t="str">
        <v>AF Lin emissions</v>
      </c>
      <c r="C469" s="88">
        <v>123.12461561981884</v>
      </c>
      <c r="D469" s="88">
        <v>127.87774576472447</v>
      </c>
      <c r="E469" s="88">
        <v>132.63087590963011</v>
      </c>
      <c r="F469" s="88">
        <v>137.19476273699667</v>
      </c>
      <c r="G469" s="88">
        <v>81.844233192137963</v>
      </c>
      <c r="H469" s="138">
        <v>10.918165037973296</v>
      </c>
      <c r="I469" s="132">
        <v>10.420168838777277</v>
      </c>
      <c r="J469" s="132">
        <v>10.104184708640975</v>
      </c>
      <c r="K469" s="132">
        <v>9.383084665274815</v>
      </c>
      <c r="L469" s="132">
        <v>8.6517348529388673</v>
      </c>
      <c r="M469" s="3" t="s">
        <v>477</v>
      </c>
    </row>
    <row r="470" spans="1:13" x14ac:dyDescent="0.2">
      <c r="A470" t="str">
        <v>LA Lin emissions</v>
      </c>
      <c r="C470" s="88">
        <v>123.12461561981884</v>
      </c>
      <c r="D470" s="88">
        <v>127.87774576472447</v>
      </c>
      <c r="E470" s="88">
        <v>132.63087590963011</v>
      </c>
      <c r="F470" s="88">
        <v>137.19476273699667</v>
      </c>
      <c r="G470" s="88">
        <v>81.844233192137963</v>
      </c>
      <c r="H470" s="138">
        <v>10.918165037973296</v>
      </c>
      <c r="I470" s="132">
        <v>10.420168838777277</v>
      </c>
      <c r="J470" s="132">
        <v>10.104184708640975</v>
      </c>
      <c r="K470" s="132">
        <v>9.383084665274815</v>
      </c>
      <c r="L470" s="132">
        <v>8.6517348529388673</v>
      </c>
      <c r="M470" s="3" t="s">
        <v>477</v>
      </c>
    </row>
    <row r="471" spans="1:13" x14ac:dyDescent="0.2">
      <c r="M471" s="3"/>
    </row>
    <row r="472" spans="1:13" x14ac:dyDescent="0.2">
      <c r="A472" t="str">
        <f t="array" ref="A472:A479">R_CODE&amp;" sulphates"</f>
        <v>EU sulphates</v>
      </c>
      <c r="C472" s="88">
        <v>78.699283577680092</v>
      </c>
      <c r="D472" s="88">
        <v>64.618866024040585</v>
      </c>
      <c r="E472" s="88">
        <v>50.538448470401065</v>
      </c>
      <c r="F472" s="88">
        <v>53.332771046068459</v>
      </c>
      <c r="G472" s="88">
        <v>39.705142692684888</v>
      </c>
      <c r="H472" s="138">
        <v>26.623071899756326</v>
      </c>
      <c r="I472" s="132">
        <v>18.723594496957507</v>
      </c>
      <c r="J472" s="132">
        <v>15.506324520780998</v>
      </c>
      <c r="K472" s="132">
        <v>14.303592862061839</v>
      </c>
      <c r="L472" s="132">
        <v>14.086674366138695</v>
      </c>
      <c r="M472" s="3" t="s">
        <v>477</v>
      </c>
    </row>
    <row r="473" spans="1:13" x14ac:dyDescent="0.2">
      <c r="A473" t="str">
        <v>US sulphates</v>
      </c>
      <c r="C473" s="90">
        <v>84.384708242414376</v>
      </c>
      <c r="D473" s="90">
        <v>70.690088468364848</v>
      </c>
      <c r="E473" s="90">
        <v>56.995468694315306</v>
      </c>
      <c r="F473" s="90">
        <v>56.704478130721775</v>
      </c>
      <c r="G473" s="90">
        <v>35.567727316148684</v>
      </c>
      <c r="H473" s="134">
        <v>22.831962972987291</v>
      </c>
      <c r="I473" s="130">
        <v>15.79723463900762</v>
      </c>
      <c r="J473" s="130">
        <v>12.622865059923631</v>
      </c>
      <c r="K473" s="130">
        <v>11.213291531585606</v>
      </c>
      <c r="L473" s="130">
        <v>10.783275215589223</v>
      </c>
      <c r="M473" s="3" t="s">
        <v>477</v>
      </c>
    </row>
    <row r="474" spans="1:13" x14ac:dyDescent="0.2">
      <c r="A474" t="str">
        <v>OT sulphates</v>
      </c>
      <c r="C474" s="90">
        <v>75.48124652151968</v>
      </c>
      <c r="D474" s="90">
        <v>60.849967216463455</v>
      </c>
      <c r="E474" s="90">
        <v>46.21868791140723</v>
      </c>
      <c r="F474" s="90">
        <v>38.103122768770341</v>
      </c>
      <c r="G474" s="90">
        <v>25.899886698984016</v>
      </c>
      <c r="H474" s="134">
        <v>22.356938021653992</v>
      </c>
      <c r="I474" s="130">
        <v>19.249544069904083</v>
      </c>
      <c r="J474" s="130">
        <v>17.287376005906427</v>
      </c>
      <c r="K474" s="130">
        <v>16.424259453328329</v>
      </c>
      <c r="L474" s="130">
        <v>15.899308624884622</v>
      </c>
      <c r="M474" s="3" t="s">
        <v>477</v>
      </c>
    </row>
    <row r="475" spans="1:13" x14ac:dyDescent="0.2">
      <c r="A475" t="str">
        <v>EE sulphates</v>
      </c>
      <c r="C475" s="90">
        <v>77.70637879471083</v>
      </c>
      <c r="D475" s="90">
        <v>63.416316917438266</v>
      </c>
      <c r="E475" s="90">
        <v>49.126255040165695</v>
      </c>
      <c r="F475" s="90">
        <v>38.513312242322009</v>
      </c>
      <c r="G475" s="90">
        <v>30.308623899008683</v>
      </c>
      <c r="H475" s="134">
        <v>27.047280356102188</v>
      </c>
      <c r="I475" s="130">
        <v>24.129383185366187</v>
      </c>
      <c r="J475" s="130">
        <v>21.809346470946277</v>
      </c>
      <c r="K475" s="130">
        <v>21.48692079360022</v>
      </c>
      <c r="L475" s="130">
        <v>21.14779801102592</v>
      </c>
      <c r="M475" s="3" t="s">
        <v>477</v>
      </c>
    </row>
    <row r="476" spans="1:13" x14ac:dyDescent="0.2">
      <c r="A476" t="str">
        <v>CA sulphates</v>
      </c>
      <c r="C476" s="90">
        <v>58.477322691577072</v>
      </c>
      <c r="D476" s="90">
        <v>50.342442180581898</v>
      </c>
      <c r="E476" s="90">
        <v>42.207561669586724</v>
      </c>
      <c r="F476" s="90">
        <v>42.234777395922222</v>
      </c>
      <c r="G476" s="90">
        <v>27.094252326692423</v>
      </c>
      <c r="H476" s="134">
        <v>19.656415541276303</v>
      </c>
      <c r="I476" s="130">
        <v>13.792334025328431</v>
      </c>
      <c r="J476" s="130">
        <v>10.749012056485341</v>
      </c>
      <c r="K476" s="130">
        <v>9.735578679086899</v>
      </c>
      <c r="L476" s="130">
        <v>8.9925671973565269</v>
      </c>
      <c r="M476" s="3" t="s">
        <v>477</v>
      </c>
    </row>
    <row r="477" spans="1:13" x14ac:dyDescent="0.2">
      <c r="A477" t="str">
        <v>IA sulphates</v>
      </c>
      <c r="C477" s="90">
        <v>117.44714663219484</v>
      </c>
      <c r="D477" s="90">
        <v>131.19891157757456</v>
      </c>
      <c r="E477" s="90">
        <v>144.9506765229543</v>
      </c>
      <c r="F477" s="90">
        <v>147.39309185923449</v>
      </c>
      <c r="G477" s="90">
        <v>55.867205351210785</v>
      </c>
      <c r="H477" s="134">
        <v>29.144471908466429</v>
      </c>
      <c r="I477" s="130">
        <v>17.141491447259497</v>
      </c>
      <c r="J477" s="130">
        <v>11.725012325298202</v>
      </c>
      <c r="K477" s="130">
        <v>8.8593589867366198</v>
      </c>
      <c r="L477" s="130">
        <v>7.368247866503796</v>
      </c>
      <c r="M477" s="3" t="s">
        <v>477</v>
      </c>
    </row>
    <row r="478" spans="1:13" x14ac:dyDescent="0.2">
      <c r="A478" t="str">
        <v>AF sulphates</v>
      </c>
      <c r="C478" s="90">
        <v>81.912360867241247</v>
      </c>
      <c r="D478" s="90">
        <v>70.707811478594323</v>
      </c>
      <c r="E478" s="90">
        <v>59.503262089947405</v>
      </c>
      <c r="F478" s="90">
        <v>65.972140461589476</v>
      </c>
      <c r="G478" s="90">
        <v>41.917608193856935</v>
      </c>
      <c r="H478" s="134">
        <v>32.234315196595034</v>
      </c>
      <c r="I478" s="130">
        <v>26.327619967487013</v>
      </c>
      <c r="J478" s="130">
        <v>21.257679122668879</v>
      </c>
      <c r="K478" s="130">
        <v>18.043641362018725</v>
      </c>
      <c r="L478" s="130">
        <v>17.191830610843812</v>
      </c>
      <c r="M478" s="3" t="s">
        <v>477</v>
      </c>
    </row>
    <row r="479" spans="1:13" ht="13.5" thickBot="1" x14ac:dyDescent="0.25">
      <c r="A479" t="str">
        <v>LA sulphates</v>
      </c>
      <c r="C479" s="92">
        <v>94.750253560799905</v>
      </c>
      <c r="D479" s="92">
        <v>93.945787548332987</v>
      </c>
      <c r="E479" s="92">
        <v>93.141321535866069</v>
      </c>
      <c r="F479" s="92">
        <v>92.3856794191978</v>
      </c>
      <c r="G479" s="92">
        <v>55.450000492424437</v>
      </c>
      <c r="H479" s="139">
        <v>33.556107137779989</v>
      </c>
      <c r="I479" s="133">
        <v>19.022335749212811</v>
      </c>
      <c r="J479" s="133">
        <v>11.711620257176227</v>
      </c>
      <c r="K479" s="133">
        <v>9.6914208349998692</v>
      </c>
      <c r="L479" s="133">
        <v>8.6874528418206687</v>
      </c>
      <c r="M479" s="3" t="s">
        <v>477</v>
      </c>
    </row>
    <row r="480" spans="1:13" ht="13.5" thickTop="1" x14ac:dyDescent="0.2">
      <c r="C480" s="61"/>
      <c r="D480" s="61"/>
      <c r="E480" s="61"/>
      <c r="F480" s="61"/>
      <c r="G480" s="61"/>
      <c r="H480" s="61"/>
      <c r="I480" s="61"/>
      <c r="J480" s="61"/>
      <c r="K480" s="61"/>
      <c r="L480" s="61"/>
    </row>
    <row r="481" spans="1:17" ht="13.5" thickBot="1" x14ac:dyDescent="0.25">
      <c r="A481" t="s">
        <v>35</v>
      </c>
      <c r="C481" s="62">
        <v>0.94169999999999998</v>
      </c>
      <c r="D481" s="62">
        <v>0.89269999999999994</v>
      </c>
      <c r="E481" s="62">
        <v>0.84369999999999989</v>
      </c>
      <c r="F481" s="62">
        <v>0.80619999999999992</v>
      </c>
      <c r="G481" s="62">
        <v>0.55649999999999999</v>
      </c>
      <c r="H481" s="148">
        <v>0.46420000000000006</v>
      </c>
      <c r="I481" s="120">
        <v>0.36930000000000002</v>
      </c>
      <c r="J481" s="120">
        <v>0.28809999999999997</v>
      </c>
      <c r="K481" s="120">
        <v>0.24089999999999998</v>
      </c>
      <c r="L481" s="120">
        <v>0.21779999999999999</v>
      </c>
      <c r="M481" t="s">
        <v>42</v>
      </c>
    </row>
    <row r="482" spans="1:17" ht="13.5" thickTop="1" x14ac:dyDescent="0.2"/>
    <row r="484" spans="1:17" x14ac:dyDescent="0.2">
      <c r="A484" s="2" t="s">
        <v>1085</v>
      </c>
    </row>
    <row r="485" spans="1:17" x14ac:dyDescent="0.2">
      <c r="C485">
        <f t="shared" ref="C485:L485" si="33">C435</f>
        <v>2020</v>
      </c>
      <c r="D485">
        <f t="shared" si="33"/>
        <v>2025</v>
      </c>
      <c r="E485">
        <f t="shared" si="33"/>
        <v>2030</v>
      </c>
      <c r="F485">
        <f t="shared" si="33"/>
        <v>2040</v>
      </c>
      <c r="G485">
        <f t="shared" si="33"/>
        <v>2050</v>
      </c>
      <c r="H485">
        <f t="shared" si="33"/>
        <v>2060</v>
      </c>
      <c r="I485">
        <f t="shared" si="33"/>
        <v>2070</v>
      </c>
      <c r="J485">
        <f t="shared" si="33"/>
        <v>2080</v>
      </c>
      <c r="K485">
        <f t="shared" si="33"/>
        <v>2090</v>
      </c>
      <c r="L485">
        <f t="shared" si="33"/>
        <v>2100</v>
      </c>
    </row>
    <row r="486" spans="1:17" x14ac:dyDescent="0.2">
      <c r="A486" t="str">
        <f t="shared" ref="A486:A493" si="34">A436</f>
        <v>EU CO2 emissions</v>
      </c>
      <c r="C486" s="88">
        <v>107.14808474924513</v>
      </c>
      <c r="D486" s="88">
        <v>115.01972067855388</v>
      </c>
      <c r="E486" s="88">
        <v>122.89135660786265</v>
      </c>
      <c r="F486" s="88">
        <v>146.3107268040921</v>
      </c>
      <c r="G486" s="88">
        <v>175.47926828992945</v>
      </c>
      <c r="H486" s="138">
        <v>215.32652173225873</v>
      </c>
      <c r="I486" s="132">
        <v>257.02896720606623</v>
      </c>
      <c r="J486" s="132">
        <v>287.09240624855863</v>
      </c>
      <c r="K486" s="132">
        <v>297.83354766749909</v>
      </c>
      <c r="L486" s="132">
        <v>310.6155406301134</v>
      </c>
      <c r="M486" t="str">
        <f t="shared" ref="M486:M493" si="35">M436</f>
        <v>% relative to base year</v>
      </c>
      <c r="Q486" s="124"/>
    </row>
    <row r="487" spans="1:17" x14ac:dyDescent="0.2">
      <c r="A487" t="str">
        <f t="shared" si="34"/>
        <v>US CO2 emissions</v>
      </c>
      <c r="C487" s="90">
        <v>106.62881982252256</v>
      </c>
      <c r="D487" s="90">
        <v>122.44446615330868</v>
      </c>
      <c r="E487" s="90">
        <v>138.2601124840948</v>
      </c>
      <c r="F487" s="90">
        <v>172.04080704492984</v>
      </c>
      <c r="G487" s="90">
        <v>209.54177323668222</v>
      </c>
      <c r="H487" s="134">
        <v>255.97769325823518</v>
      </c>
      <c r="I487" s="130">
        <v>283.80638149512851</v>
      </c>
      <c r="J487" s="130">
        <v>311.2986004648734</v>
      </c>
      <c r="K487" s="130">
        <v>303.74252208372735</v>
      </c>
      <c r="L487" s="130">
        <v>285.24746031781643</v>
      </c>
      <c r="M487" t="str">
        <f t="shared" si="35"/>
        <v>% relative to base year</v>
      </c>
    </row>
    <row r="488" spans="1:17" x14ac:dyDescent="0.2">
      <c r="A488" t="str">
        <f t="shared" si="34"/>
        <v>OT CO2 emissions</v>
      </c>
      <c r="C488" s="90">
        <v>107.14808474924513</v>
      </c>
      <c r="D488" s="90">
        <v>115.01972067855388</v>
      </c>
      <c r="E488" s="90">
        <v>122.89135660786265</v>
      </c>
      <c r="F488" s="90">
        <v>146.3107268040921</v>
      </c>
      <c r="G488" s="90">
        <v>175.47926828992945</v>
      </c>
      <c r="H488" s="134">
        <v>215.32652173225873</v>
      </c>
      <c r="I488" s="130">
        <v>257.02896720606623</v>
      </c>
      <c r="J488" s="130">
        <v>287.09240624855863</v>
      </c>
      <c r="K488" s="130">
        <v>297.83354766749909</v>
      </c>
      <c r="L488" s="130">
        <v>310.6155406301134</v>
      </c>
      <c r="M488" t="str">
        <f t="shared" si="35"/>
        <v>% relative to base year</v>
      </c>
    </row>
    <row r="489" spans="1:17" x14ac:dyDescent="0.2">
      <c r="A489" t="str">
        <f t="shared" si="34"/>
        <v>EE CO2 emissions</v>
      </c>
      <c r="C489" s="90">
        <v>105.61573024151168</v>
      </c>
      <c r="D489" s="90">
        <v>113.87425023932457</v>
      </c>
      <c r="E489" s="90">
        <v>122.13277023713744</v>
      </c>
      <c r="F489" s="90">
        <v>150.38534943121905</v>
      </c>
      <c r="G489" s="90">
        <v>184.80252143506209</v>
      </c>
      <c r="H489" s="134">
        <v>222.57392590355326</v>
      </c>
      <c r="I489" s="130">
        <v>241.91204486022838</v>
      </c>
      <c r="J489" s="130">
        <v>233.71186971717606</v>
      </c>
      <c r="K489" s="130">
        <v>208.11807141288719</v>
      </c>
      <c r="L489" s="130">
        <v>181.41973492472235</v>
      </c>
      <c r="M489" t="str">
        <f t="shared" si="35"/>
        <v>% relative to base year</v>
      </c>
    </row>
    <row r="490" spans="1:17" x14ac:dyDescent="0.2">
      <c r="A490" t="str">
        <f t="shared" si="34"/>
        <v>CA CO2 emissions</v>
      </c>
      <c r="C490" s="90">
        <v>108.63173056885</v>
      </c>
      <c r="D490" s="90">
        <v>121.18295083959941</v>
      </c>
      <c r="E490" s="90">
        <v>133.73417111034883</v>
      </c>
      <c r="F490" s="90">
        <v>158.19260350872742</v>
      </c>
      <c r="G490" s="90">
        <v>170.05785754463326</v>
      </c>
      <c r="H490" s="134">
        <v>180.68270806352206</v>
      </c>
      <c r="I490" s="130">
        <v>184.49376836267561</v>
      </c>
      <c r="J490" s="130">
        <v>173.78000092513602</v>
      </c>
      <c r="K490" s="130">
        <v>146.80674687653598</v>
      </c>
      <c r="L490" s="130">
        <v>117.09609037713334</v>
      </c>
      <c r="M490" t="str">
        <f t="shared" si="35"/>
        <v>% relative to base year</v>
      </c>
    </row>
    <row r="491" spans="1:17" x14ac:dyDescent="0.2">
      <c r="A491" t="str">
        <f t="shared" si="34"/>
        <v>IA CO2 emissions</v>
      </c>
      <c r="C491" s="90">
        <v>121.49841851683979</v>
      </c>
      <c r="D491" s="90">
        <v>147.70741008137139</v>
      </c>
      <c r="E491" s="90">
        <v>173.91640164590297</v>
      </c>
      <c r="F491" s="90">
        <v>247.59316842070393</v>
      </c>
      <c r="G491" s="90">
        <v>340.36727279386025</v>
      </c>
      <c r="H491" s="134">
        <v>441.84271335723167</v>
      </c>
      <c r="I491" s="130">
        <v>543.06368460783688</v>
      </c>
      <c r="J491" s="130">
        <v>631.470949081242</v>
      </c>
      <c r="K491" s="130">
        <v>656.7421714371776</v>
      </c>
      <c r="L491" s="130">
        <v>640.92552925111181</v>
      </c>
      <c r="M491" t="str">
        <f t="shared" si="35"/>
        <v>% relative to base year</v>
      </c>
    </row>
    <row r="492" spans="1:17" x14ac:dyDescent="0.2">
      <c r="A492" t="str">
        <f t="shared" si="34"/>
        <v>AF CO2 emissions</v>
      </c>
      <c r="C492" s="90">
        <v>121.34090554348217</v>
      </c>
      <c r="D492" s="90">
        <v>142.0690654003626</v>
      </c>
      <c r="E492" s="90">
        <v>162.79722525724301</v>
      </c>
      <c r="F492" s="90">
        <v>244.44493138184831</v>
      </c>
      <c r="G492" s="90">
        <v>369.47173628537467</v>
      </c>
      <c r="H492" s="134">
        <v>543.70150803846946</v>
      </c>
      <c r="I492" s="130">
        <v>726.73259332188695</v>
      </c>
      <c r="J492" s="130">
        <v>894.63646787613914</v>
      </c>
      <c r="K492" s="130">
        <v>973.81560147441985</v>
      </c>
      <c r="L492" s="130">
        <v>1007.7329895421856</v>
      </c>
      <c r="M492" t="str">
        <f t="shared" si="35"/>
        <v>% relative to base year</v>
      </c>
    </row>
    <row r="493" spans="1:17" ht="13.5" thickBot="1" x14ac:dyDescent="0.25">
      <c r="A493" t="str">
        <f t="shared" si="34"/>
        <v>LA CO2 emissions</v>
      </c>
      <c r="C493" s="92">
        <v>117.86185660079576</v>
      </c>
      <c r="D493" s="92">
        <v>142.05721558128539</v>
      </c>
      <c r="E493" s="92">
        <v>166.25257456177502</v>
      </c>
      <c r="F493" s="92">
        <v>221.656071784304</v>
      </c>
      <c r="G493" s="92">
        <v>268.34782021329863</v>
      </c>
      <c r="H493" s="139">
        <v>306.91869584842874</v>
      </c>
      <c r="I493" s="133">
        <v>337.68525854979663</v>
      </c>
      <c r="J493" s="133">
        <v>350.55619111745364</v>
      </c>
      <c r="K493" s="133">
        <v>340.31203527886754</v>
      </c>
      <c r="L493" s="133">
        <v>327.12802742196436</v>
      </c>
      <c r="M493" t="str">
        <f t="shared" si="35"/>
        <v>% relative to base year</v>
      </c>
      <c r="Q493" s="124"/>
    </row>
    <row r="494" spans="1:17" ht="13.5" thickTop="1" x14ac:dyDescent="0.2"/>
    <row r="495" spans="1:17" x14ac:dyDescent="0.2">
      <c r="A495" t="str">
        <f t="shared" ref="A495:A502" si="36">A445</f>
        <v>EU CH4 emissions</v>
      </c>
      <c r="C495" s="88">
        <v>99.875801476282646</v>
      </c>
      <c r="D495" s="88">
        <v>106.44454520492664</v>
      </c>
      <c r="E495" s="88">
        <v>113.01328893357065</v>
      </c>
      <c r="F495" s="88">
        <v>133.53088191023232</v>
      </c>
      <c r="G495" s="88">
        <v>152.05655607164789</v>
      </c>
      <c r="H495" s="138">
        <v>157.87581638119408</v>
      </c>
      <c r="I495" s="132">
        <v>166.50649891235639</v>
      </c>
      <c r="J495" s="132">
        <v>169.8588959198909</v>
      </c>
      <c r="K495" s="132">
        <v>195.78411368645473</v>
      </c>
      <c r="L495" s="132">
        <v>179.6355134237252</v>
      </c>
      <c r="M495" t="str">
        <f t="shared" ref="M495:M502" si="37">M445</f>
        <v>% relative to base year</v>
      </c>
    </row>
    <row r="496" spans="1:17" x14ac:dyDescent="0.2">
      <c r="A496" t="str">
        <f t="shared" si="36"/>
        <v>US CH4 emissions</v>
      </c>
      <c r="C496" s="90">
        <v>95.688690750316368</v>
      </c>
      <c r="D496" s="90">
        <v>103.70907513080405</v>
      </c>
      <c r="E496" s="90">
        <v>111.72945951129175</v>
      </c>
      <c r="F496" s="90">
        <v>132.5640380293141</v>
      </c>
      <c r="G496" s="90">
        <v>153.54918352538499</v>
      </c>
      <c r="H496" s="134">
        <v>161.86672426847423</v>
      </c>
      <c r="I496" s="130">
        <v>155.24614341908566</v>
      </c>
      <c r="J496" s="130">
        <v>161.9802603953321</v>
      </c>
      <c r="K496" s="130">
        <v>165.05347895083301</v>
      </c>
      <c r="L496" s="130">
        <v>159.94930859317353</v>
      </c>
      <c r="M496" t="str">
        <f t="shared" si="37"/>
        <v>% relative to base year</v>
      </c>
    </row>
    <row r="497" spans="1:13" x14ac:dyDescent="0.2">
      <c r="A497" t="str">
        <f t="shared" si="36"/>
        <v>OT CH4 emissions</v>
      </c>
      <c r="C497" s="90">
        <v>100.39252828290462</v>
      </c>
      <c r="D497" s="90">
        <v>104.29633808872731</v>
      </c>
      <c r="E497" s="90">
        <v>108.20014789455</v>
      </c>
      <c r="F497" s="90">
        <v>132.52630849713995</v>
      </c>
      <c r="G497" s="90">
        <v>155.22954265393369</v>
      </c>
      <c r="H497" s="134">
        <v>164.79201396296995</v>
      </c>
      <c r="I497" s="130">
        <v>151.88094894636589</v>
      </c>
      <c r="J497" s="130">
        <v>137.88814106709734</v>
      </c>
      <c r="K497" s="130">
        <v>136.8533198820825</v>
      </c>
      <c r="L497" s="130">
        <v>190.57316931655109</v>
      </c>
      <c r="M497" t="str">
        <f t="shared" si="37"/>
        <v>% relative to base year</v>
      </c>
    </row>
    <row r="498" spans="1:13" x14ac:dyDescent="0.2">
      <c r="A498" t="str">
        <f t="shared" si="36"/>
        <v>EE CH4 emissions</v>
      </c>
      <c r="C498" s="90">
        <v>102.89655168069585</v>
      </c>
      <c r="D498" s="90">
        <v>107.64619471186782</v>
      </c>
      <c r="E498" s="90">
        <v>112.39583774303978</v>
      </c>
      <c r="F498" s="90">
        <v>130.15654313041583</v>
      </c>
      <c r="G498" s="90">
        <v>153.26384766151639</v>
      </c>
      <c r="H498" s="134">
        <v>175.7263923154249</v>
      </c>
      <c r="I498" s="130">
        <v>198.10933198293276</v>
      </c>
      <c r="J498" s="130">
        <v>219.18514240484154</v>
      </c>
      <c r="K498" s="130">
        <v>225.88139620865158</v>
      </c>
      <c r="L498" s="130">
        <v>223.18081804616634</v>
      </c>
      <c r="M498" t="str">
        <f t="shared" si="37"/>
        <v>% relative to base year</v>
      </c>
    </row>
    <row r="499" spans="1:13" x14ac:dyDescent="0.2">
      <c r="A499" t="str">
        <f t="shared" si="36"/>
        <v>CA CH4 emissions</v>
      </c>
      <c r="C499" s="90">
        <v>84.753028617293509</v>
      </c>
      <c r="D499" s="90">
        <v>76.169992778264856</v>
      </c>
      <c r="E499" s="90">
        <v>67.586956939236188</v>
      </c>
      <c r="F499" s="90">
        <v>65.194391665077404</v>
      </c>
      <c r="G499" s="90">
        <v>60.793026826883455</v>
      </c>
      <c r="H499" s="134">
        <v>59.361343677636121</v>
      </c>
      <c r="I499" s="130">
        <v>57.755799569073382</v>
      </c>
      <c r="J499" s="130">
        <v>47.771030602094598</v>
      </c>
      <c r="K499" s="130">
        <v>40.924025892345909</v>
      </c>
      <c r="L499" s="130">
        <v>35.322223722264155</v>
      </c>
      <c r="M499" t="str">
        <f t="shared" si="37"/>
        <v>% relative to base year</v>
      </c>
    </row>
    <row r="500" spans="1:13" x14ac:dyDescent="0.2">
      <c r="A500" t="str">
        <f t="shared" si="36"/>
        <v>IA CH4 emissions</v>
      </c>
      <c r="C500" s="90">
        <v>99.638985490290764</v>
      </c>
      <c r="D500" s="90">
        <v>101.60711946714721</v>
      </c>
      <c r="E500" s="90">
        <v>103.57525344400366</v>
      </c>
      <c r="F500" s="90">
        <v>109.4344455434327</v>
      </c>
      <c r="G500" s="90">
        <v>115.16657988669748</v>
      </c>
      <c r="H500" s="134">
        <v>90.785660904088246</v>
      </c>
      <c r="I500" s="130">
        <v>75.901733636955555</v>
      </c>
      <c r="J500" s="130">
        <v>59.099904050940538</v>
      </c>
      <c r="K500" s="130">
        <v>51.55974880999149</v>
      </c>
      <c r="L500" s="130">
        <v>45.42658425394653</v>
      </c>
      <c r="M500" t="str">
        <f t="shared" si="37"/>
        <v>% relative to base year</v>
      </c>
    </row>
    <row r="501" spans="1:13" x14ac:dyDescent="0.2">
      <c r="A501" t="str">
        <f t="shared" si="36"/>
        <v>AF CH4 emissions</v>
      </c>
      <c r="C501" s="90">
        <v>122.01528518915242</v>
      </c>
      <c r="D501" s="90">
        <v>155.78227878288931</v>
      </c>
      <c r="E501" s="90">
        <v>189.54927237662622</v>
      </c>
      <c r="F501" s="90">
        <v>275.94000656195806</v>
      </c>
      <c r="G501" s="90">
        <v>330.31230627491306</v>
      </c>
      <c r="H501" s="134">
        <v>360.74546880690832</v>
      </c>
      <c r="I501" s="130">
        <v>378.69157274694476</v>
      </c>
      <c r="J501" s="130">
        <v>368.16316959280738</v>
      </c>
      <c r="K501" s="130">
        <v>309.07042357760645</v>
      </c>
      <c r="L501" s="130">
        <v>273.43018321830192</v>
      </c>
      <c r="M501" t="str">
        <f t="shared" si="37"/>
        <v>% relative to base year</v>
      </c>
    </row>
    <row r="502" spans="1:13" ht="13.5" thickBot="1" x14ac:dyDescent="0.25">
      <c r="A502" t="str">
        <f t="shared" si="36"/>
        <v>LA CH4 emissions</v>
      </c>
      <c r="C502" s="92">
        <v>109.86411672565421</v>
      </c>
      <c r="D502" s="92">
        <v>116.13216806842394</v>
      </c>
      <c r="E502" s="92">
        <v>122.40021941119367</v>
      </c>
      <c r="F502" s="92">
        <v>128.71460163163425</v>
      </c>
      <c r="G502" s="92">
        <v>107.49732267659728</v>
      </c>
      <c r="H502" s="139">
        <v>101.08304842354472</v>
      </c>
      <c r="I502" s="133">
        <v>97.581653618065332</v>
      </c>
      <c r="J502" s="133">
        <v>90.456618055211351</v>
      </c>
      <c r="K502" s="133">
        <v>72.991532190725863</v>
      </c>
      <c r="L502" s="133">
        <v>64.980089463862143</v>
      </c>
      <c r="M502" t="str">
        <f t="shared" si="37"/>
        <v>% relative to base year</v>
      </c>
    </row>
    <row r="503" spans="1:13" ht="13.5" thickTop="1" x14ac:dyDescent="0.2"/>
    <row r="504" spans="1:13" x14ac:dyDescent="0.2">
      <c r="A504" t="str">
        <f t="shared" ref="A504:A511" si="38">A454</f>
        <v>EU N2O emissions</v>
      </c>
      <c r="C504" s="88">
        <v>107.63919108759174</v>
      </c>
      <c r="D504" s="88">
        <v>111.83227945915688</v>
      </c>
      <c r="E504" s="88">
        <v>116.02536783072202</v>
      </c>
      <c r="F504" s="88">
        <v>122.75100576642203</v>
      </c>
      <c r="G504" s="88">
        <v>120.8373530910477</v>
      </c>
      <c r="H504" s="138">
        <v>123.27051395132386</v>
      </c>
      <c r="I504" s="132">
        <v>123.24897139129817</v>
      </c>
      <c r="J504" s="132">
        <v>123.74602201834861</v>
      </c>
      <c r="K504" s="132">
        <v>121.32090275229359</v>
      </c>
      <c r="L504" s="132">
        <v>116.74322844036696</v>
      </c>
      <c r="M504" t="str">
        <f t="shared" ref="M504:M511" si="39">M454</f>
        <v>% relative to base year</v>
      </c>
    </row>
    <row r="505" spans="1:13" x14ac:dyDescent="0.2">
      <c r="A505" t="str">
        <f t="shared" si="38"/>
        <v>US N2O emissions</v>
      </c>
      <c r="C505" s="88">
        <v>107.63919108759174</v>
      </c>
      <c r="D505" s="88">
        <v>111.83227945915688</v>
      </c>
      <c r="E505" s="88">
        <v>116.02536783072202</v>
      </c>
      <c r="F505" s="88">
        <v>122.75100576642203</v>
      </c>
      <c r="G505" s="88">
        <v>120.8373530910477</v>
      </c>
      <c r="H505" s="138">
        <v>123.27051395132386</v>
      </c>
      <c r="I505" s="132">
        <v>123.24897139129817</v>
      </c>
      <c r="J505" s="132">
        <v>123.74602201834861</v>
      </c>
      <c r="K505" s="132">
        <v>121.32090275229359</v>
      </c>
      <c r="L505" s="132">
        <v>116.74322844036696</v>
      </c>
      <c r="M505" t="str">
        <f t="shared" si="39"/>
        <v>% relative to base year</v>
      </c>
    </row>
    <row r="506" spans="1:13" x14ac:dyDescent="0.2">
      <c r="A506" t="str">
        <f t="shared" si="38"/>
        <v>OT N2O emissions</v>
      </c>
      <c r="C506" s="88">
        <v>107.63919108759174</v>
      </c>
      <c r="D506" s="88">
        <v>111.83227945915688</v>
      </c>
      <c r="E506" s="88">
        <v>116.02536783072202</v>
      </c>
      <c r="F506" s="88">
        <v>122.75100576642203</v>
      </c>
      <c r="G506" s="88">
        <v>120.8373530910477</v>
      </c>
      <c r="H506" s="138">
        <v>123.27051395132386</v>
      </c>
      <c r="I506" s="132">
        <v>123.24897139129817</v>
      </c>
      <c r="J506" s="132">
        <v>123.74602201834861</v>
      </c>
      <c r="K506" s="132">
        <v>121.32090275229359</v>
      </c>
      <c r="L506" s="132">
        <v>116.74322844036696</v>
      </c>
      <c r="M506" t="str">
        <f t="shared" si="39"/>
        <v>% relative to base year</v>
      </c>
    </row>
    <row r="507" spans="1:13" x14ac:dyDescent="0.2">
      <c r="A507" t="str">
        <f t="shared" si="38"/>
        <v>EE N2O emissions</v>
      </c>
      <c r="C507" s="88">
        <v>107.63919108759174</v>
      </c>
      <c r="D507" s="88">
        <v>111.83227945915688</v>
      </c>
      <c r="E507" s="88">
        <v>116.02536783072202</v>
      </c>
      <c r="F507" s="88">
        <v>122.75100576642203</v>
      </c>
      <c r="G507" s="88">
        <v>120.8373530910477</v>
      </c>
      <c r="H507" s="138">
        <v>123.27051395132386</v>
      </c>
      <c r="I507" s="132">
        <v>123.24897139129817</v>
      </c>
      <c r="J507" s="132">
        <v>123.74602201834861</v>
      </c>
      <c r="K507" s="132">
        <v>121.32090275229359</v>
      </c>
      <c r="L507" s="132">
        <v>116.74322844036696</v>
      </c>
      <c r="M507" t="str">
        <f t="shared" si="39"/>
        <v>% relative to base year</v>
      </c>
    </row>
    <row r="508" spans="1:13" x14ac:dyDescent="0.2">
      <c r="A508" t="str">
        <f t="shared" si="38"/>
        <v>CA N2O emissions</v>
      </c>
      <c r="C508" s="88">
        <v>107.63919108759174</v>
      </c>
      <c r="D508" s="88">
        <v>111.83227945915688</v>
      </c>
      <c r="E508" s="88">
        <v>116.02536783072202</v>
      </c>
      <c r="F508" s="88">
        <v>122.75100576642203</v>
      </c>
      <c r="G508" s="88">
        <v>120.8373530910477</v>
      </c>
      <c r="H508" s="138">
        <v>123.27051395132386</v>
      </c>
      <c r="I508" s="132">
        <v>123.24897139129817</v>
      </c>
      <c r="J508" s="132">
        <v>123.74602201834861</v>
      </c>
      <c r="K508" s="132">
        <v>121.32090275229359</v>
      </c>
      <c r="L508" s="132">
        <v>116.74322844036696</v>
      </c>
      <c r="M508" t="str">
        <f t="shared" si="39"/>
        <v>% relative to base year</v>
      </c>
    </row>
    <row r="509" spans="1:13" x14ac:dyDescent="0.2">
      <c r="A509" t="str">
        <f t="shared" si="38"/>
        <v>IA N2O emissions</v>
      </c>
      <c r="C509" s="88">
        <v>107.63919108759174</v>
      </c>
      <c r="D509" s="88">
        <v>111.83227945915688</v>
      </c>
      <c r="E509" s="88">
        <v>116.02536783072202</v>
      </c>
      <c r="F509" s="88">
        <v>122.75100576642203</v>
      </c>
      <c r="G509" s="88">
        <v>120.8373530910477</v>
      </c>
      <c r="H509" s="138">
        <v>123.27051395132386</v>
      </c>
      <c r="I509" s="132">
        <v>123.24897139129817</v>
      </c>
      <c r="J509" s="132">
        <v>123.74602201834861</v>
      </c>
      <c r="K509" s="132">
        <v>121.32090275229359</v>
      </c>
      <c r="L509" s="132">
        <v>116.74322844036696</v>
      </c>
      <c r="M509" t="str">
        <f t="shared" si="39"/>
        <v>% relative to base year</v>
      </c>
    </row>
    <row r="510" spans="1:13" x14ac:dyDescent="0.2">
      <c r="A510" t="str">
        <f t="shared" si="38"/>
        <v>AF N2O emissions</v>
      </c>
      <c r="C510" s="88">
        <v>107.63919108759174</v>
      </c>
      <c r="D510" s="88">
        <v>111.83227945915688</v>
      </c>
      <c r="E510" s="88">
        <v>116.02536783072202</v>
      </c>
      <c r="F510" s="88">
        <v>122.75100576642203</v>
      </c>
      <c r="G510" s="88">
        <v>120.8373530910477</v>
      </c>
      <c r="H510" s="138">
        <v>123.27051395132386</v>
      </c>
      <c r="I510" s="132">
        <v>123.24897139129817</v>
      </c>
      <c r="J510" s="132">
        <v>123.74602201834861</v>
      </c>
      <c r="K510" s="132">
        <v>121.32090275229359</v>
      </c>
      <c r="L510" s="132">
        <v>116.74322844036696</v>
      </c>
      <c r="M510" t="str">
        <f t="shared" si="39"/>
        <v>% relative to base year</v>
      </c>
    </row>
    <row r="511" spans="1:13" x14ac:dyDescent="0.2">
      <c r="A511" t="str">
        <f t="shared" si="38"/>
        <v>LA N2O emissions</v>
      </c>
      <c r="C511" s="88">
        <v>107.63919108759174</v>
      </c>
      <c r="D511" s="88">
        <v>111.83227945915688</v>
      </c>
      <c r="E511" s="88">
        <v>116.02536783072202</v>
      </c>
      <c r="F511" s="88">
        <v>122.75100576642203</v>
      </c>
      <c r="G511" s="88">
        <v>120.8373530910477</v>
      </c>
      <c r="H511" s="138">
        <v>123.27051395132386</v>
      </c>
      <c r="I511" s="132">
        <v>123.24897139129817</v>
      </c>
      <c r="J511" s="132">
        <v>123.74602201834861</v>
      </c>
      <c r="K511" s="132">
        <v>121.32090275229359</v>
      </c>
      <c r="L511" s="132">
        <v>116.74322844036696</v>
      </c>
      <c r="M511" t="str">
        <f t="shared" si="39"/>
        <v>% relative to base year</v>
      </c>
    </row>
    <row r="513" spans="1:13" x14ac:dyDescent="0.2">
      <c r="A513" t="str">
        <f t="shared" ref="A513:A520" si="40">A463</f>
        <v>EU Lin emissions</v>
      </c>
      <c r="C513" s="88">
        <v>123.12461561981884</v>
      </c>
      <c r="D513" s="88">
        <v>127.87774576472447</v>
      </c>
      <c r="E513" s="88">
        <v>132.63087590963011</v>
      </c>
      <c r="F513" s="88">
        <v>137.19476273699667</v>
      </c>
      <c r="G513" s="88">
        <v>150.7712200616993</v>
      </c>
      <c r="H513" s="138">
        <v>169.03284158816098</v>
      </c>
      <c r="I513" s="132">
        <v>191.32886988371919</v>
      </c>
      <c r="J513" s="132">
        <v>200.99460176845437</v>
      </c>
      <c r="K513" s="132">
        <v>192.97575950612435</v>
      </c>
      <c r="L513" s="132">
        <v>184.06857667542283</v>
      </c>
      <c r="M513" t="str">
        <f t="shared" ref="M513:M520" si="41">M463</f>
        <v>% relative to base year</v>
      </c>
    </row>
    <row r="514" spans="1:13" x14ac:dyDescent="0.2">
      <c r="A514" t="str">
        <f t="shared" si="40"/>
        <v>US Lin emissions</v>
      </c>
      <c r="C514" s="88">
        <v>123.12461561981884</v>
      </c>
      <c r="D514" s="88">
        <v>127.87774576472447</v>
      </c>
      <c r="E514" s="88">
        <v>132.63087590963011</v>
      </c>
      <c r="F514" s="88">
        <v>137.19476273699667</v>
      </c>
      <c r="G514" s="88">
        <v>150.7712200616993</v>
      </c>
      <c r="H514" s="138">
        <v>169.03284158816098</v>
      </c>
      <c r="I514" s="132">
        <v>191.32886988371919</v>
      </c>
      <c r="J514" s="132">
        <v>200.99460176845437</v>
      </c>
      <c r="K514" s="132">
        <v>192.97575950612435</v>
      </c>
      <c r="L514" s="132">
        <v>184.06857667542283</v>
      </c>
      <c r="M514" t="str">
        <f t="shared" si="41"/>
        <v>% relative to base year</v>
      </c>
    </row>
    <row r="515" spans="1:13" x14ac:dyDescent="0.2">
      <c r="A515" t="str">
        <f t="shared" si="40"/>
        <v>OT Lin emissions</v>
      </c>
      <c r="C515" s="88">
        <v>123.12461561981884</v>
      </c>
      <c r="D515" s="88">
        <v>127.87774576472447</v>
      </c>
      <c r="E515" s="88">
        <v>132.63087590963011</v>
      </c>
      <c r="F515" s="88">
        <v>137.19476273699667</v>
      </c>
      <c r="G515" s="88">
        <v>150.7712200616993</v>
      </c>
      <c r="H515" s="138">
        <v>169.03284158816098</v>
      </c>
      <c r="I515" s="132">
        <v>191.32886988371919</v>
      </c>
      <c r="J515" s="132">
        <v>200.99460176845437</v>
      </c>
      <c r="K515" s="132">
        <v>192.97575950612435</v>
      </c>
      <c r="L515" s="132">
        <v>184.06857667542283</v>
      </c>
      <c r="M515" t="str">
        <f t="shared" si="41"/>
        <v>% relative to base year</v>
      </c>
    </row>
    <row r="516" spans="1:13" x14ac:dyDescent="0.2">
      <c r="A516" t="str">
        <f t="shared" si="40"/>
        <v>EE Lin emissions</v>
      </c>
      <c r="C516" s="88">
        <v>123.12461561981884</v>
      </c>
      <c r="D516" s="88">
        <v>127.87774576472447</v>
      </c>
      <c r="E516" s="88">
        <v>132.63087590963011</v>
      </c>
      <c r="F516" s="88">
        <v>137.19476273699667</v>
      </c>
      <c r="G516" s="88">
        <v>150.7712200616993</v>
      </c>
      <c r="H516" s="138">
        <v>169.03284158816098</v>
      </c>
      <c r="I516" s="132">
        <v>191.32886988371919</v>
      </c>
      <c r="J516" s="132">
        <v>200.99460176845437</v>
      </c>
      <c r="K516" s="132">
        <v>192.97575950612435</v>
      </c>
      <c r="L516" s="132">
        <v>184.06857667542283</v>
      </c>
      <c r="M516" t="str">
        <f t="shared" si="41"/>
        <v>% relative to base year</v>
      </c>
    </row>
    <row r="517" spans="1:13" x14ac:dyDescent="0.2">
      <c r="A517" t="str">
        <f t="shared" si="40"/>
        <v>CA Lin emissions</v>
      </c>
      <c r="C517" s="88">
        <v>123.12461561981884</v>
      </c>
      <c r="D517" s="88">
        <v>127.87774576472447</v>
      </c>
      <c r="E517" s="88">
        <v>132.63087590963011</v>
      </c>
      <c r="F517" s="88">
        <v>137.19476273699667</v>
      </c>
      <c r="G517" s="88">
        <v>150.7712200616993</v>
      </c>
      <c r="H517" s="138">
        <v>169.03284158816098</v>
      </c>
      <c r="I517" s="132">
        <v>191.32886988371919</v>
      </c>
      <c r="J517" s="132">
        <v>200.99460176845437</v>
      </c>
      <c r="K517" s="132">
        <v>192.97575950612435</v>
      </c>
      <c r="L517" s="132">
        <v>184.06857667542283</v>
      </c>
      <c r="M517" t="str">
        <f t="shared" si="41"/>
        <v>% relative to base year</v>
      </c>
    </row>
    <row r="518" spans="1:13" x14ac:dyDescent="0.2">
      <c r="A518" t="str">
        <f t="shared" si="40"/>
        <v>IA Lin emissions</v>
      </c>
      <c r="C518" s="88">
        <v>123.12461561981884</v>
      </c>
      <c r="D518" s="88">
        <v>127.87774576472447</v>
      </c>
      <c r="E518" s="88">
        <v>132.63087590963011</v>
      </c>
      <c r="F518" s="88">
        <v>137.19476273699667</v>
      </c>
      <c r="G518" s="88">
        <v>150.7712200616993</v>
      </c>
      <c r="H518" s="138">
        <v>169.03284158816098</v>
      </c>
      <c r="I518" s="132">
        <v>191.32886988371919</v>
      </c>
      <c r="J518" s="132">
        <v>200.99460176845437</v>
      </c>
      <c r="K518" s="132">
        <v>192.97575950612435</v>
      </c>
      <c r="L518" s="132">
        <v>184.06857667542283</v>
      </c>
      <c r="M518" t="str">
        <f t="shared" si="41"/>
        <v>% relative to base year</v>
      </c>
    </row>
    <row r="519" spans="1:13" x14ac:dyDescent="0.2">
      <c r="A519" t="str">
        <f t="shared" si="40"/>
        <v>AF Lin emissions</v>
      </c>
      <c r="C519" s="88">
        <v>123.12461561981884</v>
      </c>
      <c r="D519" s="88">
        <v>127.87774576472447</v>
      </c>
      <c r="E519" s="88">
        <v>132.63087590963011</v>
      </c>
      <c r="F519" s="88">
        <v>137.19476273699667</v>
      </c>
      <c r="G519" s="88">
        <v>150.7712200616993</v>
      </c>
      <c r="H519" s="138">
        <v>169.03284158816098</v>
      </c>
      <c r="I519" s="132">
        <v>191.32886988371919</v>
      </c>
      <c r="J519" s="132">
        <v>200.99460176845437</v>
      </c>
      <c r="K519" s="132">
        <v>192.97575950612435</v>
      </c>
      <c r="L519" s="132">
        <v>184.06857667542283</v>
      </c>
      <c r="M519" t="str">
        <f t="shared" si="41"/>
        <v>% relative to base year</v>
      </c>
    </row>
    <row r="520" spans="1:13" x14ac:dyDescent="0.2">
      <c r="A520" t="str">
        <f t="shared" si="40"/>
        <v>LA Lin emissions</v>
      </c>
      <c r="C520" s="88">
        <v>123.12461561981884</v>
      </c>
      <c r="D520" s="88">
        <v>127.87774576472447</v>
      </c>
      <c r="E520" s="88">
        <v>132.63087590963011</v>
      </c>
      <c r="F520" s="88">
        <v>137.19476273699667</v>
      </c>
      <c r="G520" s="88">
        <v>150.7712200616993</v>
      </c>
      <c r="H520" s="138">
        <v>169.03284158816098</v>
      </c>
      <c r="I520" s="132">
        <v>191.32886988371919</v>
      </c>
      <c r="J520" s="132">
        <v>200.99460176845437</v>
      </c>
      <c r="K520" s="132">
        <v>192.97575950612435</v>
      </c>
      <c r="L520" s="132">
        <v>184.06857667542283</v>
      </c>
      <c r="M520" t="str">
        <f t="shared" si="41"/>
        <v>% relative to base year</v>
      </c>
    </row>
    <row r="522" spans="1:13" x14ac:dyDescent="0.2">
      <c r="A522" t="str">
        <f t="shared" ref="A522:A529" si="42">A472</f>
        <v>EU sulphates</v>
      </c>
      <c r="C522" s="88">
        <v>78.699283577680092</v>
      </c>
      <c r="D522" s="88">
        <v>64.618866024040585</v>
      </c>
      <c r="E522" s="88">
        <v>50.538448470401065</v>
      </c>
      <c r="F522" s="88">
        <v>53.332771046068459</v>
      </c>
      <c r="G522" s="88">
        <v>64.062380208411895</v>
      </c>
      <c r="H522" s="138">
        <v>82.493452146974406</v>
      </c>
      <c r="I522" s="132">
        <v>98.756006057105225</v>
      </c>
      <c r="J522" s="132">
        <v>107.50924161904346</v>
      </c>
      <c r="K522" s="132">
        <v>100.05178832595365</v>
      </c>
      <c r="L522" s="132">
        <v>80.436107122497987</v>
      </c>
      <c r="M522" t="str">
        <f t="shared" ref="M522:M529" si="43">M472</f>
        <v>% relative to base year</v>
      </c>
    </row>
    <row r="523" spans="1:13" x14ac:dyDescent="0.2">
      <c r="A523" t="str">
        <f t="shared" si="42"/>
        <v>US sulphates</v>
      </c>
      <c r="C523" s="90">
        <v>84.384708242414376</v>
      </c>
      <c r="D523" s="90">
        <v>70.690088468364848</v>
      </c>
      <c r="E523" s="90">
        <v>56.995468694315306</v>
      </c>
      <c r="F523" s="90">
        <v>56.704478130721775</v>
      </c>
      <c r="G523" s="90">
        <v>49.18497246174821</v>
      </c>
      <c r="H523" s="134">
        <v>49.514964097072379</v>
      </c>
      <c r="I523" s="130">
        <v>49.870862982197657</v>
      </c>
      <c r="J523" s="130">
        <v>50.026413866050262</v>
      </c>
      <c r="K523" s="130">
        <v>47.189191402292401</v>
      </c>
      <c r="L523" s="130">
        <v>42.12136284298375</v>
      </c>
      <c r="M523" t="str">
        <f t="shared" si="43"/>
        <v>% relative to base year</v>
      </c>
    </row>
    <row r="524" spans="1:13" x14ac:dyDescent="0.2">
      <c r="A524" t="str">
        <f t="shared" si="42"/>
        <v>OT sulphates</v>
      </c>
      <c r="C524" s="90">
        <v>75.48124652151968</v>
      </c>
      <c r="D524" s="90">
        <v>60.849967216463455</v>
      </c>
      <c r="E524" s="90">
        <v>46.21868791140723</v>
      </c>
      <c r="F524" s="90">
        <v>38.103122768770341</v>
      </c>
      <c r="G524" s="90">
        <v>29.178768538798689</v>
      </c>
      <c r="H524" s="134">
        <v>28.504521168929426</v>
      </c>
      <c r="I524" s="130">
        <v>28.038230042550158</v>
      </c>
      <c r="J524" s="130">
        <v>27.795523724489041</v>
      </c>
      <c r="K524" s="130">
        <v>27.912415629389297</v>
      </c>
      <c r="L524" s="130">
        <v>27.21902747942103</v>
      </c>
      <c r="M524" t="str">
        <f t="shared" si="43"/>
        <v>% relative to base year</v>
      </c>
    </row>
    <row r="525" spans="1:13" x14ac:dyDescent="0.2">
      <c r="A525" t="str">
        <f t="shared" si="42"/>
        <v>EE sulphates</v>
      </c>
      <c r="C525" s="90">
        <v>77.70637879471083</v>
      </c>
      <c r="D525" s="90">
        <v>63.416316917438266</v>
      </c>
      <c r="E525" s="90">
        <v>49.126255040165695</v>
      </c>
      <c r="F525" s="90">
        <v>38.513312242322009</v>
      </c>
      <c r="G525" s="90">
        <v>32.939071132546964</v>
      </c>
      <c r="H525" s="134">
        <v>30.648823166233402</v>
      </c>
      <c r="I525" s="130">
        <v>27.914164858161602</v>
      </c>
      <c r="J525" s="130">
        <v>25.400744034239306</v>
      </c>
      <c r="K525" s="130">
        <v>24.472806863317825</v>
      </c>
      <c r="L525" s="130">
        <v>23.058228575479379</v>
      </c>
      <c r="M525" t="str">
        <f t="shared" si="43"/>
        <v>% relative to base year</v>
      </c>
    </row>
    <row r="526" spans="1:13" x14ac:dyDescent="0.2">
      <c r="A526" t="str">
        <f t="shared" si="42"/>
        <v>CA sulphates</v>
      </c>
      <c r="C526" s="90">
        <v>58.477322691577072</v>
      </c>
      <c r="D526" s="90">
        <v>50.342442180581898</v>
      </c>
      <c r="E526" s="90">
        <v>42.207561669586724</v>
      </c>
      <c r="F526" s="90">
        <v>42.234777395922222</v>
      </c>
      <c r="G526" s="90">
        <v>37.257494108686494</v>
      </c>
      <c r="H526" s="134">
        <v>32.620860988663424</v>
      </c>
      <c r="I526" s="130">
        <v>28.271668721974699</v>
      </c>
      <c r="J526" s="130">
        <v>23.394677829460996</v>
      </c>
      <c r="K526" s="130">
        <v>18.9928328167925</v>
      </c>
      <c r="L526" s="130">
        <v>15.623536386325602</v>
      </c>
      <c r="M526" t="str">
        <f t="shared" si="43"/>
        <v>% relative to base year</v>
      </c>
    </row>
    <row r="527" spans="1:13" x14ac:dyDescent="0.2">
      <c r="A527" t="str">
        <f t="shared" si="42"/>
        <v>IA sulphates</v>
      </c>
      <c r="C527" s="90">
        <v>117.44714663219484</v>
      </c>
      <c r="D527" s="90">
        <v>131.19891157757456</v>
      </c>
      <c r="E527" s="90">
        <v>144.9506765229543</v>
      </c>
      <c r="F527" s="90">
        <v>147.39309185923449</v>
      </c>
      <c r="G527" s="90">
        <v>105.92665472623142</v>
      </c>
      <c r="H527" s="134">
        <v>105.55638729296005</v>
      </c>
      <c r="I527" s="130">
        <v>90.391704517485437</v>
      </c>
      <c r="J527" s="130">
        <v>66.452055700109412</v>
      </c>
      <c r="K527" s="130">
        <v>42.366140777884709</v>
      </c>
      <c r="L527" s="130">
        <v>21.513787757698374</v>
      </c>
      <c r="M527" t="str">
        <f t="shared" si="43"/>
        <v>% relative to base year</v>
      </c>
    </row>
    <row r="528" spans="1:13" x14ac:dyDescent="0.2">
      <c r="A528" t="str">
        <f t="shared" si="42"/>
        <v>AF sulphates</v>
      </c>
      <c r="C528" s="90">
        <v>81.912360867241247</v>
      </c>
      <c r="D528" s="90">
        <v>70.707811478594323</v>
      </c>
      <c r="E528" s="90">
        <v>59.503262089947405</v>
      </c>
      <c r="F528" s="90">
        <v>65.972140461589476</v>
      </c>
      <c r="G528" s="90">
        <v>73.265757658874762</v>
      </c>
      <c r="H528" s="134">
        <v>100.35147745351476</v>
      </c>
      <c r="I528" s="130">
        <v>113.78414887131495</v>
      </c>
      <c r="J528" s="130">
        <v>105.95859373405285</v>
      </c>
      <c r="K528" s="130">
        <v>80.769876683529802</v>
      </c>
      <c r="L528" s="130">
        <v>47.86674411926073</v>
      </c>
      <c r="M528" t="str">
        <f t="shared" si="43"/>
        <v>% relative to base year</v>
      </c>
    </row>
    <row r="529" spans="1:19" ht="13.5" thickBot="1" x14ac:dyDescent="0.25">
      <c r="A529" t="str">
        <f t="shared" si="42"/>
        <v>LA sulphates</v>
      </c>
      <c r="C529" s="92">
        <v>94.750253560799905</v>
      </c>
      <c r="D529" s="92">
        <v>93.945787548332987</v>
      </c>
      <c r="E529" s="92">
        <v>93.141321535866069</v>
      </c>
      <c r="F529" s="92">
        <v>92.3856794191978</v>
      </c>
      <c r="G529" s="92">
        <v>83.805423767515506</v>
      </c>
      <c r="H529" s="139">
        <v>84.725189883028051</v>
      </c>
      <c r="I529" s="133">
        <v>79.238613447901599</v>
      </c>
      <c r="J529" s="133">
        <v>70.558590318889827</v>
      </c>
      <c r="K529" s="133">
        <v>61.6679890478988</v>
      </c>
      <c r="L529" s="133">
        <v>49.97289263417801</v>
      </c>
      <c r="M529" t="str">
        <f t="shared" si="43"/>
        <v>% relative to base year</v>
      </c>
    </row>
    <row r="530" spans="1:19" ht="13.5" thickTop="1" x14ac:dyDescent="0.2">
      <c r="C530" s="61"/>
      <c r="D530" s="61"/>
      <c r="E530" s="61"/>
      <c r="F530" s="61"/>
      <c r="G530" s="61"/>
      <c r="H530" s="61"/>
      <c r="I530" s="61"/>
      <c r="J530" s="61"/>
      <c r="K530" s="61"/>
      <c r="L530" s="61"/>
    </row>
    <row r="531" spans="1:19" ht="13.5" thickBot="1" x14ac:dyDescent="0.25">
      <c r="A531" t="s">
        <v>35</v>
      </c>
      <c r="C531" s="62">
        <v>0.94169999999999998</v>
      </c>
      <c r="D531" s="62">
        <v>0.89269999999999994</v>
      </c>
      <c r="E531" s="62">
        <v>0.84369999999999989</v>
      </c>
      <c r="F531" s="62">
        <v>0.80619999999999992</v>
      </c>
      <c r="G531" s="62">
        <v>0.69009999999999994</v>
      </c>
      <c r="H531" s="148">
        <v>0.65700000000000003</v>
      </c>
      <c r="I531" s="120">
        <v>0.6089</v>
      </c>
      <c r="J531" s="120">
        <v>0.54239999999999999</v>
      </c>
      <c r="K531" s="120">
        <v>0.4405</v>
      </c>
      <c r="L531" s="120">
        <v>0.33140000000000003</v>
      </c>
      <c r="M531" t="str">
        <f>M481</f>
        <v>W/m2</v>
      </c>
    </row>
    <row r="532" spans="1:19" ht="13.5" thickTop="1" x14ac:dyDescent="0.2"/>
    <row r="534" spans="1:19" x14ac:dyDescent="0.2">
      <c r="A534" s="2" t="s">
        <v>467</v>
      </c>
      <c r="Q534" s="124"/>
    </row>
    <row r="535" spans="1:19" x14ac:dyDescent="0.2">
      <c r="C535">
        <f t="shared" ref="C535:L535" si="44">C485</f>
        <v>2020</v>
      </c>
      <c r="D535">
        <f t="shared" si="44"/>
        <v>2025</v>
      </c>
      <c r="E535">
        <f t="shared" si="44"/>
        <v>2030</v>
      </c>
      <c r="F535">
        <f t="shared" si="44"/>
        <v>2040</v>
      </c>
      <c r="G535">
        <f t="shared" si="44"/>
        <v>2050</v>
      </c>
      <c r="H535">
        <f t="shared" si="44"/>
        <v>2060</v>
      </c>
      <c r="I535">
        <f t="shared" si="44"/>
        <v>2070</v>
      </c>
      <c r="J535">
        <f t="shared" si="44"/>
        <v>2080</v>
      </c>
      <c r="K535">
        <f t="shared" si="44"/>
        <v>2090</v>
      </c>
      <c r="L535">
        <f t="shared" si="44"/>
        <v>2100</v>
      </c>
      <c r="S535" s="124"/>
    </row>
    <row r="536" spans="1:19" x14ac:dyDescent="0.2">
      <c r="A536" t="str">
        <f t="shared" ref="A536:A543" si="45">A486</f>
        <v>EU CO2 emissions</v>
      </c>
      <c r="C536" s="88">
        <v>107.14808474924513</v>
      </c>
      <c r="D536" s="88">
        <v>115.01972067855388</v>
      </c>
      <c r="E536" s="88">
        <v>122.89135660786265</v>
      </c>
      <c r="F536" s="88">
        <v>146.3107268040921</v>
      </c>
      <c r="G536" s="88">
        <v>175.47926828992945</v>
      </c>
      <c r="H536" s="138">
        <v>215.32652173225873</v>
      </c>
      <c r="I536" s="132">
        <v>257.02896720606623</v>
      </c>
      <c r="J536" s="132">
        <v>287.09240624855863</v>
      </c>
      <c r="K536" s="132">
        <v>297.83354766749909</v>
      </c>
      <c r="L536" s="132">
        <v>310.6155406301134</v>
      </c>
      <c r="M536" t="str">
        <f t="shared" ref="M536:M543" si="46">M486</f>
        <v>% relative to base year</v>
      </c>
    </row>
    <row r="537" spans="1:19" x14ac:dyDescent="0.2">
      <c r="A537" t="str">
        <f t="shared" si="45"/>
        <v>US CO2 emissions</v>
      </c>
      <c r="C537" s="90">
        <v>106.62881982252256</v>
      </c>
      <c r="D537" s="90">
        <v>122.44446615330868</v>
      </c>
      <c r="E537" s="90">
        <v>138.2601124840948</v>
      </c>
      <c r="F537" s="90">
        <v>172.04080704492984</v>
      </c>
      <c r="G537" s="90">
        <v>209.54177323668222</v>
      </c>
      <c r="H537" s="134">
        <v>255.97769325823518</v>
      </c>
      <c r="I537" s="130">
        <v>283.80638149512851</v>
      </c>
      <c r="J537" s="130">
        <v>311.2986004648734</v>
      </c>
      <c r="K537" s="130">
        <v>303.74252208372735</v>
      </c>
      <c r="L537" s="130">
        <v>285.24746031781643</v>
      </c>
      <c r="M537" t="str">
        <f t="shared" si="46"/>
        <v>% relative to base year</v>
      </c>
    </row>
    <row r="538" spans="1:19" x14ac:dyDescent="0.2">
      <c r="A538" t="str">
        <f t="shared" si="45"/>
        <v>OT CO2 emissions</v>
      </c>
      <c r="C538" s="90">
        <v>107.14808474924513</v>
      </c>
      <c r="D538" s="90">
        <v>115.01972067855388</v>
      </c>
      <c r="E538" s="90">
        <v>122.89135660786265</v>
      </c>
      <c r="F538" s="90">
        <v>146.3107268040921</v>
      </c>
      <c r="G538" s="90">
        <v>175.47926828992945</v>
      </c>
      <c r="H538" s="134">
        <v>215.32652173225873</v>
      </c>
      <c r="I538" s="130">
        <v>257.02896720606623</v>
      </c>
      <c r="J538" s="130">
        <v>287.09240624855863</v>
      </c>
      <c r="K538" s="130">
        <v>297.83354766749909</v>
      </c>
      <c r="L538" s="130">
        <v>310.6155406301134</v>
      </c>
      <c r="M538" t="str">
        <f t="shared" si="46"/>
        <v>% relative to base year</v>
      </c>
    </row>
    <row r="539" spans="1:19" x14ac:dyDescent="0.2">
      <c r="A539" t="str">
        <f t="shared" si="45"/>
        <v>EE CO2 emissions</v>
      </c>
      <c r="C539" s="90">
        <v>105.61573024151168</v>
      </c>
      <c r="D539" s="90">
        <v>113.87425023932457</v>
      </c>
      <c r="E539" s="90">
        <v>122.13277023713744</v>
      </c>
      <c r="F539" s="90">
        <v>150.38534943121905</v>
      </c>
      <c r="G539" s="90">
        <v>184.80252143506209</v>
      </c>
      <c r="H539" s="134">
        <v>222.57392590355326</v>
      </c>
      <c r="I539" s="130">
        <v>241.91204486022838</v>
      </c>
      <c r="J539" s="130">
        <v>233.71186971717606</v>
      </c>
      <c r="K539" s="130">
        <v>208.11807141288719</v>
      </c>
      <c r="L539" s="130">
        <v>181.41973492472235</v>
      </c>
      <c r="M539" t="str">
        <f t="shared" si="46"/>
        <v>% relative to base year</v>
      </c>
    </row>
    <row r="540" spans="1:19" x14ac:dyDescent="0.2">
      <c r="A540" t="str">
        <f t="shared" si="45"/>
        <v>CA CO2 emissions</v>
      </c>
      <c r="C540" s="90">
        <v>108.63173056885</v>
      </c>
      <c r="D540" s="90">
        <v>121.18295083959941</v>
      </c>
      <c r="E540" s="90">
        <v>133.73417111034883</v>
      </c>
      <c r="F540" s="90">
        <v>158.19260350872742</v>
      </c>
      <c r="G540" s="90">
        <v>170.05785754463326</v>
      </c>
      <c r="H540" s="134">
        <v>180.68270806352206</v>
      </c>
      <c r="I540" s="130">
        <v>184.49376836267561</v>
      </c>
      <c r="J540" s="130">
        <v>173.78000092513602</v>
      </c>
      <c r="K540" s="130">
        <v>146.80674687653598</v>
      </c>
      <c r="L540" s="130">
        <v>117.09609037713334</v>
      </c>
      <c r="M540" t="str">
        <f t="shared" si="46"/>
        <v>% relative to base year</v>
      </c>
    </row>
    <row r="541" spans="1:19" x14ac:dyDescent="0.2">
      <c r="A541" t="str">
        <f t="shared" si="45"/>
        <v>IA CO2 emissions</v>
      </c>
      <c r="C541" s="90">
        <v>121.49841851683979</v>
      </c>
      <c r="D541" s="90">
        <v>147.70741008137139</v>
      </c>
      <c r="E541" s="90">
        <v>173.91640164590297</v>
      </c>
      <c r="F541" s="90">
        <v>247.59316842070393</v>
      </c>
      <c r="G541" s="90">
        <v>340.36727279386025</v>
      </c>
      <c r="H541" s="134">
        <v>441.84271335723167</v>
      </c>
      <c r="I541" s="130">
        <v>543.06368460783688</v>
      </c>
      <c r="J541" s="130">
        <v>631.470949081242</v>
      </c>
      <c r="K541" s="130">
        <v>656.7421714371776</v>
      </c>
      <c r="L541" s="130">
        <v>640.92552925111181</v>
      </c>
      <c r="M541" t="str">
        <f t="shared" si="46"/>
        <v>% relative to base year</v>
      </c>
    </row>
    <row r="542" spans="1:19" x14ac:dyDescent="0.2">
      <c r="A542" t="str">
        <f t="shared" si="45"/>
        <v>AF CO2 emissions</v>
      </c>
      <c r="C542" s="90">
        <v>121.34090554348217</v>
      </c>
      <c r="D542" s="90">
        <v>142.0690654003626</v>
      </c>
      <c r="E542" s="90">
        <v>162.79722525724301</v>
      </c>
      <c r="F542" s="90">
        <v>244.44493138184831</v>
      </c>
      <c r="G542" s="90">
        <v>369.47173628537467</v>
      </c>
      <c r="H542" s="134">
        <v>543.70150803846946</v>
      </c>
      <c r="I542" s="130">
        <v>726.73259332188695</v>
      </c>
      <c r="J542" s="130">
        <v>894.63646787613914</v>
      </c>
      <c r="K542" s="130">
        <v>973.81560147441985</v>
      </c>
      <c r="L542" s="130">
        <v>1007.7329895421856</v>
      </c>
      <c r="M542" t="str">
        <f t="shared" si="46"/>
        <v>% relative to base year</v>
      </c>
    </row>
    <row r="543" spans="1:19" ht="13.5" thickBot="1" x14ac:dyDescent="0.25">
      <c r="A543" t="str">
        <f t="shared" si="45"/>
        <v>LA CO2 emissions</v>
      </c>
      <c r="C543" s="92">
        <v>117.86185660079576</v>
      </c>
      <c r="D543" s="92">
        <v>142.05721558128539</v>
      </c>
      <c r="E543" s="92">
        <v>166.25257456177502</v>
      </c>
      <c r="F543" s="92">
        <v>221.656071784304</v>
      </c>
      <c r="G543" s="92">
        <v>268.34782021329863</v>
      </c>
      <c r="H543" s="139">
        <v>306.91869584842874</v>
      </c>
      <c r="I543" s="133">
        <v>337.68525854979663</v>
      </c>
      <c r="J543" s="133">
        <v>350.55619111745364</v>
      </c>
      <c r="K543" s="133">
        <v>340.31203527886754</v>
      </c>
      <c r="L543" s="133">
        <v>327.12802742196436</v>
      </c>
      <c r="M543" t="str">
        <f t="shared" si="46"/>
        <v>% relative to base year</v>
      </c>
    </row>
    <row r="544" spans="1:19" ht="13.5" thickTop="1" x14ac:dyDescent="0.2"/>
    <row r="545" spans="1:20" x14ac:dyDescent="0.2">
      <c r="A545" t="str">
        <f t="shared" ref="A545:A552" si="47">A495</f>
        <v>EU CH4 emissions</v>
      </c>
      <c r="C545" s="88">
        <v>99.875801476282646</v>
      </c>
      <c r="D545" s="88">
        <v>106.44454520492664</v>
      </c>
      <c r="E545" s="88">
        <v>113.01328893357065</v>
      </c>
      <c r="F545" s="88">
        <v>133.53088191023232</v>
      </c>
      <c r="G545" s="88">
        <v>152.05655607164789</v>
      </c>
      <c r="H545" s="138">
        <v>157.87581638119408</v>
      </c>
      <c r="I545" s="132">
        <v>166.50649891235639</v>
      </c>
      <c r="J545" s="132">
        <v>169.8588959198909</v>
      </c>
      <c r="K545" s="132">
        <v>195.78411368645473</v>
      </c>
      <c r="L545" s="132">
        <v>179.6355134237252</v>
      </c>
      <c r="M545" t="str">
        <f t="shared" ref="M545:M552" si="48">M495</f>
        <v>% relative to base year</v>
      </c>
      <c r="S545" s="124"/>
    </row>
    <row r="546" spans="1:20" x14ac:dyDescent="0.2">
      <c r="A546" t="str">
        <f t="shared" si="47"/>
        <v>US CH4 emissions</v>
      </c>
      <c r="C546" s="90">
        <v>95.688690750316368</v>
      </c>
      <c r="D546" s="90">
        <v>103.70907513080405</v>
      </c>
      <c r="E546" s="90">
        <v>111.72945951129175</v>
      </c>
      <c r="F546" s="90">
        <v>132.5640380293141</v>
      </c>
      <c r="G546" s="90">
        <v>153.54918352538499</v>
      </c>
      <c r="H546" s="134">
        <v>161.86672426847423</v>
      </c>
      <c r="I546" s="130">
        <v>155.24614341908566</v>
      </c>
      <c r="J546" s="130">
        <v>161.9802603953321</v>
      </c>
      <c r="K546" s="130">
        <v>165.05347895083301</v>
      </c>
      <c r="L546" s="130">
        <v>159.94930859317353</v>
      </c>
      <c r="M546" t="str">
        <f t="shared" si="48"/>
        <v>% relative to base year</v>
      </c>
      <c r="T546" s="3"/>
    </row>
    <row r="547" spans="1:20" x14ac:dyDescent="0.2">
      <c r="A547" t="str">
        <f t="shared" si="47"/>
        <v>OT CH4 emissions</v>
      </c>
      <c r="C547" s="90">
        <v>100.39252828290462</v>
      </c>
      <c r="D547" s="90">
        <v>104.29633808872731</v>
      </c>
      <c r="E547" s="90">
        <v>108.20014789455</v>
      </c>
      <c r="F547" s="90">
        <v>132.52630849713995</v>
      </c>
      <c r="G547" s="90">
        <v>155.22954265393369</v>
      </c>
      <c r="H547" s="134">
        <v>164.79201396296995</v>
      </c>
      <c r="I547" s="130">
        <v>151.88094894636589</v>
      </c>
      <c r="J547" s="130">
        <v>137.88814106709734</v>
      </c>
      <c r="K547" s="130">
        <v>136.8533198820825</v>
      </c>
      <c r="L547" s="130">
        <v>190.57316931655109</v>
      </c>
      <c r="M547" t="str">
        <f t="shared" si="48"/>
        <v>% relative to base year</v>
      </c>
    </row>
    <row r="548" spans="1:20" x14ac:dyDescent="0.2">
      <c r="A548" t="str">
        <f t="shared" si="47"/>
        <v>EE CH4 emissions</v>
      </c>
      <c r="C548" s="90">
        <v>102.89655168069585</v>
      </c>
      <c r="D548" s="90">
        <v>107.64619471186782</v>
      </c>
      <c r="E548" s="90">
        <v>112.39583774303978</v>
      </c>
      <c r="F548" s="90">
        <v>130.15654313041583</v>
      </c>
      <c r="G548" s="90">
        <v>153.26384766151639</v>
      </c>
      <c r="H548" s="134">
        <v>175.7263923154249</v>
      </c>
      <c r="I548" s="130">
        <v>198.10933198293276</v>
      </c>
      <c r="J548" s="130">
        <v>219.18514240484154</v>
      </c>
      <c r="K548" s="130">
        <v>225.88139620865158</v>
      </c>
      <c r="L548" s="130">
        <v>223.18081804616634</v>
      </c>
      <c r="M548" t="str">
        <f t="shared" si="48"/>
        <v>% relative to base year</v>
      </c>
    </row>
    <row r="549" spans="1:20" x14ac:dyDescent="0.2">
      <c r="A549" t="str">
        <f t="shared" si="47"/>
        <v>CA CH4 emissions</v>
      </c>
      <c r="C549" s="90">
        <v>84.753028617293509</v>
      </c>
      <c r="D549" s="90">
        <v>76.169992778264856</v>
      </c>
      <c r="E549" s="90">
        <v>67.586956939236188</v>
      </c>
      <c r="F549" s="90">
        <v>65.194391665077404</v>
      </c>
      <c r="G549" s="90">
        <v>60.793026826883455</v>
      </c>
      <c r="H549" s="134">
        <v>59.361343677636121</v>
      </c>
      <c r="I549" s="130">
        <v>57.755799569073382</v>
      </c>
      <c r="J549" s="130">
        <v>47.771030602094598</v>
      </c>
      <c r="K549" s="130">
        <v>40.924025892345909</v>
      </c>
      <c r="L549" s="130">
        <v>35.322223722264155</v>
      </c>
      <c r="M549" t="str">
        <f t="shared" si="48"/>
        <v>% relative to base year</v>
      </c>
    </row>
    <row r="550" spans="1:20" x14ac:dyDescent="0.2">
      <c r="A550" t="str">
        <f t="shared" si="47"/>
        <v>IA CH4 emissions</v>
      </c>
      <c r="C550" s="90">
        <v>99.638985490290764</v>
      </c>
      <c r="D550" s="90">
        <v>101.60711946714721</v>
      </c>
      <c r="E550" s="90">
        <v>103.57525344400366</v>
      </c>
      <c r="F550" s="90">
        <v>109.4344455434327</v>
      </c>
      <c r="G550" s="90">
        <v>115.16657988669748</v>
      </c>
      <c r="H550" s="134">
        <v>90.785660904088246</v>
      </c>
      <c r="I550" s="130">
        <v>75.901733636955555</v>
      </c>
      <c r="J550" s="130">
        <v>59.099904050940538</v>
      </c>
      <c r="K550" s="130">
        <v>51.55974880999149</v>
      </c>
      <c r="L550" s="130">
        <v>45.42658425394653</v>
      </c>
      <c r="M550" t="str">
        <f t="shared" si="48"/>
        <v>% relative to base year</v>
      </c>
    </row>
    <row r="551" spans="1:20" x14ac:dyDescent="0.2">
      <c r="A551" t="str">
        <f t="shared" si="47"/>
        <v>AF CH4 emissions</v>
      </c>
      <c r="C551" s="90">
        <v>122.01528518915242</v>
      </c>
      <c r="D551" s="90">
        <v>155.78227878288931</v>
      </c>
      <c r="E551" s="90">
        <v>189.54927237662622</v>
      </c>
      <c r="F551" s="90">
        <v>275.94000656195806</v>
      </c>
      <c r="G551" s="90">
        <v>330.31230627491306</v>
      </c>
      <c r="H551" s="134">
        <v>360.74546880690832</v>
      </c>
      <c r="I551" s="130">
        <v>378.69157274694476</v>
      </c>
      <c r="J551" s="130">
        <v>368.16316959280738</v>
      </c>
      <c r="K551" s="130">
        <v>309.07042357760645</v>
      </c>
      <c r="L551" s="130">
        <v>273.43018321830192</v>
      </c>
      <c r="M551" t="str">
        <f t="shared" si="48"/>
        <v>% relative to base year</v>
      </c>
    </row>
    <row r="552" spans="1:20" ht="13.5" thickBot="1" x14ac:dyDescent="0.25">
      <c r="A552" t="str">
        <f t="shared" si="47"/>
        <v>LA CH4 emissions</v>
      </c>
      <c r="C552" s="92">
        <v>109.86411672565421</v>
      </c>
      <c r="D552" s="92">
        <v>116.13216806842394</v>
      </c>
      <c r="E552" s="92">
        <v>122.40021941119367</v>
      </c>
      <c r="F552" s="92">
        <v>128.71460163163425</v>
      </c>
      <c r="G552" s="92">
        <v>107.49732267659728</v>
      </c>
      <c r="H552" s="139">
        <v>101.08304842354472</v>
      </c>
      <c r="I552" s="133">
        <v>97.581653618065332</v>
      </c>
      <c r="J552" s="133">
        <v>90.456618055211351</v>
      </c>
      <c r="K552" s="133">
        <v>72.991532190725863</v>
      </c>
      <c r="L552" s="133">
        <v>64.980089463862143</v>
      </c>
      <c r="M552" t="str">
        <f t="shared" si="48"/>
        <v>% relative to base year</v>
      </c>
    </row>
    <row r="553" spans="1:20" ht="13.5" thickTop="1" x14ac:dyDescent="0.2"/>
    <row r="554" spans="1:20" x14ac:dyDescent="0.2">
      <c r="A554" t="str">
        <f t="shared" ref="A554:A561" si="49">A504</f>
        <v>EU N2O emissions</v>
      </c>
      <c r="C554" s="88">
        <v>107.63919108759174</v>
      </c>
      <c r="D554" s="88">
        <v>111.83227945915688</v>
      </c>
      <c r="E554" s="88">
        <v>116.02536783072202</v>
      </c>
      <c r="F554" s="88">
        <v>122.75100576642203</v>
      </c>
      <c r="G554" s="88">
        <v>120.8373530910477</v>
      </c>
      <c r="H554" s="138">
        <v>123.27051395132386</v>
      </c>
      <c r="I554" s="132">
        <v>123.24897139129817</v>
      </c>
      <c r="J554" s="132">
        <v>123.74602201834861</v>
      </c>
      <c r="K554" s="132">
        <v>121.32090275229359</v>
      </c>
      <c r="L554" s="132">
        <v>116.74322844036696</v>
      </c>
      <c r="M554" t="str">
        <f t="shared" ref="M554:M561" si="50">M504</f>
        <v>% relative to base year</v>
      </c>
    </row>
    <row r="555" spans="1:20" x14ac:dyDescent="0.2">
      <c r="A555" t="str">
        <f t="shared" si="49"/>
        <v>US N2O emissions</v>
      </c>
      <c r="C555" s="88">
        <v>107.63919108759174</v>
      </c>
      <c r="D555" s="88">
        <v>111.83227945915688</v>
      </c>
      <c r="E555" s="88">
        <v>116.02536783072202</v>
      </c>
      <c r="F555" s="88">
        <v>122.75100576642203</v>
      </c>
      <c r="G555" s="88">
        <v>120.8373530910477</v>
      </c>
      <c r="H555" s="138">
        <v>123.27051395132386</v>
      </c>
      <c r="I555" s="132">
        <v>123.24897139129817</v>
      </c>
      <c r="J555" s="132">
        <v>123.74602201834861</v>
      </c>
      <c r="K555" s="132">
        <v>121.32090275229359</v>
      </c>
      <c r="L555" s="132">
        <v>116.74322844036696</v>
      </c>
      <c r="M555" t="str">
        <f t="shared" si="50"/>
        <v>% relative to base year</v>
      </c>
    </row>
    <row r="556" spans="1:20" x14ac:dyDescent="0.2">
      <c r="A556" t="str">
        <f t="shared" si="49"/>
        <v>OT N2O emissions</v>
      </c>
      <c r="C556" s="88">
        <v>107.63919108759174</v>
      </c>
      <c r="D556" s="88">
        <v>111.83227945915688</v>
      </c>
      <c r="E556" s="88">
        <v>116.02536783072202</v>
      </c>
      <c r="F556" s="88">
        <v>122.75100576642203</v>
      </c>
      <c r="G556" s="88">
        <v>120.8373530910477</v>
      </c>
      <c r="H556" s="138">
        <v>123.27051395132386</v>
      </c>
      <c r="I556" s="132">
        <v>123.24897139129817</v>
      </c>
      <c r="J556" s="132">
        <v>123.74602201834861</v>
      </c>
      <c r="K556" s="132">
        <v>121.32090275229359</v>
      </c>
      <c r="L556" s="132">
        <v>116.74322844036696</v>
      </c>
      <c r="M556" t="str">
        <f t="shared" si="50"/>
        <v>% relative to base year</v>
      </c>
    </row>
    <row r="557" spans="1:20" x14ac:dyDescent="0.2">
      <c r="A557" t="str">
        <f t="shared" si="49"/>
        <v>EE N2O emissions</v>
      </c>
      <c r="C557" s="88">
        <v>107.63919108759174</v>
      </c>
      <c r="D557" s="88">
        <v>111.83227945915688</v>
      </c>
      <c r="E557" s="88">
        <v>116.02536783072202</v>
      </c>
      <c r="F557" s="88">
        <v>122.75100576642203</v>
      </c>
      <c r="G557" s="88">
        <v>120.8373530910477</v>
      </c>
      <c r="H557" s="138">
        <v>123.27051395132386</v>
      </c>
      <c r="I557" s="132">
        <v>123.24897139129817</v>
      </c>
      <c r="J557" s="132">
        <v>123.74602201834861</v>
      </c>
      <c r="K557" s="132">
        <v>121.32090275229359</v>
      </c>
      <c r="L557" s="132">
        <v>116.74322844036696</v>
      </c>
      <c r="M557" t="str">
        <f t="shared" si="50"/>
        <v>% relative to base year</v>
      </c>
    </row>
    <row r="558" spans="1:20" x14ac:dyDescent="0.2">
      <c r="A558" t="str">
        <f t="shared" si="49"/>
        <v>CA N2O emissions</v>
      </c>
      <c r="C558" s="88">
        <v>107.63919108759174</v>
      </c>
      <c r="D558" s="88">
        <v>111.83227945915688</v>
      </c>
      <c r="E558" s="88">
        <v>116.02536783072202</v>
      </c>
      <c r="F558" s="88">
        <v>122.75100576642203</v>
      </c>
      <c r="G558" s="88">
        <v>120.8373530910477</v>
      </c>
      <c r="H558" s="138">
        <v>123.27051395132386</v>
      </c>
      <c r="I558" s="132">
        <v>123.24897139129817</v>
      </c>
      <c r="J558" s="132">
        <v>123.74602201834861</v>
      </c>
      <c r="K558" s="132">
        <v>121.32090275229359</v>
      </c>
      <c r="L558" s="132">
        <v>116.74322844036696</v>
      </c>
      <c r="M558" t="str">
        <f t="shared" si="50"/>
        <v>% relative to base year</v>
      </c>
    </row>
    <row r="559" spans="1:20" x14ac:dyDescent="0.2">
      <c r="A559" t="str">
        <f t="shared" si="49"/>
        <v>IA N2O emissions</v>
      </c>
      <c r="C559" s="88">
        <v>107.63919108759174</v>
      </c>
      <c r="D559" s="88">
        <v>111.83227945915688</v>
      </c>
      <c r="E559" s="88">
        <v>116.02536783072202</v>
      </c>
      <c r="F559" s="88">
        <v>122.75100576642203</v>
      </c>
      <c r="G559" s="88">
        <v>120.8373530910477</v>
      </c>
      <c r="H559" s="138">
        <v>123.27051395132386</v>
      </c>
      <c r="I559" s="132">
        <v>123.24897139129817</v>
      </c>
      <c r="J559" s="132">
        <v>123.74602201834861</v>
      </c>
      <c r="K559" s="132">
        <v>121.32090275229359</v>
      </c>
      <c r="L559" s="132">
        <v>116.74322844036696</v>
      </c>
      <c r="M559" t="str">
        <f t="shared" si="50"/>
        <v>% relative to base year</v>
      </c>
    </row>
    <row r="560" spans="1:20" x14ac:dyDescent="0.2">
      <c r="A560" t="str">
        <f t="shared" si="49"/>
        <v>AF N2O emissions</v>
      </c>
      <c r="C560" s="88">
        <v>107.63919108759174</v>
      </c>
      <c r="D560" s="88">
        <v>111.83227945915688</v>
      </c>
      <c r="E560" s="88">
        <v>116.02536783072202</v>
      </c>
      <c r="F560" s="88">
        <v>122.75100576642203</v>
      </c>
      <c r="G560" s="88">
        <v>120.8373530910477</v>
      </c>
      <c r="H560" s="138">
        <v>123.27051395132386</v>
      </c>
      <c r="I560" s="132">
        <v>123.24897139129817</v>
      </c>
      <c r="J560" s="132">
        <v>123.74602201834861</v>
      </c>
      <c r="K560" s="132">
        <v>121.32090275229359</v>
      </c>
      <c r="L560" s="132">
        <v>116.74322844036696</v>
      </c>
      <c r="M560" t="str">
        <f t="shared" si="50"/>
        <v>% relative to base year</v>
      </c>
    </row>
    <row r="561" spans="1:13" x14ac:dyDescent="0.2">
      <c r="A561" t="str">
        <f t="shared" si="49"/>
        <v>LA N2O emissions</v>
      </c>
      <c r="C561" s="88">
        <v>107.63919108759174</v>
      </c>
      <c r="D561" s="88">
        <v>111.83227945915688</v>
      </c>
      <c r="E561" s="88">
        <v>116.02536783072202</v>
      </c>
      <c r="F561" s="88">
        <v>122.75100576642203</v>
      </c>
      <c r="G561" s="88">
        <v>120.8373530910477</v>
      </c>
      <c r="H561" s="138">
        <v>123.27051395132386</v>
      </c>
      <c r="I561" s="132">
        <v>123.24897139129817</v>
      </c>
      <c r="J561" s="132">
        <v>123.74602201834861</v>
      </c>
      <c r="K561" s="132">
        <v>121.32090275229359</v>
      </c>
      <c r="L561" s="132">
        <v>116.74322844036696</v>
      </c>
      <c r="M561" t="str">
        <f t="shared" si="50"/>
        <v>% relative to base year</v>
      </c>
    </row>
    <row r="563" spans="1:13" x14ac:dyDescent="0.2">
      <c r="A563" t="str">
        <f t="shared" ref="A563:A570" si="51">A513</f>
        <v>EU Lin emissions</v>
      </c>
      <c r="C563" s="88">
        <v>123.12461561981884</v>
      </c>
      <c r="D563" s="88">
        <v>127.87774576472447</v>
      </c>
      <c r="E563" s="88">
        <v>132.63087590963011</v>
      </c>
      <c r="F563" s="88">
        <v>137.19476273699667</v>
      </c>
      <c r="G563" s="88">
        <v>150.7712200616993</v>
      </c>
      <c r="H563" s="138">
        <v>169.03284158816098</v>
      </c>
      <c r="I563" s="132">
        <v>191.32886988371919</v>
      </c>
      <c r="J563" s="132">
        <v>200.99460176845437</v>
      </c>
      <c r="K563" s="132">
        <v>192.97575950612435</v>
      </c>
      <c r="L563" s="132">
        <v>184.06857667542283</v>
      </c>
      <c r="M563" t="str">
        <f t="shared" ref="M563:M570" si="52">M513</f>
        <v>% relative to base year</v>
      </c>
    </row>
    <row r="564" spans="1:13" x14ac:dyDescent="0.2">
      <c r="A564" t="str">
        <f t="shared" si="51"/>
        <v>US Lin emissions</v>
      </c>
      <c r="C564" s="88">
        <v>123.12461561981884</v>
      </c>
      <c r="D564" s="88">
        <v>127.87774576472447</v>
      </c>
      <c r="E564" s="88">
        <v>132.63087590963011</v>
      </c>
      <c r="F564" s="88">
        <v>137.19476273699667</v>
      </c>
      <c r="G564" s="88">
        <v>150.7712200616993</v>
      </c>
      <c r="H564" s="138">
        <v>169.03284158816098</v>
      </c>
      <c r="I564" s="132">
        <v>191.32886988371919</v>
      </c>
      <c r="J564" s="132">
        <v>200.99460176845437</v>
      </c>
      <c r="K564" s="132">
        <v>192.97575950612435</v>
      </c>
      <c r="L564" s="132">
        <v>184.06857667542283</v>
      </c>
      <c r="M564" t="str">
        <f t="shared" si="52"/>
        <v>% relative to base year</v>
      </c>
    </row>
    <row r="565" spans="1:13" x14ac:dyDescent="0.2">
      <c r="A565" t="str">
        <f t="shared" si="51"/>
        <v>OT Lin emissions</v>
      </c>
      <c r="C565" s="88">
        <v>123.12461561981884</v>
      </c>
      <c r="D565" s="88">
        <v>127.87774576472447</v>
      </c>
      <c r="E565" s="88">
        <v>132.63087590963011</v>
      </c>
      <c r="F565" s="88">
        <v>137.19476273699667</v>
      </c>
      <c r="G565" s="88">
        <v>150.7712200616993</v>
      </c>
      <c r="H565" s="138">
        <v>169.03284158816098</v>
      </c>
      <c r="I565" s="132">
        <v>191.32886988371919</v>
      </c>
      <c r="J565" s="132">
        <v>200.99460176845437</v>
      </c>
      <c r="K565" s="132">
        <v>192.97575950612435</v>
      </c>
      <c r="L565" s="132">
        <v>184.06857667542283</v>
      </c>
      <c r="M565" t="str">
        <f t="shared" si="52"/>
        <v>% relative to base year</v>
      </c>
    </row>
    <row r="566" spans="1:13" x14ac:dyDescent="0.2">
      <c r="A566" t="str">
        <f t="shared" si="51"/>
        <v>EE Lin emissions</v>
      </c>
      <c r="C566" s="88">
        <v>123.12461561981884</v>
      </c>
      <c r="D566" s="88">
        <v>127.87774576472447</v>
      </c>
      <c r="E566" s="88">
        <v>132.63087590963011</v>
      </c>
      <c r="F566" s="88">
        <v>137.19476273699667</v>
      </c>
      <c r="G566" s="88">
        <v>150.7712200616993</v>
      </c>
      <c r="H566" s="138">
        <v>169.03284158816098</v>
      </c>
      <c r="I566" s="132">
        <v>191.32886988371919</v>
      </c>
      <c r="J566" s="132">
        <v>200.99460176845437</v>
      </c>
      <c r="K566" s="132">
        <v>192.97575950612435</v>
      </c>
      <c r="L566" s="132">
        <v>184.06857667542283</v>
      </c>
      <c r="M566" t="str">
        <f t="shared" si="52"/>
        <v>% relative to base year</v>
      </c>
    </row>
    <row r="567" spans="1:13" x14ac:dyDescent="0.2">
      <c r="A567" t="str">
        <f t="shared" si="51"/>
        <v>CA Lin emissions</v>
      </c>
      <c r="C567" s="88">
        <v>123.12461561981884</v>
      </c>
      <c r="D567" s="88">
        <v>127.87774576472447</v>
      </c>
      <c r="E567" s="88">
        <v>132.63087590963011</v>
      </c>
      <c r="F567" s="88">
        <v>137.19476273699667</v>
      </c>
      <c r="G567" s="88">
        <v>150.7712200616993</v>
      </c>
      <c r="H567" s="138">
        <v>169.03284158816098</v>
      </c>
      <c r="I567" s="132">
        <v>191.32886988371919</v>
      </c>
      <c r="J567" s="132">
        <v>200.99460176845437</v>
      </c>
      <c r="K567" s="132">
        <v>192.97575950612435</v>
      </c>
      <c r="L567" s="132">
        <v>184.06857667542283</v>
      </c>
      <c r="M567" t="str">
        <f t="shared" si="52"/>
        <v>% relative to base year</v>
      </c>
    </row>
    <row r="568" spans="1:13" x14ac:dyDescent="0.2">
      <c r="A568" t="str">
        <f t="shared" si="51"/>
        <v>IA Lin emissions</v>
      </c>
      <c r="C568" s="88">
        <v>123.12461561981884</v>
      </c>
      <c r="D568" s="88">
        <v>127.87774576472447</v>
      </c>
      <c r="E568" s="88">
        <v>132.63087590963011</v>
      </c>
      <c r="F568" s="88">
        <v>137.19476273699667</v>
      </c>
      <c r="G568" s="88">
        <v>150.7712200616993</v>
      </c>
      <c r="H568" s="138">
        <v>169.03284158816098</v>
      </c>
      <c r="I568" s="132">
        <v>191.32886988371919</v>
      </c>
      <c r="J568" s="132">
        <v>200.99460176845437</v>
      </c>
      <c r="K568" s="132">
        <v>192.97575950612435</v>
      </c>
      <c r="L568" s="132">
        <v>184.06857667542283</v>
      </c>
      <c r="M568" t="str">
        <f t="shared" si="52"/>
        <v>% relative to base year</v>
      </c>
    </row>
    <row r="569" spans="1:13" x14ac:dyDescent="0.2">
      <c r="A569" t="str">
        <f t="shared" si="51"/>
        <v>AF Lin emissions</v>
      </c>
      <c r="C569" s="88">
        <v>123.12461561981884</v>
      </c>
      <c r="D569" s="88">
        <v>127.87774576472447</v>
      </c>
      <c r="E569" s="88">
        <v>132.63087590963011</v>
      </c>
      <c r="F569" s="88">
        <v>137.19476273699667</v>
      </c>
      <c r="G569" s="88">
        <v>150.7712200616993</v>
      </c>
      <c r="H569" s="138">
        <v>169.03284158816098</v>
      </c>
      <c r="I569" s="132">
        <v>191.32886988371919</v>
      </c>
      <c r="J569" s="132">
        <v>200.99460176845437</v>
      </c>
      <c r="K569" s="132">
        <v>192.97575950612435</v>
      </c>
      <c r="L569" s="132">
        <v>184.06857667542283</v>
      </c>
      <c r="M569" t="str">
        <f t="shared" si="52"/>
        <v>% relative to base year</v>
      </c>
    </row>
    <row r="570" spans="1:13" x14ac:dyDescent="0.2">
      <c r="A570" t="str">
        <f t="shared" si="51"/>
        <v>LA Lin emissions</v>
      </c>
      <c r="C570" s="88">
        <v>123.12461561981884</v>
      </c>
      <c r="D570" s="88">
        <v>127.87774576472447</v>
      </c>
      <c r="E570" s="88">
        <v>132.63087590963011</v>
      </c>
      <c r="F570" s="88">
        <v>137.19476273699667</v>
      </c>
      <c r="G570" s="88">
        <v>150.7712200616993</v>
      </c>
      <c r="H570" s="138">
        <v>169.03284158816098</v>
      </c>
      <c r="I570" s="132">
        <v>191.32886988371919</v>
      </c>
      <c r="J570" s="132">
        <v>200.99460176845437</v>
      </c>
      <c r="K570" s="132">
        <v>192.97575950612435</v>
      </c>
      <c r="L570" s="132">
        <v>184.06857667542283</v>
      </c>
      <c r="M570" t="str">
        <f t="shared" si="52"/>
        <v>% relative to base year</v>
      </c>
    </row>
    <row r="572" spans="1:13" x14ac:dyDescent="0.2">
      <c r="A572" t="str">
        <f t="shared" ref="A572:A579" si="53">A522</f>
        <v>EU sulphates</v>
      </c>
      <c r="C572" s="88">
        <v>78.699283577680092</v>
      </c>
      <c r="D572" s="88">
        <v>64.618866024040585</v>
      </c>
      <c r="E572" s="88">
        <v>50.538448470401065</v>
      </c>
      <c r="F572" s="88">
        <v>53.332771046068459</v>
      </c>
      <c r="G572" s="88">
        <v>64.062380208411895</v>
      </c>
      <c r="H572" s="138">
        <v>82.493452146974406</v>
      </c>
      <c r="I572" s="132">
        <v>98.756006057105225</v>
      </c>
      <c r="J572" s="132">
        <v>107.50924161904346</v>
      </c>
      <c r="K572" s="132">
        <v>100.05178832595365</v>
      </c>
      <c r="L572" s="132">
        <v>80.436107122497987</v>
      </c>
      <c r="M572" t="str">
        <f t="shared" ref="M572:M579" si="54">M522</f>
        <v>% relative to base year</v>
      </c>
    </row>
    <row r="573" spans="1:13" x14ac:dyDescent="0.2">
      <c r="A573" t="str">
        <f t="shared" si="53"/>
        <v>US sulphates</v>
      </c>
      <c r="C573" s="90">
        <v>84.384708242414376</v>
      </c>
      <c r="D573" s="90">
        <v>70.690088468364848</v>
      </c>
      <c r="E573" s="90">
        <v>56.995468694315306</v>
      </c>
      <c r="F573" s="90">
        <v>56.704478130721775</v>
      </c>
      <c r="G573" s="90">
        <v>49.18497246174821</v>
      </c>
      <c r="H573" s="134">
        <v>49.514964097072379</v>
      </c>
      <c r="I573" s="130">
        <v>49.870862982197657</v>
      </c>
      <c r="J573" s="130">
        <v>50.026413866050262</v>
      </c>
      <c r="K573" s="130">
        <v>47.189191402292401</v>
      </c>
      <c r="L573" s="130">
        <v>42.12136284298375</v>
      </c>
      <c r="M573" t="str">
        <f t="shared" si="54"/>
        <v>% relative to base year</v>
      </c>
    </row>
    <row r="574" spans="1:13" x14ac:dyDescent="0.2">
      <c r="A574" t="str">
        <f t="shared" si="53"/>
        <v>OT sulphates</v>
      </c>
      <c r="C574" s="90">
        <v>75.48124652151968</v>
      </c>
      <c r="D574" s="90">
        <v>60.849967216463455</v>
      </c>
      <c r="E574" s="90">
        <v>46.21868791140723</v>
      </c>
      <c r="F574" s="90">
        <v>38.103122768770341</v>
      </c>
      <c r="G574" s="90">
        <v>29.178768538798689</v>
      </c>
      <c r="H574" s="134">
        <v>28.504521168929426</v>
      </c>
      <c r="I574" s="130">
        <v>28.038230042550158</v>
      </c>
      <c r="J574" s="130">
        <v>27.795523724489041</v>
      </c>
      <c r="K574" s="130">
        <v>27.912415629389297</v>
      </c>
      <c r="L574" s="130">
        <v>27.21902747942103</v>
      </c>
      <c r="M574" t="str">
        <f t="shared" si="54"/>
        <v>% relative to base year</v>
      </c>
    </row>
    <row r="575" spans="1:13" x14ac:dyDescent="0.2">
      <c r="A575" t="str">
        <f t="shared" si="53"/>
        <v>EE sulphates</v>
      </c>
      <c r="C575" s="90">
        <v>77.70637879471083</v>
      </c>
      <c r="D575" s="90">
        <v>63.416316917438266</v>
      </c>
      <c r="E575" s="90">
        <v>49.126255040165695</v>
      </c>
      <c r="F575" s="90">
        <v>38.513312242322009</v>
      </c>
      <c r="G575" s="90">
        <v>32.939071132546964</v>
      </c>
      <c r="H575" s="134">
        <v>30.648823166233402</v>
      </c>
      <c r="I575" s="130">
        <v>27.914164858161602</v>
      </c>
      <c r="J575" s="130">
        <v>25.400744034239306</v>
      </c>
      <c r="K575" s="130">
        <v>24.472806863317825</v>
      </c>
      <c r="L575" s="130">
        <v>23.058228575479379</v>
      </c>
      <c r="M575" t="str">
        <f t="shared" si="54"/>
        <v>% relative to base year</v>
      </c>
    </row>
    <row r="576" spans="1:13" x14ac:dyDescent="0.2">
      <c r="A576" t="str">
        <f t="shared" si="53"/>
        <v>CA sulphates</v>
      </c>
      <c r="C576" s="90">
        <v>58.477322691577072</v>
      </c>
      <c r="D576" s="90">
        <v>50.342442180581898</v>
      </c>
      <c r="E576" s="90">
        <v>42.207561669586724</v>
      </c>
      <c r="F576" s="90">
        <v>42.234777395922222</v>
      </c>
      <c r="G576" s="90">
        <v>37.257494108686494</v>
      </c>
      <c r="H576" s="134">
        <v>32.620860988663424</v>
      </c>
      <c r="I576" s="130">
        <v>28.271668721974699</v>
      </c>
      <c r="J576" s="130">
        <v>23.394677829460996</v>
      </c>
      <c r="K576" s="130">
        <v>18.9928328167925</v>
      </c>
      <c r="L576" s="130">
        <v>15.623536386325602</v>
      </c>
      <c r="M576" t="str">
        <f t="shared" si="54"/>
        <v>% relative to base year</v>
      </c>
    </row>
    <row r="577" spans="1:28" x14ac:dyDescent="0.2">
      <c r="A577" t="str">
        <f t="shared" si="53"/>
        <v>IA sulphates</v>
      </c>
      <c r="C577" s="90">
        <v>117.44714663219484</v>
      </c>
      <c r="D577" s="90">
        <v>131.19891157757456</v>
      </c>
      <c r="E577" s="90">
        <v>144.9506765229543</v>
      </c>
      <c r="F577" s="90">
        <v>147.39309185923449</v>
      </c>
      <c r="G577" s="90">
        <v>105.92665472623142</v>
      </c>
      <c r="H577" s="134">
        <v>105.55638729296005</v>
      </c>
      <c r="I577" s="130">
        <v>90.391704517485437</v>
      </c>
      <c r="J577" s="130">
        <v>66.452055700109412</v>
      </c>
      <c r="K577" s="130">
        <v>42.366140777884709</v>
      </c>
      <c r="L577" s="130">
        <v>21.513787757698374</v>
      </c>
      <c r="M577" t="str">
        <f t="shared" si="54"/>
        <v>% relative to base year</v>
      </c>
    </row>
    <row r="578" spans="1:28" x14ac:dyDescent="0.2">
      <c r="A578" t="str">
        <f t="shared" si="53"/>
        <v>AF sulphates</v>
      </c>
      <c r="C578" s="90">
        <v>81.912360867241247</v>
      </c>
      <c r="D578" s="90">
        <v>70.707811478594323</v>
      </c>
      <c r="E578" s="90">
        <v>59.503262089947405</v>
      </c>
      <c r="F578" s="90">
        <v>65.972140461589476</v>
      </c>
      <c r="G578" s="90">
        <v>73.265757658874762</v>
      </c>
      <c r="H578" s="134">
        <v>100.35147745351476</v>
      </c>
      <c r="I578" s="130">
        <v>113.78414887131495</v>
      </c>
      <c r="J578" s="130">
        <v>105.95859373405285</v>
      </c>
      <c r="K578" s="130">
        <v>80.769876683529802</v>
      </c>
      <c r="L578" s="130">
        <v>47.86674411926073</v>
      </c>
      <c r="M578" t="str">
        <f t="shared" si="54"/>
        <v>% relative to base year</v>
      </c>
    </row>
    <row r="579" spans="1:28" ht="13.5" thickBot="1" x14ac:dyDescent="0.25">
      <c r="A579" t="str">
        <f t="shared" si="53"/>
        <v>LA sulphates</v>
      </c>
      <c r="C579" s="92">
        <v>94.750253560799905</v>
      </c>
      <c r="D579" s="92">
        <v>93.945787548332987</v>
      </c>
      <c r="E579" s="92">
        <v>93.141321535866069</v>
      </c>
      <c r="F579" s="92">
        <v>92.3856794191978</v>
      </c>
      <c r="G579" s="92">
        <v>83.805423767515506</v>
      </c>
      <c r="H579" s="139">
        <v>84.725189883028051</v>
      </c>
      <c r="I579" s="133">
        <v>79.238613447901599</v>
      </c>
      <c r="J579" s="133">
        <v>70.558590318889827</v>
      </c>
      <c r="K579" s="133">
        <v>61.6679890478988</v>
      </c>
      <c r="L579" s="133">
        <v>49.97289263417801</v>
      </c>
      <c r="M579" t="str">
        <f t="shared" si="54"/>
        <v>% relative to base year</v>
      </c>
    </row>
    <row r="580" spans="1:28" ht="13.5" thickTop="1" x14ac:dyDescent="0.2">
      <c r="C580" s="61"/>
      <c r="D580" s="61"/>
      <c r="E580" s="61"/>
      <c r="F580" s="61"/>
      <c r="G580" s="61"/>
      <c r="H580" s="61"/>
      <c r="I580" s="61"/>
      <c r="J580" s="61"/>
      <c r="K580" s="61"/>
      <c r="L580" s="61"/>
    </row>
    <row r="581" spans="1:28" ht="13.5" thickBot="1" x14ac:dyDescent="0.25">
      <c r="A581" t="s">
        <v>35</v>
      </c>
      <c r="C581" s="62">
        <v>0.94169999999999998</v>
      </c>
      <c r="D581" s="62">
        <v>0.89269999999999994</v>
      </c>
      <c r="E581" s="62">
        <v>0.84369999999999989</v>
      </c>
      <c r="F581" s="62">
        <v>0.80619999999999992</v>
      </c>
      <c r="G581" s="62">
        <v>0.69009999999999994</v>
      </c>
      <c r="H581" s="148">
        <v>0.65700000000000003</v>
      </c>
      <c r="I581" s="120">
        <v>0.6089</v>
      </c>
      <c r="J581" s="120">
        <v>0.54239999999999999</v>
      </c>
      <c r="K581" s="120">
        <v>0.4405</v>
      </c>
      <c r="L581" s="120">
        <v>0.33140000000000003</v>
      </c>
      <c r="M581" t="str">
        <f>M531</f>
        <v>W/m2</v>
      </c>
    </row>
    <row r="582" spans="1:28" ht="13.5" thickTop="1" x14ac:dyDescent="0.2"/>
    <row r="583" spans="1:28" x14ac:dyDescent="0.2">
      <c r="A583" s="307"/>
      <c r="B583" s="307"/>
      <c r="C583" s="307"/>
      <c r="D583" s="307"/>
      <c r="E583" s="307"/>
      <c r="F583" s="307"/>
      <c r="G583" s="307"/>
      <c r="H583" s="307"/>
      <c r="I583" s="307"/>
      <c r="J583" s="307"/>
      <c r="K583" s="307"/>
      <c r="L583" s="307"/>
      <c r="M583" s="307"/>
      <c r="N583" s="307"/>
      <c r="O583" s="307"/>
      <c r="P583" s="307"/>
      <c r="Q583" s="307"/>
      <c r="R583" s="307"/>
      <c r="S583" s="307"/>
    </row>
    <row r="584" spans="1:28" x14ac:dyDescent="0.2">
      <c r="A584" s="306" t="s">
        <v>642</v>
      </c>
      <c r="B584" s="307"/>
      <c r="C584" s="307"/>
      <c r="D584" s="307"/>
      <c r="E584" s="307"/>
      <c r="F584" s="307"/>
      <c r="G584" s="307"/>
      <c r="H584" s="307"/>
      <c r="I584" s="307"/>
      <c r="J584" s="307"/>
      <c r="K584" s="307"/>
      <c r="L584" s="307"/>
      <c r="M584" s="307"/>
      <c r="N584" s="307"/>
      <c r="O584" s="307"/>
      <c r="P584" s="307"/>
      <c r="Q584" s="306" t="s">
        <v>461</v>
      </c>
      <c r="R584" s="307"/>
      <c r="S584" s="307"/>
    </row>
    <row r="585" spans="1:28" x14ac:dyDescent="0.2">
      <c r="A585" s="306" t="s">
        <v>966</v>
      </c>
      <c r="B585" s="307"/>
      <c r="C585" s="307"/>
      <c r="D585" s="307"/>
      <c r="E585" s="307"/>
      <c r="F585" s="307"/>
      <c r="G585" s="307"/>
      <c r="H585" s="307"/>
      <c r="I585" s="307"/>
      <c r="J585" s="307"/>
      <c r="K585" s="307"/>
      <c r="L585" s="307"/>
      <c r="M585" s="307"/>
      <c r="N585" s="307"/>
      <c r="O585" s="307"/>
      <c r="P585" s="307"/>
      <c r="Q585" s="310" t="s">
        <v>643</v>
      </c>
      <c r="R585" s="307"/>
      <c r="S585" s="307"/>
    </row>
    <row r="586" spans="1:28" x14ac:dyDescent="0.2">
      <c r="A586" s="306"/>
      <c r="B586" s="307"/>
      <c r="C586" s="307"/>
      <c r="D586" s="307"/>
      <c r="E586" s="307"/>
      <c r="F586" s="307"/>
      <c r="G586" s="307"/>
      <c r="H586" s="307"/>
      <c r="I586" s="307"/>
      <c r="J586" s="307"/>
      <c r="K586" s="307"/>
      <c r="L586" s="307"/>
      <c r="M586" s="307"/>
      <c r="N586" s="307"/>
      <c r="O586" s="307"/>
      <c r="P586" s="307"/>
      <c r="Q586" s="310"/>
      <c r="R586" s="307"/>
      <c r="S586" s="307"/>
    </row>
    <row r="587" spans="1:28" x14ac:dyDescent="0.2">
      <c r="A587" s="307" t="s">
        <v>511</v>
      </c>
      <c r="B587" s="307"/>
      <c r="C587" s="307">
        <f>Y_0</f>
        <v>2015</v>
      </c>
      <c r="D587" s="307">
        <f t="array" ref="D587:L587">Y</f>
        <v>2020</v>
      </c>
      <c r="E587" s="307">
        <v>2025</v>
      </c>
      <c r="F587" s="307">
        <v>2030</v>
      </c>
      <c r="G587" s="307">
        <v>2040</v>
      </c>
      <c r="H587" s="307">
        <v>2050</v>
      </c>
      <c r="I587" s="307">
        <v>2060</v>
      </c>
      <c r="J587" s="307">
        <v>2070</v>
      </c>
      <c r="K587" s="307">
        <v>2080</v>
      </c>
      <c r="L587" s="307">
        <v>2090</v>
      </c>
      <c r="M587" s="307"/>
      <c r="N587" s="307"/>
      <c r="O587" s="307"/>
      <c r="P587" s="306"/>
      <c r="Q587" s="310"/>
      <c r="R587" s="307"/>
      <c r="S587" s="307"/>
    </row>
    <row r="588" spans="1:28" x14ac:dyDescent="0.2">
      <c r="A588" s="307" t="s">
        <v>512</v>
      </c>
      <c r="B588" s="307"/>
      <c r="C588" s="307">
        <f t="array" ref="C588:L588">Y</f>
        <v>2020</v>
      </c>
      <c r="D588" s="307">
        <v>2025</v>
      </c>
      <c r="E588" s="307">
        <v>2030</v>
      </c>
      <c r="F588" s="307">
        <v>2040</v>
      </c>
      <c r="G588" s="307">
        <v>2050</v>
      </c>
      <c r="H588" s="307">
        <v>2060</v>
      </c>
      <c r="I588" s="307">
        <v>2070</v>
      </c>
      <c r="J588" s="307">
        <v>2080</v>
      </c>
      <c r="K588" s="307">
        <v>2090</v>
      </c>
      <c r="L588" s="307">
        <v>2100</v>
      </c>
      <c r="M588" s="307"/>
      <c r="N588" s="307"/>
      <c r="O588" s="307"/>
      <c r="P588" s="307"/>
      <c r="Q588" s="310"/>
      <c r="R588" s="307"/>
      <c r="S588" s="307"/>
    </row>
    <row r="589" spans="1:28" x14ac:dyDescent="0.2">
      <c r="A589" s="307" t="s">
        <v>513</v>
      </c>
      <c r="B589" s="307"/>
      <c r="C589" s="307">
        <f t="array" ref="C589:L589">YP</f>
        <v>5</v>
      </c>
      <c r="D589" s="307">
        <v>5</v>
      </c>
      <c r="E589" s="307">
        <v>5</v>
      </c>
      <c r="F589" s="307">
        <v>10</v>
      </c>
      <c r="G589" s="307">
        <v>10</v>
      </c>
      <c r="H589" s="307">
        <v>10</v>
      </c>
      <c r="I589" s="307">
        <v>10</v>
      </c>
      <c r="J589" s="307">
        <v>10</v>
      </c>
      <c r="K589" s="307">
        <v>10</v>
      </c>
      <c r="L589" s="307">
        <v>10</v>
      </c>
      <c r="M589" s="307"/>
      <c r="N589" s="307"/>
      <c r="O589" s="307"/>
      <c r="P589" s="307"/>
      <c r="Q589" s="310"/>
      <c r="R589" s="307"/>
      <c r="S589" s="307"/>
    </row>
    <row r="590" spans="1:28" x14ac:dyDescent="0.2">
      <c r="A590" s="307" t="s">
        <v>509</v>
      </c>
      <c r="B590" s="307"/>
      <c r="C590" s="314">
        <f t="array" ref="C590:L590" xml:space="preserve"> IF(Y &lt;= EXTRA_ABATE_START, 1, IF(Y &lt;= EXTRA_ABATE_END, (1-EXTRA_ABATE_RATE/100)^YP, 1) )</f>
        <v>1</v>
      </c>
      <c r="D590" s="314">
        <v>1</v>
      </c>
      <c r="E590" s="314">
        <v>1</v>
      </c>
      <c r="F590" s="314">
        <v>1</v>
      </c>
      <c r="G590" s="314">
        <v>1</v>
      </c>
      <c r="H590" s="314">
        <v>1</v>
      </c>
      <c r="I590" s="314">
        <v>1</v>
      </c>
      <c r="J590" s="314">
        <v>1</v>
      </c>
      <c r="K590" s="314">
        <v>1</v>
      </c>
      <c r="L590" s="314">
        <v>1</v>
      </c>
      <c r="M590" s="307" t="s">
        <v>504</v>
      </c>
      <c r="N590" s="307"/>
      <c r="O590" s="307"/>
      <c r="P590" s="307"/>
      <c r="Q590" s="310"/>
      <c r="R590" s="307"/>
      <c r="S590" s="307"/>
    </row>
    <row r="591" spans="1:28" x14ac:dyDescent="0.2">
      <c r="A591" s="307" t="s">
        <v>514</v>
      </c>
      <c r="B591" s="307"/>
      <c r="C591" s="314">
        <f xml:space="preserve"> EXTRA_ABATE_FACTOR_PERIOD_1</f>
        <v>1</v>
      </c>
      <c r="D591" s="314">
        <f t="array" ref="D591:L591" xml:space="preserve"> EXTRA_ABATE_FACTOR_COMPOUND * EXTRA_ABATE_FACTOR_PERIOD_NOT_1</f>
        <v>1</v>
      </c>
      <c r="E591" s="314">
        <v>1</v>
      </c>
      <c r="F591" s="314">
        <v>1</v>
      </c>
      <c r="G591" s="314">
        <v>1</v>
      </c>
      <c r="H591" s="314">
        <v>1</v>
      </c>
      <c r="I591" s="314">
        <v>1</v>
      </c>
      <c r="J591" s="314">
        <v>1</v>
      </c>
      <c r="K591" s="314">
        <v>1</v>
      </c>
      <c r="L591" s="314">
        <v>1</v>
      </c>
      <c r="M591" s="307" t="s">
        <v>504</v>
      </c>
      <c r="N591" s="307"/>
      <c r="O591" s="307"/>
      <c r="P591" s="307"/>
      <c r="Q591" s="307"/>
      <c r="R591" s="307"/>
      <c r="S591" s="307"/>
    </row>
    <row r="592" spans="1:28" x14ac:dyDescent="0.2">
      <c r="A592" s="307"/>
      <c r="B592" s="307"/>
      <c r="C592" s="315"/>
      <c r="D592" s="315"/>
      <c r="E592" s="315"/>
      <c r="F592" s="315"/>
      <c r="G592" s="315"/>
      <c r="H592" s="315"/>
      <c r="I592" s="315"/>
      <c r="J592" s="315"/>
      <c r="K592" s="315"/>
      <c r="L592" s="315"/>
      <c r="M592" s="307"/>
      <c r="N592" s="307"/>
      <c r="O592" s="307"/>
      <c r="P592" s="313"/>
      <c r="Q592" s="307"/>
      <c r="R592" s="313"/>
      <c r="S592" s="313"/>
      <c r="T592" s="6"/>
      <c r="U592" s="6"/>
      <c r="V592" s="6"/>
      <c r="W592" s="6"/>
      <c r="X592" s="6"/>
      <c r="Y592" s="6"/>
      <c r="Z592" s="6"/>
      <c r="AA592" s="6"/>
      <c r="AB592" s="6"/>
    </row>
    <row r="593" spans="1:30" x14ac:dyDescent="0.2">
      <c r="A593" s="307" t="str">
        <f t="array" ref="A593:A600">"Annual "&amp;R_CODE&amp;" "&amp;'Base data'!$B$12&amp;" emissions"</f>
        <v>Annual EU CO2 emissions</v>
      </c>
      <c r="B593" s="307"/>
      <c r="C593" s="316">
        <f t="array" ref="C593:L600" xml:space="preserve"> (RCP26_CO2 - RCP26_CO2_2100) * EXTRA_ABATE_FACTOR_COMPOUND + RCP26_CO2_2100</f>
        <v>107.20490184978931</v>
      </c>
      <c r="D593" s="316">
        <v>115.14885338478642</v>
      </c>
      <c r="E593" s="316">
        <v>123.09280491978353</v>
      </c>
      <c r="F593" s="316">
        <v>146.76892454566476</v>
      </c>
      <c r="G593" s="316">
        <v>109.34432453127907</v>
      </c>
      <c r="H593" s="316">
        <v>27.79838331722198</v>
      </c>
      <c r="I593" s="316">
        <v>-20.860229932661337</v>
      </c>
      <c r="J593" s="316">
        <v>-37.892958066302626</v>
      </c>
      <c r="K593" s="316">
        <v>-47.051397300711969</v>
      </c>
      <c r="L593" s="316">
        <v>-49.237525154831843</v>
      </c>
      <c r="M593" s="307" t="s">
        <v>477</v>
      </c>
      <c r="N593" s="307"/>
      <c r="O593" s="307"/>
      <c r="P593" s="313"/>
      <c r="Q593" s="317" t="s">
        <v>645</v>
      </c>
      <c r="R593" s="318"/>
      <c r="S593" s="318"/>
      <c r="T593" s="137"/>
      <c r="U593" s="137"/>
      <c r="V593" s="137"/>
      <c r="W593" s="6"/>
      <c r="X593" s="6"/>
      <c r="Y593" s="6"/>
      <c r="Z593" s="6"/>
      <c r="AA593" s="6"/>
      <c r="AB593" s="6"/>
      <c r="AC593" s="6"/>
      <c r="AD593" s="6"/>
    </row>
    <row r="594" spans="1:30" x14ac:dyDescent="0.2">
      <c r="A594" s="307" t="str">
        <v>Annual US CO2 emissions</v>
      </c>
      <c r="B594" s="307"/>
      <c r="C594" s="316">
        <v>106.62881982252256</v>
      </c>
      <c r="D594" s="316">
        <v>122.44446615330868</v>
      </c>
      <c r="E594" s="316">
        <v>138.2601124840948</v>
      </c>
      <c r="F594" s="316">
        <v>172.04080704492984</v>
      </c>
      <c r="G594" s="316">
        <v>121.70061577261383</v>
      </c>
      <c r="H594" s="316">
        <v>15.280574946805919</v>
      </c>
      <c r="I594" s="316">
        <v>-41.850001764128471</v>
      </c>
      <c r="J594" s="316">
        <v>-61.166474380061793</v>
      </c>
      <c r="K594" s="316">
        <v>-64.56498121356131</v>
      </c>
      <c r="L594" s="316">
        <v>-64.244990741894554</v>
      </c>
      <c r="M594" s="307" t="s">
        <v>477</v>
      </c>
      <c r="N594" s="307"/>
      <c r="O594" s="307"/>
      <c r="P594" s="313"/>
      <c r="Q594" s="317" t="s">
        <v>515</v>
      </c>
      <c r="R594" s="318"/>
      <c r="S594" s="318"/>
      <c r="T594" s="137"/>
      <c r="U594" s="137"/>
      <c r="V594" s="137"/>
      <c r="W594" s="6"/>
      <c r="X594" s="6"/>
      <c r="Y594" s="6"/>
      <c r="Z594" s="6"/>
      <c r="AA594" s="6"/>
      <c r="AB594" s="6"/>
      <c r="AC594" s="6"/>
      <c r="AD594" s="6"/>
    </row>
    <row r="595" spans="1:30" x14ac:dyDescent="0.2">
      <c r="A595" s="307" t="str">
        <v>Annual OT CO2 emissions</v>
      </c>
      <c r="B595" s="307"/>
      <c r="C595" s="316">
        <v>107.20490184978931</v>
      </c>
      <c r="D595" s="316">
        <v>115.14885338478642</v>
      </c>
      <c r="E595" s="316">
        <v>123.09280491978353</v>
      </c>
      <c r="F595" s="316">
        <v>146.76892454566476</v>
      </c>
      <c r="G595" s="316">
        <v>109.34432453127907</v>
      </c>
      <c r="H595" s="316">
        <v>27.79838331722198</v>
      </c>
      <c r="I595" s="316">
        <v>-20.860229932661337</v>
      </c>
      <c r="J595" s="316">
        <v>-37.892958066302626</v>
      </c>
      <c r="K595" s="316">
        <v>-47.051397300711969</v>
      </c>
      <c r="L595" s="316">
        <v>-49.237525154831843</v>
      </c>
      <c r="M595" s="307" t="s">
        <v>477</v>
      </c>
      <c r="N595" s="307"/>
      <c r="O595" s="307"/>
      <c r="P595" s="313"/>
      <c r="Q595" s="318"/>
      <c r="R595" s="318"/>
      <c r="S595" s="318"/>
      <c r="T595" s="137"/>
      <c r="U595" s="137"/>
      <c r="V595" s="137"/>
      <c r="W595" s="6"/>
      <c r="X595" s="6"/>
      <c r="Y595" s="6"/>
      <c r="Z595" s="6"/>
      <c r="AA595" s="6"/>
      <c r="AB595" s="6"/>
      <c r="AC595" s="6"/>
      <c r="AD595" s="6"/>
    </row>
    <row r="596" spans="1:30" x14ac:dyDescent="0.2">
      <c r="A596" s="307" t="str">
        <v>Annual EE CO2 emissions</v>
      </c>
      <c r="B596" s="307"/>
      <c r="C596" s="316">
        <v>105.49656700523605</v>
      </c>
      <c r="D596" s="316">
        <v>113.59984065280275</v>
      </c>
      <c r="E596" s="316">
        <v>121.70311430036946</v>
      </c>
      <c r="F596" s="316">
        <v>149.49618165580483</v>
      </c>
      <c r="G596" s="316">
        <v>90.757515398788939</v>
      </c>
      <c r="H596" s="316">
        <v>-4.7394508423443469</v>
      </c>
      <c r="I596" s="316">
        <v>-46.757683772189047</v>
      </c>
      <c r="J596" s="316">
        <v>-56.176786862708845</v>
      </c>
      <c r="K596" s="316">
        <v>-58.257370024848093</v>
      </c>
      <c r="L596" s="316">
        <v>-58.752509327799572</v>
      </c>
      <c r="M596" s="307" t="s">
        <v>477</v>
      </c>
      <c r="N596" s="307"/>
      <c r="O596" s="307"/>
      <c r="P596" s="313"/>
      <c r="Q596" s="307"/>
      <c r="R596" s="318"/>
      <c r="S596" s="318"/>
      <c r="T596" s="137"/>
      <c r="U596" s="137"/>
      <c r="V596" s="137"/>
      <c r="W596" s="6"/>
      <c r="X596" s="6"/>
      <c r="Y596" s="6"/>
      <c r="Z596" s="6"/>
      <c r="AA596" s="6"/>
      <c r="AB596" s="6"/>
      <c r="AC596" s="6"/>
      <c r="AD596" s="6"/>
    </row>
    <row r="597" spans="1:30" x14ac:dyDescent="0.2">
      <c r="A597" s="307" t="str">
        <v>Annual CA CO2 emissions</v>
      </c>
      <c r="B597" s="307"/>
      <c r="C597" s="316">
        <v>108.63173056885</v>
      </c>
      <c r="D597" s="316">
        <v>121.18295083959941</v>
      </c>
      <c r="E597" s="316">
        <v>133.73417111034883</v>
      </c>
      <c r="F597" s="316">
        <v>158.19260350872742</v>
      </c>
      <c r="G597" s="316">
        <v>101.74675680684209</v>
      </c>
      <c r="H597" s="316">
        <v>26.184763125271015</v>
      </c>
      <c r="I597" s="316">
        <v>-11.11664397583068</v>
      </c>
      <c r="J597" s="316">
        <v>-21.483216138218783</v>
      </c>
      <c r="K597" s="316">
        <v>-22.971713822157124</v>
      </c>
      <c r="L597" s="316">
        <v>-23.349875188381066</v>
      </c>
      <c r="M597" s="307" t="s">
        <v>477</v>
      </c>
      <c r="N597" s="307"/>
      <c r="O597" s="307"/>
      <c r="P597" s="313"/>
      <c r="Q597" s="307"/>
      <c r="R597" s="318"/>
      <c r="S597" s="318"/>
      <c r="T597" s="137"/>
      <c r="U597" s="137"/>
      <c r="V597" s="137"/>
      <c r="W597" s="6"/>
      <c r="X597" s="6"/>
      <c r="Y597" s="6"/>
      <c r="Z597" s="6"/>
      <c r="AA597" s="6"/>
      <c r="AB597" s="6"/>
      <c r="AC597" s="6"/>
      <c r="AD597" s="6"/>
    </row>
    <row r="598" spans="1:30" x14ac:dyDescent="0.2">
      <c r="A598" s="307" t="str">
        <v>Annual IA CO2 emissions</v>
      </c>
      <c r="B598" s="307"/>
      <c r="C598" s="316">
        <v>121.49843909165486</v>
      </c>
      <c r="D598" s="316">
        <v>147.70743065618643</v>
      </c>
      <c r="E598" s="316">
        <v>173.91642222071798</v>
      </c>
      <c r="F598" s="316">
        <v>247.59323014514914</v>
      </c>
      <c r="G598" s="316">
        <v>196.18806286264396</v>
      </c>
      <c r="H598" s="316">
        <v>69.019472210728907</v>
      </c>
      <c r="I598" s="316">
        <v>-4.2416627248750132</v>
      </c>
      <c r="J598" s="316">
        <v>-28.947900659031902</v>
      </c>
      <c r="K598" s="316">
        <v>-39.782906896287088</v>
      </c>
      <c r="L598" s="316">
        <v>-40.39395832900405</v>
      </c>
      <c r="M598" s="307" t="s">
        <v>477</v>
      </c>
      <c r="N598" s="307"/>
      <c r="O598" s="307"/>
      <c r="P598" s="313"/>
      <c r="Q598" s="318"/>
      <c r="R598" s="318"/>
      <c r="S598" s="318"/>
      <c r="T598" s="137"/>
      <c r="U598" s="137"/>
      <c r="V598" s="137"/>
      <c r="W598" s="6"/>
      <c r="X598" s="6"/>
      <c r="Y598" s="6"/>
      <c r="Z598" s="6"/>
      <c r="AA598" s="6"/>
      <c r="AB598" s="6"/>
      <c r="AC598" s="6"/>
      <c r="AD598" s="6"/>
    </row>
    <row r="599" spans="1:30" x14ac:dyDescent="0.2">
      <c r="A599" s="307" t="str">
        <v>Annual AF CO2 emissions</v>
      </c>
      <c r="B599" s="307"/>
      <c r="C599" s="316">
        <v>121.31752254253364</v>
      </c>
      <c r="D599" s="316">
        <v>142.01842724554854</v>
      </c>
      <c r="E599" s="316">
        <v>162.71933194856342</v>
      </c>
      <c r="F599" s="316">
        <v>244.20674895241751</v>
      </c>
      <c r="G599" s="316">
        <v>186.66313470289481</v>
      </c>
      <c r="H599" s="316">
        <v>15.073751005559089</v>
      </c>
      <c r="I599" s="316">
        <v>-77.884513789667054</v>
      </c>
      <c r="J599" s="316">
        <v>-115.35374668315585</v>
      </c>
      <c r="K599" s="316">
        <v>-138.96256318513093</v>
      </c>
      <c r="L599" s="316">
        <v>-148.89850757020906</v>
      </c>
      <c r="M599" s="307" t="s">
        <v>477</v>
      </c>
      <c r="N599" s="307"/>
      <c r="O599" s="307"/>
      <c r="P599" s="313"/>
      <c r="Q599" s="318"/>
      <c r="R599" s="318"/>
      <c r="S599" s="318"/>
      <c r="T599" s="137"/>
      <c r="U599" s="137"/>
      <c r="V599" s="137"/>
      <c r="W599" s="6"/>
      <c r="X599" s="6"/>
      <c r="Y599" s="6"/>
      <c r="Z599" s="6"/>
      <c r="AA599" s="6"/>
      <c r="AB599" s="6"/>
      <c r="AC599" s="6"/>
      <c r="AD599" s="6"/>
    </row>
    <row r="600" spans="1:30" x14ac:dyDescent="0.2">
      <c r="A600" s="307" t="str">
        <v>Annual LA CO2 emissions</v>
      </c>
      <c r="B600" s="307"/>
      <c r="C600" s="316">
        <v>117.86191020957818</v>
      </c>
      <c r="D600" s="316">
        <v>142.0573764076326</v>
      </c>
      <c r="E600" s="316">
        <v>166.25284260568705</v>
      </c>
      <c r="F600" s="316">
        <v>221.65671508969282</v>
      </c>
      <c r="G600" s="316">
        <v>169.3358300730259</v>
      </c>
      <c r="H600" s="316">
        <v>24.18227843758276</v>
      </c>
      <c r="I600" s="316">
        <v>-62.052755330589271</v>
      </c>
      <c r="J600" s="316">
        <v>-107.93758436682131</v>
      </c>
      <c r="K600" s="316">
        <v>-121.29281867472653</v>
      </c>
      <c r="L600" s="316">
        <v>-140.5035258496188</v>
      </c>
      <c r="M600" s="307" t="s">
        <v>477</v>
      </c>
      <c r="N600" s="307"/>
      <c r="O600" s="307"/>
      <c r="P600" s="313"/>
      <c r="Q600" s="318"/>
      <c r="R600" s="318"/>
      <c r="S600" s="318"/>
      <c r="T600" s="137"/>
      <c r="U600" s="137"/>
      <c r="V600" s="137"/>
      <c r="W600" s="6"/>
      <c r="X600" s="6"/>
      <c r="Y600" s="6"/>
      <c r="Z600" s="6"/>
      <c r="AA600" s="6"/>
      <c r="AB600" s="6"/>
      <c r="AC600" s="6"/>
      <c r="AD600" s="6"/>
    </row>
    <row r="601" spans="1:30" x14ac:dyDescent="0.2">
      <c r="A601" s="307"/>
      <c r="B601" s="307"/>
      <c r="C601" s="315"/>
      <c r="D601" s="315"/>
      <c r="E601" s="315"/>
      <c r="F601" s="315"/>
      <c r="G601" s="315"/>
      <c r="H601" s="315"/>
      <c r="I601" s="315"/>
      <c r="J601" s="315"/>
      <c r="K601" s="315"/>
      <c r="L601" s="315"/>
      <c r="M601" s="307"/>
      <c r="N601" s="307"/>
      <c r="O601" s="307"/>
      <c r="P601" s="313"/>
      <c r="Q601" s="312"/>
      <c r="R601" s="313"/>
      <c r="S601" s="313"/>
      <c r="T601" s="6"/>
      <c r="U601" s="6"/>
      <c r="V601" s="6"/>
      <c r="W601" s="6"/>
      <c r="X601" s="6"/>
      <c r="Y601" s="6"/>
      <c r="Z601" s="6"/>
      <c r="AA601" s="6"/>
      <c r="AB601" s="6"/>
    </row>
    <row r="602" spans="1:30" x14ac:dyDescent="0.2">
      <c r="A602" s="307" t="str">
        <f t="array" ref="A602:A609">"Annual "&amp;R_CODE&amp;" "&amp;'Base data'!$C$12&amp;" emissions"</f>
        <v>Annual EU CH4 emissions</v>
      </c>
      <c r="B602" s="307"/>
      <c r="C602" s="316">
        <f t="array" ref="C602:L609">RCP26_CH4 * EXTRA_ABATE_FACTOR_COMPOUND</f>
        <v>99.875801476282646</v>
      </c>
      <c r="D602" s="316">
        <v>106.44454520492664</v>
      </c>
      <c r="E602" s="316">
        <v>113.01328893357065</v>
      </c>
      <c r="F602" s="316">
        <v>133.53088191023232</v>
      </c>
      <c r="G602" s="316">
        <v>65.373782669638615</v>
      </c>
      <c r="H602" s="316">
        <v>80.171264690408805</v>
      </c>
      <c r="I602" s="316">
        <v>102.45228282183703</v>
      </c>
      <c r="J602" s="316">
        <v>113.94408831076416</v>
      </c>
      <c r="K602" s="316">
        <v>117.88233361710525</v>
      </c>
      <c r="L602" s="316">
        <v>119.15706979396602</v>
      </c>
      <c r="M602" s="307" t="s">
        <v>477</v>
      </c>
      <c r="N602" s="307"/>
      <c r="O602" s="307"/>
      <c r="P602" s="313"/>
      <c r="Q602" s="312"/>
      <c r="R602" s="313"/>
      <c r="S602" s="313"/>
      <c r="T602" s="6"/>
      <c r="U602" s="6"/>
      <c r="V602" s="6"/>
      <c r="W602" s="6"/>
      <c r="X602" s="6"/>
      <c r="Y602" s="6"/>
      <c r="Z602" s="6"/>
      <c r="AA602" s="6"/>
      <c r="AB602" s="6"/>
    </row>
    <row r="603" spans="1:30" x14ac:dyDescent="0.2">
      <c r="A603" s="307" t="str">
        <v>Annual US CH4 emissions</v>
      </c>
      <c r="B603" s="307"/>
      <c r="C603" s="316">
        <v>95.688690750316368</v>
      </c>
      <c r="D603" s="316">
        <v>103.70907513080405</v>
      </c>
      <c r="E603" s="316">
        <v>111.72945951129175</v>
      </c>
      <c r="F603" s="316">
        <v>132.5640380293141</v>
      </c>
      <c r="G603" s="316">
        <v>57.838997979510481</v>
      </c>
      <c r="H603" s="316">
        <v>62.059243463644108</v>
      </c>
      <c r="I603" s="316">
        <v>62.53024054467204</v>
      </c>
      <c r="J603" s="316">
        <v>77.574410656063236</v>
      </c>
      <c r="K603" s="316">
        <v>92.945638714022635</v>
      </c>
      <c r="L603" s="316">
        <v>96.180704498466213</v>
      </c>
      <c r="M603" s="307" t="s">
        <v>477</v>
      </c>
      <c r="N603" s="307"/>
      <c r="O603" s="307"/>
      <c r="P603" s="313"/>
      <c r="Q603" s="312"/>
      <c r="R603" s="313"/>
      <c r="S603" s="313"/>
      <c r="T603" s="6"/>
      <c r="U603" s="6"/>
      <c r="V603" s="6"/>
      <c r="W603" s="6"/>
      <c r="X603" s="6"/>
      <c r="Y603" s="6"/>
      <c r="Z603" s="6"/>
      <c r="AA603" s="6"/>
      <c r="AB603" s="6"/>
    </row>
    <row r="604" spans="1:30" x14ac:dyDescent="0.2">
      <c r="A604" s="307" t="str">
        <v>Annual OT CH4 emissions</v>
      </c>
      <c r="B604" s="307"/>
      <c r="C604" s="316">
        <v>100.39252828290462</v>
      </c>
      <c r="D604" s="316">
        <v>104.29633808872731</v>
      </c>
      <c r="E604" s="316">
        <v>108.20014789455</v>
      </c>
      <c r="F604" s="316">
        <v>132.52630849713995</v>
      </c>
      <c r="G604" s="316">
        <v>70.907633588651848</v>
      </c>
      <c r="H604" s="316">
        <v>42.366804429764869</v>
      </c>
      <c r="I604" s="316">
        <v>33.613765190964884</v>
      </c>
      <c r="J604" s="316">
        <v>30.126864912712147</v>
      </c>
      <c r="K604" s="316">
        <v>28.350367470923956</v>
      </c>
      <c r="L604" s="316">
        <v>26.603270919845716</v>
      </c>
      <c r="M604" s="307" t="s">
        <v>477</v>
      </c>
      <c r="N604" s="307"/>
      <c r="O604" s="307"/>
      <c r="P604" s="313"/>
      <c r="Q604" s="312"/>
      <c r="R604" s="313"/>
      <c r="S604" s="313"/>
      <c r="T604" s="6"/>
      <c r="U604" s="6"/>
      <c r="V604" s="6"/>
      <c r="W604" s="6"/>
      <c r="X604" s="6"/>
      <c r="Y604" s="6"/>
      <c r="Z604" s="6"/>
      <c r="AA604" s="6"/>
      <c r="AB604" s="6"/>
    </row>
    <row r="605" spans="1:30" x14ac:dyDescent="0.2">
      <c r="A605" s="307" t="str">
        <v>Annual EE CH4 emissions</v>
      </c>
      <c r="B605" s="307"/>
      <c r="C605" s="316">
        <v>102.89655168069585</v>
      </c>
      <c r="D605" s="316">
        <v>107.64619471186782</v>
      </c>
      <c r="E605" s="316">
        <v>112.39583774303978</v>
      </c>
      <c r="F605" s="316">
        <v>130.15654313041583</v>
      </c>
      <c r="G605" s="316">
        <v>56.031809939421947</v>
      </c>
      <c r="H605" s="316">
        <v>31.535248474358067</v>
      </c>
      <c r="I605" s="316">
        <v>30.073757391061051</v>
      </c>
      <c r="J605" s="316">
        <v>27.2932587370859</v>
      </c>
      <c r="K605" s="316">
        <v>25.676379285623881</v>
      </c>
      <c r="L605" s="316">
        <v>22.909917035553477</v>
      </c>
      <c r="M605" s="307" t="s">
        <v>477</v>
      </c>
      <c r="N605" s="307"/>
      <c r="O605" s="307"/>
      <c r="P605" s="313"/>
      <c r="Q605" s="312"/>
      <c r="R605" s="313"/>
      <c r="S605" s="313"/>
      <c r="T605" s="6"/>
      <c r="U605" s="6"/>
      <c r="V605" s="6"/>
      <c r="W605" s="6"/>
      <c r="X605" s="6"/>
      <c r="Y605" s="6"/>
      <c r="Z605" s="6"/>
      <c r="AA605" s="6"/>
      <c r="AB605" s="6"/>
    </row>
    <row r="606" spans="1:30" x14ac:dyDescent="0.2">
      <c r="A606" s="307" t="str">
        <v>Annual CA CH4 emissions</v>
      </c>
      <c r="B606" s="307"/>
      <c r="C606" s="316">
        <v>84.753028617293509</v>
      </c>
      <c r="D606" s="316">
        <v>76.169992778264856</v>
      </c>
      <c r="E606" s="316">
        <v>67.586956939236188</v>
      </c>
      <c r="F606" s="316">
        <v>65.194391665077404</v>
      </c>
      <c r="G606" s="316">
        <v>24.96008567859624</v>
      </c>
      <c r="H606" s="316">
        <v>17.239161113846958</v>
      </c>
      <c r="I606" s="316">
        <v>13.996914674835512</v>
      </c>
      <c r="J606" s="316">
        <v>11.722654282720022</v>
      </c>
      <c r="K606" s="316">
        <v>7.2822417578574266</v>
      </c>
      <c r="L606" s="316">
        <v>6.1480183224812235</v>
      </c>
      <c r="M606" s="307" t="s">
        <v>477</v>
      </c>
      <c r="N606" s="307"/>
      <c r="O606" s="307"/>
      <c r="P606" s="313"/>
      <c r="Q606" s="312"/>
      <c r="R606" s="313"/>
      <c r="S606" s="313"/>
      <c r="T606" s="6"/>
      <c r="U606" s="6"/>
      <c r="V606" s="6"/>
      <c r="W606" s="6"/>
      <c r="X606" s="6"/>
      <c r="Y606" s="6"/>
      <c r="Z606" s="6"/>
      <c r="AA606" s="6"/>
      <c r="AB606" s="6"/>
    </row>
    <row r="607" spans="1:30" x14ac:dyDescent="0.2">
      <c r="A607" s="307" t="str">
        <v>Annual IA CH4 emissions</v>
      </c>
      <c r="B607" s="307"/>
      <c r="C607" s="316">
        <v>99.638985490290764</v>
      </c>
      <c r="D607" s="316">
        <v>101.60711946714721</v>
      </c>
      <c r="E607" s="316">
        <v>103.57525344400366</v>
      </c>
      <c r="F607" s="316">
        <v>109.4344455434327</v>
      </c>
      <c r="G607" s="316">
        <v>47.848310741274865</v>
      </c>
      <c r="H607" s="316">
        <v>37.442718263055809</v>
      </c>
      <c r="I607" s="316">
        <v>35.164307236152879</v>
      </c>
      <c r="J607" s="316">
        <v>27.527982521682169</v>
      </c>
      <c r="K607" s="316">
        <v>21.114930808087287</v>
      </c>
      <c r="L607" s="316">
        <v>17.383767624657718</v>
      </c>
      <c r="M607" s="307" t="s">
        <v>477</v>
      </c>
      <c r="N607" s="307"/>
      <c r="O607" s="307"/>
      <c r="P607" s="313"/>
      <c r="Q607" s="312"/>
      <c r="R607" s="313"/>
      <c r="S607" s="313"/>
      <c r="T607" s="6"/>
      <c r="U607" s="6"/>
      <c r="V607" s="6"/>
      <c r="W607" s="6"/>
      <c r="X607" s="6"/>
      <c r="Y607" s="6"/>
      <c r="Z607" s="6"/>
      <c r="AA607" s="6"/>
      <c r="AB607" s="6"/>
    </row>
    <row r="608" spans="1:30" x14ac:dyDescent="0.2">
      <c r="A608" s="307" t="str">
        <v>Annual AF CH4 emissions</v>
      </c>
      <c r="B608" s="307"/>
      <c r="C608" s="316">
        <v>122.01528518915242</v>
      </c>
      <c r="D608" s="316">
        <v>155.78227878288931</v>
      </c>
      <c r="E608" s="316">
        <v>189.54927237662622</v>
      </c>
      <c r="F608" s="316">
        <v>275.94000656195806</v>
      </c>
      <c r="G608" s="316">
        <v>157.59499641301761</v>
      </c>
      <c r="H608" s="316">
        <v>72.001159080457924</v>
      </c>
      <c r="I608" s="316">
        <v>43.409953385545819</v>
      </c>
      <c r="J608" s="316">
        <v>35.372597666354679</v>
      </c>
      <c r="K608" s="316">
        <v>29.132322025885298</v>
      </c>
      <c r="L608" s="316">
        <v>24.25610054297255</v>
      </c>
      <c r="M608" s="307" t="s">
        <v>477</v>
      </c>
      <c r="N608" s="307"/>
      <c r="O608" s="307"/>
      <c r="P608" s="313"/>
      <c r="Q608" s="312"/>
      <c r="R608" s="313"/>
      <c r="S608" s="313"/>
      <c r="T608" s="6"/>
      <c r="U608" s="6"/>
      <c r="V608" s="6"/>
      <c r="W608" s="6"/>
      <c r="X608" s="6"/>
      <c r="Y608" s="6"/>
      <c r="Z608" s="6"/>
      <c r="AA608" s="6"/>
      <c r="AB608" s="6"/>
    </row>
    <row r="609" spans="1:28" x14ac:dyDescent="0.2">
      <c r="A609" s="307" t="str">
        <v>Annual LA CH4 emissions</v>
      </c>
      <c r="B609" s="307"/>
      <c r="C609" s="316">
        <v>109.86411672565421</v>
      </c>
      <c r="D609" s="316">
        <v>116.13216806842394</v>
      </c>
      <c r="E609" s="316">
        <v>122.40021941119367</v>
      </c>
      <c r="F609" s="316">
        <v>128.71460163163425</v>
      </c>
      <c r="G609" s="316">
        <v>52.919969631994313</v>
      </c>
      <c r="H609" s="316">
        <v>29.525657240297516</v>
      </c>
      <c r="I609" s="316">
        <v>24.015512639953773</v>
      </c>
      <c r="J609" s="316">
        <v>20.149331194567573</v>
      </c>
      <c r="K609" s="316">
        <v>16.423719704343934</v>
      </c>
      <c r="L609" s="316">
        <v>12.883167222436349</v>
      </c>
      <c r="M609" s="307" t="s">
        <v>477</v>
      </c>
      <c r="N609" s="307"/>
      <c r="O609" s="307"/>
      <c r="P609" s="313"/>
      <c r="Q609" s="312"/>
      <c r="R609" s="313"/>
      <c r="S609" s="313"/>
      <c r="T609" s="6"/>
      <c r="U609" s="6"/>
      <c r="V609" s="6"/>
      <c r="W609" s="6"/>
      <c r="X609" s="6"/>
      <c r="Y609" s="6"/>
      <c r="Z609" s="6"/>
      <c r="AA609" s="6"/>
      <c r="AB609" s="6"/>
    </row>
    <row r="610" spans="1:28" x14ac:dyDescent="0.2">
      <c r="A610" s="307"/>
      <c r="B610" s="307"/>
      <c r="C610" s="315"/>
      <c r="D610" s="315"/>
      <c r="E610" s="315"/>
      <c r="F610" s="315"/>
      <c r="G610" s="315"/>
      <c r="H610" s="315"/>
      <c r="I610" s="315"/>
      <c r="J610" s="315"/>
      <c r="K610" s="315"/>
      <c r="L610" s="315"/>
      <c r="M610" s="307"/>
      <c r="N610" s="307"/>
      <c r="O610" s="307"/>
      <c r="P610" s="313"/>
      <c r="Q610" s="312"/>
      <c r="R610" s="313"/>
      <c r="S610" s="313"/>
      <c r="T610" s="6"/>
      <c r="U610" s="6"/>
      <c r="V610" s="6"/>
      <c r="W610" s="6"/>
      <c r="X610" s="6"/>
      <c r="Y610" s="6"/>
      <c r="Z610" s="6"/>
      <c r="AA610" s="6"/>
      <c r="AB610" s="6"/>
    </row>
    <row r="611" spans="1:28" x14ac:dyDescent="0.2">
      <c r="A611" s="307" t="str">
        <f t="array" ref="A611:A618">"Annual "&amp;R_CODE&amp;" "&amp;'Base data'!$D$12&amp;" emissions"</f>
        <v>Annual EU N2O emissions</v>
      </c>
      <c r="B611" s="307"/>
      <c r="C611" s="316">
        <f t="array" ref="C611:L618">RCP26_N2O * EXTRA_ABATE_FACTOR_COMPOUND</f>
        <v>107.63919108759174</v>
      </c>
      <c r="D611" s="316">
        <v>111.83227945915688</v>
      </c>
      <c r="E611" s="316">
        <v>116.02536783072202</v>
      </c>
      <c r="F611" s="316">
        <v>122.75100576642203</v>
      </c>
      <c r="G611" s="316">
        <v>88.975206959298518</v>
      </c>
      <c r="H611" s="316">
        <v>112.0322086024367</v>
      </c>
      <c r="I611" s="316">
        <v>117.15827107032109</v>
      </c>
      <c r="J611" s="316">
        <v>113.1663119266055</v>
      </c>
      <c r="K611" s="316">
        <v>108.62489724770641</v>
      </c>
      <c r="L611" s="316">
        <v>105.36972018348624</v>
      </c>
      <c r="M611" s="307" t="s">
        <v>477</v>
      </c>
      <c r="N611" s="307"/>
      <c r="O611" s="307"/>
      <c r="P611" s="313"/>
      <c r="Q611" s="312"/>
      <c r="R611" s="313"/>
      <c r="S611" s="313"/>
      <c r="T611" s="6"/>
      <c r="U611" s="6"/>
      <c r="V611" s="6"/>
      <c r="W611" s="6"/>
      <c r="X611" s="6"/>
      <c r="Y611" s="6"/>
      <c r="Z611" s="6"/>
      <c r="AA611" s="6"/>
      <c r="AB611" s="6"/>
    </row>
    <row r="612" spans="1:28" x14ac:dyDescent="0.2">
      <c r="A612" s="307" t="str">
        <v>Annual US N2O emissions</v>
      </c>
      <c r="B612" s="307"/>
      <c r="C612" s="316">
        <v>107.63919108759174</v>
      </c>
      <c r="D612" s="316">
        <v>111.83227945915688</v>
      </c>
      <c r="E612" s="316">
        <v>116.02536783072202</v>
      </c>
      <c r="F612" s="316">
        <v>122.75100576642203</v>
      </c>
      <c r="G612" s="316">
        <v>88.975206959298518</v>
      </c>
      <c r="H612" s="316">
        <v>112.0322086024367</v>
      </c>
      <c r="I612" s="316">
        <v>117.15827107032109</v>
      </c>
      <c r="J612" s="316">
        <v>113.1663119266055</v>
      </c>
      <c r="K612" s="316">
        <v>108.62489724770641</v>
      </c>
      <c r="L612" s="316">
        <v>105.36972018348624</v>
      </c>
      <c r="M612" s="307" t="s">
        <v>477</v>
      </c>
      <c r="N612" s="307"/>
      <c r="O612" s="307"/>
      <c r="P612" s="313"/>
      <c r="Q612" s="312"/>
      <c r="R612" s="313"/>
      <c r="S612" s="313"/>
      <c r="T612" s="6"/>
      <c r="U612" s="6"/>
      <c r="V612" s="6"/>
      <c r="W612" s="6"/>
      <c r="X612" s="6"/>
      <c r="Y612" s="6"/>
      <c r="Z612" s="6"/>
      <c r="AA612" s="6"/>
      <c r="AB612" s="6"/>
    </row>
    <row r="613" spans="1:28" x14ac:dyDescent="0.2">
      <c r="A613" s="307" t="str">
        <v>Annual OT N2O emissions</v>
      </c>
      <c r="B613" s="307"/>
      <c r="C613" s="316">
        <v>107.63919108759174</v>
      </c>
      <c r="D613" s="316">
        <v>111.83227945915688</v>
      </c>
      <c r="E613" s="316">
        <v>116.02536783072202</v>
      </c>
      <c r="F613" s="316">
        <v>122.75100576642203</v>
      </c>
      <c r="G613" s="316">
        <v>88.975206959298518</v>
      </c>
      <c r="H613" s="316">
        <v>112.0322086024367</v>
      </c>
      <c r="I613" s="316">
        <v>117.15827107032109</v>
      </c>
      <c r="J613" s="316">
        <v>113.1663119266055</v>
      </c>
      <c r="K613" s="316">
        <v>108.62489724770641</v>
      </c>
      <c r="L613" s="316">
        <v>105.36972018348624</v>
      </c>
      <c r="M613" s="307" t="s">
        <v>477</v>
      </c>
      <c r="N613" s="307"/>
      <c r="O613" s="307"/>
      <c r="P613" s="313"/>
      <c r="Q613" s="312"/>
      <c r="R613" s="313"/>
      <c r="S613" s="313"/>
      <c r="T613" s="6"/>
      <c r="U613" s="6"/>
      <c r="V613" s="6"/>
      <c r="W613" s="6"/>
      <c r="X613" s="6"/>
      <c r="Y613" s="6"/>
      <c r="Z613" s="6"/>
      <c r="AA613" s="6"/>
      <c r="AB613" s="6"/>
    </row>
    <row r="614" spans="1:28" x14ac:dyDescent="0.2">
      <c r="A614" s="307" t="str">
        <v>Annual EE N2O emissions</v>
      </c>
      <c r="B614" s="307"/>
      <c r="C614" s="316">
        <v>107.63919108759174</v>
      </c>
      <c r="D614" s="316">
        <v>111.83227945915688</v>
      </c>
      <c r="E614" s="316">
        <v>116.02536783072202</v>
      </c>
      <c r="F614" s="316">
        <v>122.75100576642203</v>
      </c>
      <c r="G614" s="316">
        <v>88.975206959298518</v>
      </c>
      <c r="H614" s="316">
        <v>112.0322086024367</v>
      </c>
      <c r="I614" s="316">
        <v>117.15827107032109</v>
      </c>
      <c r="J614" s="316">
        <v>113.1663119266055</v>
      </c>
      <c r="K614" s="316">
        <v>108.62489724770641</v>
      </c>
      <c r="L614" s="316">
        <v>105.36972018348624</v>
      </c>
      <c r="M614" s="307" t="s">
        <v>477</v>
      </c>
      <c r="N614" s="307"/>
      <c r="O614" s="307"/>
      <c r="P614" s="313"/>
      <c r="Q614" s="312"/>
      <c r="R614" s="313"/>
      <c r="S614" s="313"/>
      <c r="T614" s="6"/>
      <c r="U614" s="6"/>
      <c r="V614" s="6"/>
      <c r="W614" s="6"/>
      <c r="X614" s="6"/>
      <c r="Y614" s="6"/>
      <c r="Z614" s="6"/>
      <c r="AA614" s="6"/>
      <c r="AB614" s="6"/>
    </row>
    <row r="615" spans="1:28" x14ac:dyDescent="0.2">
      <c r="A615" s="307" t="str">
        <v>Annual CA N2O emissions</v>
      </c>
      <c r="B615" s="307"/>
      <c r="C615" s="316">
        <v>107.63919108759174</v>
      </c>
      <c r="D615" s="316">
        <v>111.83227945915688</v>
      </c>
      <c r="E615" s="316">
        <v>116.02536783072202</v>
      </c>
      <c r="F615" s="316">
        <v>122.75100576642203</v>
      </c>
      <c r="G615" s="316">
        <v>88.975206959298518</v>
      </c>
      <c r="H615" s="316">
        <v>112.0322086024367</v>
      </c>
      <c r="I615" s="316">
        <v>117.15827107032109</v>
      </c>
      <c r="J615" s="316">
        <v>113.1663119266055</v>
      </c>
      <c r="K615" s="316">
        <v>108.62489724770641</v>
      </c>
      <c r="L615" s="316">
        <v>105.36972018348624</v>
      </c>
      <c r="M615" s="307" t="s">
        <v>477</v>
      </c>
      <c r="N615" s="307"/>
      <c r="O615" s="307"/>
      <c r="P615" s="313"/>
      <c r="Q615" s="312"/>
      <c r="R615" s="313"/>
      <c r="S615" s="313"/>
      <c r="T615" s="6"/>
      <c r="U615" s="6"/>
      <c r="V615" s="6"/>
      <c r="W615" s="6"/>
      <c r="X615" s="6"/>
      <c r="Y615" s="6"/>
      <c r="Z615" s="6"/>
      <c r="AA615" s="6"/>
      <c r="AB615" s="6"/>
    </row>
    <row r="616" spans="1:28" x14ac:dyDescent="0.2">
      <c r="A616" s="307" t="str">
        <v>Annual IA N2O emissions</v>
      </c>
      <c r="B616" s="307"/>
      <c r="C616" s="316">
        <v>107.63919108759174</v>
      </c>
      <c r="D616" s="316">
        <v>111.83227945915688</v>
      </c>
      <c r="E616" s="316">
        <v>116.02536783072202</v>
      </c>
      <c r="F616" s="316">
        <v>122.75100576642203</v>
      </c>
      <c r="G616" s="316">
        <v>88.975206959298518</v>
      </c>
      <c r="H616" s="316">
        <v>112.0322086024367</v>
      </c>
      <c r="I616" s="316">
        <v>117.15827107032109</v>
      </c>
      <c r="J616" s="316">
        <v>113.1663119266055</v>
      </c>
      <c r="K616" s="316">
        <v>108.62489724770641</v>
      </c>
      <c r="L616" s="316">
        <v>105.36972018348624</v>
      </c>
      <c r="M616" s="307" t="s">
        <v>477</v>
      </c>
      <c r="N616" s="307"/>
      <c r="O616" s="307"/>
      <c r="P616" s="313"/>
      <c r="Q616" s="312"/>
      <c r="R616" s="313"/>
      <c r="S616" s="313"/>
      <c r="T616" s="6"/>
      <c r="U616" s="6"/>
      <c r="V616" s="6"/>
      <c r="W616" s="6"/>
      <c r="X616" s="6"/>
      <c r="Y616" s="6"/>
      <c r="Z616" s="6"/>
      <c r="AA616" s="6"/>
      <c r="AB616" s="6"/>
    </row>
    <row r="617" spans="1:28" x14ac:dyDescent="0.2">
      <c r="A617" s="307" t="str">
        <v>Annual AF N2O emissions</v>
      </c>
      <c r="B617" s="307"/>
      <c r="C617" s="316">
        <v>107.63919108759174</v>
      </c>
      <c r="D617" s="316">
        <v>111.83227945915688</v>
      </c>
      <c r="E617" s="316">
        <v>116.02536783072202</v>
      </c>
      <c r="F617" s="316">
        <v>122.75100576642203</v>
      </c>
      <c r="G617" s="316">
        <v>88.975206959298518</v>
      </c>
      <c r="H617" s="316">
        <v>112.0322086024367</v>
      </c>
      <c r="I617" s="316">
        <v>117.15827107032109</v>
      </c>
      <c r="J617" s="316">
        <v>113.1663119266055</v>
      </c>
      <c r="K617" s="316">
        <v>108.62489724770641</v>
      </c>
      <c r="L617" s="316">
        <v>105.36972018348624</v>
      </c>
      <c r="M617" s="307" t="s">
        <v>477</v>
      </c>
      <c r="N617" s="307"/>
      <c r="O617" s="307"/>
      <c r="P617" s="313"/>
      <c r="Q617" s="312"/>
      <c r="R617" s="313"/>
      <c r="S617" s="313"/>
      <c r="T617" s="6"/>
      <c r="U617" s="6"/>
      <c r="V617" s="6"/>
      <c r="W617" s="6"/>
      <c r="X617" s="6"/>
      <c r="Y617" s="6"/>
      <c r="Z617" s="6"/>
      <c r="AA617" s="6"/>
      <c r="AB617" s="6"/>
    </row>
    <row r="618" spans="1:28" x14ac:dyDescent="0.2">
      <c r="A618" s="307" t="str">
        <v>Annual LA N2O emissions</v>
      </c>
      <c r="B618" s="307"/>
      <c r="C618" s="316">
        <v>107.63919108759174</v>
      </c>
      <c r="D618" s="316">
        <v>111.83227945915688</v>
      </c>
      <c r="E618" s="316">
        <v>116.02536783072202</v>
      </c>
      <c r="F618" s="316">
        <v>122.75100576642203</v>
      </c>
      <c r="G618" s="316">
        <v>88.975206959298518</v>
      </c>
      <c r="H618" s="316">
        <v>112.0322086024367</v>
      </c>
      <c r="I618" s="316">
        <v>117.15827107032109</v>
      </c>
      <c r="J618" s="316">
        <v>113.1663119266055</v>
      </c>
      <c r="K618" s="316">
        <v>108.62489724770641</v>
      </c>
      <c r="L618" s="316">
        <v>105.36972018348624</v>
      </c>
      <c r="M618" s="307" t="s">
        <v>477</v>
      </c>
      <c r="N618" s="307"/>
      <c r="O618" s="307"/>
      <c r="P618" s="313"/>
      <c r="Q618" s="312"/>
      <c r="R618" s="313"/>
      <c r="S618" s="313"/>
      <c r="T618" s="6"/>
      <c r="U618" s="6"/>
      <c r="V618" s="6"/>
      <c r="W618" s="6"/>
      <c r="X618" s="6"/>
      <c r="Y618" s="6"/>
      <c r="Z618" s="6"/>
      <c r="AA618" s="6"/>
      <c r="AB618" s="6"/>
    </row>
    <row r="619" spans="1:28" x14ac:dyDescent="0.2">
      <c r="A619" s="307"/>
      <c r="B619" s="307"/>
      <c r="C619" s="315"/>
      <c r="D619" s="315"/>
      <c r="E619" s="315"/>
      <c r="F619" s="315"/>
      <c r="G619" s="315"/>
      <c r="H619" s="315"/>
      <c r="I619" s="315"/>
      <c r="J619" s="315"/>
      <c r="K619" s="315"/>
      <c r="L619" s="315"/>
      <c r="M619" s="307"/>
      <c r="N619" s="307"/>
      <c r="O619" s="307"/>
      <c r="P619" s="307"/>
      <c r="Q619" s="312"/>
      <c r="R619" s="307"/>
      <c r="S619" s="307"/>
    </row>
    <row r="620" spans="1:28" x14ac:dyDescent="0.2">
      <c r="A620" s="307" t="str">
        <f t="array" ref="A620:A627">"Annual "&amp;R_CODE&amp;" "&amp;'Base data'!$E$12&amp;" emissions"</f>
        <v>Annual EU Lin emissions</v>
      </c>
      <c r="B620" s="307"/>
      <c r="C620" s="316">
        <f t="array" ref="C620:L627">RCP26_Lin * EXTRA_ABATE_FACTOR_COMPOUND</f>
        <v>123.12461561981884</v>
      </c>
      <c r="D620" s="316">
        <v>127.87774576472447</v>
      </c>
      <c r="E620" s="316">
        <v>132.63087590963011</v>
      </c>
      <c r="F620" s="316">
        <v>137.19476273699667</v>
      </c>
      <c r="G620" s="316">
        <v>81.844233192137963</v>
      </c>
      <c r="H620" s="316">
        <v>10.918165037973296</v>
      </c>
      <c r="I620" s="316">
        <v>10.420168838777277</v>
      </c>
      <c r="J620" s="316">
        <v>10.104184708640975</v>
      </c>
      <c r="K620" s="316">
        <v>9.383084665274815</v>
      </c>
      <c r="L620" s="316">
        <v>8.6517348529388673</v>
      </c>
      <c r="M620" s="307" t="s">
        <v>477</v>
      </c>
      <c r="N620" s="307"/>
      <c r="O620" s="307"/>
      <c r="P620" s="307"/>
      <c r="Q620" s="312"/>
      <c r="R620" s="307"/>
      <c r="S620" s="307"/>
    </row>
    <row r="621" spans="1:28" x14ac:dyDescent="0.2">
      <c r="A621" s="307" t="str">
        <v>Annual US Lin emissions</v>
      </c>
      <c r="B621" s="307"/>
      <c r="C621" s="316">
        <v>123.12461561981884</v>
      </c>
      <c r="D621" s="316">
        <v>127.87774576472447</v>
      </c>
      <c r="E621" s="316">
        <v>132.63087590963011</v>
      </c>
      <c r="F621" s="316">
        <v>137.19476273699667</v>
      </c>
      <c r="G621" s="316">
        <v>81.844233192137963</v>
      </c>
      <c r="H621" s="316">
        <v>10.918165037973296</v>
      </c>
      <c r="I621" s="316">
        <v>10.420168838777277</v>
      </c>
      <c r="J621" s="316">
        <v>10.104184708640975</v>
      </c>
      <c r="K621" s="316">
        <v>9.383084665274815</v>
      </c>
      <c r="L621" s="316">
        <v>8.6517348529388673</v>
      </c>
      <c r="M621" s="307" t="s">
        <v>477</v>
      </c>
      <c r="N621" s="307"/>
      <c r="O621" s="307"/>
      <c r="P621" s="307"/>
      <c r="Q621" s="312"/>
      <c r="R621" s="307"/>
      <c r="S621" s="307"/>
    </row>
    <row r="622" spans="1:28" x14ac:dyDescent="0.2">
      <c r="A622" s="307" t="str">
        <v>Annual OT Lin emissions</v>
      </c>
      <c r="B622" s="307"/>
      <c r="C622" s="316">
        <v>123.12461561981884</v>
      </c>
      <c r="D622" s="316">
        <v>127.87774576472447</v>
      </c>
      <c r="E622" s="316">
        <v>132.63087590963011</v>
      </c>
      <c r="F622" s="316">
        <v>137.19476273699667</v>
      </c>
      <c r="G622" s="316">
        <v>81.844233192137963</v>
      </c>
      <c r="H622" s="316">
        <v>10.918165037973296</v>
      </c>
      <c r="I622" s="316">
        <v>10.420168838777277</v>
      </c>
      <c r="J622" s="316">
        <v>10.104184708640975</v>
      </c>
      <c r="K622" s="316">
        <v>9.383084665274815</v>
      </c>
      <c r="L622" s="316">
        <v>8.6517348529388673</v>
      </c>
      <c r="M622" s="307" t="s">
        <v>477</v>
      </c>
      <c r="N622" s="307"/>
      <c r="O622" s="307"/>
      <c r="P622" s="307"/>
      <c r="Q622" s="310"/>
      <c r="R622" s="307"/>
      <c r="S622" s="307"/>
    </row>
    <row r="623" spans="1:28" x14ac:dyDescent="0.2">
      <c r="A623" s="307" t="str">
        <v>Annual EE Lin emissions</v>
      </c>
      <c r="B623" s="307"/>
      <c r="C623" s="316">
        <v>123.12461561981884</v>
      </c>
      <c r="D623" s="316">
        <v>127.87774576472447</v>
      </c>
      <c r="E623" s="316">
        <v>132.63087590963011</v>
      </c>
      <c r="F623" s="316">
        <v>137.19476273699667</v>
      </c>
      <c r="G623" s="316">
        <v>81.844233192137963</v>
      </c>
      <c r="H623" s="316">
        <v>10.918165037973296</v>
      </c>
      <c r="I623" s="316">
        <v>10.420168838777277</v>
      </c>
      <c r="J623" s="316">
        <v>10.104184708640975</v>
      </c>
      <c r="K623" s="316">
        <v>9.383084665274815</v>
      </c>
      <c r="L623" s="316">
        <v>8.6517348529388673</v>
      </c>
      <c r="M623" s="307" t="s">
        <v>477</v>
      </c>
      <c r="N623" s="307"/>
      <c r="O623" s="307"/>
      <c r="P623" s="307"/>
      <c r="Q623" s="310"/>
      <c r="R623" s="307"/>
      <c r="S623" s="307"/>
    </row>
    <row r="624" spans="1:28" x14ac:dyDescent="0.2">
      <c r="A624" s="307" t="str">
        <v>Annual CA Lin emissions</v>
      </c>
      <c r="B624" s="307"/>
      <c r="C624" s="316">
        <v>123.12461561981884</v>
      </c>
      <c r="D624" s="316">
        <v>127.87774576472447</v>
      </c>
      <c r="E624" s="316">
        <v>132.63087590963011</v>
      </c>
      <c r="F624" s="316">
        <v>137.19476273699667</v>
      </c>
      <c r="G624" s="316">
        <v>81.844233192137963</v>
      </c>
      <c r="H624" s="316">
        <v>10.918165037973296</v>
      </c>
      <c r="I624" s="316">
        <v>10.420168838777277</v>
      </c>
      <c r="J624" s="316">
        <v>10.104184708640975</v>
      </c>
      <c r="K624" s="316">
        <v>9.383084665274815</v>
      </c>
      <c r="L624" s="316">
        <v>8.6517348529388673</v>
      </c>
      <c r="M624" s="307" t="s">
        <v>477</v>
      </c>
      <c r="N624" s="307"/>
      <c r="O624" s="307"/>
      <c r="P624" s="307"/>
      <c r="Q624" s="310"/>
      <c r="R624" s="307"/>
      <c r="S624" s="307"/>
    </row>
    <row r="625" spans="1:19" x14ac:dyDescent="0.2">
      <c r="A625" s="307" t="str">
        <v>Annual IA Lin emissions</v>
      </c>
      <c r="B625" s="307"/>
      <c r="C625" s="316">
        <v>123.12461561981884</v>
      </c>
      <c r="D625" s="316">
        <v>127.87774576472447</v>
      </c>
      <c r="E625" s="316">
        <v>132.63087590963011</v>
      </c>
      <c r="F625" s="316">
        <v>137.19476273699667</v>
      </c>
      <c r="G625" s="316">
        <v>81.844233192137963</v>
      </c>
      <c r="H625" s="316">
        <v>10.918165037973296</v>
      </c>
      <c r="I625" s="316">
        <v>10.420168838777277</v>
      </c>
      <c r="J625" s="316">
        <v>10.104184708640975</v>
      </c>
      <c r="K625" s="316">
        <v>9.383084665274815</v>
      </c>
      <c r="L625" s="316">
        <v>8.6517348529388673</v>
      </c>
      <c r="M625" s="307" t="s">
        <v>477</v>
      </c>
      <c r="N625" s="307"/>
      <c r="O625" s="307"/>
      <c r="P625" s="307"/>
      <c r="Q625" s="310"/>
      <c r="R625" s="307"/>
      <c r="S625" s="307"/>
    </row>
    <row r="626" spans="1:19" x14ac:dyDescent="0.2">
      <c r="A626" s="307" t="str">
        <v>Annual AF Lin emissions</v>
      </c>
      <c r="B626" s="307"/>
      <c r="C626" s="316">
        <v>123.12461561981884</v>
      </c>
      <c r="D626" s="316">
        <v>127.87774576472447</v>
      </c>
      <c r="E626" s="316">
        <v>132.63087590963011</v>
      </c>
      <c r="F626" s="316">
        <v>137.19476273699667</v>
      </c>
      <c r="G626" s="316">
        <v>81.844233192137963</v>
      </c>
      <c r="H626" s="316">
        <v>10.918165037973296</v>
      </c>
      <c r="I626" s="316">
        <v>10.420168838777277</v>
      </c>
      <c r="J626" s="316">
        <v>10.104184708640975</v>
      </c>
      <c r="K626" s="316">
        <v>9.383084665274815</v>
      </c>
      <c r="L626" s="316">
        <v>8.6517348529388673</v>
      </c>
      <c r="M626" s="307" t="s">
        <v>477</v>
      </c>
      <c r="N626" s="307"/>
      <c r="O626" s="307"/>
      <c r="P626" s="307"/>
      <c r="Q626" s="310"/>
      <c r="R626" s="307"/>
      <c r="S626" s="307"/>
    </row>
    <row r="627" spans="1:19" x14ac:dyDescent="0.2">
      <c r="A627" s="307" t="str">
        <v>Annual LA Lin emissions</v>
      </c>
      <c r="B627" s="307"/>
      <c r="C627" s="316">
        <v>123.12461561981884</v>
      </c>
      <c r="D627" s="316">
        <v>127.87774576472447</v>
      </c>
      <c r="E627" s="316">
        <v>132.63087590963011</v>
      </c>
      <c r="F627" s="316">
        <v>137.19476273699667</v>
      </c>
      <c r="G627" s="316">
        <v>81.844233192137963</v>
      </c>
      <c r="H627" s="316">
        <v>10.918165037973296</v>
      </c>
      <c r="I627" s="316">
        <v>10.420168838777277</v>
      </c>
      <c r="J627" s="316">
        <v>10.104184708640975</v>
      </c>
      <c r="K627" s="316">
        <v>9.383084665274815</v>
      </c>
      <c r="L627" s="316">
        <v>8.6517348529388673</v>
      </c>
      <c r="M627" s="307" t="s">
        <v>477</v>
      </c>
      <c r="N627" s="307"/>
      <c r="O627" s="307"/>
      <c r="P627" s="307"/>
      <c r="Q627" s="310"/>
      <c r="R627" s="307"/>
      <c r="S627" s="307"/>
    </row>
    <row r="628" spans="1:19" x14ac:dyDescent="0.2">
      <c r="A628" s="307"/>
      <c r="B628" s="307"/>
      <c r="C628" s="315"/>
      <c r="D628" s="315"/>
      <c r="E628" s="315"/>
      <c r="F628" s="315"/>
      <c r="G628" s="315"/>
      <c r="H628" s="315"/>
      <c r="I628" s="315"/>
      <c r="J628" s="315"/>
      <c r="K628" s="315"/>
      <c r="L628" s="315"/>
      <c r="M628" s="307"/>
      <c r="N628" s="307"/>
      <c r="O628" s="307"/>
      <c r="P628" s="307"/>
      <c r="Q628" s="312"/>
      <c r="R628" s="307"/>
      <c r="S628" s="307"/>
    </row>
    <row r="629" spans="1:19" x14ac:dyDescent="0.2">
      <c r="A629" s="307" t="str">
        <f t="array" ref="A629:A636">"Annual "&amp;R_CODE&amp;" sulphates"</f>
        <v>Annual EU sulphates</v>
      </c>
      <c r="B629" s="307"/>
      <c r="C629" s="316">
        <f t="array" ref="C629:L636">RCP26_sulph * EXTRA_ABATE_FACTOR_COMPOUND</f>
        <v>78.699283577680092</v>
      </c>
      <c r="D629" s="316">
        <v>64.618866024040585</v>
      </c>
      <c r="E629" s="316">
        <v>50.538448470401065</v>
      </c>
      <c r="F629" s="316">
        <v>53.332771046068459</v>
      </c>
      <c r="G629" s="316">
        <v>39.705142692684888</v>
      </c>
      <c r="H629" s="316">
        <v>26.623071899756326</v>
      </c>
      <c r="I629" s="316">
        <v>18.723594496957507</v>
      </c>
      <c r="J629" s="316">
        <v>15.506324520780998</v>
      </c>
      <c r="K629" s="316">
        <v>14.303592862061839</v>
      </c>
      <c r="L629" s="316">
        <v>14.086674366138695</v>
      </c>
      <c r="M629" s="307" t="s">
        <v>477</v>
      </c>
      <c r="N629" s="307"/>
      <c r="O629" s="307"/>
      <c r="P629" s="307"/>
      <c r="Q629" s="312"/>
      <c r="R629" s="307"/>
      <c r="S629" s="307"/>
    </row>
    <row r="630" spans="1:19" x14ac:dyDescent="0.2">
      <c r="A630" s="307" t="str">
        <v>Annual US sulphates</v>
      </c>
      <c r="B630" s="307"/>
      <c r="C630" s="316">
        <v>84.384708242414376</v>
      </c>
      <c r="D630" s="316">
        <v>70.690088468364848</v>
      </c>
      <c r="E630" s="316">
        <v>56.995468694315306</v>
      </c>
      <c r="F630" s="316">
        <v>56.704478130721775</v>
      </c>
      <c r="G630" s="316">
        <v>35.567727316148684</v>
      </c>
      <c r="H630" s="316">
        <v>22.831962972987291</v>
      </c>
      <c r="I630" s="316">
        <v>15.79723463900762</v>
      </c>
      <c r="J630" s="316">
        <v>12.622865059923631</v>
      </c>
      <c r="K630" s="316">
        <v>11.213291531585606</v>
      </c>
      <c r="L630" s="316">
        <v>10.783275215589223</v>
      </c>
      <c r="M630" s="307" t="s">
        <v>477</v>
      </c>
      <c r="N630" s="307"/>
      <c r="O630" s="307"/>
      <c r="P630" s="307"/>
      <c r="Q630" s="312"/>
      <c r="R630" s="307"/>
      <c r="S630" s="307"/>
    </row>
    <row r="631" spans="1:19" x14ac:dyDescent="0.2">
      <c r="A631" s="307" t="str">
        <v>Annual OT sulphates</v>
      </c>
      <c r="B631" s="307"/>
      <c r="C631" s="316">
        <v>75.48124652151968</v>
      </c>
      <c r="D631" s="316">
        <v>60.849967216463455</v>
      </c>
      <c r="E631" s="316">
        <v>46.21868791140723</v>
      </c>
      <c r="F631" s="316">
        <v>38.103122768770341</v>
      </c>
      <c r="G631" s="316">
        <v>25.899886698984016</v>
      </c>
      <c r="H631" s="316">
        <v>22.356938021653992</v>
      </c>
      <c r="I631" s="316">
        <v>19.249544069904083</v>
      </c>
      <c r="J631" s="316">
        <v>17.287376005906427</v>
      </c>
      <c r="K631" s="316">
        <v>16.424259453328329</v>
      </c>
      <c r="L631" s="316">
        <v>15.899308624884622</v>
      </c>
      <c r="M631" s="307" t="s">
        <v>477</v>
      </c>
      <c r="N631" s="307"/>
      <c r="O631" s="307"/>
      <c r="P631" s="307"/>
      <c r="Q631" s="310"/>
      <c r="R631" s="307"/>
      <c r="S631" s="307"/>
    </row>
    <row r="632" spans="1:19" x14ac:dyDescent="0.2">
      <c r="A632" s="307" t="str">
        <v>Annual EE sulphates</v>
      </c>
      <c r="B632" s="307"/>
      <c r="C632" s="316">
        <v>77.70637879471083</v>
      </c>
      <c r="D632" s="316">
        <v>63.416316917438266</v>
      </c>
      <c r="E632" s="316">
        <v>49.126255040165695</v>
      </c>
      <c r="F632" s="316">
        <v>38.513312242322009</v>
      </c>
      <c r="G632" s="316">
        <v>30.308623899008683</v>
      </c>
      <c r="H632" s="316">
        <v>27.047280356102188</v>
      </c>
      <c r="I632" s="316">
        <v>24.129383185366187</v>
      </c>
      <c r="J632" s="316">
        <v>21.809346470946277</v>
      </c>
      <c r="K632" s="316">
        <v>21.48692079360022</v>
      </c>
      <c r="L632" s="316">
        <v>21.14779801102592</v>
      </c>
      <c r="M632" s="307" t="s">
        <v>477</v>
      </c>
      <c r="N632" s="307"/>
      <c r="O632" s="307"/>
      <c r="P632" s="307"/>
      <c r="Q632" s="310"/>
      <c r="R632" s="307"/>
      <c r="S632" s="307"/>
    </row>
    <row r="633" spans="1:19" x14ac:dyDescent="0.2">
      <c r="A633" s="307" t="str">
        <v>Annual CA sulphates</v>
      </c>
      <c r="B633" s="307"/>
      <c r="C633" s="316">
        <v>58.477322691577072</v>
      </c>
      <c r="D633" s="316">
        <v>50.342442180581898</v>
      </c>
      <c r="E633" s="316">
        <v>42.207561669586724</v>
      </c>
      <c r="F633" s="316">
        <v>42.234777395922222</v>
      </c>
      <c r="G633" s="316">
        <v>27.094252326692423</v>
      </c>
      <c r="H633" s="316">
        <v>19.656415541276303</v>
      </c>
      <c r="I633" s="316">
        <v>13.792334025328431</v>
      </c>
      <c r="J633" s="316">
        <v>10.749012056485341</v>
      </c>
      <c r="K633" s="316">
        <v>9.735578679086899</v>
      </c>
      <c r="L633" s="316">
        <v>8.9925671973565269</v>
      </c>
      <c r="M633" s="307" t="s">
        <v>477</v>
      </c>
      <c r="N633" s="307"/>
      <c r="O633" s="307"/>
      <c r="P633" s="307"/>
      <c r="Q633" s="310"/>
      <c r="R633" s="307"/>
      <c r="S633" s="307"/>
    </row>
    <row r="634" spans="1:19" x14ac:dyDescent="0.2">
      <c r="A634" s="307" t="str">
        <v>Annual IA sulphates</v>
      </c>
      <c r="B634" s="307"/>
      <c r="C634" s="316">
        <v>117.44714663219484</v>
      </c>
      <c r="D634" s="316">
        <v>131.19891157757456</v>
      </c>
      <c r="E634" s="316">
        <v>144.9506765229543</v>
      </c>
      <c r="F634" s="316">
        <v>147.39309185923449</v>
      </c>
      <c r="G634" s="316">
        <v>55.867205351210785</v>
      </c>
      <c r="H634" s="316">
        <v>29.144471908466429</v>
      </c>
      <c r="I634" s="316">
        <v>17.141491447259497</v>
      </c>
      <c r="J634" s="316">
        <v>11.725012325298202</v>
      </c>
      <c r="K634" s="316">
        <v>8.8593589867366198</v>
      </c>
      <c r="L634" s="316">
        <v>7.368247866503796</v>
      </c>
      <c r="M634" s="307" t="s">
        <v>477</v>
      </c>
      <c r="N634" s="307"/>
      <c r="O634" s="307"/>
      <c r="P634" s="307"/>
      <c r="Q634" s="310"/>
      <c r="R634" s="307"/>
      <c r="S634" s="307"/>
    </row>
    <row r="635" spans="1:19" x14ac:dyDescent="0.2">
      <c r="A635" s="307" t="str">
        <v>Annual AF sulphates</v>
      </c>
      <c r="B635" s="307"/>
      <c r="C635" s="316">
        <v>81.912360867241247</v>
      </c>
      <c r="D635" s="316">
        <v>70.707811478594323</v>
      </c>
      <c r="E635" s="316">
        <v>59.503262089947405</v>
      </c>
      <c r="F635" s="316">
        <v>65.972140461589476</v>
      </c>
      <c r="G635" s="316">
        <v>41.917608193856935</v>
      </c>
      <c r="H635" s="316">
        <v>32.234315196595034</v>
      </c>
      <c r="I635" s="316">
        <v>26.327619967487013</v>
      </c>
      <c r="J635" s="316">
        <v>21.257679122668879</v>
      </c>
      <c r="K635" s="316">
        <v>18.043641362018725</v>
      </c>
      <c r="L635" s="316">
        <v>17.191830610843812</v>
      </c>
      <c r="M635" s="307" t="s">
        <v>477</v>
      </c>
      <c r="N635" s="307"/>
      <c r="O635" s="307"/>
      <c r="P635" s="307"/>
      <c r="Q635" s="310"/>
      <c r="R635" s="307"/>
      <c r="S635" s="307"/>
    </row>
    <row r="636" spans="1:19" x14ac:dyDescent="0.2">
      <c r="A636" s="307" t="str">
        <v>Annual LA sulphates</v>
      </c>
      <c r="B636" s="307"/>
      <c r="C636" s="316">
        <v>94.750253560799905</v>
      </c>
      <c r="D636" s="316">
        <v>93.945787548332987</v>
      </c>
      <c r="E636" s="316">
        <v>93.141321535866069</v>
      </c>
      <c r="F636" s="316">
        <v>92.3856794191978</v>
      </c>
      <c r="G636" s="316">
        <v>55.450000492424437</v>
      </c>
      <c r="H636" s="316">
        <v>33.556107137779989</v>
      </c>
      <c r="I636" s="316">
        <v>19.022335749212811</v>
      </c>
      <c r="J636" s="316">
        <v>11.711620257176227</v>
      </c>
      <c r="K636" s="316">
        <v>9.6914208349998692</v>
      </c>
      <c r="L636" s="316">
        <v>8.6874528418206687</v>
      </c>
      <c r="M636" s="307" t="s">
        <v>477</v>
      </c>
      <c r="N636" s="307"/>
      <c r="O636" s="307"/>
      <c r="P636" s="307"/>
      <c r="Q636" s="310"/>
      <c r="R636" s="307"/>
      <c r="S636" s="307"/>
    </row>
    <row r="637" spans="1:19" x14ac:dyDescent="0.2">
      <c r="A637" s="307"/>
      <c r="B637" s="307"/>
      <c r="C637" s="307"/>
      <c r="D637" s="307"/>
      <c r="E637" s="307"/>
      <c r="F637" s="307"/>
      <c r="G637" s="307"/>
      <c r="H637" s="307"/>
      <c r="I637" s="307"/>
      <c r="J637" s="307"/>
      <c r="K637" s="307"/>
      <c r="L637" s="307"/>
      <c r="M637" s="307"/>
      <c r="N637" s="307"/>
      <c r="O637" s="307"/>
      <c r="P637" s="307"/>
      <c r="Q637" s="310"/>
      <c r="R637" s="307"/>
      <c r="S637" s="307"/>
    </row>
    <row r="638" spans="1:19" ht="13.5" thickBot="1" x14ac:dyDescent="0.25">
      <c r="A638" s="307" t="s">
        <v>479</v>
      </c>
      <c r="B638" s="307"/>
      <c r="C638" s="311">
        <f t="array" ref="C638:L638" xml:space="preserve"> RCP26_Excess * EXTRA_ABATE_FACTOR_COMPOUND</f>
        <v>0.94169999999999998</v>
      </c>
      <c r="D638" s="311">
        <v>0.89269999999999994</v>
      </c>
      <c r="E638" s="311">
        <v>0.84369999999999989</v>
      </c>
      <c r="F638" s="311">
        <v>0.80619999999999992</v>
      </c>
      <c r="G638" s="311">
        <v>0.55649999999999999</v>
      </c>
      <c r="H638" s="311">
        <v>0.46420000000000006</v>
      </c>
      <c r="I638" s="311">
        <v>0.36930000000000002</v>
      </c>
      <c r="J638" s="311">
        <v>0.28809999999999997</v>
      </c>
      <c r="K638" s="311">
        <v>0.24089999999999998</v>
      </c>
      <c r="L638" s="311">
        <v>0.21779999999999999</v>
      </c>
      <c r="M638" s="307" t="s">
        <v>42</v>
      </c>
      <c r="N638" s="307"/>
      <c r="O638" s="307"/>
      <c r="P638" s="307"/>
      <c r="Q638" s="310"/>
      <c r="R638" s="307"/>
      <c r="S638" s="307"/>
    </row>
    <row r="639" spans="1:19" ht="13.5" thickTop="1" x14ac:dyDescent="0.2">
      <c r="A639" s="307"/>
      <c r="B639" s="307"/>
      <c r="C639" s="307"/>
      <c r="D639" s="307"/>
      <c r="E639" s="307"/>
      <c r="F639" s="307"/>
      <c r="G639" s="307"/>
      <c r="H639" s="307"/>
      <c r="I639" s="307"/>
      <c r="J639" s="307"/>
      <c r="K639" s="307"/>
      <c r="L639" s="307"/>
      <c r="M639" s="307"/>
      <c r="N639" s="307"/>
      <c r="O639" s="307"/>
      <c r="P639" s="307"/>
      <c r="Q639" s="312"/>
      <c r="R639" s="307"/>
      <c r="S639" s="307"/>
    </row>
    <row r="640" spans="1:19" x14ac:dyDescent="0.2">
      <c r="A640" s="307"/>
      <c r="B640" s="307"/>
      <c r="C640" s="307"/>
      <c r="D640" s="307"/>
      <c r="E640" s="307"/>
      <c r="F640" s="307"/>
      <c r="G640" s="307"/>
      <c r="H640" s="307"/>
      <c r="I640" s="307"/>
      <c r="J640" s="307"/>
      <c r="K640" s="307"/>
      <c r="L640" s="307"/>
      <c r="M640" s="307"/>
      <c r="N640" s="307"/>
      <c r="O640" s="307"/>
      <c r="P640" s="307"/>
      <c r="Q640" s="307"/>
      <c r="R640" s="307"/>
      <c r="S640" s="307"/>
    </row>
    <row r="641" spans="1:19" x14ac:dyDescent="0.2">
      <c r="A641" s="306" t="s">
        <v>967</v>
      </c>
      <c r="B641" s="307"/>
      <c r="C641" s="307"/>
      <c r="D641" s="307"/>
      <c r="E641" s="307"/>
      <c r="F641" s="307"/>
      <c r="G641" s="307"/>
      <c r="H641" s="307"/>
      <c r="I641" s="307"/>
      <c r="J641" s="307"/>
      <c r="K641" s="307"/>
      <c r="L641" s="307"/>
      <c r="M641" s="307"/>
      <c r="N641" s="307"/>
      <c r="O641" s="307"/>
      <c r="P641" s="307"/>
      <c r="Q641" s="307"/>
      <c r="R641" s="307"/>
      <c r="S641" s="307"/>
    </row>
    <row r="642" spans="1:19" x14ac:dyDescent="0.2">
      <c r="A642" s="306"/>
      <c r="B642" s="307"/>
      <c r="C642" s="307"/>
      <c r="D642" s="307"/>
      <c r="E642" s="307"/>
      <c r="F642" s="307"/>
      <c r="G642" s="307"/>
      <c r="H642" s="307"/>
      <c r="I642" s="307"/>
      <c r="J642" s="307"/>
      <c r="K642" s="307"/>
      <c r="L642" s="307"/>
      <c r="M642" s="307"/>
      <c r="N642" s="307"/>
      <c r="O642" s="307"/>
      <c r="P642" s="307"/>
      <c r="Q642" s="307"/>
      <c r="R642" s="307"/>
      <c r="S642" s="307"/>
    </row>
    <row r="643" spans="1:19" x14ac:dyDescent="0.2">
      <c r="A643" s="307" t="s">
        <v>511</v>
      </c>
      <c r="B643" s="307"/>
      <c r="C643" s="307">
        <f>Y_0</f>
        <v>2015</v>
      </c>
      <c r="D643" s="307">
        <f t="array" ref="D643:L643">Y</f>
        <v>2020</v>
      </c>
      <c r="E643" s="307">
        <v>2025</v>
      </c>
      <c r="F643" s="307">
        <v>2030</v>
      </c>
      <c r="G643" s="307">
        <v>2040</v>
      </c>
      <c r="H643" s="307">
        <v>2050</v>
      </c>
      <c r="I643" s="307">
        <v>2060</v>
      </c>
      <c r="J643" s="307">
        <v>2070</v>
      </c>
      <c r="K643" s="307">
        <v>2080</v>
      </c>
      <c r="L643" s="307">
        <v>2090</v>
      </c>
      <c r="M643" s="307"/>
      <c r="N643" s="307"/>
      <c r="O643" s="307"/>
      <c r="P643" s="307"/>
      <c r="Q643" s="307"/>
      <c r="R643" s="307"/>
      <c r="S643" s="307"/>
    </row>
    <row r="644" spans="1:19" x14ac:dyDescent="0.2">
      <c r="A644" s="307" t="s">
        <v>512</v>
      </c>
      <c r="B644" s="307"/>
      <c r="C644" s="307">
        <f t="array" ref="C644:L644">Y</f>
        <v>2020</v>
      </c>
      <c r="D644" s="307">
        <v>2025</v>
      </c>
      <c r="E644" s="307">
        <v>2030</v>
      </c>
      <c r="F644" s="307">
        <v>2040</v>
      </c>
      <c r="G644" s="307">
        <v>2050</v>
      </c>
      <c r="H644" s="307">
        <v>2060</v>
      </c>
      <c r="I644" s="307">
        <v>2070</v>
      </c>
      <c r="J644" s="307">
        <v>2080</v>
      </c>
      <c r="K644" s="307">
        <v>2090</v>
      </c>
      <c r="L644" s="307">
        <v>2100</v>
      </c>
      <c r="M644" s="307"/>
      <c r="N644" s="307"/>
      <c r="O644" s="307"/>
      <c r="P644" s="307"/>
      <c r="Q644" s="307"/>
      <c r="R644" s="307"/>
      <c r="S644" s="307"/>
    </row>
    <row r="645" spans="1:19" x14ac:dyDescent="0.2">
      <c r="A645" s="307" t="s">
        <v>513</v>
      </c>
      <c r="B645" s="307"/>
      <c r="C645" s="307">
        <f t="array" ref="C645:L645">YP</f>
        <v>5</v>
      </c>
      <c r="D645" s="307">
        <v>5</v>
      </c>
      <c r="E645" s="307">
        <v>5</v>
      </c>
      <c r="F645" s="307">
        <v>10</v>
      </c>
      <c r="G645" s="307">
        <v>10</v>
      </c>
      <c r="H645" s="307">
        <v>10</v>
      </c>
      <c r="I645" s="307">
        <v>10</v>
      </c>
      <c r="J645" s="307">
        <v>10</v>
      </c>
      <c r="K645" s="307">
        <v>10</v>
      </c>
      <c r="L645" s="307">
        <v>10</v>
      </c>
      <c r="M645" s="307"/>
      <c r="N645" s="307"/>
      <c r="O645" s="307"/>
      <c r="P645" s="307"/>
      <c r="Q645" s="307"/>
      <c r="R645" s="307"/>
      <c r="S645" s="307"/>
    </row>
    <row r="646" spans="1:19" x14ac:dyDescent="0.2">
      <c r="A646" s="307" t="s">
        <v>509</v>
      </c>
      <c r="B646" s="307"/>
      <c r="C646" s="314">
        <f t="array" ref="C646:L646" xml:space="preserve"> IF(Y &lt;= EXTRA_ABATE_START, 1, IF(Y &lt;= EXTRA_ABATE_END, (1-EXTRA_ABATE_RATE_B/100)^YP, 1) )</f>
        <v>1</v>
      </c>
      <c r="D646" s="314">
        <v>1</v>
      </c>
      <c r="E646" s="314">
        <v>1</v>
      </c>
      <c r="F646" s="314">
        <v>1</v>
      </c>
      <c r="G646" s="314">
        <v>1</v>
      </c>
      <c r="H646" s="314">
        <v>1</v>
      </c>
      <c r="I646" s="314">
        <v>1</v>
      </c>
      <c r="J646" s="314">
        <v>1</v>
      </c>
      <c r="K646" s="314">
        <v>1</v>
      </c>
      <c r="L646" s="314">
        <v>1</v>
      </c>
      <c r="M646" s="307" t="s">
        <v>504</v>
      </c>
      <c r="N646" s="307"/>
      <c r="O646" s="307"/>
      <c r="P646" s="307"/>
      <c r="Q646" s="307"/>
      <c r="R646" s="307"/>
      <c r="S646" s="307"/>
    </row>
    <row r="647" spans="1:19" x14ac:dyDescent="0.2">
      <c r="A647" s="307" t="s">
        <v>514</v>
      </c>
      <c r="B647" s="307"/>
      <c r="C647" s="314">
        <f>EXTRA_ABATE_FACTOR_PERIOD_1_B</f>
        <v>1</v>
      </c>
      <c r="D647" s="314">
        <f t="array" ref="D647:L647">EXTRA_ABATE_FACTOR_COMPOUND_B * EXTRA_ABATE_FACTOR_PERIOD_NOT_1_B</f>
        <v>1</v>
      </c>
      <c r="E647" s="314">
        <v>1</v>
      </c>
      <c r="F647" s="314">
        <v>1</v>
      </c>
      <c r="G647" s="314">
        <v>1</v>
      </c>
      <c r="H647" s="314">
        <v>1</v>
      </c>
      <c r="I647" s="314">
        <v>1</v>
      </c>
      <c r="J647" s="314">
        <v>1</v>
      </c>
      <c r="K647" s="314">
        <v>1</v>
      </c>
      <c r="L647" s="314">
        <v>1</v>
      </c>
      <c r="M647" s="307" t="s">
        <v>504</v>
      </c>
      <c r="N647" s="307"/>
      <c r="O647" s="307"/>
      <c r="P647" s="307"/>
      <c r="Q647" s="307"/>
      <c r="R647" s="307"/>
      <c r="S647" s="307"/>
    </row>
    <row r="648" spans="1:19" x14ac:dyDescent="0.2">
      <c r="A648" s="307"/>
      <c r="B648" s="307"/>
      <c r="C648" s="315"/>
      <c r="D648" s="315"/>
      <c r="E648" s="315"/>
      <c r="F648" s="315"/>
      <c r="G648" s="315"/>
      <c r="H648" s="315"/>
      <c r="I648" s="315"/>
      <c r="J648" s="315"/>
      <c r="K648" s="315"/>
      <c r="L648" s="315"/>
      <c r="M648" s="307"/>
      <c r="N648" s="307"/>
      <c r="O648" s="307"/>
      <c r="P648" s="307"/>
      <c r="Q648" s="307"/>
      <c r="R648" s="307"/>
      <c r="S648" s="307"/>
    </row>
    <row r="649" spans="1:19" x14ac:dyDescent="0.2">
      <c r="A649" s="307" t="str">
        <f t="array" ref="A649:A656">"Annual "&amp;R_CODE&amp;" "&amp;'Base data'!$B$12&amp;" emissions"</f>
        <v>Annual EU CO2 emissions</v>
      </c>
      <c r="B649" s="307"/>
      <c r="C649" s="316">
        <f t="array" ref="C649:L656" xml:space="preserve"> (RCP26_CO2 - RCP26_CO2_2100) * EXTRA_ABATE_FACTOR_COMPOUND_B + RCP26_CO2_2100</f>
        <v>107.20490184978931</v>
      </c>
      <c r="D649" s="316">
        <v>115.14885338478642</v>
      </c>
      <c r="E649" s="316">
        <v>123.09280491978353</v>
      </c>
      <c r="F649" s="316">
        <v>146.76892454566476</v>
      </c>
      <c r="G649" s="316">
        <v>109.34432453127907</v>
      </c>
      <c r="H649" s="316">
        <v>27.79838331722198</v>
      </c>
      <c r="I649" s="316">
        <v>-20.860229932661337</v>
      </c>
      <c r="J649" s="316">
        <v>-37.892958066302626</v>
      </c>
      <c r="K649" s="316">
        <v>-47.051397300711969</v>
      </c>
      <c r="L649" s="316">
        <v>-49.237525154831843</v>
      </c>
      <c r="M649" s="307" t="s">
        <v>477</v>
      </c>
      <c r="N649" s="307"/>
      <c r="O649" s="307"/>
      <c r="P649" s="307"/>
      <c r="Q649" s="307"/>
      <c r="R649" s="307"/>
      <c r="S649" s="307"/>
    </row>
    <row r="650" spans="1:19" x14ac:dyDescent="0.2">
      <c r="A650" s="307" t="str">
        <v>Annual US CO2 emissions</v>
      </c>
      <c r="B650" s="307"/>
      <c r="C650" s="316">
        <v>106.62881982252256</v>
      </c>
      <c r="D650" s="316">
        <v>122.44446615330868</v>
      </c>
      <c r="E650" s="316">
        <v>138.2601124840948</v>
      </c>
      <c r="F650" s="316">
        <v>172.04080704492984</v>
      </c>
      <c r="G650" s="316">
        <v>121.70061577261383</v>
      </c>
      <c r="H650" s="316">
        <v>15.280574946805919</v>
      </c>
      <c r="I650" s="316">
        <v>-41.850001764128471</v>
      </c>
      <c r="J650" s="316">
        <v>-61.166474380061793</v>
      </c>
      <c r="K650" s="316">
        <v>-64.56498121356131</v>
      </c>
      <c r="L650" s="316">
        <v>-64.244990741894554</v>
      </c>
      <c r="M650" s="307" t="s">
        <v>477</v>
      </c>
      <c r="N650" s="307"/>
      <c r="O650" s="307"/>
      <c r="P650" s="307"/>
      <c r="Q650" s="307"/>
      <c r="R650" s="307"/>
      <c r="S650" s="307"/>
    </row>
    <row r="651" spans="1:19" x14ac:dyDescent="0.2">
      <c r="A651" s="307" t="str">
        <v>Annual OT CO2 emissions</v>
      </c>
      <c r="B651" s="307"/>
      <c r="C651" s="316">
        <v>107.20490184978931</v>
      </c>
      <c r="D651" s="316">
        <v>115.14885338478642</v>
      </c>
      <c r="E651" s="316">
        <v>123.09280491978353</v>
      </c>
      <c r="F651" s="316">
        <v>146.76892454566476</v>
      </c>
      <c r="G651" s="316">
        <v>109.34432453127907</v>
      </c>
      <c r="H651" s="316">
        <v>27.79838331722198</v>
      </c>
      <c r="I651" s="316">
        <v>-20.860229932661337</v>
      </c>
      <c r="J651" s="316">
        <v>-37.892958066302626</v>
      </c>
      <c r="K651" s="316">
        <v>-47.051397300711969</v>
      </c>
      <c r="L651" s="316">
        <v>-49.237525154831843</v>
      </c>
      <c r="M651" s="307" t="s">
        <v>477</v>
      </c>
      <c r="N651" s="307"/>
      <c r="O651" s="307"/>
      <c r="P651" s="307"/>
      <c r="Q651" s="307"/>
      <c r="R651" s="307"/>
      <c r="S651" s="307"/>
    </row>
    <row r="652" spans="1:19" x14ac:dyDescent="0.2">
      <c r="A652" s="307" t="str">
        <v>Annual EE CO2 emissions</v>
      </c>
      <c r="B652" s="307"/>
      <c r="C652" s="316">
        <v>105.49656700523605</v>
      </c>
      <c r="D652" s="316">
        <v>113.59984065280275</v>
      </c>
      <c r="E652" s="316">
        <v>121.70311430036946</v>
      </c>
      <c r="F652" s="316">
        <v>149.49618165580483</v>
      </c>
      <c r="G652" s="316">
        <v>90.757515398788939</v>
      </c>
      <c r="H652" s="316">
        <v>-4.7394508423443469</v>
      </c>
      <c r="I652" s="316">
        <v>-46.757683772189047</v>
      </c>
      <c r="J652" s="316">
        <v>-56.176786862708845</v>
      </c>
      <c r="K652" s="316">
        <v>-58.257370024848093</v>
      </c>
      <c r="L652" s="316">
        <v>-58.752509327799572</v>
      </c>
      <c r="M652" s="307" t="s">
        <v>477</v>
      </c>
      <c r="N652" s="307"/>
      <c r="O652" s="307"/>
      <c r="P652" s="307"/>
      <c r="Q652" s="307"/>
      <c r="R652" s="307"/>
      <c r="S652" s="307"/>
    </row>
    <row r="653" spans="1:19" x14ac:dyDescent="0.2">
      <c r="A653" s="307" t="str">
        <v>Annual CA CO2 emissions</v>
      </c>
      <c r="B653" s="307"/>
      <c r="C653" s="316">
        <v>108.63173056885</v>
      </c>
      <c r="D653" s="316">
        <v>121.18295083959941</v>
      </c>
      <c r="E653" s="316">
        <v>133.73417111034883</v>
      </c>
      <c r="F653" s="316">
        <v>158.19260350872742</v>
      </c>
      <c r="G653" s="316">
        <v>101.74675680684209</v>
      </c>
      <c r="H653" s="316">
        <v>26.184763125271015</v>
      </c>
      <c r="I653" s="316">
        <v>-11.11664397583068</v>
      </c>
      <c r="J653" s="316">
        <v>-21.483216138218783</v>
      </c>
      <c r="K653" s="316">
        <v>-22.971713822157124</v>
      </c>
      <c r="L653" s="316">
        <v>-23.349875188381066</v>
      </c>
      <c r="M653" s="307" t="s">
        <v>477</v>
      </c>
      <c r="N653" s="307"/>
      <c r="O653" s="307"/>
      <c r="P653" s="307"/>
      <c r="Q653" s="307"/>
      <c r="R653" s="307"/>
      <c r="S653" s="307"/>
    </row>
    <row r="654" spans="1:19" x14ac:dyDescent="0.2">
      <c r="A654" s="307" t="str">
        <v>Annual IA CO2 emissions</v>
      </c>
      <c r="B654" s="307"/>
      <c r="C654" s="316">
        <v>121.49843909165486</v>
      </c>
      <c r="D654" s="316">
        <v>147.70743065618643</v>
      </c>
      <c r="E654" s="316">
        <v>173.91642222071798</v>
      </c>
      <c r="F654" s="316">
        <v>247.59323014514914</v>
      </c>
      <c r="G654" s="316">
        <v>196.18806286264396</v>
      </c>
      <c r="H654" s="316">
        <v>69.019472210728907</v>
      </c>
      <c r="I654" s="316">
        <v>-4.2416627248750132</v>
      </c>
      <c r="J654" s="316">
        <v>-28.947900659031902</v>
      </c>
      <c r="K654" s="316">
        <v>-39.782906896287088</v>
      </c>
      <c r="L654" s="316">
        <v>-40.39395832900405</v>
      </c>
      <c r="M654" s="307" t="s">
        <v>477</v>
      </c>
      <c r="N654" s="307"/>
      <c r="O654" s="307"/>
      <c r="P654" s="307"/>
      <c r="Q654" s="307"/>
      <c r="R654" s="307"/>
      <c r="S654" s="307"/>
    </row>
    <row r="655" spans="1:19" x14ac:dyDescent="0.2">
      <c r="A655" s="307" t="str">
        <v>Annual AF CO2 emissions</v>
      </c>
      <c r="B655" s="307"/>
      <c r="C655" s="316">
        <v>121.31752254253364</v>
      </c>
      <c r="D655" s="316">
        <v>142.01842724554854</v>
      </c>
      <c r="E655" s="316">
        <v>162.71933194856342</v>
      </c>
      <c r="F655" s="316">
        <v>244.20674895241751</v>
      </c>
      <c r="G655" s="316">
        <v>186.66313470289481</v>
      </c>
      <c r="H655" s="316">
        <v>15.073751005559089</v>
      </c>
      <c r="I655" s="316">
        <v>-77.884513789667054</v>
      </c>
      <c r="J655" s="316">
        <v>-115.35374668315585</v>
      </c>
      <c r="K655" s="316">
        <v>-138.96256318513093</v>
      </c>
      <c r="L655" s="316">
        <v>-148.89850757020906</v>
      </c>
      <c r="M655" s="307" t="s">
        <v>477</v>
      </c>
      <c r="N655" s="307"/>
      <c r="O655" s="307"/>
      <c r="P655" s="307"/>
      <c r="Q655" s="307"/>
      <c r="R655" s="307"/>
      <c r="S655" s="307"/>
    </row>
    <row r="656" spans="1:19" x14ac:dyDescent="0.2">
      <c r="A656" s="307" t="str">
        <v>Annual LA CO2 emissions</v>
      </c>
      <c r="B656" s="307"/>
      <c r="C656" s="316">
        <v>117.86191020957818</v>
      </c>
      <c r="D656" s="316">
        <v>142.0573764076326</v>
      </c>
      <c r="E656" s="316">
        <v>166.25284260568705</v>
      </c>
      <c r="F656" s="316">
        <v>221.65671508969282</v>
      </c>
      <c r="G656" s="316">
        <v>169.3358300730259</v>
      </c>
      <c r="H656" s="316">
        <v>24.18227843758276</v>
      </c>
      <c r="I656" s="316">
        <v>-62.052755330589271</v>
      </c>
      <c r="J656" s="316">
        <v>-107.93758436682131</v>
      </c>
      <c r="K656" s="316">
        <v>-121.29281867472653</v>
      </c>
      <c r="L656" s="316">
        <v>-140.5035258496188</v>
      </c>
      <c r="M656" s="307" t="s">
        <v>477</v>
      </c>
      <c r="N656" s="307"/>
      <c r="O656" s="307"/>
      <c r="P656" s="307"/>
      <c r="Q656" s="307"/>
      <c r="R656" s="307"/>
      <c r="S656" s="307"/>
    </row>
    <row r="657" spans="1:19" x14ac:dyDescent="0.2">
      <c r="A657" s="307"/>
      <c r="B657" s="307"/>
      <c r="C657" s="315"/>
      <c r="D657" s="315"/>
      <c r="E657" s="315"/>
      <c r="F657" s="315"/>
      <c r="G657" s="315"/>
      <c r="H657" s="315"/>
      <c r="I657" s="315"/>
      <c r="J657" s="315"/>
      <c r="K657" s="315"/>
      <c r="L657" s="315"/>
      <c r="M657" s="307"/>
      <c r="N657" s="307"/>
      <c r="O657" s="307"/>
      <c r="P657" s="307"/>
      <c r="Q657" s="307"/>
      <c r="R657" s="307"/>
      <c r="S657" s="307"/>
    </row>
    <row r="658" spans="1:19" x14ac:dyDescent="0.2">
      <c r="A658" s="307" t="str">
        <f t="array" ref="A658:A665">"Annual "&amp;R_CODE&amp;" "&amp;'Base data'!$C$12&amp;" emissions"</f>
        <v>Annual EU CH4 emissions</v>
      </c>
      <c r="B658" s="307"/>
      <c r="C658" s="316">
        <f t="array" ref="C658:L665">RCP26_CH4 * EXTRA_ABATE_FACTOR_COMPOUND_B</f>
        <v>99.875801476282646</v>
      </c>
      <c r="D658" s="316">
        <v>106.44454520492664</v>
      </c>
      <c r="E658" s="316">
        <v>113.01328893357065</v>
      </c>
      <c r="F658" s="316">
        <v>133.53088191023232</v>
      </c>
      <c r="G658" s="316">
        <v>65.373782669638615</v>
      </c>
      <c r="H658" s="316">
        <v>80.171264690408805</v>
      </c>
      <c r="I658" s="316">
        <v>102.45228282183703</v>
      </c>
      <c r="J658" s="316">
        <v>113.94408831076416</v>
      </c>
      <c r="K658" s="316">
        <v>117.88233361710525</v>
      </c>
      <c r="L658" s="316">
        <v>119.15706979396602</v>
      </c>
      <c r="M658" s="307" t="s">
        <v>477</v>
      </c>
      <c r="N658" s="307"/>
      <c r="O658" s="307"/>
      <c r="P658" s="307"/>
      <c r="Q658" s="307"/>
      <c r="R658" s="307"/>
      <c r="S658" s="307"/>
    </row>
    <row r="659" spans="1:19" x14ac:dyDescent="0.2">
      <c r="A659" s="307" t="str">
        <v>Annual US CH4 emissions</v>
      </c>
      <c r="B659" s="307"/>
      <c r="C659" s="316">
        <v>95.688690750316368</v>
      </c>
      <c r="D659" s="316">
        <v>103.70907513080405</v>
      </c>
      <c r="E659" s="316">
        <v>111.72945951129175</v>
      </c>
      <c r="F659" s="316">
        <v>132.5640380293141</v>
      </c>
      <c r="G659" s="316">
        <v>57.838997979510481</v>
      </c>
      <c r="H659" s="316">
        <v>62.059243463644108</v>
      </c>
      <c r="I659" s="316">
        <v>62.53024054467204</v>
      </c>
      <c r="J659" s="316">
        <v>77.574410656063236</v>
      </c>
      <c r="K659" s="316">
        <v>92.945638714022635</v>
      </c>
      <c r="L659" s="316">
        <v>96.180704498466213</v>
      </c>
      <c r="M659" s="307" t="s">
        <v>477</v>
      </c>
      <c r="N659" s="307"/>
      <c r="O659" s="307"/>
      <c r="P659" s="307"/>
      <c r="Q659" s="307"/>
      <c r="R659" s="307"/>
      <c r="S659" s="307"/>
    </row>
    <row r="660" spans="1:19" x14ac:dyDescent="0.2">
      <c r="A660" s="307" t="str">
        <v>Annual OT CH4 emissions</v>
      </c>
      <c r="B660" s="307"/>
      <c r="C660" s="316">
        <v>100.39252828290462</v>
      </c>
      <c r="D660" s="316">
        <v>104.29633808872731</v>
      </c>
      <c r="E660" s="316">
        <v>108.20014789455</v>
      </c>
      <c r="F660" s="316">
        <v>132.52630849713995</v>
      </c>
      <c r="G660" s="316">
        <v>70.907633588651848</v>
      </c>
      <c r="H660" s="316">
        <v>42.366804429764869</v>
      </c>
      <c r="I660" s="316">
        <v>33.613765190964884</v>
      </c>
      <c r="J660" s="316">
        <v>30.126864912712147</v>
      </c>
      <c r="K660" s="316">
        <v>28.350367470923956</v>
      </c>
      <c r="L660" s="316">
        <v>26.603270919845716</v>
      </c>
      <c r="M660" s="307" t="s">
        <v>477</v>
      </c>
      <c r="N660" s="307"/>
      <c r="O660" s="307"/>
      <c r="P660" s="307"/>
      <c r="Q660" s="307"/>
      <c r="R660" s="307"/>
      <c r="S660" s="307"/>
    </row>
    <row r="661" spans="1:19" x14ac:dyDescent="0.2">
      <c r="A661" s="307" t="str">
        <v>Annual EE CH4 emissions</v>
      </c>
      <c r="B661" s="307"/>
      <c r="C661" s="316">
        <v>102.89655168069585</v>
      </c>
      <c r="D661" s="316">
        <v>107.64619471186782</v>
      </c>
      <c r="E661" s="316">
        <v>112.39583774303978</v>
      </c>
      <c r="F661" s="316">
        <v>130.15654313041583</v>
      </c>
      <c r="G661" s="316">
        <v>56.031809939421947</v>
      </c>
      <c r="H661" s="316">
        <v>31.535248474358067</v>
      </c>
      <c r="I661" s="316">
        <v>30.073757391061051</v>
      </c>
      <c r="J661" s="316">
        <v>27.2932587370859</v>
      </c>
      <c r="K661" s="316">
        <v>25.676379285623881</v>
      </c>
      <c r="L661" s="316">
        <v>22.909917035553477</v>
      </c>
      <c r="M661" s="307" t="s">
        <v>477</v>
      </c>
      <c r="N661" s="307"/>
      <c r="O661" s="307"/>
      <c r="P661" s="307"/>
      <c r="Q661" s="307"/>
      <c r="R661" s="307"/>
      <c r="S661" s="307"/>
    </row>
    <row r="662" spans="1:19" x14ac:dyDescent="0.2">
      <c r="A662" s="307" t="str">
        <v>Annual CA CH4 emissions</v>
      </c>
      <c r="B662" s="307"/>
      <c r="C662" s="316">
        <v>84.753028617293509</v>
      </c>
      <c r="D662" s="316">
        <v>76.169992778264856</v>
      </c>
      <c r="E662" s="316">
        <v>67.586956939236188</v>
      </c>
      <c r="F662" s="316">
        <v>65.194391665077404</v>
      </c>
      <c r="G662" s="316">
        <v>24.96008567859624</v>
      </c>
      <c r="H662" s="316">
        <v>17.239161113846958</v>
      </c>
      <c r="I662" s="316">
        <v>13.996914674835512</v>
      </c>
      <c r="J662" s="316">
        <v>11.722654282720022</v>
      </c>
      <c r="K662" s="316">
        <v>7.2822417578574266</v>
      </c>
      <c r="L662" s="316">
        <v>6.1480183224812235</v>
      </c>
      <c r="M662" s="307" t="s">
        <v>477</v>
      </c>
      <c r="N662" s="307"/>
      <c r="O662" s="307"/>
      <c r="P662" s="307"/>
      <c r="Q662" s="307"/>
      <c r="R662" s="307"/>
      <c r="S662" s="307"/>
    </row>
    <row r="663" spans="1:19" x14ac:dyDescent="0.2">
      <c r="A663" s="307" t="str">
        <v>Annual IA CH4 emissions</v>
      </c>
      <c r="B663" s="307"/>
      <c r="C663" s="316">
        <v>99.638985490290764</v>
      </c>
      <c r="D663" s="316">
        <v>101.60711946714721</v>
      </c>
      <c r="E663" s="316">
        <v>103.57525344400366</v>
      </c>
      <c r="F663" s="316">
        <v>109.4344455434327</v>
      </c>
      <c r="G663" s="316">
        <v>47.848310741274865</v>
      </c>
      <c r="H663" s="316">
        <v>37.442718263055809</v>
      </c>
      <c r="I663" s="316">
        <v>35.164307236152879</v>
      </c>
      <c r="J663" s="316">
        <v>27.527982521682169</v>
      </c>
      <c r="K663" s="316">
        <v>21.114930808087287</v>
      </c>
      <c r="L663" s="316">
        <v>17.383767624657718</v>
      </c>
      <c r="M663" s="307" t="s">
        <v>477</v>
      </c>
      <c r="N663" s="307"/>
      <c r="O663" s="307"/>
      <c r="P663" s="307"/>
      <c r="Q663" s="307"/>
      <c r="R663" s="307"/>
      <c r="S663" s="307"/>
    </row>
    <row r="664" spans="1:19" x14ac:dyDescent="0.2">
      <c r="A664" s="307" t="str">
        <v>Annual AF CH4 emissions</v>
      </c>
      <c r="B664" s="307"/>
      <c r="C664" s="316">
        <v>122.01528518915242</v>
      </c>
      <c r="D664" s="316">
        <v>155.78227878288931</v>
      </c>
      <c r="E664" s="316">
        <v>189.54927237662622</v>
      </c>
      <c r="F664" s="316">
        <v>275.94000656195806</v>
      </c>
      <c r="G664" s="316">
        <v>157.59499641301761</v>
      </c>
      <c r="H664" s="316">
        <v>72.001159080457924</v>
      </c>
      <c r="I664" s="316">
        <v>43.409953385545819</v>
      </c>
      <c r="J664" s="316">
        <v>35.372597666354679</v>
      </c>
      <c r="K664" s="316">
        <v>29.132322025885298</v>
      </c>
      <c r="L664" s="316">
        <v>24.25610054297255</v>
      </c>
      <c r="M664" s="307" t="s">
        <v>477</v>
      </c>
      <c r="N664" s="307"/>
      <c r="O664" s="307"/>
      <c r="P664" s="307"/>
      <c r="Q664" s="307"/>
      <c r="R664" s="307"/>
      <c r="S664" s="307"/>
    </row>
    <row r="665" spans="1:19" x14ac:dyDescent="0.2">
      <c r="A665" s="307" t="str">
        <v>Annual LA CH4 emissions</v>
      </c>
      <c r="B665" s="307"/>
      <c r="C665" s="316">
        <v>109.86411672565421</v>
      </c>
      <c r="D665" s="316">
        <v>116.13216806842394</v>
      </c>
      <c r="E665" s="316">
        <v>122.40021941119367</v>
      </c>
      <c r="F665" s="316">
        <v>128.71460163163425</v>
      </c>
      <c r="G665" s="316">
        <v>52.919969631994313</v>
      </c>
      <c r="H665" s="316">
        <v>29.525657240297516</v>
      </c>
      <c r="I665" s="316">
        <v>24.015512639953773</v>
      </c>
      <c r="J665" s="316">
        <v>20.149331194567573</v>
      </c>
      <c r="K665" s="316">
        <v>16.423719704343934</v>
      </c>
      <c r="L665" s="316">
        <v>12.883167222436349</v>
      </c>
      <c r="M665" s="307" t="s">
        <v>477</v>
      </c>
      <c r="N665" s="307"/>
      <c r="O665" s="307"/>
      <c r="P665" s="307"/>
      <c r="Q665" s="307"/>
      <c r="R665" s="307"/>
      <c r="S665" s="307"/>
    </row>
    <row r="666" spans="1:19" x14ac:dyDescent="0.2">
      <c r="A666" s="307"/>
      <c r="B666" s="307"/>
      <c r="C666" s="315"/>
      <c r="D666" s="315"/>
      <c r="E666" s="315"/>
      <c r="F666" s="315"/>
      <c r="G666" s="315"/>
      <c r="H666" s="315"/>
      <c r="I666" s="315"/>
      <c r="J666" s="315"/>
      <c r="K666" s="315"/>
      <c r="L666" s="315"/>
      <c r="M666" s="307"/>
      <c r="N666" s="307"/>
      <c r="O666" s="307"/>
      <c r="P666" s="307"/>
      <c r="Q666" s="307"/>
      <c r="R666" s="307"/>
      <c r="S666" s="307"/>
    </row>
    <row r="667" spans="1:19" x14ac:dyDescent="0.2">
      <c r="A667" s="307" t="str">
        <f t="array" ref="A667:A674">"Annual "&amp;R_CODE&amp;" "&amp;'Base data'!$D$12&amp;" emissions"</f>
        <v>Annual EU N2O emissions</v>
      </c>
      <c r="B667" s="307"/>
      <c r="C667" s="316">
        <f t="array" ref="C667:L674">RCP26_N2O * EXTRA_ABATE_FACTOR_COMPOUND_B</f>
        <v>107.63919108759174</v>
      </c>
      <c r="D667" s="316">
        <v>111.83227945915688</v>
      </c>
      <c r="E667" s="316">
        <v>116.02536783072202</v>
      </c>
      <c r="F667" s="316">
        <v>122.75100576642203</v>
      </c>
      <c r="G667" s="316">
        <v>88.975206959298518</v>
      </c>
      <c r="H667" s="316">
        <v>112.0322086024367</v>
      </c>
      <c r="I667" s="316">
        <v>117.15827107032109</v>
      </c>
      <c r="J667" s="316">
        <v>113.1663119266055</v>
      </c>
      <c r="K667" s="316">
        <v>108.62489724770641</v>
      </c>
      <c r="L667" s="316">
        <v>105.36972018348624</v>
      </c>
      <c r="M667" s="307" t="s">
        <v>477</v>
      </c>
      <c r="N667" s="307"/>
      <c r="O667" s="307"/>
      <c r="P667" s="307"/>
      <c r="Q667" s="307"/>
      <c r="R667" s="307"/>
      <c r="S667" s="307"/>
    </row>
    <row r="668" spans="1:19" x14ac:dyDescent="0.2">
      <c r="A668" s="307" t="str">
        <v>Annual US N2O emissions</v>
      </c>
      <c r="B668" s="307"/>
      <c r="C668" s="316">
        <v>107.63919108759174</v>
      </c>
      <c r="D668" s="316">
        <v>111.83227945915688</v>
      </c>
      <c r="E668" s="316">
        <v>116.02536783072202</v>
      </c>
      <c r="F668" s="316">
        <v>122.75100576642203</v>
      </c>
      <c r="G668" s="316">
        <v>88.975206959298518</v>
      </c>
      <c r="H668" s="316">
        <v>112.0322086024367</v>
      </c>
      <c r="I668" s="316">
        <v>117.15827107032109</v>
      </c>
      <c r="J668" s="316">
        <v>113.1663119266055</v>
      </c>
      <c r="K668" s="316">
        <v>108.62489724770641</v>
      </c>
      <c r="L668" s="316">
        <v>105.36972018348624</v>
      </c>
      <c r="M668" s="307" t="s">
        <v>477</v>
      </c>
      <c r="N668" s="307"/>
      <c r="O668" s="307"/>
      <c r="P668" s="307"/>
      <c r="Q668" s="307"/>
      <c r="R668" s="307"/>
      <c r="S668" s="307"/>
    </row>
    <row r="669" spans="1:19" x14ac:dyDescent="0.2">
      <c r="A669" s="307" t="str">
        <v>Annual OT N2O emissions</v>
      </c>
      <c r="B669" s="307"/>
      <c r="C669" s="316">
        <v>107.63919108759174</v>
      </c>
      <c r="D669" s="316">
        <v>111.83227945915688</v>
      </c>
      <c r="E669" s="316">
        <v>116.02536783072202</v>
      </c>
      <c r="F669" s="316">
        <v>122.75100576642203</v>
      </c>
      <c r="G669" s="316">
        <v>88.975206959298518</v>
      </c>
      <c r="H669" s="316">
        <v>112.0322086024367</v>
      </c>
      <c r="I669" s="316">
        <v>117.15827107032109</v>
      </c>
      <c r="J669" s="316">
        <v>113.1663119266055</v>
      </c>
      <c r="K669" s="316">
        <v>108.62489724770641</v>
      </c>
      <c r="L669" s="316">
        <v>105.36972018348624</v>
      </c>
      <c r="M669" s="307" t="s">
        <v>477</v>
      </c>
      <c r="N669" s="307"/>
      <c r="O669" s="307"/>
      <c r="P669" s="307"/>
      <c r="Q669" s="307"/>
      <c r="R669" s="307"/>
      <c r="S669" s="307"/>
    </row>
    <row r="670" spans="1:19" x14ac:dyDescent="0.2">
      <c r="A670" s="307" t="str">
        <v>Annual EE N2O emissions</v>
      </c>
      <c r="B670" s="307"/>
      <c r="C670" s="316">
        <v>107.63919108759174</v>
      </c>
      <c r="D670" s="316">
        <v>111.83227945915688</v>
      </c>
      <c r="E670" s="316">
        <v>116.02536783072202</v>
      </c>
      <c r="F670" s="316">
        <v>122.75100576642203</v>
      </c>
      <c r="G670" s="316">
        <v>88.975206959298518</v>
      </c>
      <c r="H670" s="316">
        <v>112.0322086024367</v>
      </c>
      <c r="I670" s="316">
        <v>117.15827107032109</v>
      </c>
      <c r="J670" s="316">
        <v>113.1663119266055</v>
      </c>
      <c r="K670" s="316">
        <v>108.62489724770641</v>
      </c>
      <c r="L670" s="316">
        <v>105.36972018348624</v>
      </c>
      <c r="M670" s="307" t="s">
        <v>477</v>
      </c>
      <c r="N670" s="307"/>
      <c r="O670" s="307"/>
      <c r="P670" s="307"/>
      <c r="Q670" s="307"/>
      <c r="R670" s="307"/>
      <c r="S670" s="307"/>
    </row>
    <row r="671" spans="1:19" x14ac:dyDescent="0.2">
      <c r="A671" s="307" t="str">
        <v>Annual CA N2O emissions</v>
      </c>
      <c r="B671" s="307"/>
      <c r="C671" s="316">
        <v>107.63919108759174</v>
      </c>
      <c r="D671" s="316">
        <v>111.83227945915688</v>
      </c>
      <c r="E671" s="316">
        <v>116.02536783072202</v>
      </c>
      <c r="F671" s="316">
        <v>122.75100576642203</v>
      </c>
      <c r="G671" s="316">
        <v>88.975206959298518</v>
      </c>
      <c r="H671" s="316">
        <v>112.0322086024367</v>
      </c>
      <c r="I671" s="316">
        <v>117.15827107032109</v>
      </c>
      <c r="J671" s="316">
        <v>113.1663119266055</v>
      </c>
      <c r="K671" s="316">
        <v>108.62489724770641</v>
      </c>
      <c r="L671" s="316">
        <v>105.36972018348624</v>
      </c>
      <c r="M671" s="307" t="s">
        <v>477</v>
      </c>
      <c r="N671" s="307"/>
      <c r="O671" s="307"/>
      <c r="P671" s="307"/>
      <c r="Q671" s="307"/>
      <c r="R671" s="307"/>
      <c r="S671" s="307"/>
    </row>
    <row r="672" spans="1:19" x14ac:dyDescent="0.2">
      <c r="A672" s="307" t="str">
        <v>Annual IA N2O emissions</v>
      </c>
      <c r="B672" s="307"/>
      <c r="C672" s="316">
        <v>107.63919108759174</v>
      </c>
      <c r="D672" s="316">
        <v>111.83227945915688</v>
      </c>
      <c r="E672" s="316">
        <v>116.02536783072202</v>
      </c>
      <c r="F672" s="316">
        <v>122.75100576642203</v>
      </c>
      <c r="G672" s="316">
        <v>88.975206959298518</v>
      </c>
      <c r="H672" s="316">
        <v>112.0322086024367</v>
      </c>
      <c r="I672" s="316">
        <v>117.15827107032109</v>
      </c>
      <c r="J672" s="316">
        <v>113.1663119266055</v>
      </c>
      <c r="K672" s="316">
        <v>108.62489724770641</v>
      </c>
      <c r="L672" s="316">
        <v>105.36972018348624</v>
      </c>
      <c r="M672" s="307" t="s">
        <v>477</v>
      </c>
      <c r="N672" s="307"/>
      <c r="O672" s="307"/>
      <c r="P672" s="307"/>
      <c r="Q672" s="307"/>
      <c r="R672" s="307"/>
      <c r="S672" s="307"/>
    </row>
    <row r="673" spans="1:19" x14ac:dyDescent="0.2">
      <c r="A673" s="307" t="str">
        <v>Annual AF N2O emissions</v>
      </c>
      <c r="B673" s="307"/>
      <c r="C673" s="316">
        <v>107.63919108759174</v>
      </c>
      <c r="D673" s="316">
        <v>111.83227945915688</v>
      </c>
      <c r="E673" s="316">
        <v>116.02536783072202</v>
      </c>
      <c r="F673" s="316">
        <v>122.75100576642203</v>
      </c>
      <c r="G673" s="316">
        <v>88.975206959298518</v>
      </c>
      <c r="H673" s="316">
        <v>112.0322086024367</v>
      </c>
      <c r="I673" s="316">
        <v>117.15827107032109</v>
      </c>
      <c r="J673" s="316">
        <v>113.1663119266055</v>
      </c>
      <c r="K673" s="316">
        <v>108.62489724770641</v>
      </c>
      <c r="L673" s="316">
        <v>105.36972018348624</v>
      </c>
      <c r="M673" s="307" t="s">
        <v>477</v>
      </c>
      <c r="N673" s="307"/>
      <c r="O673" s="307"/>
      <c r="P673" s="307"/>
      <c r="Q673" s="307"/>
      <c r="R673" s="307"/>
      <c r="S673" s="307"/>
    </row>
    <row r="674" spans="1:19" x14ac:dyDescent="0.2">
      <c r="A674" s="307" t="str">
        <v>Annual LA N2O emissions</v>
      </c>
      <c r="B674" s="307"/>
      <c r="C674" s="316">
        <v>107.63919108759174</v>
      </c>
      <c r="D674" s="316">
        <v>111.83227945915688</v>
      </c>
      <c r="E674" s="316">
        <v>116.02536783072202</v>
      </c>
      <c r="F674" s="316">
        <v>122.75100576642203</v>
      </c>
      <c r="G674" s="316">
        <v>88.975206959298518</v>
      </c>
      <c r="H674" s="316">
        <v>112.0322086024367</v>
      </c>
      <c r="I674" s="316">
        <v>117.15827107032109</v>
      </c>
      <c r="J674" s="316">
        <v>113.1663119266055</v>
      </c>
      <c r="K674" s="316">
        <v>108.62489724770641</v>
      </c>
      <c r="L674" s="316">
        <v>105.36972018348624</v>
      </c>
      <c r="M674" s="307" t="s">
        <v>477</v>
      </c>
      <c r="N674" s="307"/>
      <c r="O674" s="307"/>
      <c r="P674" s="307"/>
      <c r="Q674" s="307"/>
      <c r="R674" s="307"/>
      <c r="S674" s="307"/>
    </row>
    <row r="675" spans="1:19" x14ac:dyDescent="0.2">
      <c r="A675" s="307"/>
      <c r="B675" s="307"/>
      <c r="C675" s="315"/>
      <c r="D675" s="315"/>
      <c r="E675" s="315"/>
      <c r="F675" s="315"/>
      <c r="G675" s="315"/>
      <c r="H675" s="315"/>
      <c r="I675" s="315"/>
      <c r="J675" s="315"/>
      <c r="K675" s="315"/>
      <c r="L675" s="315"/>
      <c r="M675" s="307"/>
      <c r="N675" s="307"/>
      <c r="O675" s="307"/>
      <c r="P675" s="307"/>
      <c r="Q675" s="307"/>
      <c r="R675" s="307"/>
      <c r="S675" s="307"/>
    </row>
    <row r="676" spans="1:19" x14ac:dyDescent="0.2">
      <c r="A676" s="307" t="str">
        <f t="array" ref="A676:A683">"Annual "&amp;R_CODE&amp;" "&amp;'Base data'!$E$12&amp;" emissions"</f>
        <v>Annual EU Lin emissions</v>
      </c>
      <c r="B676" s="307"/>
      <c r="C676" s="316">
        <f t="array" ref="C676:L683">RCP26_Lin * EXTRA_ABATE_FACTOR_COMPOUND_B</f>
        <v>123.12461561981884</v>
      </c>
      <c r="D676" s="316">
        <v>127.87774576472447</v>
      </c>
      <c r="E676" s="316">
        <v>132.63087590963011</v>
      </c>
      <c r="F676" s="316">
        <v>137.19476273699667</v>
      </c>
      <c r="G676" s="316">
        <v>81.844233192137963</v>
      </c>
      <c r="H676" s="316">
        <v>10.918165037973296</v>
      </c>
      <c r="I676" s="316">
        <v>10.420168838777277</v>
      </c>
      <c r="J676" s="316">
        <v>10.104184708640975</v>
      </c>
      <c r="K676" s="316">
        <v>9.383084665274815</v>
      </c>
      <c r="L676" s="316">
        <v>8.6517348529388673</v>
      </c>
      <c r="M676" s="307" t="s">
        <v>477</v>
      </c>
      <c r="N676" s="307"/>
      <c r="O676" s="307"/>
      <c r="P676" s="307"/>
      <c r="Q676" s="307"/>
      <c r="R676" s="307"/>
      <c r="S676" s="307"/>
    </row>
    <row r="677" spans="1:19" x14ac:dyDescent="0.2">
      <c r="A677" s="307" t="str">
        <v>Annual US Lin emissions</v>
      </c>
      <c r="B677" s="307"/>
      <c r="C677" s="316">
        <v>123.12461561981884</v>
      </c>
      <c r="D677" s="316">
        <v>127.87774576472447</v>
      </c>
      <c r="E677" s="316">
        <v>132.63087590963011</v>
      </c>
      <c r="F677" s="316">
        <v>137.19476273699667</v>
      </c>
      <c r="G677" s="316">
        <v>81.844233192137963</v>
      </c>
      <c r="H677" s="316">
        <v>10.918165037973296</v>
      </c>
      <c r="I677" s="316">
        <v>10.420168838777277</v>
      </c>
      <c r="J677" s="316">
        <v>10.104184708640975</v>
      </c>
      <c r="K677" s="316">
        <v>9.383084665274815</v>
      </c>
      <c r="L677" s="316">
        <v>8.6517348529388673</v>
      </c>
      <c r="M677" s="307" t="s">
        <v>477</v>
      </c>
      <c r="N677" s="307"/>
      <c r="O677" s="307"/>
      <c r="P677" s="307"/>
      <c r="Q677" s="307"/>
      <c r="R677" s="307"/>
      <c r="S677" s="307"/>
    </row>
    <row r="678" spans="1:19" x14ac:dyDescent="0.2">
      <c r="A678" s="307" t="str">
        <v>Annual OT Lin emissions</v>
      </c>
      <c r="B678" s="307"/>
      <c r="C678" s="316">
        <v>123.12461561981884</v>
      </c>
      <c r="D678" s="316">
        <v>127.87774576472447</v>
      </c>
      <c r="E678" s="316">
        <v>132.63087590963011</v>
      </c>
      <c r="F678" s="316">
        <v>137.19476273699667</v>
      </c>
      <c r="G678" s="316">
        <v>81.844233192137963</v>
      </c>
      <c r="H678" s="316">
        <v>10.918165037973296</v>
      </c>
      <c r="I678" s="316">
        <v>10.420168838777277</v>
      </c>
      <c r="J678" s="316">
        <v>10.104184708640975</v>
      </c>
      <c r="K678" s="316">
        <v>9.383084665274815</v>
      </c>
      <c r="L678" s="316">
        <v>8.6517348529388673</v>
      </c>
      <c r="M678" s="307" t="s">
        <v>477</v>
      </c>
      <c r="N678" s="307"/>
      <c r="O678" s="307"/>
      <c r="P678" s="307"/>
      <c r="Q678" s="307"/>
      <c r="R678" s="307"/>
      <c r="S678" s="307"/>
    </row>
    <row r="679" spans="1:19" x14ac:dyDescent="0.2">
      <c r="A679" s="307" t="str">
        <v>Annual EE Lin emissions</v>
      </c>
      <c r="B679" s="307"/>
      <c r="C679" s="316">
        <v>123.12461561981884</v>
      </c>
      <c r="D679" s="316">
        <v>127.87774576472447</v>
      </c>
      <c r="E679" s="316">
        <v>132.63087590963011</v>
      </c>
      <c r="F679" s="316">
        <v>137.19476273699667</v>
      </c>
      <c r="G679" s="316">
        <v>81.844233192137963</v>
      </c>
      <c r="H679" s="316">
        <v>10.918165037973296</v>
      </c>
      <c r="I679" s="316">
        <v>10.420168838777277</v>
      </c>
      <c r="J679" s="316">
        <v>10.104184708640975</v>
      </c>
      <c r="K679" s="316">
        <v>9.383084665274815</v>
      </c>
      <c r="L679" s="316">
        <v>8.6517348529388673</v>
      </c>
      <c r="M679" s="307" t="s">
        <v>477</v>
      </c>
      <c r="N679" s="307"/>
      <c r="O679" s="307"/>
      <c r="P679" s="307"/>
      <c r="Q679" s="307"/>
      <c r="R679" s="307"/>
      <c r="S679" s="307"/>
    </row>
    <row r="680" spans="1:19" x14ac:dyDescent="0.2">
      <c r="A680" s="307" t="str">
        <v>Annual CA Lin emissions</v>
      </c>
      <c r="B680" s="307"/>
      <c r="C680" s="316">
        <v>123.12461561981884</v>
      </c>
      <c r="D680" s="316">
        <v>127.87774576472447</v>
      </c>
      <c r="E680" s="316">
        <v>132.63087590963011</v>
      </c>
      <c r="F680" s="316">
        <v>137.19476273699667</v>
      </c>
      <c r="G680" s="316">
        <v>81.844233192137963</v>
      </c>
      <c r="H680" s="316">
        <v>10.918165037973296</v>
      </c>
      <c r="I680" s="316">
        <v>10.420168838777277</v>
      </c>
      <c r="J680" s="316">
        <v>10.104184708640975</v>
      </c>
      <c r="K680" s="316">
        <v>9.383084665274815</v>
      </c>
      <c r="L680" s="316">
        <v>8.6517348529388673</v>
      </c>
      <c r="M680" s="307" t="s">
        <v>477</v>
      </c>
      <c r="N680" s="307"/>
      <c r="O680" s="307"/>
      <c r="P680" s="307"/>
      <c r="Q680" s="307"/>
      <c r="R680" s="307"/>
      <c r="S680" s="307"/>
    </row>
    <row r="681" spans="1:19" x14ac:dyDescent="0.2">
      <c r="A681" s="307" t="str">
        <v>Annual IA Lin emissions</v>
      </c>
      <c r="B681" s="307"/>
      <c r="C681" s="316">
        <v>123.12461561981884</v>
      </c>
      <c r="D681" s="316">
        <v>127.87774576472447</v>
      </c>
      <c r="E681" s="316">
        <v>132.63087590963011</v>
      </c>
      <c r="F681" s="316">
        <v>137.19476273699667</v>
      </c>
      <c r="G681" s="316">
        <v>81.844233192137963</v>
      </c>
      <c r="H681" s="316">
        <v>10.918165037973296</v>
      </c>
      <c r="I681" s="316">
        <v>10.420168838777277</v>
      </c>
      <c r="J681" s="316">
        <v>10.104184708640975</v>
      </c>
      <c r="K681" s="316">
        <v>9.383084665274815</v>
      </c>
      <c r="L681" s="316">
        <v>8.6517348529388673</v>
      </c>
      <c r="M681" s="307" t="s">
        <v>477</v>
      </c>
      <c r="N681" s="307"/>
      <c r="O681" s="307"/>
      <c r="P681" s="307"/>
      <c r="Q681" s="307"/>
      <c r="R681" s="307"/>
      <c r="S681" s="307"/>
    </row>
    <row r="682" spans="1:19" x14ac:dyDescent="0.2">
      <c r="A682" s="307" t="str">
        <v>Annual AF Lin emissions</v>
      </c>
      <c r="B682" s="307"/>
      <c r="C682" s="316">
        <v>123.12461561981884</v>
      </c>
      <c r="D682" s="316">
        <v>127.87774576472447</v>
      </c>
      <c r="E682" s="316">
        <v>132.63087590963011</v>
      </c>
      <c r="F682" s="316">
        <v>137.19476273699667</v>
      </c>
      <c r="G682" s="316">
        <v>81.844233192137963</v>
      </c>
      <c r="H682" s="316">
        <v>10.918165037973296</v>
      </c>
      <c r="I682" s="316">
        <v>10.420168838777277</v>
      </c>
      <c r="J682" s="316">
        <v>10.104184708640975</v>
      </c>
      <c r="K682" s="316">
        <v>9.383084665274815</v>
      </c>
      <c r="L682" s="316">
        <v>8.6517348529388673</v>
      </c>
      <c r="M682" s="307" t="s">
        <v>477</v>
      </c>
      <c r="N682" s="307"/>
      <c r="O682" s="307"/>
      <c r="P682" s="307"/>
      <c r="Q682" s="307"/>
      <c r="R682" s="307"/>
      <c r="S682" s="307"/>
    </row>
    <row r="683" spans="1:19" x14ac:dyDescent="0.2">
      <c r="A683" s="307" t="str">
        <v>Annual LA Lin emissions</v>
      </c>
      <c r="B683" s="307"/>
      <c r="C683" s="316">
        <v>123.12461561981884</v>
      </c>
      <c r="D683" s="316">
        <v>127.87774576472447</v>
      </c>
      <c r="E683" s="316">
        <v>132.63087590963011</v>
      </c>
      <c r="F683" s="316">
        <v>137.19476273699667</v>
      </c>
      <c r="G683" s="316">
        <v>81.844233192137963</v>
      </c>
      <c r="H683" s="316">
        <v>10.918165037973296</v>
      </c>
      <c r="I683" s="316">
        <v>10.420168838777277</v>
      </c>
      <c r="J683" s="316">
        <v>10.104184708640975</v>
      </c>
      <c r="K683" s="316">
        <v>9.383084665274815</v>
      </c>
      <c r="L683" s="316">
        <v>8.6517348529388673</v>
      </c>
      <c r="M683" s="307" t="s">
        <v>477</v>
      </c>
      <c r="N683" s="307"/>
      <c r="O683" s="307"/>
      <c r="P683" s="307"/>
      <c r="Q683" s="307"/>
      <c r="R683" s="307"/>
      <c r="S683" s="307"/>
    </row>
    <row r="684" spans="1:19" x14ac:dyDescent="0.2">
      <c r="A684" s="307"/>
      <c r="B684" s="307"/>
      <c r="C684" s="315"/>
      <c r="D684" s="315"/>
      <c r="E684" s="315"/>
      <c r="F684" s="315"/>
      <c r="G684" s="315"/>
      <c r="H684" s="315"/>
      <c r="I684" s="315"/>
      <c r="J684" s="315"/>
      <c r="K684" s="315"/>
      <c r="L684" s="315"/>
      <c r="M684" s="307"/>
      <c r="N684" s="307"/>
      <c r="O684" s="307"/>
      <c r="P684" s="307"/>
      <c r="Q684" s="307"/>
      <c r="R684" s="307"/>
      <c r="S684" s="307"/>
    </row>
    <row r="685" spans="1:19" x14ac:dyDescent="0.2">
      <c r="A685" s="307" t="str">
        <f t="array" ref="A685:A692">"Annual "&amp;R_CODE&amp;" sulphates"</f>
        <v>Annual EU sulphates</v>
      </c>
      <c r="B685" s="307"/>
      <c r="C685" s="316">
        <f t="array" ref="C685:L692">RCP26_sulph * EXTRA_ABATE_FACTOR_COMPOUND_B</f>
        <v>78.699283577680092</v>
      </c>
      <c r="D685" s="316">
        <v>64.618866024040585</v>
      </c>
      <c r="E685" s="316">
        <v>50.538448470401065</v>
      </c>
      <c r="F685" s="316">
        <v>53.332771046068459</v>
      </c>
      <c r="G685" s="316">
        <v>39.705142692684888</v>
      </c>
      <c r="H685" s="316">
        <v>26.623071899756326</v>
      </c>
      <c r="I685" s="316">
        <v>18.723594496957507</v>
      </c>
      <c r="J685" s="316">
        <v>15.506324520780998</v>
      </c>
      <c r="K685" s="316">
        <v>14.303592862061839</v>
      </c>
      <c r="L685" s="316">
        <v>14.086674366138695</v>
      </c>
      <c r="M685" s="307" t="s">
        <v>477</v>
      </c>
      <c r="N685" s="307"/>
      <c r="O685" s="307"/>
      <c r="P685" s="307"/>
      <c r="Q685" s="307"/>
      <c r="R685" s="307"/>
      <c r="S685" s="307"/>
    </row>
    <row r="686" spans="1:19" x14ac:dyDescent="0.2">
      <c r="A686" s="307" t="str">
        <v>Annual US sulphates</v>
      </c>
      <c r="B686" s="307"/>
      <c r="C686" s="316">
        <v>84.384708242414376</v>
      </c>
      <c r="D686" s="316">
        <v>70.690088468364848</v>
      </c>
      <c r="E686" s="316">
        <v>56.995468694315306</v>
      </c>
      <c r="F686" s="316">
        <v>56.704478130721775</v>
      </c>
      <c r="G686" s="316">
        <v>35.567727316148684</v>
      </c>
      <c r="H686" s="316">
        <v>22.831962972987291</v>
      </c>
      <c r="I686" s="316">
        <v>15.79723463900762</v>
      </c>
      <c r="J686" s="316">
        <v>12.622865059923631</v>
      </c>
      <c r="K686" s="316">
        <v>11.213291531585606</v>
      </c>
      <c r="L686" s="316">
        <v>10.783275215589223</v>
      </c>
      <c r="M686" s="307" t="s">
        <v>477</v>
      </c>
      <c r="N686" s="307"/>
      <c r="O686" s="307"/>
      <c r="P686" s="307"/>
      <c r="Q686" s="307"/>
      <c r="R686" s="307"/>
      <c r="S686" s="307"/>
    </row>
    <row r="687" spans="1:19" x14ac:dyDescent="0.2">
      <c r="A687" s="307" t="str">
        <v>Annual OT sulphates</v>
      </c>
      <c r="B687" s="307"/>
      <c r="C687" s="316">
        <v>75.48124652151968</v>
      </c>
      <c r="D687" s="316">
        <v>60.849967216463455</v>
      </c>
      <c r="E687" s="316">
        <v>46.21868791140723</v>
      </c>
      <c r="F687" s="316">
        <v>38.103122768770341</v>
      </c>
      <c r="G687" s="316">
        <v>25.899886698984016</v>
      </c>
      <c r="H687" s="316">
        <v>22.356938021653992</v>
      </c>
      <c r="I687" s="316">
        <v>19.249544069904083</v>
      </c>
      <c r="J687" s="316">
        <v>17.287376005906427</v>
      </c>
      <c r="K687" s="316">
        <v>16.424259453328329</v>
      </c>
      <c r="L687" s="316">
        <v>15.899308624884622</v>
      </c>
      <c r="M687" s="307" t="s">
        <v>477</v>
      </c>
      <c r="N687" s="307"/>
      <c r="O687" s="307"/>
      <c r="P687" s="307"/>
      <c r="Q687" s="307"/>
      <c r="R687" s="307"/>
      <c r="S687" s="307"/>
    </row>
    <row r="688" spans="1:19" x14ac:dyDescent="0.2">
      <c r="A688" s="307" t="str">
        <v>Annual EE sulphates</v>
      </c>
      <c r="B688" s="307"/>
      <c r="C688" s="316">
        <v>77.70637879471083</v>
      </c>
      <c r="D688" s="316">
        <v>63.416316917438266</v>
      </c>
      <c r="E688" s="316">
        <v>49.126255040165695</v>
      </c>
      <c r="F688" s="316">
        <v>38.513312242322009</v>
      </c>
      <c r="G688" s="316">
        <v>30.308623899008683</v>
      </c>
      <c r="H688" s="316">
        <v>27.047280356102188</v>
      </c>
      <c r="I688" s="316">
        <v>24.129383185366187</v>
      </c>
      <c r="J688" s="316">
        <v>21.809346470946277</v>
      </c>
      <c r="K688" s="316">
        <v>21.48692079360022</v>
      </c>
      <c r="L688" s="316">
        <v>21.14779801102592</v>
      </c>
      <c r="M688" s="307" t="s">
        <v>477</v>
      </c>
      <c r="N688" s="307"/>
      <c r="O688" s="307"/>
      <c r="P688" s="307"/>
      <c r="Q688" s="307"/>
      <c r="R688" s="307"/>
      <c r="S688" s="307"/>
    </row>
    <row r="689" spans="1:19" x14ac:dyDescent="0.2">
      <c r="A689" s="307" t="str">
        <v>Annual CA sulphates</v>
      </c>
      <c r="B689" s="307"/>
      <c r="C689" s="316">
        <v>58.477322691577072</v>
      </c>
      <c r="D689" s="316">
        <v>50.342442180581898</v>
      </c>
      <c r="E689" s="316">
        <v>42.207561669586724</v>
      </c>
      <c r="F689" s="316">
        <v>42.234777395922222</v>
      </c>
      <c r="G689" s="316">
        <v>27.094252326692423</v>
      </c>
      <c r="H689" s="316">
        <v>19.656415541276303</v>
      </c>
      <c r="I689" s="316">
        <v>13.792334025328431</v>
      </c>
      <c r="J689" s="316">
        <v>10.749012056485341</v>
      </c>
      <c r="K689" s="316">
        <v>9.735578679086899</v>
      </c>
      <c r="L689" s="316">
        <v>8.9925671973565269</v>
      </c>
      <c r="M689" s="307" t="s">
        <v>477</v>
      </c>
      <c r="N689" s="307"/>
      <c r="O689" s="307"/>
      <c r="P689" s="307"/>
      <c r="Q689" s="307"/>
      <c r="R689" s="307"/>
      <c r="S689" s="307"/>
    </row>
    <row r="690" spans="1:19" x14ac:dyDescent="0.2">
      <c r="A690" s="307" t="str">
        <v>Annual IA sulphates</v>
      </c>
      <c r="B690" s="307"/>
      <c r="C690" s="316">
        <v>117.44714663219484</v>
      </c>
      <c r="D690" s="316">
        <v>131.19891157757456</v>
      </c>
      <c r="E690" s="316">
        <v>144.9506765229543</v>
      </c>
      <c r="F690" s="316">
        <v>147.39309185923449</v>
      </c>
      <c r="G690" s="316">
        <v>55.867205351210785</v>
      </c>
      <c r="H690" s="316">
        <v>29.144471908466429</v>
      </c>
      <c r="I690" s="316">
        <v>17.141491447259497</v>
      </c>
      <c r="J690" s="316">
        <v>11.725012325298202</v>
      </c>
      <c r="K690" s="316">
        <v>8.8593589867366198</v>
      </c>
      <c r="L690" s="316">
        <v>7.368247866503796</v>
      </c>
      <c r="M690" s="307" t="s">
        <v>477</v>
      </c>
      <c r="N690" s="307"/>
      <c r="O690" s="307"/>
      <c r="P690" s="307"/>
      <c r="Q690" s="307"/>
      <c r="R690" s="307"/>
      <c r="S690" s="307"/>
    </row>
    <row r="691" spans="1:19" x14ac:dyDescent="0.2">
      <c r="A691" s="307" t="str">
        <v>Annual AF sulphates</v>
      </c>
      <c r="B691" s="307"/>
      <c r="C691" s="316">
        <v>81.912360867241247</v>
      </c>
      <c r="D691" s="316">
        <v>70.707811478594323</v>
      </c>
      <c r="E691" s="316">
        <v>59.503262089947405</v>
      </c>
      <c r="F691" s="316">
        <v>65.972140461589476</v>
      </c>
      <c r="G691" s="316">
        <v>41.917608193856935</v>
      </c>
      <c r="H691" s="316">
        <v>32.234315196595034</v>
      </c>
      <c r="I691" s="316">
        <v>26.327619967487013</v>
      </c>
      <c r="J691" s="316">
        <v>21.257679122668879</v>
      </c>
      <c r="K691" s="316">
        <v>18.043641362018725</v>
      </c>
      <c r="L691" s="316">
        <v>17.191830610843812</v>
      </c>
      <c r="M691" s="307" t="s">
        <v>477</v>
      </c>
      <c r="N691" s="307"/>
      <c r="O691" s="307"/>
      <c r="P691" s="307"/>
      <c r="Q691" s="307"/>
      <c r="R691" s="307"/>
      <c r="S691" s="307"/>
    </row>
    <row r="692" spans="1:19" x14ac:dyDescent="0.2">
      <c r="A692" s="307" t="str">
        <v>Annual LA sulphates</v>
      </c>
      <c r="B692" s="307"/>
      <c r="C692" s="316">
        <v>94.750253560799905</v>
      </c>
      <c r="D692" s="316">
        <v>93.945787548332987</v>
      </c>
      <c r="E692" s="316">
        <v>93.141321535866069</v>
      </c>
      <c r="F692" s="316">
        <v>92.3856794191978</v>
      </c>
      <c r="G692" s="316">
        <v>55.450000492424437</v>
      </c>
      <c r="H692" s="316">
        <v>33.556107137779989</v>
      </c>
      <c r="I692" s="316">
        <v>19.022335749212811</v>
      </c>
      <c r="J692" s="316">
        <v>11.711620257176227</v>
      </c>
      <c r="K692" s="316">
        <v>9.6914208349998692</v>
      </c>
      <c r="L692" s="316">
        <v>8.6874528418206687</v>
      </c>
      <c r="M692" s="307" t="s">
        <v>477</v>
      </c>
      <c r="N692" s="307"/>
      <c r="O692" s="307"/>
      <c r="P692" s="307"/>
      <c r="Q692" s="307"/>
      <c r="R692" s="307"/>
      <c r="S692" s="307"/>
    </row>
    <row r="693" spans="1:19" x14ac:dyDescent="0.2">
      <c r="A693" s="307"/>
      <c r="B693" s="307"/>
      <c r="C693" s="307"/>
      <c r="D693" s="307"/>
      <c r="E693" s="307"/>
      <c r="F693" s="307"/>
      <c r="G693" s="307"/>
      <c r="H693" s="307"/>
      <c r="I693" s="307"/>
      <c r="J693" s="307"/>
      <c r="K693" s="307"/>
      <c r="L693" s="307"/>
      <c r="M693" s="307"/>
      <c r="N693" s="307"/>
      <c r="O693" s="307"/>
      <c r="P693" s="307"/>
      <c r="Q693" s="307"/>
      <c r="R693" s="307"/>
      <c r="S693" s="307"/>
    </row>
    <row r="694" spans="1:19" ht="13.5" thickBot="1" x14ac:dyDescent="0.25">
      <c r="A694" s="307" t="s">
        <v>479</v>
      </c>
      <c r="B694" s="307"/>
      <c r="C694" s="311">
        <f t="array" ref="C694:L694" xml:space="preserve"> RCP26_Excess * EXTRA_ABATE_FACTOR_COMPOUND_B</f>
        <v>0.94169999999999998</v>
      </c>
      <c r="D694" s="311">
        <v>0.89269999999999994</v>
      </c>
      <c r="E694" s="311">
        <v>0.84369999999999989</v>
      </c>
      <c r="F694" s="311">
        <v>0.80619999999999992</v>
      </c>
      <c r="G694" s="311">
        <v>0.55649999999999999</v>
      </c>
      <c r="H694" s="311">
        <v>0.46420000000000006</v>
      </c>
      <c r="I694" s="311">
        <v>0.36930000000000002</v>
      </c>
      <c r="J694" s="311">
        <v>0.28809999999999997</v>
      </c>
      <c r="K694" s="311">
        <v>0.24089999999999998</v>
      </c>
      <c r="L694" s="311">
        <v>0.21779999999999999</v>
      </c>
      <c r="M694" s="307" t="s">
        <v>42</v>
      </c>
      <c r="N694" s="307"/>
      <c r="O694" s="307"/>
      <c r="P694" s="307"/>
      <c r="Q694" s="307"/>
      <c r="R694" s="307"/>
      <c r="S694" s="307"/>
    </row>
    <row r="695" spans="1:19" ht="13.5" thickTop="1" x14ac:dyDescent="0.2">
      <c r="A695" s="307"/>
      <c r="B695" s="307"/>
      <c r="C695" s="307"/>
      <c r="D695" s="307"/>
      <c r="E695" s="307"/>
      <c r="F695" s="307"/>
      <c r="G695" s="307"/>
      <c r="H695" s="307"/>
      <c r="I695" s="307"/>
      <c r="J695" s="307"/>
      <c r="K695" s="307"/>
      <c r="L695" s="307"/>
      <c r="M695" s="307"/>
      <c r="N695" s="307"/>
      <c r="O695" s="307"/>
      <c r="P695" s="307"/>
      <c r="Q695" s="307"/>
      <c r="R695" s="307"/>
      <c r="S695" s="307"/>
    </row>
    <row r="696" spans="1:19" x14ac:dyDescent="0.2">
      <c r="A696" s="307"/>
      <c r="B696" s="307"/>
      <c r="C696" s="307"/>
      <c r="D696" s="307"/>
      <c r="E696" s="307"/>
      <c r="F696" s="307"/>
      <c r="G696" s="307"/>
      <c r="H696" s="307"/>
      <c r="I696" s="307"/>
      <c r="J696" s="307"/>
      <c r="K696" s="307"/>
      <c r="L696" s="307"/>
      <c r="M696" s="307"/>
      <c r="N696" s="307"/>
      <c r="O696" s="307"/>
      <c r="P696" s="307"/>
      <c r="Q696" s="307"/>
      <c r="R696" s="307"/>
      <c r="S696" s="307"/>
    </row>
    <row r="697" spans="1:19" x14ac:dyDescent="0.2">
      <c r="A697" s="306" t="s">
        <v>972</v>
      </c>
      <c r="B697" s="307"/>
      <c r="C697" s="307"/>
      <c r="D697" s="307"/>
      <c r="E697" s="307"/>
      <c r="F697" s="307"/>
      <c r="G697" s="307"/>
      <c r="H697" s="307"/>
      <c r="I697" s="307"/>
      <c r="J697" s="307"/>
      <c r="K697" s="307"/>
      <c r="L697" s="307"/>
      <c r="M697" s="307"/>
      <c r="N697" s="307"/>
      <c r="O697" s="307"/>
      <c r="P697" s="307"/>
      <c r="Q697" s="307"/>
      <c r="R697" s="307"/>
      <c r="S697" s="307"/>
    </row>
    <row r="698" spans="1:19" x14ac:dyDescent="0.2">
      <c r="A698" s="307"/>
      <c r="B698" s="307"/>
      <c r="C698" s="307">
        <f t="array" ref="C698:L698">Y</f>
        <v>2020</v>
      </c>
      <c r="D698" s="307">
        <v>2025</v>
      </c>
      <c r="E698" s="307">
        <v>2030</v>
      </c>
      <c r="F698" s="307">
        <v>2040</v>
      </c>
      <c r="G698" s="307">
        <v>2050</v>
      </c>
      <c r="H698" s="307">
        <v>2060</v>
      </c>
      <c r="I698" s="307">
        <v>2070</v>
      </c>
      <c r="J698" s="307">
        <v>2080</v>
      </c>
      <c r="K698" s="307">
        <v>2090</v>
      </c>
      <c r="L698" s="307">
        <v>2100</v>
      </c>
      <c r="M698" s="307"/>
      <c r="N698" s="307"/>
      <c r="O698" s="307"/>
      <c r="P698" s="307"/>
      <c r="Q698" s="307"/>
      <c r="R698" s="307"/>
      <c r="S698" s="307"/>
    </row>
    <row r="699" spans="1:19" x14ac:dyDescent="0.2">
      <c r="A699" s="307" t="str">
        <f t="shared" ref="A699:A702" si="55">A593</f>
        <v>Annual EU CO2 emissions</v>
      </c>
      <c r="B699" s="307"/>
      <c r="C699" s="319">
        <f t="array" ref="C699:L706" xml:space="preserve"> RCP26_CO2 * (0.25*((1 - WEIGHT_SCENARIOS/100)^2)) + RCP45_CO2 * (0.5*(1 - (WEIGHT_SCENARIOS/100)^2)) +  RCP85_CO2 * (0.25*((1 + WEIGHT_SCENARIOS/100)^2))</f>
        <v>107.16228902438117</v>
      </c>
      <c r="D699" s="319">
        <v>115.05200385511202</v>
      </c>
      <c r="E699" s="319">
        <v>122.94171868584287</v>
      </c>
      <c r="F699" s="319">
        <v>146.42527623948524</v>
      </c>
      <c r="G699" s="319">
        <v>158.94553235026686</v>
      </c>
      <c r="H699" s="319">
        <v>168.44448712849953</v>
      </c>
      <c r="I699" s="319">
        <v>187.55666792138433</v>
      </c>
      <c r="J699" s="319">
        <v>205.84606516984331</v>
      </c>
      <c r="K699" s="319">
        <v>211.61231142544631</v>
      </c>
      <c r="L699" s="319">
        <v>220.6522741838771</v>
      </c>
      <c r="M699" s="307" t="s">
        <v>477</v>
      </c>
      <c r="N699" s="307"/>
      <c r="O699" s="307"/>
      <c r="P699" s="307"/>
      <c r="Q699" s="312" t="s">
        <v>679</v>
      </c>
      <c r="R699" s="307"/>
      <c r="S699" s="307"/>
    </row>
    <row r="700" spans="1:19" x14ac:dyDescent="0.2">
      <c r="A700" s="307" t="str">
        <f t="shared" si="55"/>
        <v>Annual US CO2 emissions</v>
      </c>
      <c r="B700" s="307"/>
      <c r="C700" s="316">
        <v>106.62881982252256</v>
      </c>
      <c r="D700" s="316">
        <v>122.44446615330868</v>
      </c>
      <c r="E700" s="316">
        <v>138.2601124840948</v>
      </c>
      <c r="F700" s="316">
        <v>172.04080704492984</v>
      </c>
      <c r="G700" s="316">
        <v>187.58148387066512</v>
      </c>
      <c r="H700" s="316">
        <v>195.80341368037784</v>
      </c>
      <c r="I700" s="316">
        <v>202.39228568031427</v>
      </c>
      <c r="J700" s="316">
        <v>218.1823317536396</v>
      </c>
      <c r="K700" s="316">
        <v>211.66564625940521</v>
      </c>
      <c r="L700" s="316">
        <v>197.87434755288871</v>
      </c>
      <c r="M700" s="307" t="s">
        <v>477</v>
      </c>
      <c r="N700" s="307"/>
      <c r="O700" s="307"/>
      <c r="P700" s="307"/>
      <c r="Q700" s="312"/>
      <c r="R700" s="307"/>
      <c r="S700" s="307"/>
    </row>
    <row r="701" spans="1:19" x14ac:dyDescent="0.2">
      <c r="A701" s="307" t="str">
        <f t="shared" si="55"/>
        <v>Annual OT CO2 emissions</v>
      </c>
      <c r="B701" s="307"/>
      <c r="C701" s="316">
        <v>107.16228902438117</v>
      </c>
      <c r="D701" s="316">
        <v>115.05200385511202</v>
      </c>
      <c r="E701" s="316">
        <v>122.94171868584287</v>
      </c>
      <c r="F701" s="316">
        <v>146.42527623948524</v>
      </c>
      <c r="G701" s="316">
        <v>158.94553235026686</v>
      </c>
      <c r="H701" s="316">
        <v>168.44448712849953</v>
      </c>
      <c r="I701" s="316">
        <v>187.55666792138433</v>
      </c>
      <c r="J701" s="316">
        <v>205.84606516984331</v>
      </c>
      <c r="K701" s="316">
        <v>211.61231142544631</v>
      </c>
      <c r="L701" s="316">
        <v>220.6522741838771</v>
      </c>
      <c r="M701" s="307" t="s">
        <v>477</v>
      </c>
      <c r="N701" s="307"/>
      <c r="O701" s="307"/>
      <c r="P701" s="307"/>
      <c r="Q701" s="312"/>
      <c r="R701" s="307"/>
      <c r="S701" s="307"/>
    </row>
    <row r="702" spans="1:19" x14ac:dyDescent="0.2">
      <c r="A702" s="307" t="str">
        <f t="shared" si="55"/>
        <v>Annual EE CO2 emissions</v>
      </c>
      <c r="B702" s="307"/>
      <c r="C702" s="316">
        <v>105.58593943244279</v>
      </c>
      <c r="D702" s="316">
        <v>113.80564784269411</v>
      </c>
      <c r="E702" s="316">
        <v>122.02535625294544</v>
      </c>
      <c r="F702" s="316">
        <v>150.16305748736551</v>
      </c>
      <c r="G702" s="316">
        <v>161.29126992599379</v>
      </c>
      <c r="H702" s="316">
        <v>165.74558171707886</v>
      </c>
      <c r="I702" s="316">
        <v>169.74461270212402</v>
      </c>
      <c r="J702" s="316">
        <v>161.23970557220483</v>
      </c>
      <c r="K702" s="316">
        <v>141.52421105345337</v>
      </c>
      <c r="L702" s="316">
        <v>121.37667386159185</v>
      </c>
      <c r="M702" s="307" t="s">
        <v>477</v>
      </c>
      <c r="N702" s="307"/>
      <c r="O702" s="307"/>
      <c r="P702" s="307"/>
      <c r="Q702" s="312"/>
      <c r="R702" s="307"/>
      <c r="S702" s="307"/>
    </row>
    <row r="703" spans="1:19" x14ac:dyDescent="0.2">
      <c r="A703" s="307" t="str">
        <f>A597</f>
        <v>Annual CA CO2 emissions</v>
      </c>
      <c r="B703" s="307"/>
      <c r="C703" s="316">
        <v>108.63173056885</v>
      </c>
      <c r="D703" s="316">
        <v>121.18295083959941</v>
      </c>
      <c r="E703" s="316">
        <v>133.73417111034883</v>
      </c>
      <c r="F703" s="316">
        <v>158.19260350872742</v>
      </c>
      <c r="G703" s="316">
        <v>152.98008236018546</v>
      </c>
      <c r="H703" s="316">
        <v>142.05822182895929</v>
      </c>
      <c r="I703" s="316">
        <v>135.59116527804903</v>
      </c>
      <c r="J703" s="316">
        <v>124.96419665929733</v>
      </c>
      <c r="K703" s="316">
        <v>104.36213170186269</v>
      </c>
      <c r="L703" s="316">
        <v>81.984598985754729</v>
      </c>
      <c r="M703" s="307" t="str">
        <f>M597</f>
        <v>% relative to base year</v>
      </c>
      <c r="N703" s="307"/>
      <c r="O703" s="307"/>
      <c r="P703" s="307"/>
      <c r="Q703" s="312"/>
      <c r="R703" s="307"/>
      <c r="S703" s="307"/>
    </row>
    <row r="704" spans="1:19" x14ac:dyDescent="0.2">
      <c r="A704" s="307" t="str">
        <f>A598</f>
        <v>Annual IA CO2 emissions</v>
      </c>
      <c r="B704" s="307"/>
      <c r="C704" s="316">
        <v>121.49842366054355</v>
      </c>
      <c r="D704" s="316">
        <v>147.70741522507515</v>
      </c>
      <c r="E704" s="316">
        <v>173.91640678960673</v>
      </c>
      <c r="F704" s="316">
        <v>247.59318385181524</v>
      </c>
      <c r="G704" s="316">
        <v>304.32247031105618</v>
      </c>
      <c r="H704" s="316">
        <v>348.63690307060597</v>
      </c>
      <c r="I704" s="316">
        <v>406.23734777465893</v>
      </c>
      <c r="J704" s="316">
        <v>466.36623664617355</v>
      </c>
      <c r="K704" s="316">
        <v>482.61090185381141</v>
      </c>
      <c r="L704" s="316">
        <v>470.59565735608282</v>
      </c>
      <c r="M704" s="307" t="str">
        <f>M598</f>
        <v>% relative to base year</v>
      </c>
      <c r="N704" s="307"/>
      <c r="O704" s="307"/>
      <c r="P704" s="307"/>
      <c r="Q704" s="312"/>
      <c r="R704" s="307"/>
      <c r="S704" s="307"/>
    </row>
    <row r="705" spans="1:19" x14ac:dyDescent="0.2">
      <c r="A705" s="307" t="str">
        <f>A599</f>
        <v>Annual AF CO2 emissions</v>
      </c>
      <c r="B705" s="307"/>
      <c r="C705" s="316">
        <v>121.33505979324504</v>
      </c>
      <c r="D705" s="316">
        <v>142.05640586165907</v>
      </c>
      <c r="E705" s="316">
        <v>162.77775193007312</v>
      </c>
      <c r="F705" s="316">
        <v>244.3853857744906</v>
      </c>
      <c r="G705" s="316">
        <v>323.76958588975469</v>
      </c>
      <c r="H705" s="316">
        <v>411.54456878024189</v>
      </c>
      <c r="I705" s="316">
        <v>525.57831654399843</v>
      </c>
      <c r="J705" s="316">
        <v>642.13891423631537</v>
      </c>
      <c r="K705" s="316">
        <v>695.62106030953214</v>
      </c>
      <c r="L705" s="316">
        <v>718.57511526408689</v>
      </c>
      <c r="M705" s="307" t="str">
        <f>M599</f>
        <v>% relative to base year</v>
      </c>
      <c r="N705" s="307"/>
      <c r="O705" s="307"/>
      <c r="P705" s="307"/>
      <c r="Q705" s="312"/>
      <c r="R705" s="307"/>
      <c r="S705" s="307"/>
    </row>
    <row r="706" spans="1:19" ht="13.5" thickBot="1" x14ac:dyDescent="0.25">
      <c r="A706" s="307" t="str">
        <f>A600</f>
        <v>Annual LA CO2 emissions</v>
      </c>
      <c r="B706" s="307"/>
      <c r="C706" s="320">
        <v>117.86187000299137</v>
      </c>
      <c r="D706" s="320">
        <v>142.05725578787218</v>
      </c>
      <c r="E706" s="320">
        <v>166.25264157275302</v>
      </c>
      <c r="F706" s="320">
        <v>221.65623261065122</v>
      </c>
      <c r="G706" s="320">
        <v>243.59482267823046</v>
      </c>
      <c r="H706" s="320">
        <v>236.23459149571727</v>
      </c>
      <c r="I706" s="320">
        <v>237.75075507970013</v>
      </c>
      <c r="J706" s="320">
        <v>235.93274724638491</v>
      </c>
      <c r="K706" s="320">
        <v>224.91082179046902</v>
      </c>
      <c r="L706" s="320">
        <v>210.22013910406858</v>
      </c>
      <c r="M706" s="307" t="str">
        <f>M600</f>
        <v>% relative to base year</v>
      </c>
      <c r="N706" s="307"/>
      <c r="O706" s="307"/>
      <c r="P706" s="307"/>
      <c r="Q706" s="312"/>
      <c r="R706" s="307"/>
      <c r="S706" s="307"/>
    </row>
    <row r="707" spans="1:19" ht="13.5" thickTop="1" x14ac:dyDescent="0.2">
      <c r="A707" s="307"/>
      <c r="B707" s="307"/>
      <c r="C707" s="307"/>
      <c r="D707" s="307"/>
      <c r="E707" s="307"/>
      <c r="F707" s="307"/>
      <c r="G707" s="307"/>
      <c r="H707" s="307"/>
      <c r="I707" s="307"/>
      <c r="J707" s="307"/>
      <c r="K707" s="307"/>
      <c r="L707" s="307"/>
      <c r="M707" s="307"/>
      <c r="N707" s="307"/>
      <c r="O707" s="307"/>
      <c r="P707" s="307"/>
      <c r="Q707" s="312"/>
      <c r="R707" s="307"/>
      <c r="S707" s="307"/>
    </row>
    <row r="708" spans="1:19" x14ac:dyDescent="0.2">
      <c r="A708" s="307" t="str">
        <f t="shared" ref="A708:A715" si="56">A602</f>
        <v>Annual EU CH4 emissions</v>
      </c>
      <c r="B708" s="307"/>
      <c r="C708" s="319">
        <f t="array" ref="C708:L715" xml:space="preserve"> RCP26_CH4 * (0.25*((1 - WEIGHT_SCENARIOS/100)^2)) + RCP45_CH4 * (0.5*(1 - (WEIGHT_SCENARIOS/100)^2)) +  RCP85_CH4 * (0.25*((1 + WEIGHT_SCENARIOS/100)^2))</f>
        <v>99.875801476282646</v>
      </c>
      <c r="D708" s="319">
        <v>106.44454520492664</v>
      </c>
      <c r="E708" s="319">
        <v>113.01328893357065</v>
      </c>
      <c r="F708" s="319">
        <v>133.53088191023232</v>
      </c>
      <c r="G708" s="319">
        <v>130.38586272114557</v>
      </c>
      <c r="H708" s="319">
        <v>138.44967845849777</v>
      </c>
      <c r="I708" s="319">
        <v>150.49294488972654</v>
      </c>
      <c r="J708" s="319">
        <v>155.8801940176092</v>
      </c>
      <c r="K708" s="319">
        <v>176.30866866911737</v>
      </c>
      <c r="L708" s="319">
        <v>164.51590251628539</v>
      </c>
      <c r="M708" s="307" t="str">
        <f t="shared" ref="M708:M715" si="57">M602</f>
        <v>% relative to base year</v>
      </c>
      <c r="N708" s="307"/>
      <c r="O708" s="307"/>
      <c r="P708" s="307"/>
      <c r="Q708" s="312" t="s">
        <v>679</v>
      </c>
      <c r="R708" s="307"/>
      <c r="S708" s="307"/>
    </row>
    <row r="709" spans="1:19" x14ac:dyDescent="0.2">
      <c r="A709" s="307" t="str">
        <f t="shared" si="56"/>
        <v>Annual US CH4 emissions</v>
      </c>
      <c r="B709" s="307"/>
      <c r="C709" s="316">
        <v>95.688690750316368</v>
      </c>
      <c r="D709" s="316">
        <v>103.70907513080405</v>
      </c>
      <c r="E709" s="316">
        <v>111.72945951129175</v>
      </c>
      <c r="F709" s="316">
        <v>132.5640380293141</v>
      </c>
      <c r="G709" s="316">
        <v>129.62163713891636</v>
      </c>
      <c r="H709" s="316">
        <v>136.9148540672667</v>
      </c>
      <c r="I709" s="316">
        <v>132.06716770048226</v>
      </c>
      <c r="J709" s="316">
        <v>140.87879796051487</v>
      </c>
      <c r="K709" s="316">
        <v>147.02651889163042</v>
      </c>
      <c r="L709" s="316">
        <v>144.00715756949671</v>
      </c>
      <c r="M709" s="307" t="str">
        <f t="shared" si="57"/>
        <v>% relative to base year</v>
      </c>
      <c r="N709" s="307"/>
      <c r="O709" s="307"/>
      <c r="P709" s="307"/>
      <c r="Q709" s="307"/>
      <c r="R709" s="307"/>
      <c r="S709" s="307"/>
    </row>
    <row r="710" spans="1:19" x14ac:dyDescent="0.2">
      <c r="A710" s="307" t="str">
        <f t="shared" si="56"/>
        <v>Annual OT CH4 emissions</v>
      </c>
      <c r="B710" s="307"/>
      <c r="C710" s="316">
        <v>100.39252828290462</v>
      </c>
      <c r="D710" s="316">
        <v>104.29633808872731</v>
      </c>
      <c r="E710" s="316">
        <v>108.20014789455</v>
      </c>
      <c r="F710" s="316">
        <v>132.52630849713995</v>
      </c>
      <c r="G710" s="316">
        <v>134.14906538761323</v>
      </c>
      <c r="H710" s="316">
        <v>134.18571157966866</v>
      </c>
      <c r="I710" s="316">
        <v>122.31415300751564</v>
      </c>
      <c r="J710" s="316">
        <v>110.94782202850104</v>
      </c>
      <c r="K710" s="316">
        <v>109.72758177929288</v>
      </c>
      <c r="L710" s="316">
        <v>149.58069471737474</v>
      </c>
      <c r="M710" s="307" t="str">
        <f t="shared" si="57"/>
        <v>% relative to base year</v>
      </c>
      <c r="N710" s="307"/>
      <c r="O710" s="307"/>
      <c r="P710" s="307"/>
      <c r="Q710" s="307"/>
      <c r="R710" s="307"/>
      <c r="S710" s="307"/>
    </row>
    <row r="711" spans="1:19" x14ac:dyDescent="0.2">
      <c r="A711" s="307" t="str">
        <f t="shared" si="56"/>
        <v>Annual EE CH4 emissions</v>
      </c>
      <c r="B711" s="307"/>
      <c r="C711" s="316">
        <v>102.89655168069585</v>
      </c>
      <c r="D711" s="316">
        <v>107.64619471186782</v>
      </c>
      <c r="E711" s="316">
        <v>112.39583774303978</v>
      </c>
      <c r="F711" s="316">
        <v>130.15654313041583</v>
      </c>
      <c r="G711" s="316">
        <v>128.95583823099278</v>
      </c>
      <c r="H711" s="316">
        <v>139.67860635515819</v>
      </c>
      <c r="I711" s="316">
        <v>156.10043833496485</v>
      </c>
      <c r="J711" s="316">
        <v>171.21217148790265</v>
      </c>
      <c r="K711" s="316">
        <v>175.83014197789467</v>
      </c>
      <c r="L711" s="316">
        <v>173.11309279351312</v>
      </c>
      <c r="M711" s="307" t="str">
        <f t="shared" si="57"/>
        <v>% relative to base year</v>
      </c>
      <c r="N711" s="307"/>
      <c r="O711" s="307"/>
      <c r="P711" s="307"/>
      <c r="Q711" s="307"/>
      <c r="R711" s="307"/>
      <c r="S711" s="307"/>
    </row>
    <row r="712" spans="1:19" x14ac:dyDescent="0.2">
      <c r="A712" s="307" t="str">
        <f t="shared" si="56"/>
        <v>Annual CA CH4 emissions</v>
      </c>
      <c r="B712" s="307"/>
      <c r="C712" s="316">
        <v>84.753028617293509</v>
      </c>
      <c r="D712" s="316">
        <v>76.169992778264856</v>
      </c>
      <c r="E712" s="316">
        <v>67.586956939236188</v>
      </c>
      <c r="F712" s="316">
        <v>65.194391665077404</v>
      </c>
      <c r="G712" s="316">
        <v>51.834791539811647</v>
      </c>
      <c r="H712" s="316">
        <v>48.830798036688826</v>
      </c>
      <c r="I712" s="316">
        <v>46.816078345513915</v>
      </c>
      <c r="J712" s="316">
        <v>38.758936522250949</v>
      </c>
      <c r="K712" s="316">
        <v>32.513579858723787</v>
      </c>
      <c r="L712" s="316">
        <v>28.028672372318422</v>
      </c>
      <c r="M712" s="307" t="str">
        <f t="shared" si="57"/>
        <v>% relative to base year</v>
      </c>
      <c r="N712" s="307"/>
      <c r="O712" s="307"/>
      <c r="P712" s="307"/>
      <c r="Q712" s="307"/>
      <c r="R712" s="307"/>
      <c r="S712" s="307"/>
    </row>
    <row r="713" spans="1:19" x14ac:dyDescent="0.2">
      <c r="A713" s="307" t="str">
        <f t="shared" si="56"/>
        <v>Annual IA CH4 emissions</v>
      </c>
      <c r="B713" s="307"/>
      <c r="C713" s="316">
        <v>99.638985490290764</v>
      </c>
      <c r="D713" s="316">
        <v>101.60711946714721</v>
      </c>
      <c r="E713" s="316">
        <v>103.57525344400366</v>
      </c>
      <c r="F713" s="316">
        <v>109.4344455434327</v>
      </c>
      <c r="G713" s="316">
        <v>98.337012600341822</v>
      </c>
      <c r="H713" s="316">
        <v>77.449925243830137</v>
      </c>
      <c r="I713" s="316">
        <v>65.717377036754883</v>
      </c>
      <c r="J713" s="316">
        <v>51.206923668625947</v>
      </c>
      <c r="K713" s="316">
        <v>43.948544309515441</v>
      </c>
      <c r="L713" s="316">
        <v>38.415880096624328</v>
      </c>
      <c r="M713" s="307" t="str">
        <f t="shared" si="57"/>
        <v>% relative to base year</v>
      </c>
      <c r="N713" s="307"/>
      <c r="O713" s="307"/>
      <c r="P713" s="307"/>
      <c r="Q713" s="307"/>
      <c r="R713" s="307"/>
      <c r="S713" s="307"/>
    </row>
    <row r="714" spans="1:19" x14ac:dyDescent="0.2">
      <c r="A714" s="307" t="str">
        <f t="shared" si="56"/>
        <v>Annual AF CH4 emissions</v>
      </c>
      <c r="B714" s="307"/>
      <c r="C714" s="316">
        <v>122.01528518915242</v>
      </c>
      <c r="D714" s="316">
        <v>155.78227878288931</v>
      </c>
      <c r="E714" s="316">
        <v>189.54927237662622</v>
      </c>
      <c r="F714" s="316">
        <v>275.94000656195806</v>
      </c>
      <c r="G714" s="316">
        <v>287.13297880943918</v>
      </c>
      <c r="H714" s="316">
        <v>288.55939137529572</v>
      </c>
      <c r="I714" s="316">
        <v>294.87116790659502</v>
      </c>
      <c r="J714" s="316">
        <v>284.96552661119421</v>
      </c>
      <c r="K714" s="316">
        <v>239.08589818967616</v>
      </c>
      <c r="L714" s="316">
        <v>211.13666254946958</v>
      </c>
      <c r="M714" s="307" t="str">
        <f t="shared" si="57"/>
        <v>% relative to base year</v>
      </c>
      <c r="N714" s="307"/>
      <c r="O714" s="307"/>
      <c r="P714" s="307"/>
      <c r="Q714" s="307"/>
      <c r="R714" s="307"/>
      <c r="S714" s="307"/>
    </row>
    <row r="715" spans="1:19" ht="13.5" thickBot="1" x14ac:dyDescent="0.25">
      <c r="A715" s="307" t="str">
        <f t="shared" si="56"/>
        <v>Annual LA CH4 emissions</v>
      </c>
      <c r="B715" s="307"/>
      <c r="C715" s="320">
        <v>109.86411672565421</v>
      </c>
      <c r="D715" s="320">
        <v>116.13216806842394</v>
      </c>
      <c r="E715" s="320">
        <v>122.40021941119367</v>
      </c>
      <c r="F715" s="320">
        <v>128.71460163163425</v>
      </c>
      <c r="G715" s="320">
        <v>93.852984415446528</v>
      </c>
      <c r="H715" s="320">
        <v>83.193700627732923</v>
      </c>
      <c r="I715" s="320">
        <v>79.190118373537445</v>
      </c>
      <c r="J715" s="320">
        <v>72.879796340050405</v>
      </c>
      <c r="K715" s="320">
        <v>58.849579069130385</v>
      </c>
      <c r="L715" s="320">
        <v>51.9558589035057</v>
      </c>
      <c r="M715" s="307" t="str">
        <f t="shared" si="57"/>
        <v>% relative to base year</v>
      </c>
      <c r="N715" s="307"/>
      <c r="O715" s="307"/>
      <c r="P715" s="307"/>
      <c r="Q715" s="307"/>
      <c r="R715" s="307"/>
      <c r="S715" s="307"/>
    </row>
    <row r="716" spans="1:19" ht="13.5" thickTop="1" x14ac:dyDescent="0.2">
      <c r="A716" s="307"/>
      <c r="B716" s="307"/>
      <c r="C716" s="307"/>
      <c r="D716" s="307"/>
      <c r="E716" s="307"/>
      <c r="F716" s="307"/>
      <c r="G716" s="307"/>
      <c r="H716" s="307"/>
      <c r="I716" s="307"/>
      <c r="J716" s="307"/>
      <c r="K716" s="307"/>
      <c r="L716" s="307"/>
      <c r="M716" s="307"/>
      <c r="N716" s="307"/>
      <c r="O716" s="307"/>
      <c r="P716" s="307"/>
      <c r="Q716" s="307"/>
      <c r="R716" s="307"/>
      <c r="S716" s="307"/>
    </row>
    <row r="717" spans="1:19" x14ac:dyDescent="0.2">
      <c r="A717" s="307" t="str">
        <f t="shared" ref="A717:A724" si="58">A611</f>
        <v>Annual EU N2O emissions</v>
      </c>
      <c r="B717" s="307"/>
      <c r="C717" s="319">
        <f t="array" ref="C717:L724" xml:space="preserve"> RCP26_N2O * (0.25*((1 - WEIGHT_SCENARIOS/100)^2)) + RCP45_N2O * (0.5*(1 - (WEIGHT_SCENARIOS/100)^2)) +  RCP85_N2O * (0.25*((1 + WEIGHT_SCENARIOS/100)^2))</f>
        <v>107.63919108759174</v>
      </c>
      <c r="D717" s="319">
        <v>111.83227945915688</v>
      </c>
      <c r="E717" s="319">
        <v>116.02536783072202</v>
      </c>
      <c r="F717" s="319">
        <v>122.75100576642203</v>
      </c>
      <c r="G717" s="319">
        <v>112.87181655811041</v>
      </c>
      <c r="H717" s="319">
        <v>120.46093761410208</v>
      </c>
      <c r="I717" s="319">
        <v>121.72629631105389</v>
      </c>
      <c r="J717" s="319">
        <v>121.10109449541284</v>
      </c>
      <c r="K717" s="319">
        <v>118.1469013761468</v>
      </c>
      <c r="L717" s="319">
        <v>113.89985137614678</v>
      </c>
      <c r="M717" s="307" t="str">
        <f t="shared" ref="M717:M724" si="59">M611</f>
        <v>% relative to base year</v>
      </c>
      <c r="N717" s="307"/>
      <c r="O717" s="307"/>
      <c r="P717" s="307"/>
      <c r="Q717" s="312" t="s">
        <v>679</v>
      </c>
      <c r="R717" s="307"/>
      <c r="S717" s="307"/>
    </row>
    <row r="718" spans="1:19" x14ac:dyDescent="0.2">
      <c r="A718" s="307" t="str">
        <f t="shared" si="58"/>
        <v>Annual US N2O emissions</v>
      </c>
      <c r="B718" s="307"/>
      <c r="C718" s="316">
        <v>107.63919108759174</v>
      </c>
      <c r="D718" s="316">
        <v>111.83227945915688</v>
      </c>
      <c r="E718" s="316">
        <v>116.02536783072202</v>
      </c>
      <c r="F718" s="316">
        <v>122.75100576642203</v>
      </c>
      <c r="G718" s="316">
        <v>112.87181655811041</v>
      </c>
      <c r="H718" s="316">
        <v>120.46093761410208</v>
      </c>
      <c r="I718" s="316">
        <v>121.72629631105389</v>
      </c>
      <c r="J718" s="316">
        <v>121.10109449541284</v>
      </c>
      <c r="K718" s="316">
        <v>118.1469013761468</v>
      </c>
      <c r="L718" s="316">
        <v>113.89985137614678</v>
      </c>
      <c r="M718" s="307" t="str">
        <f t="shared" si="59"/>
        <v>% relative to base year</v>
      </c>
      <c r="N718" s="307"/>
      <c r="O718" s="307"/>
      <c r="P718" s="307"/>
      <c r="Q718" s="312"/>
      <c r="R718" s="307"/>
      <c r="S718" s="307"/>
    </row>
    <row r="719" spans="1:19" x14ac:dyDescent="0.2">
      <c r="A719" s="307" t="str">
        <f t="shared" si="58"/>
        <v>Annual OT N2O emissions</v>
      </c>
      <c r="B719" s="307"/>
      <c r="C719" s="316">
        <v>107.63919108759174</v>
      </c>
      <c r="D719" s="316">
        <v>111.83227945915688</v>
      </c>
      <c r="E719" s="316">
        <v>116.02536783072202</v>
      </c>
      <c r="F719" s="316">
        <v>122.75100576642203</v>
      </c>
      <c r="G719" s="316">
        <v>112.87181655811041</v>
      </c>
      <c r="H719" s="316">
        <v>120.46093761410208</v>
      </c>
      <c r="I719" s="316">
        <v>121.72629631105389</v>
      </c>
      <c r="J719" s="316">
        <v>121.10109449541284</v>
      </c>
      <c r="K719" s="316">
        <v>118.1469013761468</v>
      </c>
      <c r="L719" s="316">
        <v>113.89985137614678</v>
      </c>
      <c r="M719" s="307" t="str">
        <f t="shared" si="59"/>
        <v>% relative to base year</v>
      </c>
      <c r="N719" s="307"/>
      <c r="O719" s="307"/>
      <c r="P719" s="307"/>
      <c r="Q719" s="312"/>
      <c r="R719" s="307"/>
      <c r="S719" s="307"/>
    </row>
    <row r="720" spans="1:19" x14ac:dyDescent="0.2">
      <c r="A720" s="307" t="str">
        <f t="shared" si="58"/>
        <v>Annual EE N2O emissions</v>
      </c>
      <c r="B720" s="307"/>
      <c r="C720" s="316">
        <v>107.63919108759174</v>
      </c>
      <c r="D720" s="316">
        <v>111.83227945915688</v>
      </c>
      <c r="E720" s="316">
        <v>116.02536783072202</v>
      </c>
      <c r="F720" s="316">
        <v>122.75100576642203</v>
      </c>
      <c r="G720" s="316">
        <v>112.87181655811041</v>
      </c>
      <c r="H720" s="316">
        <v>120.46093761410208</v>
      </c>
      <c r="I720" s="316">
        <v>121.72629631105389</v>
      </c>
      <c r="J720" s="316">
        <v>121.10109449541284</v>
      </c>
      <c r="K720" s="316">
        <v>118.1469013761468</v>
      </c>
      <c r="L720" s="316">
        <v>113.89985137614678</v>
      </c>
      <c r="M720" s="307" t="str">
        <f t="shared" si="59"/>
        <v>% relative to base year</v>
      </c>
      <c r="N720" s="307"/>
      <c r="O720" s="307"/>
      <c r="P720" s="307"/>
      <c r="Q720" s="312"/>
      <c r="R720" s="307"/>
      <c r="S720" s="307"/>
    </row>
    <row r="721" spans="1:19" x14ac:dyDescent="0.2">
      <c r="A721" s="307" t="str">
        <f t="shared" si="58"/>
        <v>Annual CA N2O emissions</v>
      </c>
      <c r="B721" s="307"/>
      <c r="C721" s="316">
        <v>107.63919108759174</v>
      </c>
      <c r="D721" s="316">
        <v>111.83227945915688</v>
      </c>
      <c r="E721" s="316">
        <v>116.02536783072202</v>
      </c>
      <c r="F721" s="316">
        <v>122.75100576642203</v>
      </c>
      <c r="G721" s="316">
        <v>112.87181655811041</v>
      </c>
      <c r="H721" s="316">
        <v>120.46093761410208</v>
      </c>
      <c r="I721" s="316">
        <v>121.72629631105389</v>
      </c>
      <c r="J721" s="316">
        <v>121.10109449541284</v>
      </c>
      <c r="K721" s="316">
        <v>118.1469013761468</v>
      </c>
      <c r="L721" s="316">
        <v>113.89985137614678</v>
      </c>
      <c r="M721" s="307" t="str">
        <f t="shared" si="59"/>
        <v>% relative to base year</v>
      </c>
      <c r="N721" s="307"/>
      <c r="O721" s="307"/>
      <c r="P721" s="307"/>
      <c r="Q721" s="312"/>
      <c r="R721" s="307"/>
      <c r="S721" s="307"/>
    </row>
    <row r="722" spans="1:19" x14ac:dyDescent="0.2">
      <c r="A722" s="307" t="str">
        <f t="shared" si="58"/>
        <v>Annual IA N2O emissions</v>
      </c>
      <c r="B722" s="307"/>
      <c r="C722" s="316">
        <v>107.63919108759174</v>
      </c>
      <c r="D722" s="316">
        <v>111.83227945915688</v>
      </c>
      <c r="E722" s="316">
        <v>116.02536783072202</v>
      </c>
      <c r="F722" s="316">
        <v>122.75100576642203</v>
      </c>
      <c r="G722" s="316">
        <v>112.87181655811041</v>
      </c>
      <c r="H722" s="316">
        <v>120.46093761410208</v>
      </c>
      <c r="I722" s="316">
        <v>121.72629631105389</v>
      </c>
      <c r="J722" s="316">
        <v>121.10109449541284</v>
      </c>
      <c r="K722" s="316">
        <v>118.1469013761468</v>
      </c>
      <c r="L722" s="316">
        <v>113.89985137614678</v>
      </c>
      <c r="M722" s="307" t="str">
        <f t="shared" si="59"/>
        <v>% relative to base year</v>
      </c>
      <c r="N722" s="307"/>
      <c r="O722" s="307"/>
      <c r="P722" s="307"/>
      <c r="Q722" s="312"/>
      <c r="R722" s="307"/>
      <c r="S722" s="307"/>
    </row>
    <row r="723" spans="1:19" x14ac:dyDescent="0.2">
      <c r="A723" s="307" t="str">
        <f t="shared" si="58"/>
        <v>Annual AF N2O emissions</v>
      </c>
      <c r="B723" s="307"/>
      <c r="C723" s="316">
        <v>107.63919108759174</v>
      </c>
      <c r="D723" s="316">
        <v>111.83227945915688</v>
      </c>
      <c r="E723" s="316">
        <v>116.02536783072202</v>
      </c>
      <c r="F723" s="316">
        <v>122.75100576642203</v>
      </c>
      <c r="G723" s="316">
        <v>112.87181655811041</v>
      </c>
      <c r="H723" s="316">
        <v>120.46093761410208</v>
      </c>
      <c r="I723" s="316">
        <v>121.72629631105389</v>
      </c>
      <c r="J723" s="316">
        <v>121.10109449541284</v>
      </c>
      <c r="K723" s="316">
        <v>118.1469013761468</v>
      </c>
      <c r="L723" s="316">
        <v>113.89985137614678</v>
      </c>
      <c r="M723" s="307" t="str">
        <f t="shared" si="59"/>
        <v>% relative to base year</v>
      </c>
      <c r="N723" s="307"/>
      <c r="O723" s="307"/>
      <c r="P723" s="307"/>
      <c r="Q723" s="312"/>
      <c r="R723" s="307"/>
      <c r="S723" s="307"/>
    </row>
    <row r="724" spans="1:19" ht="13.5" thickBot="1" x14ac:dyDescent="0.25">
      <c r="A724" s="307" t="str">
        <f t="shared" si="58"/>
        <v>Annual LA N2O emissions</v>
      </c>
      <c r="B724" s="307"/>
      <c r="C724" s="320">
        <v>107.63919108759174</v>
      </c>
      <c r="D724" s="320">
        <v>111.83227945915688</v>
      </c>
      <c r="E724" s="320">
        <v>116.02536783072202</v>
      </c>
      <c r="F724" s="320">
        <v>122.75100576642203</v>
      </c>
      <c r="G724" s="320">
        <v>112.87181655811041</v>
      </c>
      <c r="H724" s="320">
        <v>120.46093761410208</v>
      </c>
      <c r="I724" s="320">
        <v>121.72629631105389</v>
      </c>
      <c r="J724" s="320">
        <v>121.10109449541284</v>
      </c>
      <c r="K724" s="320">
        <v>118.1469013761468</v>
      </c>
      <c r="L724" s="320">
        <v>113.89985137614678</v>
      </c>
      <c r="M724" s="307" t="str">
        <f t="shared" si="59"/>
        <v>% relative to base year</v>
      </c>
      <c r="N724" s="307"/>
      <c r="O724" s="307"/>
      <c r="P724" s="307"/>
      <c r="Q724" s="312"/>
      <c r="R724" s="307"/>
      <c r="S724" s="307"/>
    </row>
    <row r="725" spans="1:19" ht="13.5" thickTop="1" x14ac:dyDescent="0.2">
      <c r="A725" s="307"/>
      <c r="B725" s="307"/>
      <c r="C725" s="307"/>
      <c r="D725" s="307"/>
      <c r="E725" s="307"/>
      <c r="F725" s="307"/>
      <c r="G725" s="307"/>
      <c r="H725" s="307"/>
      <c r="I725" s="307"/>
      <c r="J725" s="307"/>
      <c r="K725" s="307"/>
      <c r="L725" s="307"/>
      <c r="M725" s="307"/>
      <c r="N725" s="307"/>
      <c r="O725" s="307"/>
      <c r="P725" s="307"/>
      <c r="Q725" s="312"/>
      <c r="R725" s="307"/>
      <c r="S725" s="307"/>
    </row>
    <row r="726" spans="1:19" x14ac:dyDescent="0.2">
      <c r="A726" s="307" t="str">
        <f t="shared" ref="A726:A733" si="60">A620</f>
        <v>Annual EU Lin emissions</v>
      </c>
      <c r="B726" s="307"/>
      <c r="C726" s="319">
        <f t="array" ref="C726:L733" xml:space="preserve"> RCP26_Lin * (0.25*((1 - WEIGHT_SCENARIOS/100)^2)) + RCP45_Lin * (0.5*(1 - (WEIGHT_SCENARIOS/100)^2)) +  RCP85_Lin * (0.25*((1 + WEIGHT_SCENARIOS/100)^2))</f>
        <v>123.12461561981884</v>
      </c>
      <c r="D726" s="319">
        <v>127.87774576472447</v>
      </c>
      <c r="E726" s="319">
        <v>132.63087590963011</v>
      </c>
      <c r="F726" s="319">
        <v>137.19476273699667</v>
      </c>
      <c r="G726" s="319">
        <v>133.53947334430896</v>
      </c>
      <c r="H726" s="319">
        <v>129.50417245061405</v>
      </c>
      <c r="I726" s="319">
        <v>146.10169462248371</v>
      </c>
      <c r="J726" s="319">
        <v>153.27199750350101</v>
      </c>
      <c r="K726" s="319">
        <v>147.07759079591196</v>
      </c>
      <c r="L726" s="319">
        <v>140.21436621980183</v>
      </c>
      <c r="M726" s="307" t="str">
        <f t="shared" ref="M726:M733" si="61">M620</f>
        <v>% relative to base year</v>
      </c>
      <c r="N726" s="307"/>
      <c r="O726" s="307"/>
      <c r="P726" s="307"/>
      <c r="Q726" s="312" t="s">
        <v>679</v>
      </c>
      <c r="R726" s="307"/>
      <c r="S726" s="307"/>
    </row>
    <row r="727" spans="1:19" x14ac:dyDescent="0.2">
      <c r="A727" s="307" t="str">
        <f t="shared" si="60"/>
        <v>Annual US Lin emissions</v>
      </c>
      <c r="B727" s="307"/>
      <c r="C727" s="316">
        <v>123.12461561981884</v>
      </c>
      <c r="D727" s="316">
        <v>127.87774576472447</v>
      </c>
      <c r="E727" s="316">
        <v>132.63087590963011</v>
      </c>
      <c r="F727" s="316">
        <v>137.19476273699667</v>
      </c>
      <c r="G727" s="316">
        <v>133.53947334430896</v>
      </c>
      <c r="H727" s="316">
        <v>129.50417245061405</v>
      </c>
      <c r="I727" s="316">
        <v>146.10169462248371</v>
      </c>
      <c r="J727" s="316">
        <v>153.27199750350101</v>
      </c>
      <c r="K727" s="316">
        <v>147.07759079591196</v>
      </c>
      <c r="L727" s="316">
        <v>140.21436621980183</v>
      </c>
      <c r="M727" s="307" t="str">
        <f t="shared" si="61"/>
        <v>% relative to base year</v>
      </c>
      <c r="N727" s="307"/>
      <c r="O727" s="307"/>
      <c r="P727" s="307"/>
      <c r="Q727" s="307"/>
      <c r="R727" s="307"/>
      <c r="S727" s="307"/>
    </row>
    <row r="728" spans="1:19" x14ac:dyDescent="0.2">
      <c r="A728" s="307" t="str">
        <f t="shared" si="60"/>
        <v>Annual OT Lin emissions</v>
      </c>
      <c r="B728" s="307"/>
      <c r="C728" s="316">
        <v>123.12461561981884</v>
      </c>
      <c r="D728" s="316">
        <v>127.87774576472447</v>
      </c>
      <c r="E728" s="316">
        <v>132.63087590963011</v>
      </c>
      <c r="F728" s="316">
        <v>137.19476273699667</v>
      </c>
      <c r="G728" s="316">
        <v>133.53947334430896</v>
      </c>
      <c r="H728" s="316">
        <v>129.50417245061405</v>
      </c>
      <c r="I728" s="316">
        <v>146.10169462248371</v>
      </c>
      <c r="J728" s="316">
        <v>153.27199750350101</v>
      </c>
      <c r="K728" s="316">
        <v>147.07759079591196</v>
      </c>
      <c r="L728" s="316">
        <v>140.21436621980183</v>
      </c>
      <c r="M728" s="307" t="str">
        <f t="shared" si="61"/>
        <v>% relative to base year</v>
      </c>
      <c r="N728" s="307"/>
      <c r="O728" s="307"/>
      <c r="P728" s="307"/>
      <c r="Q728" s="307"/>
      <c r="R728" s="307"/>
      <c r="S728" s="307"/>
    </row>
    <row r="729" spans="1:19" x14ac:dyDescent="0.2">
      <c r="A729" s="307" t="str">
        <f t="shared" si="60"/>
        <v>Annual EE Lin emissions</v>
      </c>
      <c r="B729" s="307"/>
      <c r="C729" s="316">
        <v>123.12461561981884</v>
      </c>
      <c r="D729" s="316">
        <v>127.87774576472447</v>
      </c>
      <c r="E729" s="316">
        <v>132.63087590963011</v>
      </c>
      <c r="F729" s="316">
        <v>137.19476273699667</v>
      </c>
      <c r="G729" s="316">
        <v>133.53947334430896</v>
      </c>
      <c r="H729" s="316">
        <v>129.50417245061405</v>
      </c>
      <c r="I729" s="316">
        <v>146.10169462248371</v>
      </c>
      <c r="J729" s="316">
        <v>153.27199750350101</v>
      </c>
      <c r="K729" s="316">
        <v>147.07759079591196</v>
      </c>
      <c r="L729" s="316">
        <v>140.21436621980183</v>
      </c>
      <c r="M729" s="307" t="str">
        <f t="shared" si="61"/>
        <v>% relative to base year</v>
      </c>
      <c r="N729" s="307"/>
      <c r="O729" s="307"/>
      <c r="P729" s="307"/>
      <c r="Q729" s="307"/>
      <c r="R729" s="307"/>
      <c r="S729" s="307"/>
    </row>
    <row r="730" spans="1:19" x14ac:dyDescent="0.2">
      <c r="A730" s="307" t="str">
        <f t="shared" si="60"/>
        <v>Annual CA Lin emissions</v>
      </c>
      <c r="B730" s="307"/>
      <c r="C730" s="316">
        <v>123.12461561981884</v>
      </c>
      <c r="D730" s="316">
        <v>127.87774576472447</v>
      </c>
      <c r="E730" s="316">
        <v>132.63087590963011</v>
      </c>
      <c r="F730" s="316">
        <v>137.19476273699667</v>
      </c>
      <c r="G730" s="316">
        <v>133.53947334430896</v>
      </c>
      <c r="H730" s="316">
        <v>129.50417245061405</v>
      </c>
      <c r="I730" s="316">
        <v>146.10169462248371</v>
      </c>
      <c r="J730" s="316">
        <v>153.27199750350101</v>
      </c>
      <c r="K730" s="316">
        <v>147.07759079591196</v>
      </c>
      <c r="L730" s="316">
        <v>140.21436621980183</v>
      </c>
      <c r="M730" s="307" t="str">
        <f t="shared" si="61"/>
        <v>% relative to base year</v>
      </c>
      <c r="N730" s="307"/>
      <c r="O730" s="307"/>
      <c r="P730" s="307"/>
      <c r="Q730" s="307"/>
      <c r="R730" s="307"/>
      <c r="S730" s="307"/>
    </row>
    <row r="731" spans="1:19" x14ac:dyDescent="0.2">
      <c r="A731" s="307" t="str">
        <f t="shared" si="60"/>
        <v>Annual IA Lin emissions</v>
      </c>
      <c r="B731" s="307"/>
      <c r="C731" s="316">
        <v>123.12461561981884</v>
      </c>
      <c r="D731" s="316">
        <v>127.87774576472447</v>
      </c>
      <c r="E731" s="316">
        <v>132.63087590963011</v>
      </c>
      <c r="F731" s="316">
        <v>137.19476273699667</v>
      </c>
      <c r="G731" s="316">
        <v>133.53947334430896</v>
      </c>
      <c r="H731" s="316">
        <v>129.50417245061405</v>
      </c>
      <c r="I731" s="316">
        <v>146.10169462248371</v>
      </c>
      <c r="J731" s="316">
        <v>153.27199750350101</v>
      </c>
      <c r="K731" s="316">
        <v>147.07759079591196</v>
      </c>
      <c r="L731" s="316">
        <v>140.21436621980183</v>
      </c>
      <c r="M731" s="307" t="str">
        <f t="shared" si="61"/>
        <v>% relative to base year</v>
      </c>
      <c r="N731" s="307"/>
      <c r="O731" s="307"/>
      <c r="P731" s="307"/>
      <c r="Q731" s="307"/>
      <c r="R731" s="307"/>
      <c r="S731" s="307"/>
    </row>
    <row r="732" spans="1:19" x14ac:dyDescent="0.2">
      <c r="A732" s="307" t="str">
        <f t="shared" si="60"/>
        <v>Annual AF Lin emissions</v>
      </c>
      <c r="B732" s="307"/>
      <c r="C732" s="316">
        <v>123.12461561981884</v>
      </c>
      <c r="D732" s="316">
        <v>127.87774576472447</v>
      </c>
      <c r="E732" s="316">
        <v>132.63087590963011</v>
      </c>
      <c r="F732" s="316">
        <v>137.19476273699667</v>
      </c>
      <c r="G732" s="316">
        <v>133.53947334430896</v>
      </c>
      <c r="H732" s="316">
        <v>129.50417245061405</v>
      </c>
      <c r="I732" s="316">
        <v>146.10169462248371</v>
      </c>
      <c r="J732" s="316">
        <v>153.27199750350101</v>
      </c>
      <c r="K732" s="316">
        <v>147.07759079591196</v>
      </c>
      <c r="L732" s="316">
        <v>140.21436621980183</v>
      </c>
      <c r="M732" s="307" t="str">
        <f t="shared" si="61"/>
        <v>% relative to base year</v>
      </c>
      <c r="N732" s="307"/>
      <c r="O732" s="307"/>
      <c r="P732" s="307"/>
      <c r="Q732" s="307"/>
      <c r="R732" s="307"/>
      <c r="S732" s="307"/>
    </row>
    <row r="733" spans="1:19" ht="13.5" thickBot="1" x14ac:dyDescent="0.25">
      <c r="A733" s="307" t="str">
        <f t="shared" si="60"/>
        <v>Annual LA Lin emissions</v>
      </c>
      <c r="B733" s="307"/>
      <c r="C733" s="320">
        <v>123.12461561981884</v>
      </c>
      <c r="D733" s="320">
        <v>127.87774576472447</v>
      </c>
      <c r="E733" s="320">
        <v>132.63087590963011</v>
      </c>
      <c r="F733" s="320">
        <v>137.19476273699667</v>
      </c>
      <c r="G733" s="320">
        <v>133.53947334430896</v>
      </c>
      <c r="H733" s="320">
        <v>129.50417245061405</v>
      </c>
      <c r="I733" s="320">
        <v>146.10169462248371</v>
      </c>
      <c r="J733" s="320">
        <v>153.27199750350101</v>
      </c>
      <c r="K733" s="320">
        <v>147.07759079591196</v>
      </c>
      <c r="L733" s="320">
        <v>140.21436621980183</v>
      </c>
      <c r="M733" s="307" t="str">
        <f t="shared" si="61"/>
        <v>% relative to base year</v>
      </c>
      <c r="N733" s="307"/>
      <c r="O733" s="307"/>
      <c r="P733" s="307"/>
      <c r="Q733" s="307"/>
      <c r="R733" s="307"/>
      <c r="S733" s="307"/>
    </row>
    <row r="734" spans="1:19" ht="13.5" thickTop="1" x14ac:dyDescent="0.2">
      <c r="A734" s="307"/>
      <c r="B734" s="307"/>
      <c r="C734" s="307"/>
      <c r="D734" s="307"/>
      <c r="E734" s="307"/>
      <c r="F734" s="307"/>
      <c r="G734" s="307"/>
      <c r="H734" s="307"/>
      <c r="I734" s="307"/>
      <c r="J734" s="307"/>
      <c r="K734" s="307"/>
      <c r="L734" s="307"/>
      <c r="M734" s="307"/>
      <c r="N734" s="307"/>
      <c r="O734" s="307"/>
      <c r="P734" s="307"/>
      <c r="Q734" s="307"/>
      <c r="R734" s="307"/>
      <c r="S734" s="307"/>
    </row>
    <row r="735" spans="1:19" x14ac:dyDescent="0.2">
      <c r="A735" s="307" t="str">
        <f t="shared" ref="A735:A742" si="62">A629</f>
        <v>Annual EU sulphates</v>
      </c>
      <c r="B735" s="307"/>
      <c r="C735" s="319">
        <f t="array" ref="C735:L742" xml:space="preserve"> RCP26_sulph * (0.25*((1 - WEIGHT_SCENARIOS/100)^2)) + RCP45_sulph * (0.5*(1 - (WEIGHT_SCENARIOS/100)^2)) +  RCP85_sulph * (0.25*((1 + WEIGHT_SCENARIOS/100)^2))</f>
        <v>78.699283577680092</v>
      </c>
      <c r="D735" s="319">
        <v>64.618866024040585</v>
      </c>
      <c r="E735" s="319">
        <v>50.538448470401065</v>
      </c>
      <c r="F735" s="319">
        <v>53.332771046068459</v>
      </c>
      <c r="G735" s="319">
        <v>57.973070829480143</v>
      </c>
      <c r="H735" s="319">
        <v>68.525857085169889</v>
      </c>
      <c r="I735" s="319">
        <v>78.747903167068301</v>
      </c>
      <c r="J735" s="319">
        <v>84.50851234447785</v>
      </c>
      <c r="K735" s="319">
        <v>78.614739459980697</v>
      </c>
      <c r="L735" s="319">
        <v>63.848748933408167</v>
      </c>
      <c r="M735" s="307" t="str">
        <f t="shared" ref="M735:M742" si="63">M629</f>
        <v>% relative to base year</v>
      </c>
      <c r="N735" s="307"/>
      <c r="O735" s="307"/>
      <c r="P735" s="307"/>
      <c r="Q735" s="312" t="s">
        <v>679</v>
      </c>
      <c r="R735" s="307"/>
      <c r="S735" s="307"/>
    </row>
    <row r="736" spans="1:19" x14ac:dyDescent="0.2">
      <c r="A736" s="307" t="str">
        <f t="shared" si="62"/>
        <v>Annual US sulphates</v>
      </c>
      <c r="B736" s="307"/>
      <c r="C736" s="316">
        <v>84.384708242414376</v>
      </c>
      <c r="D736" s="316">
        <v>70.690088468364848</v>
      </c>
      <c r="E736" s="316">
        <v>56.995468694315306</v>
      </c>
      <c r="F736" s="316">
        <v>56.704478130721775</v>
      </c>
      <c r="G736" s="316">
        <v>45.780661175348328</v>
      </c>
      <c r="H736" s="316">
        <v>42.844213816051109</v>
      </c>
      <c r="I736" s="316">
        <v>41.352455896400144</v>
      </c>
      <c r="J736" s="316">
        <v>40.6755266645186</v>
      </c>
      <c r="K736" s="316">
        <v>38.195216434615702</v>
      </c>
      <c r="L736" s="316">
        <v>34.286840936135121</v>
      </c>
      <c r="M736" s="307" t="str">
        <f t="shared" si="63"/>
        <v>% relative to base year</v>
      </c>
      <c r="N736" s="307"/>
      <c r="O736" s="307"/>
      <c r="P736" s="307"/>
      <c r="Q736" s="312"/>
      <c r="R736" s="307"/>
      <c r="S736" s="307"/>
    </row>
    <row r="737" spans="1:19" x14ac:dyDescent="0.2">
      <c r="A737" s="307" t="str">
        <f t="shared" si="62"/>
        <v>Annual OT sulphates</v>
      </c>
      <c r="B737" s="307"/>
      <c r="C737" s="316">
        <v>75.48124652151968</v>
      </c>
      <c r="D737" s="316">
        <v>60.849967216463455</v>
      </c>
      <c r="E737" s="316">
        <v>46.21868791140723</v>
      </c>
      <c r="F737" s="316">
        <v>38.103122768770341</v>
      </c>
      <c r="G737" s="316">
        <v>28.359048078845021</v>
      </c>
      <c r="H737" s="316">
        <v>26.967625382110569</v>
      </c>
      <c r="I737" s="316">
        <v>25.841058549388638</v>
      </c>
      <c r="J737" s="316">
        <v>25.168486794843389</v>
      </c>
      <c r="K737" s="316">
        <v>25.040376585374055</v>
      </c>
      <c r="L737" s="316">
        <v>24.389097765786929</v>
      </c>
      <c r="M737" s="307" t="str">
        <f t="shared" si="63"/>
        <v>% relative to base year</v>
      </c>
      <c r="N737" s="307"/>
      <c r="O737" s="307"/>
      <c r="P737" s="307"/>
      <c r="Q737" s="312"/>
      <c r="R737" s="307"/>
      <c r="S737" s="307"/>
    </row>
    <row r="738" spans="1:19" x14ac:dyDescent="0.2">
      <c r="A738" s="307" t="str">
        <f t="shared" si="62"/>
        <v>Annual EE sulphates</v>
      </c>
      <c r="B738" s="307"/>
      <c r="C738" s="316">
        <v>77.70637879471083</v>
      </c>
      <c r="D738" s="316">
        <v>63.416316917438266</v>
      </c>
      <c r="E738" s="316">
        <v>49.126255040165695</v>
      </c>
      <c r="F738" s="316">
        <v>38.513312242322009</v>
      </c>
      <c r="G738" s="316">
        <v>32.281459324162391</v>
      </c>
      <c r="H738" s="316">
        <v>29.748437463700597</v>
      </c>
      <c r="I738" s="316">
        <v>26.967969439962747</v>
      </c>
      <c r="J738" s="316">
        <v>24.502894643416049</v>
      </c>
      <c r="K738" s="316">
        <v>23.726335345888423</v>
      </c>
      <c r="L738" s="316">
        <v>22.580620934366014</v>
      </c>
      <c r="M738" s="307" t="str">
        <f t="shared" si="63"/>
        <v>% relative to base year</v>
      </c>
      <c r="N738" s="307"/>
      <c r="O738" s="307"/>
      <c r="P738" s="307"/>
      <c r="Q738" s="312"/>
      <c r="R738" s="307"/>
      <c r="S738" s="307"/>
    </row>
    <row r="739" spans="1:19" x14ac:dyDescent="0.2">
      <c r="A739" s="307" t="str">
        <f t="shared" si="62"/>
        <v>Annual CA sulphates</v>
      </c>
      <c r="B739" s="307"/>
      <c r="C739" s="316">
        <v>58.477322691577072</v>
      </c>
      <c r="D739" s="316">
        <v>50.342442180581898</v>
      </c>
      <c r="E739" s="316">
        <v>42.207561669586724</v>
      </c>
      <c r="F739" s="316">
        <v>42.234777395922222</v>
      </c>
      <c r="G739" s="316">
        <v>34.716683663187979</v>
      </c>
      <c r="H739" s="316">
        <v>29.379749626816643</v>
      </c>
      <c r="I739" s="316">
        <v>24.65183504781313</v>
      </c>
      <c r="J739" s="316">
        <v>20.23326138621708</v>
      </c>
      <c r="K739" s="316">
        <v>16.6785192823661</v>
      </c>
      <c r="L739" s="316">
        <v>13.965794089083333</v>
      </c>
      <c r="M739" s="307" t="str">
        <f t="shared" si="63"/>
        <v>% relative to base year</v>
      </c>
      <c r="N739" s="307"/>
      <c r="O739" s="307"/>
      <c r="P739" s="307"/>
      <c r="Q739" s="312"/>
      <c r="R739" s="307"/>
      <c r="S739" s="307"/>
    </row>
    <row r="740" spans="1:19" x14ac:dyDescent="0.2">
      <c r="A740" s="307" t="str">
        <f t="shared" si="62"/>
        <v>Annual IA sulphates</v>
      </c>
      <c r="B740" s="307"/>
      <c r="C740" s="316">
        <v>117.44714663219484</v>
      </c>
      <c r="D740" s="316">
        <v>131.19891157757456</v>
      </c>
      <c r="E740" s="316">
        <v>144.9506765229543</v>
      </c>
      <c r="F740" s="316">
        <v>147.39309185923449</v>
      </c>
      <c r="G740" s="316">
        <v>93.41179238247625</v>
      </c>
      <c r="H740" s="316">
        <v>86.453408446836647</v>
      </c>
      <c r="I740" s="316">
        <v>72.079151249928955</v>
      </c>
      <c r="J740" s="316">
        <v>52.770294856406608</v>
      </c>
      <c r="K740" s="316">
        <v>33.989445330097688</v>
      </c>
      <c r="L740" s="316">
        <v>17.977402784899731</v>
      </c>
      <c r="M740" s="307" t="str">
        <f t="shared" si="63"/>
        <v>% relative to base year</v>
      </c>
      <c r="N740" s="307"/>
      <c r="O740" s="307"/>
      <c r="P740" s="307"/>
      <c r="Q740" s="312"/>
      <c r="R740" s="307"/>
      <c r="S740" s="307"/>
    </row>
    <row r="741" spans="1:19" x14ac:dyDescent="0.2">
      <c r="A741" s="307" t="str">
        <f t="shared" si="62"/>
        <v>Annual AF sulphates</v>
      </c>
      <c r="B741" s="307"/>
      <c r="C741" s="316">
        <v>81.912360867241247</v>
      </c>
      <c r="D741" s="316">
        <v>70.707811478594323</v>
      </c>
      <c r="E741" s="316">
        <v>59.503262089947405</v>
      </c>
      <c r="F741" s="316">
        <v>65.972140461589476</v>
      </c>
      <c r="G741" s="316">
        <v>65.428720292620298</v>
      </c>
      <c r="H741" s="316">
        <v>83.322186889284822</v>
      </c>
      <c r="I741" s="316">
        <v>91.920016645357975</v>
      </c>
      <c r="J741" s="316">
        <v>84.783365081206867</v>
      </c>
      <c r="K741" s="316">
        <v>65.088317853152034</v>
      </c>
      <c r="L741" s="316">
        <v>40.1980157421565</v>
      </c>
      <c r="M741" s="307" t="str">
        <f t="shared" si="63"/>
        <v>% relative to base year</v>
      </c>
      <c r="N741" s="307"/>
      <c r="O741" s="307"/>
      <c r="P741" s="307"/>
      <c r="Q741" s="312"/>
      <c r="R741" s="307"/>
      <c r="S741" s="307"/>
    </row>
    <row r="742" spans="1:19" ht="13.5" thickBot="1" x14ac:dyDescent="0.25">
      <c r="A742" s="307" t="str">
        <f t="shared" si="62"/>
        <v>Annual LA sulphates</v>
      </c>
      <c r="B742" s="307"/>
      <c r="C742" s="320">
        <v>94.750253560799905</v>
      </c>
      <c r="D742" s="320">
        <v>93.945787548332987</v>
      </c>
      <c r="E742" s="320">
        <v>93.141321535866069</v>
      </c>
      <c r="F742" s="320">
        <v>92.3856794191978</v>
      </c>
      <c r="G742" s="320">
        <v>76.716567948742735</v>
      </c>
      <c r="H742" s="320">
        <v>71.932919196716043</v>
      </c>
      <c r="I742" s="320">
        <v>64.184544023229392</v>
      </c>
      <c r="J742" s="320">
        <v>55.846847803461429</v>
      </c>
      <c r="K742" s="320">
        <v>48.673846994674065</v>
      </c>
      <c r="L742" s="320">
        <v>39.651532686088672</v>
      </c>
      <c r="M742" s="307" t="str">
        <f t="shared" si="63"/>
        <v>% relative to base year</v>
      </c>
      <c r="N742" s="307"/>
      <c r="O742" s="307"/>
      <c r="P742" s="307"/>
      <c r="Q742" s="312"/>
      <c r="R742" s="307"/>
      <c r="S742" s="307"/>
    </row>
    <row r="743" spans="1:19" ht="13.5" thickTop="1" x14ac:dyDescent="0.2">
      <c r="A743" s="307"/>
      <c r="B743" s="307"/>
      <c r="C743" s="316"/>
      <c r="D743" s="316"/>
      <c r="E743" s="316"/>
      <c r="F743" s="316"/>
      <c r="G743" s="316"/>
      <c r="H743" s="316"/>
      <c r="I743" s="316"/>
      <c r="J743" s="316"/>
      <c r="K743" s="316"/>
      <c r="L743" s="316"/>
      <c r="M743" s="307"/>
      <c r="N743" s="307"/>
      <c r="O743" s="307"/>
      <c r="P743" s="307"/>
      <c r="Q743" s="312"/>
      <c r="R743" s="307"/>
      <c r="S743" s="307"/>
    </row>
    <row r="744" spans="1:19" ht="13.5" thickBot="1" x14ac:dyDescent="0.25">
      <c r="A744" s="307" t="s">
        <v>35</v>
      </c>
      <c r="B744" s="307"/>
      <c r="C744" s="311">
        <f t="array" ref="C744:L744" xml:space="preserve"> RCP26_Excess * (0.25*((1 - WEIGHT_SCENARIOS/100)^2)) + RCP45_Excess * (0.5*(1 - (WEIGHT_SCENARIOS/100)^2)) +  RCP85_Excess * (0.25*((1 + WEIGHT_SCENARIOS/100)^2))</f>
        <v>0.94169999999999998</v>
      </c>
      <c r="D744" s="311">
        <v>0.89269999999999994</v>
      </c>
      <c r="E744" s="311">
        <v>0.84369999999999989</v>
      </c>
      <c r="F744" s="311">
        <v>0.80619999999999992</v>
      </c>
      <c r="G744" s="311">
        <v>0.65669999999999995</v>
      </c>
      <c r="H744" s="311">
        <v>0.60880000000000001</v>
      </c>
      <c r="I744" s="311">
        <v>0.54899999999999993</v>
      </c>
      <c r="J744" s="311">
        <v>0.478825</v>
      </c>
      <c r="K744" s="311">
        <v>0.39059999999999995</v>
      </c>
      <c r="L744" s="311">
        <v>0.30300000000000005</v>
      </c>
      <c r="M744" s="307" t="str">
        <f>M638</f>
        <v>W/m2</v>
      </c>
      <c r="N744" s="307"/>
      <c r="O744" s="307"/>
      <c r="P744" s="307"/>
      <c r="Q744" s="312" t="s">
        <v>679</v>
      </c>
      <c r="R744" s="307"/>
      <c r="S744" s="307"/>
    </row>
    <row r="745" spans="1:19" ht="13.5" thickTop="1" x14ac:dyDescent="0.2">
      <c r="A745" s="307"/>
      <c r="B745" s="307"/>
      <c r="C745" s="307"/>
      <c r="D745" s="307"/>
      <c r="E745" s="307"/>
      <c r="F745" s="307"/>
      <c r="G745" s="307"/>
      <c r="H745" s="307"/>
      <c r="I745" s="307"/>
      <c r="J745" s="307"/>
      <c r="K745" s="307"/>
      <c r="L745" s="307"/>
      <c r="M745" s="307"/>
      <c r="N745" s="307"/>
      <c r="O745" s="307"/>
      <c r="P745" s="307"/>
      <c r="Q745" s="307"/>
      <c r="R745" s="307"/>
      <c r="S745" s="307"/>
    </row>
    <row r="746" spans="1:19" x14ac:dyDescent="0.2">
      <c r="A746" s="307"/>
      <c r="B746" s="307"/>
      <c r="C746" s="307"/>
      <c r="D746" s="307"/>
      <c r="E746" s="307"/>
      <c r="F746" s="307"/>
      <c r="G746" s="307"/>
      <c r="H746" s="307"/>
      <c r="I746" s="307"/>
      <c r="J746" s="307"/>
      <c r="K746" s="307"/>
      <c r="L746" s="307"/>
      <c r="M746" s="307"/>
      <c r="N746" s="307"/>
      <c r="O746" s="307"/>
      <c r="P746" s="307"/>
      <c r="Q746" s="307"/>
      <c r="R746" s="307"/>
      <c r="S746" s="307"/>
    </row>
    <row r="747" spans="1:19" x14ac:dyDescent="0.2">
      <c r="A747" s="306" t="s">
        <v>1013</v>
      </c>
      <c r="B747" s="307"/>
      <c r="C747" s="307"/>
      <c r="D747" s="307"/>
      <c r="E747" s="307"/>
      <c r="F747" s="307"/>
      <c r="G747" s="307"/>
      <c r="H747" s="307"/>
      <c r="I747" s="307"/>
      <c r="J747" s="307"/>
      <c r="K747" s="307"/>
      <c r="L747" s="307"/>
      <c r="M747" s="307"/>
      <c r="N747" s="307"/>
      <c r="O747" s="307"/>
      <c r="P747" s="307"/>
      <c r="Q747" s="307"/>
      <c r="R747" s="307"/>
      <c r="S747" s="307"/>
    </row>
    <row r="748" spans="1:19" x14ac:dyDescent="0.2">
      <c r="A748" s="307"/>
      <c r="B748" s="307"/>
      <c r="C748" s="307">
        <f t="array" ref="C748:L748">Y</f>
        <v>2020</v>
      </c>
      <c r="D748" s="307">
        <v>2025</v>
      </c>
      <c r="E748" s="307">
        <v>2030</v>
      </c>
      <c r="F748" s="307">
        <v>2040</v>
      </c>
      <c r="G748" s="307">
        <v>2050</v>
      </c>
      <c r="H748" s="307">
        <v>2060</v>
      </c>
      <c r="I748" s="307">
        <v>2070</v>
      </c>
      <c r="J748" s="307">
        <v>2080</v>
      </c>
      <c r="K748" s="307">
        <v>2090</v>
      </c>
      <c r="L748" s="307">
        <v>2100</v>
      </c>
      <c r="M748" s="307"/>
      <c r="N748" s="307"/>
      <c r="O748" s="307"/>
      <c r="P748" s="307"/>
      <c r="Q748" s="307"/>
      <c r="R748" s="307"/>
      <c r="S748" s="307"/>
    </row>
    <row r="749" spans="1:19" x14ac:dyDescent="0.2">
      <c r="A749" s="307" t="s">
        <v>973</v>
      </c>
      <c r="B749" s="307"/>
      <c r="C749" s="319">
        <f t="array" ref="C749:L756" xml:space="preserve"> RCP26_CO2 * (0.25*((1 - WEIGHT_SCENARIOS_B/100)^2)) + RCP45_CO2 * (0.5*(1 - (WEIGHT_SCENARIOS_B/100)^2)) +  RCP85_CO2 * (0.25*((1 + WEIGHT_SCENARIOS_B/100)^2))</f>
        <v>107.16228902438117</v>
      </c>
      <c r="D749" s="319">
        <v>115.05200385511202</v>
      </c>
      <c r="E749" s="319">
        <v>122.94171868584287</v>
      </c>
      <c r="F749" s="319">
        <v>146.42527623948524</v>
      </c>
      <c r="G749" s="319">
        <v>158.94553235026686</v>
      </c>
      <c r="H749" s="319">
        <v>168.44448712849953</v>
      </c>
      <c r="I749" s="319">
        <v>187.55666792138433</v>
      </c>
      <c r="J749" s="319">
        <v>205.84606516984331</v>
      </c>
      <c r="K749" s="319">
        <v>211.61231142544631</v>
      </c>
      <c r="L749" s="319">
        <v>220.6522741838771</v>
      </c>
      <c r="M749" s="307" t="s">
        <v>477</v>
      </c>
      <c r="N749" s="307"/>
      <c r="O749" s="307"/>
      <c r="P749" s="307"/>
      <c r="Q749" s="312" t="s">
        <v>679</v>
      </c>
      <c r="R749" s="307"/>
      <c r="S749" s="307"/>
    </row>
    <row r="750" spans="1:19" x14ac:dyDescent="0.2">
      <c r="A750" s="307" t="s">
        <v>974</v>
      </c>
      <c r="B750" s="307"/>
      <c r="C750" s="316">
        <v>106.62881982252256</v>
      </c>
      <c r="D750" s="316">
        <v>122.44446615330868</v>
      </c>
      <c r="E750" s="316">
        <v>138.2601124840948</v>
      </c>
      <c r="F750" s="316">
        <v>172.04080704492984</v>
      </c>
      <c r="G750" s="316">
        <v>187.58148387066512</v>
      </c>
      <c r="H750" s="316">
        <v>195.80341368037784</v>
      </c>
      <c r="I750" s="316">
        <v>202.39228568031427</v>
      </c>
      <c r="J750" s="316">
        <v>218.1823317536396</v>
      </c>
      <c r="K750" s="316">
        <v>211.66564625940521</v>
      </c>
      <c r="L750" s="316">
        <v>197.87434755288871</v>
      </c>
      <c r="M750" s="307" t="s">
        <v>477</v>
      </c>
      <c r="N750" s="307"/>
      <c r="O750" s="307"/>
      <c r="P750" s="307"/>
      <c r="Q750" s="312"/>
      <c r="R750" s="307"/>
      <c r="S750" s="307"/>
    </row>
    <row r="751" spans="1:19" x14ac:dyDescent="0.2">
      <c r="A751" s="307" t="s">
        <v>975</v>
      </c>
      <c r="B751" s="307"/>
      <c r="C751" s="316">
        <v>107.16228902438117</v>
      </c>
      <c r="D751" s="316">
        <v>115.05200385511202</v>
      </c>
      <c r="E751" s="316">
        <v>122.94171868584287</v>
      </c>
      <c r="F751" s="316">
        <v>146.42527623948524</v>
      </c>
      <c r="G751" s="316">
        <v>158.94553235026686</v>
      </c>
      <c r="H751" s="316">
        <v>168.44448712849953</v>
      </c>
      <c r="I751" s="316">
        <v>187.55666792138433</v>
      </c>
      <c r="J751" s="316">
        <v>205.84606516984331</v>
      </c>
      <c r="K751" s="316">
        <v>211.61231142544631</v>
      </c>
      <c r="L751" s="316">
        <v>220.6522741838771</v>
      </c>
      <c r="M751" s="307" t="s">
        <v>477</v>
      </c>
      <c r="N751" s="307"/>
      <c r="O751" s="307"/>
      <c r="P751" s="307"/>
      <c r="Q751" s="312"/>
      <c r="R751" s="307"/>
      <c r="S751" s="307"/>
    </row>
    <row r="752" spans="1:19" x14ac:dyDescent="0.2">
      <c r="A752" s="307" t="s">
        <v>976</v>
      </c>
      <c r="B752" s="307"/>
      <c r="C752" s="316">
        <v>105.58593943244279</v>
      </c>
      <c r="D752" s="316">
        <v>113.80564784269411</v>
      </c>
      <c r="E752" s="316">
        <v>122.02535625294544</v>
      </c>
      <c r="F752" s="316">
        <v>150.16305748736551</v>
      </c>
      <c r="G752" s="316">
        <v>161.29126992599379</v>
      </c>
      <c r="H752" s="316">
        <v>165.74558171707886</v>
      </c>
      <c r="I752" s="316">
        <v>169.74461270212402</v>
      </c>
      <c r="J752" s="316">
        <v>161.23970557220483</v>
      </c>
      <c r="K752" s="316">
        <v>141.52421105345337</v>
      </c>
      <c r="L752" s="316">
        <v>121.37667386159185</v>
      </c>
      <c r="M752" s="307" t="s">
        <v>477</v>
      </c>
      <c r="N752" s="307"/>
      <c r="O752" s="307"/>
      <c r="P752" s="307"/>
      <c r="Q752" s="312"/>
      <c r="R752" s="307"/>
      <c r="S752" s="307"/>
    </row>
    <row r="753" spans="1:19" x14ac:dyDescent="0.2">
      <c r="A753" s="307" t="s">
        <v>977</v>
      </c>
      <c r="B753" s="307"/>
      <c r="C753" s="316">
        <v>108.63173056885</v>
      </c>
      <c r="D753" s="316">
        <v>121.18295083959941</v>
      </c>
      <c r="E753" s="316">
        <v>133.73417111034883</v>
      </c>
      <c r="F753" s="316">
        <v>158.19260350872742</v>
      </c>
      <c r="G753" s="316">
        <v>152.98008236018546</v>
      </c>
      <c r="H753" s="316">
        <v>142.05822182895929</v>
      </c>
      <c r="I753" s="316">
        <v>135.59116527804903</v>
      </c>
      <c r="J753" s="316">
        <v>124.96419665929733</v>
      </c>
      <c r="K753" s="316">
        <v>104.36213170186269</v>
      </c>
      <c r="L753" s="316">
        <v>81.984598985754729</v>
      </c>
      <c r="M753" s="307" t="s">
        <v>477</v>
      </c>
      <c r="N753" s="307"/>
      <c r="O753" s="307"/>
      <c r="P753" s="307"/>
      <c r="Q753" s="312"/>
      <c r="R753" s="307"/>
      <c r="S753" s="307"/>
    </row>
    <row r="754" spans="1:19" x14ac:dyDescent="0.2">
      <c r="A754" s="307" t="s">
        <v>978</v>
      </c>
      <c r="B754" s="307"/>
      <c r="C754" s="316">
        <v>121.49842366054355</v>
      </c>
      <c r="D754" s="316">
        <v>147.70741522507515</v>
      </c>
      <c r="E754" s="316">
        <v>173.91640678960673</v>
      </c>
      <c r="F754" s="316">
        <v>247.59318385181524</v>
      </c>
      <c r="G754" s="316">
        <v>304.32247031105618</v>
      </c>
      <c r="H754" s="316">
        <v>348.63690307060597</v>
      </c>
      <c r="I754" s="316">
        <v>406.23734777465893</v>
      </c>
      <c r="J754" s="316">
        <v>466.36623664617355</v>
      </c>
      <c r="K754" s="316">
        <v>482.61090185381141</v>
      </c>
      <c r="L754" s="316">
        <v>470.59565735608282</v>
      </c>
      <c r="M754" s="307" t="s">
        <v>477</v>
      </c>
      <c r="N754" s="307"/>
      <c r="O754" s="307"/>
      <c r="P754" s="307"/>
      <c r="Q754" s="312"/>
      <c r="R754" s="307"/>
      <c r="S754" s="307"/>
    </row>
    <row r="755" spans="1:19" x14ac:dyDescent="0.2">
      <c r="A755" s="307" t="s">
        <v>979</v>
      </c>
      <c r="B755" s="307"/>
      <c r="C755" s="316">
        <v>121.33505979324504</v>
      </c>
      <c r="D755" s="316">
        <v>142.05640586165907</v>
      </c>
      <c r="E755" s="316">
        <v>162.77775193007312</v>
      </c>
      <c r="F755" s="316">
        <v>244.3853857744906</v>
      </c>
      <c r="G755" s="316">
        <v>323.76958588975469</v>
      </c>
      <c r="H755" s="316">
        <v>411.54456878024189</v>
      </c>
      <c r="I755" s="316">
        <v>525.57831654399843</v>
      </c>
      <c r="J755" s="316">
        <v>642.13891423631537</v>
      </c>
      <c r="K755" s="316">
        <v>695.62106030953214</v>
      </c>
      <c r="L755" s="316">
        <v>718.57511526408689</v>
      </c>
      <c r="M755" s="307" t="s">
        <v>477</v>
      </c>
      <c r="N755" s="307"/>
      <c r="O755" s="307"/>
      <c r="P755" s="307"/>
      <c r="Q755" s="312"/>
      <c r="R755" s="307"/>
      <c r="S755" s="307"/>
    </row>
    <row r="756" spans="1:19" ht="13.5" thickBot="1" x14ac:dyDescent="0.25">
      <c r="A756" s="307" t="s">
        <v>980</v>
      </c>
      <c r="B756" s="307"/>
      <c r="C756" s="320">
        <v>117.86187000299137</v>
      </c>
      <c r="D756" s="320">
        <v>142.05725578787218</v>
      </c>
      <c r="E756" s="320">
        <v>166.25264157275302</v>
      </c>
      <c r="F756" s="320">
        <v>221.65623261065122</v>
      </c>
      <c r="G756" s="320">
        <v>243.59482267823046</v>
      </c>
      <c r="H756" s="320">
        <v>236.23459149571727</v>
      </c>
      <c r="I756" s="320">
        <v>237.75075507970013</v>
      </c>
      <c r="J756" s="320">
        <v>235.93274724638491</v>
      </c>
      <c r="K756" s="320">
        <v>224.91082179046902</v>
      </c>
      <c r="L756" s="320">
        <v>210.22013910406858</v>
      </c>
      <c r="M756" s="307" t="s">
        <v>477</v>
      </c>
      <c r="N756" s="307"/>
      <c r="O756" s="307"/>
      <c r="P756" s="307"/>
      <c r="Q756" s="312"/>
      <c r="R756" s="307"/>
      <c r="S756" s="307"/>
    </row>
    <row r="757" spans="1:19" ht="13.5" thickTop="1" x14ac:dyDescent="0.2">
      <c r="A757" s="307"/>
      <c r="B757" s="307"/>
      <c r="C757" s="307"/>
      <c r="D757" s="307"/>
      <c r="E757" s="307"/>
      <c r="F757" s="307"/>
      <c r="G757" s="307"/>
      <c r="H757" s="307"/>
      <c r="I757" s="307"/>
      <c r="J757" s="307"/>
      <c r="K757" s="307"/>
      <c r="L757" s="307"/>
      <c r="M757" s="307"/>
      <c r="N757" s="307"/>
      <c r="O757" s="307"/>
      <c r="P757" s="307"/>
      <c r="Q757" s="312"/>
      <c r="R757" s="307"/>
      <c r="S757" s="307"/>
    </row>
    <row r="758" spans="1:19" x14ac:dyDescent="0.2">
      <c r="A758" s="307" t="s">
        <v>981</v>
      </c>
      <c r="B758" s="307"/>
      <c r="C758" s="319">
        <f t="array" ref="C758:L765" xml:space="preserve"> RCP26_CH4 * (0.25*((1 - WEIGHT_SCENARIOS_B/100)^2)) + RCP45_CH4 * (0.5*(1 - (WEIGHT_SCENARIOS_B/100)^2)) +  RCP85_CH4 * (0.25*((1 + WEIGHT_SCENARIOS_B/100)^2))</f>
        <v>99.875801476282646</v>
      </c>
      <c r="D758" s="319">
        <v>106.44454520492664</v>
      </c>
      <c r="E758" s="319">
        <v>113.01328893357065</v>
      </c>
      <c r="F758" s="319">
        <v>133.53088191023232</v>
      </c>
      <c r="G758" s="319">
        <v>130.38586272114557</v>
      </c>
      <c r="H758" s="319">
        <v>138.44967845849777</v>
      </c>
      <c r="I758" s="319">
        <v>150.49294488972654</v>
      </c>
      <c r="J758" s="319">
        <v>155.8801940176092</v>
      </c>
      <c r="K758" s="319">
        <v>176.30866866911737</v>
      </c>
      <c r="L758" s="319">
        <v>164.51590251628539</v>
      </c>
      <c r="M758" s="307" t="s">
        <v>477</v>
      </c>
      <c r="N758" s="307"/>
      <c r="O758" s="307"/>
      <c r="P758" s="307"/>
      <c r="Q758" s="312" t="s">
        <v>679</v>
      </c>
      <c r="R758" s="307"/>
      <c r="S758" s="307"/>
    </row>
    <row r="759" spans="1:19" x14ac:dyDescent="0.2">
      <c r="A759" s="307" t="s">
        <v>982</v>
      </c>
      <c r="B759" s="307"/>
      <c r="C759" s="316">
        <v>95.688690750316368</v>
      </c>
      <c r="D759" s="316">
        <v>103.70907513080405</v>
      </c>
      <c r="E759" s="316">
        <v>111.72945951129175</v>
      </c>
      <c r="F759" s="316">
        <v>132.5640380293141</v>
      </c>
      <c r="G759" s="316">
        <v>129.62163713891636</v>
      </c>
      <c r="H759" s="316">
        <v>136.9148540672667</v>
      </c>
      <c r="I759" s="316">
        <v>132.06716770048226</v>
      </c>
      <c r="J759" s="316">
        <v>140.87879796051487</v>
      </c>
      <c r="K759" s="316">
        <v>147.02651889163042</v>
      </c>
      <c r="L759" s="316">
        <v>144.00715756949671</v>
      </c>
      <c r="M759" s="307" t="s">
        <v>477</v>
      </c>
      <c r="N759" s="307"/>
      <c r="O759" s="307"/>
      <c r="P759" s="307"/>
      <c r="Q759" s="307"/>
      <c r="R759" s="307"/>
      <c r="S759" s="307"/>
    </row>
    <row r="760" spans="1:19" x14ac:dyDescent="0.2">
      <c r="A760" s="307" t="s">
        <v>983</v>
      </c>
      <c r="B760" s="307"/>
      <c r="C760" s="316">
        <v>100.39252828290462</v>
      </c>
      <c r="D760" s="316">
        <v>104.29633808872731</v>
      </c>
      <c r="E760" s="316">
        <v>108.20014789455</v>
      </c>
      <c r="F760" s="316">
        <v>132.52630849713995</v>
      </c>
      <c r="G760" s="316">
        <v>134.14906538761323</v>
      </c>
      <c r="H760" s="316">
        <v>134.18571157966866</v>
      </c>
      <c r="I760" s="316">
        <v>122.31415300751564</v>
      </c>
      <c r="J760" s="316">
        <v>110.94782202850104</v>
      </c>
      <c r="K760" s="316">
        <v>109.72758177929288</v>
      </c>
      <c r="L760" s="316">
        <v>149.58069471737474</v>
      </c>
      <c r="M760" s="307" t="s">
        <v>477</v>
      </c>
      <c r="N760" s="307"/>
      <c r="O760" s="307"/>
      <c r="P760" s="307"/>
      <c r="Q760" s="307"/>
      <c r="R760" s="307"/>
      <c r="S760" s="307"/>
    </row>
    <row r="761" spans="1:19" x14ac:dyDescent="0.2">
      <c r="A761" s="307" t="s">
        <v>984</v>
      </c>
      <c r="B761" s="307"/>
      <c r="C761" s="316">
        <v>102.89655168069585</v>
      </c>
      <c r="D761" s="316">
        <v>107.64619471186782</v>
      </c>
      <c r="E761" s="316">
        <v>112.39583774303978</v>
      </c>
      <c r="F761" s="316">
        <v>130.15654313041583</v>
      </c>
      <c r="G761" s="316">
        <v>128.95583823099278</v>
      </c>
      <c r="H761" s="316">
        <v>139.67860635515819</v>
      </c>
      <c r="I761" s="316">
        <v>156.10043833496485</v>
      </c>
      <c r="J761" s="316">
        <v>171.21217148790265</v>
      </c>
      <c r="K761" s="316">
        <v>175.83014197789467</v>
      </c>
      <c r="L761" s="316">
        <v>173.11309279351312</v>
      </c>
      <c r="M761" s="307" t="s">
        <v>477</v>
      </c>
      <c r="N761" s="307"/>
      <c r="O761" s="307"/>
      <c r="P761" s="307"/>
      <c r="Q761" s="307"/>
      <c r="R761" s="307"/>
      <c r="S761" s="307"/>
    </row>
    <row r="762" spans="1:19" x14ac:dyDescent="0.2">
      <c r="A762" s="307" t="s">
        <v>985</v>
      </c>
      <c r="B762" s="307"/>
      <c r="C762" s="316">
        <v>84.753028617293509</v>
      </c>
      <c r="D762" s="316">
        <v>76.169992778264856</v>
      </c>
      <c r="E762" s="316">
        <v>67.586956939236188</v>
      </c>
      <c r="F762" s="316">
        <v>65.194391665077404</v>
      </c>
      <c r="G762" s="316">
        <v>51.834791539811647</v>
      </c>
      <c r="H762" s="316">
        <v>48.830798036688826</v>
      </c>
      <c r="I762" s="316">
        <v>46.816078345513915</v>
      </c>
      <c r="J762" s="316">
        <v>38.758936522250949</v>
      </c>
      <c r="K762" s="316">
        <v>32.513579858723787</v>
      </c>
      <c r="L762" s="316">
        <v>28.028672372318422</v>
      </c>
      <c r="M762" s="307" t="s">
        <v>477</v>
      </c>
      <c r="N762" s="307"/>
      <c r="O762" s="307"/>
      <c r="P762" s="307"/>
      <c r="Q762" s="307"/>
      <c r="R762" s="307"/>
      <c r="S762" s="307"/>
    </row>
    <row r="763" spans="1:19" x14ac:dyDescent="0.2">
      <c r="A763" s="307" t="s">
        <v>986</v>
      </c>
      <c r="B763" s="307"/>
      <c r="C763" s="316">
        <v>99.638985490290764</v>
      </c>
      <c r="D763" s="316">
        <v>101.60711946714721</v>
      </c>
      <c r="E763" s="316">
        <v>103.57525344400366</v>
      </c>
      <c r="F763" s="316">
        <v>109.4344455434327</v>
      </c>
      <c r="G763" s="316">
        <v>98.337012600341822</v>
      </c>
      <c r="H763" s="316">
        <v>77.449925243830137</v>
      </c>
      <c r="I763" s="316">
        <v>65.717377036754883</v>
      </c>
      <c r="J763" s="316">
        <v>51.206923668625947</v>
      </c>
      <c r="K763" s="316">
        <v>43.948544309515441</v>
      </c>
      <c r="L763" s="316">
        <v>38.415880096624328</v>
      </c>
      <c r="M763" s="307" t="s">
        <v>477</v>
      </c>
      <c r="N763" s="307"/>
      <c r="O763" s="307"/>
      <c r="P763" s="307"/>
      <c r="Q763" s="307"/>
      <c r="R763" s="307"/>
      <c r="S763" s="307"/>
    </row>
    <row r="764" spans="1:19" x14ac:dyDescent="0.2">
      <c r="A764" s="307" t="s">
        <v>987</v>
      </c>
      <c r="B764" s="307"/>
      <c r="C764" s="316">
        <v>122.01528518915242</v>
      </c>
      <c r="D764" s="316">
        <v>155.78227878288931</v>
      </c>
      <c r="E764" s="316">
        <v>189.54927237662622</v>
      </c>
      <c r="F764" s="316">
        <v>275.94000656195806</v>
      </c>
      <c r="G764" s="316">
        <v>287.13297880943918</v>
      </c>
      <c r="H764" s="316">
        <v>288.55939137529572</v>
      </c>
      <c r="I764" s="316">
        <v>294.87116790659502</v>
      </c>
      <c r="J764" s="316">
        <v>284.96552661119421</v>
      </c>
      <c r="K764" s="316">
        <v>239.08589818967616</v>
      </c>
      <c r="L764" s="316">
        <v>211.13666254946958</v>
      </c>
      <c r="M764" s="307" t="s">
        <v>477</v>
      </c>
      <c r="N764" s="307"/>
      <c r="O764" s="307"/>
      <c r="P764" s="307"/>
      <c r="Q764" s="307"/>
      <c r="R764" s="307"/>
      <c r="S764" s="307"/>
    </row>
    <row r="765" spans="1:19" ht="13.5" thickBot="1" x14ac:dyDescent="0.25">
      <c r="A765" s="307" t="s">
        <v>988</v>
      </c>
      <c r="B765" s="307"/>
      <c r="C765" s="320">
        <v>109.86411672565421</v>
      </c>
      <c r="D765" s="320">
        <v>116.13216806842394</v>
      </c>
      <c r="E765" s="320">
        <v>122.40021941119367</v>
      </c>
      <c r="F765" s="320">
        <v>128.71460163163425</v>
      </c>
      <c r="G765" s="320">
        <v>93.852984415446528</v>
      </c>
      <c r="H765" s="320">
        <v>83.193700627732923</v>
      </c>
      <c r="I765" s="320">
        <v>79.190118373537445</v>
      </c>
      <c r="J765" s="320">
        <v>72.879796340050405</v>
      </c>
      <c r="K765" s="320">
        <v>58.849579069130385</v>
      </c>
      <c r="L765" s="320">
        <v>51.9558589035057</v>
      </c>
      <c r="M765" s="307" t="s">
        <v>477</v>
      </c>
      <c r="N765" s="307"/>
      <c r="O765" s="307"/>
      <c r="P765" s="307"/>
      <c r="Q765" s="307"/>
      <c r="R765" s="307"/>
      <c r="S765" s="307"/>
    </row>
    <row r="766" spans="1:19" ht="13.5" thickTop="1" x14ac:dyDescent="0.2">
      <c r="A766" s="307"/>
      <c r="B766" s="307"/>
      <c r="C766" s="307"/>
      <c r="D766" s="307"/>
      <c r="E766" s="307"/>
      <c r="F766" s="307"/>
      <c r="G766" s="307"/>
      <c r="H766" s="307"/>
      <c r="I766" s="307"/>
      <c r="J766" s="307"/>
      <c r="K766" s="307"/>
      <c r="L766" s="307"/>
      <c r="M766" s="307"/>
      <c r="N766" s="307"/>
      <c r="O766" s="307"/>
      <c r="P766" s="307"/>
      <c r="Q766" s="307"/>
      <c r="R766" s="307"/>
      <c r="S766" s="307"/>
    </row>
    <row r="767" spans="1:19" x14ac:dyDescent="0.2">
      <c r="A767" s="307" t="s">
        <v>989</v>
      </c>
      <c r="B767" s="307"/>
      <c r="C767" s="319">
        <f t="array" ref="C767:L774" xml:space="preserve"> RCP26_N2O * (0.25*((1 - WEIGHT_SCENARIOS_B/100)^2)) + RCP45_N2O * (0.5*(1 - (WEIGHT_SCENARIOS_B/100)^2)) +  RCP85_N2O * (0.25*((1 + WEIGHT_SCENARIOS_B/100)^2))</f>
        <v>107.63919108759174</v>
      </c>
      <c r="D767" s="319">
        <v>111.83227945915688</v>
      </c>
      <c r="E767" s="319">
        <v>116.02536783072202</v>
      </c>
      <c r="F767" s="319">
        <v>122.75100576642203</v>
      </c>
      <c r="G767" s="319">
        <v>112.87181655811041</v>
      </c>
      <c r="H767" s="319">
        <v>120.46093761410208</v>
      </c>
      <c r="I767" s="319">
        <v>121.72629631105389</v>
      </c>
      <c r="J767" s="319">
        <v>121.10109449541284</v>
      </c>
      <c r="K767" s="319">
        <v>118.1469013761468</v>
      </c>
      <c r="L767" s="319">
        <v>113.89985137614678</v>
      </c>
      <c r="M767" s="307" t="s">
        <v>477</v>
      </c>
      <c r="N767" s="307"/>
      <c r="O767" s="307"/>
      <c r="P767" s="307"/>
      <c r="Q767" s="312" t="s">
        <v>679</v>
      </c>
      <c r="R767" s="307"/>
      <c r="S767" s="307"/>
    </row>
    <row r="768" spans="1:19" x14ac:dyDescent="0.2">
      <c r="A768" s="307" t="s">
        <v>990</v>
      </c>
      <c r="B768" s="307"/>
      <c r="C768" s="316">
        <v>107.63919108759174</v>
      </c>
      <c r="D768" s="316">
        <v>111.83227945915688</v>
      </c>
      <c r="E768" s="316">
        <v>116.02536783072202</v>
      </c>
      <c r="F768" s="316">
        <v>122.75100576642203</v>
      </c>
      <c r="G768" s="316">
        <v>112.87181655811041</v>
      </c>
      <c r="H768" s="316">
        <v>120.46093761410208</v>
      </c>
      <c r="I768" s="316">
        <v>121.72629631105389</v>
      </c>
      <c r="J768" s="316">
        <v>121.10109449541284</v>
      </c>
      <c r="K768" s="316">
        <v>118.1469013761468</v>
      </c>
      <c r="L768" s="316">
        <v>113.89985137614678</v>
      </c>
      <c r="M768" s="307" t="s">
        <v>477</v>
      </c>
      <c r="N768" s="307"/>
      <c r="O768" s="307"/>
      <c r="P768" s="307"/>
      <c r="Q768" s="312"/>
      <c r="R768" s="307"/>
      <c r="S768" s="307"/>
    </row>
    <row r="769" spans="1:19" x14ac:dyDescent="0.2">
      <c r="A769" s="307" t="s">
        <v>991</v>
      </c>
      <c r="B769" s="307"/>
      <c r="C769" s="316">
        <v>107.63919108759174</v>
      </c>
      <c r="D769" s="316">
        <v>111.83227945915688</v>
      </c>
      <c r="E769" s="316">
        <v>116.02536783072202</v>
      </c>
      <c r="F769" s="316">
        <v>122.75100576642203</v>
      </c>
      <c r="G769" s="316">
        <v>112.87181655811041</v>
      </c>
      <c r="H769" s="316">
        <v>120.46093761410208</v>
      </c>
      <c r="I769" s="316">
        <v>121.72629631105389</v>
      </c>
      <c r="J769" s="316">
        <v>121.10109449541284</v>
      </c>
      <c r="K769" s="316">
        <v>118.1469013761468</v>
      </c>
      <c r="L769" s="316">
        <v>113.89985137614678</v>
      </c>
      <c r="M769" s="307" t="s">
        <v>477</v>
      </c>
      <c r="N769" s="307"/>
      <c r="O769" s="307"/>
      <c r="P769" s="307"/>
      <c r="Q769" s="312"/>
      <c r="R769" s="307"/>
      <c r="S769" s="307"/>
    </row>
    <row r="770" spans="1:19" x14ac:dyDescent="0.2">
      <c r="A770" s="307" t="s">
        <v>992</v>
      </c>
      <c r="B770" s="307"/>
      <c r="C770" s="316">
        <v>107.63919108759174</v>
      </c>
      <c r="D770" s="316">
        <v>111.83227945915688</v>
      </c>
      <c r="E770" s="316">
        <v>116.02536783072202</v>
      </c>
      <c r="F770" s="316">
        <v>122.75100576642203</v>
      </c>
      <c r="G770" s="316">
        <v>112.87181655811041</v>
      </c>
      <c r="H770" s="316">
        <v>120.46093761410208</v>
      </c>
      <c r="I770" s="316">
        <v>121.72629631105389</v>
      </c>
      <c r="J770" s="316">
        <v>121.10109449541284</v>
      </c>
      <c r="K770" s="316">
        <v>118.1469013761468</v>
      </c>
      <c r="L770" s="316">
        <v>113.89985137614678</v>
      </c>
      <c r="M770" s="307" t="s">
        <v>477</v>
      </c>
      <c r="N770" s="307"/>
      <c r="O770" s="307"/>
      <c r="P770" s="307"/>
      <c r="Q770" s="312"/>
      <c r="R770" s="307"/>
      <c r="S770" s="307"/>
    </row>
    <row r="771" spans="1:19" x14ac:dyDescent="0.2">
      <c r="A771" s="307" t="s">
        <v>993</v>
      </c>
      <c r="B771" s="307"/>
      <c r="C771" s="316">
        <v>107.63919108759174</v>
      </c>
      <c r="D771" s="316">
        <v>111.83227945915688</v>
      </c>
      <c r="E771" s="316">
        <v>116.02536783072202</v>
      </c>
      <c r="F771" s="316">
        <v>122.75100576642203</v>
      </c>
      <c r="G771" s="316">
        <v>112.87181655811041</v>
      </c>
      <c r="H771" s="316">
        <v>120.46093761410208</v>
      </c>
      <c r="I771" s="316">
        <v>121.72629631105389</v>
      </c>
      <c r="J771" s="316">
        <v>121.10109449541284</v>
      </c>
      <c r="K771" s="316">
        <v>118.1469013761468</v>
      </c>
      <c r="L771" s="316">
        <v>113.89985137614678</v>
      </c>
      <c r="M771" s="307" t="s">
        <v>477</v>
      </c>
      <c r="N771" s="307"/>
      <c r="O771" s="307"/>
      <c r="P771" s="307"/>
      <c r="Q771" s="312"/>
      <c r="R771" s="307"/>
      <c r="S771" s="307"/>
    </row>
    <row r="772" spans="1:19" x14ac:dyDescent="0.2">
      <c r="A772" s="307" t="s">
        <v>994</v>
      </c>
      <c r="B772" s="307"/>
      <c r="C772" s="316">
        <v>107.63919108759174</v>
      </c>
      <c r="D772" s="316">
        <v>111.83227945915688</v>
      </c>
      <c r="E772" s="316">
        <v>116.02536783072202</v>
      </c>
      <c r="F772" s="316">
        <v>122.75100576642203</v>
      </c>
      <c r="G772" s="316">
        <v>112.87181655811041</v>
      </c>
      <c r="H772" s="316">
        <v>120.46093761410208</v>
      </c>
      <c r="I772" s="316">
        <v>121.72629631105389</v>
      </c>
      <c r="J772" s="316">
        <v>121.10109449541284</v>
      </c>
      <c r="K772" s="316">
        <v>118.1469013761468</v>
      </c>
      <c r="L772" s="316">
        <v>113.89985137614678</v>
      </c>
      <c r="M772" s="307" t="s">
        <v>477</v>
      </c>
      <c r="N772" s="307"/>
      <c r="O772" s="307"/>
      <c r="P772" s="307"/>
      <c r="Q772" s="312"/>
      <c r="R772" s="307"/>
      <c r="S772" s="307"/>
    </row>
    <row r="773" spans="1:19" x14ac:dyDescent="0.2">
      <c r="A773" s="307" t="s">
        <v>995</v>
      </c>
      <c r="B773" s="307"/>
      <c r="C773" s="316">
        <v>107.63919108759174</v>
      </c>
      <c r="D773" s="316">
        <v>111.83227945915688</v>
      </c>
      <c r="E773" s="316">
        <v>116.02536783072202</v>
      </c>
      <c r="F773" s="316">
        <v>122.75100576642203</v>
      </c>
      <c r="G773" s="316">
        <v>112.87181655811041</v>
      </c>
      <c r="H773" s="316">
        <v>120.46093761410208</v>
      </c>
      <c r="I773" s="316">
        <v>121.72629631105389</v>
      </c>
      <c r="J773" s="316">
        <v>121.10109449541284</v>
      </c>
      <c r="K773" s="316">
        <v>118.1469013761468</v>
      </c>
      <c r="L773" s="316">
        <v>113.89985137614678</v>
      </c>
      <c r="M773" s="307" t="s">
        <v>477</v>
      </c>
      <c r="N773" s="307"/>
      <c r="O773" s="307"/>
      <c r="P773" s="307"/>
      <c r="Q773" s="312"/>
      <c r="R773" s="307"/>
      <c r="S773" s="307"/>
    </row>
    <row r="774" spans="1:19" ht="13.5" thickBot="1" x14ac:dyDescent="0.25">
      <c r="A774" s="307" t="s">
        <v>996</v>
      </c>
      <c r="B774" s="307"/>
      <c r="C774" s="320">
        <v>107.63919108759174</v>
      </c>
      <c r="D774" s="320">
        <v>111.83227945915688</v>
      </c>
      <c r="E774" s="320">
        <v>116.02536783072202</v>
      </c>
      <c r="F774" s="320">
        <v>122.75100576642203</v>
      </c>
      <c r="G774" s="320">
        <v>112.87181655811041</v>
      </c>
      <c r="H774" s="320">
        <v>120.46093761410208</v>
      </c>
      <c r="I774" s="320">
        <v>121.72629631105389</v>
      </c>
      <c r="J774" s="320">
        <v>121.10109449541284</v>
      </c>
      <c r="K774" s="320">
        <v>118.1469013761468</v>
      </c>
      <c r="L774" s="320">
        <v>113.89985137614678</v>
      </c>
      <c r="M774" s="307" t="s">
        <v>477</v>
      </c>
      <c r="N774" s="307"/>
      <c r="O774" s="307"/>
      <c r="P774" s="307"/>
      <c r="Q774" s="312"/>
      <c r="R774" s="307"/>
      <c r="S774" s="307"/>
    </row>
    <row r="775" spans="1:19" ht="13.5" thickTop="1" x14ac:dyDescent="0.2">
      <c r="A775" s="307"/>
      <c r="B775" s="307"/>
      <c r="C775" s="307"/>
      <c r="D775" s="307"/>
      <c r="E775" s="307"/>
      <c r="F775" s="307"/>
      <c r="G775" s="307"/>
      <c r="H775" s="307"/>
      <c r="I775" s="307"/>
      <c r="J775" s="307"/>
      <c r="K775" s="307"/>
      <c r="L775" s="307"/>
      <c r="M775" s="307"/>
      <c r="N775" s="307"/>
      <c r="O775" s="307"/>
      <c r="P775" s="307"/>
      <c r="Q775" s="312"/>
      <c r="R775" s="307"/>
      <c r="S775" s="307"/>
    </row>
    <row r="776" spans="1:19" x14ac:dyDescent="0.2">
      <c r="A776" s="307" t="s">
        <v>997</v>
      </c>
      <c r="B776" s="307"/>
      <c r="C776" s="319">
        <f t="array" ref="C776:L783" xml:space="preserve"> RCP26_Lin * (0.25*((1 - WEIGHT_SCENARIOS_B/100)^2)) + RCP45_Lin * (0.5*(1 - (WEIGHT_SCENARIOS_B/100)^2)) +  RCP85_Lin * (0.25*((1 + WEIGHT_SCENARIOS_B/100)^2))</f>
        <v>123.12461561981884</v>
      </c>
      <c r="D776" s="319">
        <v>127.87774576472447</v>
      </c>
      <c r="E776" s="319">
        <v>132.63087590963011</v>
      </c>
      <c r="F776" s="319">
        <v>137.19476273699667</v>
      </c>
      <c r="G776" s="319">
        <v>133.53947334430896</v>
      </c>
      <c r="H776" s="319">
        <v>129.50417245061405</v>
      </c>
      <c r="I776" s="319">
        <v>146.10169462248371</v>
      </c>
      <c r="J776" s="319">
        <v>153.27199750350101</v>
      </c>
      <c r="K776" s="319">
        <v>147.07759079591196</v>
      </c>
      <c r="L776" s="319">
        <v>140.21436621980183</v>
      </c>
      <c r="M776" s="307" t="s">
        <v>477</v>
      </c>
      <c r="N776" s="307"/>
      <c r="O776" s="307"/>
      <c r="P776" s="307"/>
      <c r="Q776" s="312" t="s">
        <v>679</v>
      </c>
      <c r="R776" s="307"/>
      <c r="S776" s="307"/>
    </row>
    <row r="777" spans="1:19" x14ac:dyDescent="0.2">
      <c r="A777" s="307" t="s">
        <v>998</v>
      </c>
      <c r="B777" s="307"/>
      <c r="C777" s="316">
        <v>123.12461561981884</v>
      </c>
      <c r="D777" s="316">
        <v>127.87774576472447</v>
      </c>
      <c r="E777" s="316">
        <v>132.63087590963011</v>
      </c>
      <c r="F777" s="316">
        <v>137.19476273699667</v>
      </c>
      <c r="G777" s="316">
        <v>133.53947334430896</v>
      </c>
      <c r="H777" s="316">
        <v>129.50417245061405</v>
      </c>
      <c r="I777" s="316">
        <v>146.10169462248371</v>
      </c>
      <c r="J777" s="316">
        <v>153.27199750350101</v>
      </c>
      <c r="K777" s="316">
        <v>147.07759079591196</v>
      </c>
      <c r="L777" s="316">
        <v>140.21436621980183</v>
      </c>
      <c r="M777" s="307" t="s">
        <v>477</v>
      </c>
      <c r="N777" s="307"/>
      <c r="O777" s="307"/>
      <c r="P777" s="307"/>
      <c r="Q777" s="307"/>
      <c r="R777" s="307"/>
      <c r="S777" s="307"/>
    </row>
    <row r="778" spans="1:19" x14ac:dyDescent="0.2">
      <c r="A778" s="307" t="s">
        <v>999</v>
      </c>
      <c r="B778" s="307"/>
      <c r="C778" s="316">
        <v>123.12461561981884</v>
      </c>
      <c r="D778" s="316">
        <v>127.87774576472447</v>
      </c>
      <c r="E778" s="316">
        <v>132.63087590963011</v>
      </c>
      <c r="F778" s="316">
        <v>137.19476273699667</v>
      </c>
      <c r="G778" s="316">
        <v>133.53947334430896</v>
      </c>
      <c r="H778" s="316">
        <v>129.50417245061405</v>
      </c>
      <c r="I778" s="316">
        <v>146.10169462248371</v>
      </c>
      <c r="J778" s="316">
        <v>153.27199750350101</v>
      </c>
      <c r="K778" s="316">
        <v>147.07759079591196</v>
      </c>
      <c r="L778" s="316">
        <v>140.21436621980183</v>
      </c>
      <c r="M778" s="307" t="s">
        <v>477</v>
      </c>
      <c r="N778" s="307"/>
      <c r="O778" s="307"/>
      <c r="P778" s="307"/>
      <c r="Q778" s="307"/>
      <c r="R778" s="307"/>
      <c r="S778" s="307"/>
    </row>
    <row r="779" spans="1:19" x14ac:dyDescent="0.2">
      <c r="A779" s="307" t="s">
        <v>1000</v>
      </c>
      <c r="B779" s="307"/>
      <c r="C779" s="316">
        <v>123.12461561981884</v>
      </c>
      <c r="D779" s="316">
        <v>127.87774576472447</v>
      </c>
      <c r="E779" s="316">
        <v>132.63087590963011</v>
      </c>
      <c r="F779" s="316">
        <v>137.19476273699667</v>
      </c>
      <c r="G779" s="316">
        <v>133.53947334430896</v>
      </c>
      <c r="H779" s="316">
        <v>129.50417245061405</v>
      </c>
      <c r="I779" s="316">
        <v>146.10169462248371</v>
      </c>
      <c r="J779" s="316">
        <v>153.27199750350101</v>
      </c>
      <c r="K779" s="316">
        <v>147.07759079591196</v>
      </c>
      <c r="L779" s="316">
        <v>140.21436621980183</v>
      </c>
      <c r="M779" s="307" t="s">
        <v>477</v>
      </c>
      <c r="N779" s="307"/>
      <c r="O779" s="307"/>
      <c r="P779" s="307"/>
      <c r="Q779" s="307"/>
      <c r="R779" s="307"/>
      <c r="S779" s="307"/>
    </row>
    <row r="780" spans="1:19" x14ac:dyDescent="0.2">
      <c r="A780" s="307" t="s">
        <v>1001</v>
      </c>
      <c r="B780" s="307"/>
      <c r="C780" s="316">
        <v>123.12461561981884</v>
      </c>
      <c r="D780" s="316">
        <v>127.87774576472447</v>
      </c>
      <c r="E780" s="316">
        <v>132.63087590963011</v>
      </c>
      <c r="F780" s="316">
        <v>137.19476273699667</v>
      </c>
      <c r="G780" s="316">
        <v>133.53947334430896</v>
      </c>
      <c r="H780" s="316">
        <v>129.50417245061405</v>
      </c>
      <c r="I780" s="316">
        <v>146.10169462248371</v>
      </c>
      <c r="J780" s="316">
        <v>153.27199750350101</v>
      </c>
      <c r="K780" s="316">
        <v>147.07759079591196</v>
      </c>
      <c r="L780" s="316">
        <v>140.21436621980183</v>
      </c>
      <c r="M780" s="307" t="s">
        <v>477</v>
      </c>
      <c r="N780" s="307"/>
      <c r="O780" s="307"/>
      <c r="P780" s="307"/>
      <c r="Q780" s="307"/>
      <c r="R780" s="307"/>
      <c r="S780" s="307"/>
    </row>
    <row r="781" spans="1:19" x14ac:dyDescent="0.2">
      <c r="A781" s="307" t="s">
        <v>1002</v>
      </c>
      <c r="B781" s="307"/>
      <c r="C781" s="316">
        <v>123.12461561981884</v>
      </c>
      <c r="D781" s="316">
        <v>127.87774576472447</v>
      </c>
      <c r="E781" s="316">
        <v>132.63087590963011</v>
      </c>
      <c r="F781" s="316">
        <v>137.19476273699667</v>
      </c>
      <c r="G781" s="316">
        <v>133.53947334430896</v>
      </c>
      <c r="H781" s="316">
        <v>129.50417245061405</v>
      </c>
      <c r="I781" s="316">
        <v>146.10169462248371</v>
      </c>
      <c r="J781" s="316">
        <v>153.27199750350101</v>
      </c>
      <c r="K781" s="316">
        <v>147.07759079591196</v>
      </c>
      <c r="L781" s="316">
        <v>140.21436621980183</v>
      </c>
      <c r="M781" s="307" t="s">
        <v>477</v>
      </c>
      <c r="N781" s="307"/>
      <c r="O781" s="307"/>
      <c r="P781" s="307"/>
      <c r="Q781" s="307"/>
      <c r="R781" s="307"/>
      <c r="S781" s="307"/>
    </row>
    <row r="782" spans="1:19" x14ac:dyDescent="0.2">
      <c r="A782" s="307" t="s">
        <v>1003</v>
      </c>
      <c r="B782" s="307"/>
      <c r="C782" s="316">
        <v>123.12461561981884</v>
      </c>
      <c r="D782" s="316">
        <v>127.87774576472447</v>
      </c>
      <c r="E782" s="316">
        <v>132.63087590963011</v>
      </c>
      <c r="F782" s="316">
        <v>137.19476273699667</v>
      </c>
      <c r="G782" s="316">
        <v>133.53947334430896</v>
      </c>
      <c r="H782" s="316">
        <v>129.50417245061405</v>
      </c>
      <c r="I782" s="316">
        <v>146.10169462248371</v>
      </c>
      <c r="J782" s="316">
        <v>153.27199750350101</v>
      </c>
      <c r="K782" s="316">
        <v>147.07759079591196</v>
      </c>
      <c r="L782" s="316">
        <v>140.21436621980183</v>
      </c>
      <c r="M782" s="307" t="s">
        <v>477</v>
      </c>
      <c r="N782" s="307"/>
      <c r="O782" s="307"/>
      <c r="P782" s="307"/>
      <c r="Q782" s="307"/>
      <c r="R782" s="307"/>
      <c r="S782" s="307"/>
    </row>
    <row r="783" spans="1:19" ht="13.5" thickBot="1" x14ac:dyDescent="0.25">
      <c r="A783" s="307" t="s">
        <v>1004</v>
      </c>
      <c r="B783" s="307"/>
      <c r="C783" s="320">
        <v>123.12461561981884</v>
      </c>
      <c r="D783" s="320">
        <v>127.87774576472447</v>
      </c>
      <c r="E783" s="320">
        <v>132.63087590963011</v>
      </c>
      <c r="F783" s="320">
        <v>137.19476273699667</v>
      </c>
      <c r="G783" s="320">
        <v>133.53947334430896</v>
      </c>
      <c r="H783" s="320">
        <v>129.50417245061405</v>
      </c>
      <c r="I783" s="320">
        <v>146.10169462248371</v>
      </c>
      <c r="J783" s="320">
        <v>153.27199750350101</v>
      </c>
      <c r="K783" s="320">
        <v>147.07759079591196</v>
      </c>
      <c r="L783" s="320">
        <v>140.21436621980183</v>
      </c>
      <c r="M783" s="307" t="s">
        <v>477</v>
      </c>
      <c r="N783" s="307"/>
      <c r="O783" s="307"/>
      <c r="P783" s="307"/>
      <c r="Q783" s="307"/>
      <c r="R783" s="307"/>
      <c r="S783" s="307"/>
    </row>
    <row r="784" spans="1:19" ht="13.5" thickTop="1" x14ac:dyDescent="0.2">
      <c r="A784" s="307"/>
      <c r="B784" s="307"/>
      <c r="C784" s="307"/>
      <c r="D784" s="307"/>
      <c r="E784" s="307"/>
      <c r="F784" s="307"/>
      <c r="G784" s="307"/>
      <c r="H784" s="307"/>
      <c r="I784" s="307"/>
      <c r="J784" s="307"/>
      <c r="K784" s="307"/>
      <c r="L784" s="307"/>
      <c r="M784" s="307"/>
      <c r="N784" s="307"/>
      <c r="O784" s="307"/>
      <c r="P784" s="307"/>
      <c r="Q784" s="307"/>
      <c r="R784" s="307"/>
      <c r="S784" s="307"/>
    </row>
    <row r="785" spans="1:19" x14ac:dyDescent="0.2">
      <c r="A785" s="307" t="s">
        <v>1005</v>
      </c>
      <c r="B785" s="307"/>
      <c r="C785" s="319">
        <f t="array" ref="C785:L792" xml:space="preserve"> RCP26_sulph * (0.25*((1 - WEIGHT_SCENARIOS_B/100)^2)) + RCP45_sulph * (0.5*(1 - (WEIGHT_SCENARIOS_B/100)^2)) +  RCP85_sulph * (0.25*((1 + WEIGHT_SCENARIOS_B/100)^2))</f>
        <v>78.699283577680092</v>
      </c>
      <c r="D785" s="319">
        <v>64.618866024040585</v>
      </c>
      <c r="E785" s="319">
        <v>50.538448470401065</v>
      </c>
      <c r="F785" s="319">
        <v>53.332771046068459</v>
      </c>
      <c r="G785" s="319">
        <v>57.973070829480143</v>
      </c>
      <c r="H785" s="319">
        <v>68.525857085169889</v>
      </c>
      <c r="I785" s="319">
        <v>78.747903167068301</v>
      </c>
      <c r="J785" s="319">
        <v>84.50851234447785</v>
      </c>
      <c r="K785" s="319">
        <v>78.614739459980697</v>
      </c>
      <c r="L785" s="319">
        <v>63.848748933408167</v>
      </c>
      <c r="M785" s="307" t="s">
        <v>477</v>
      </c>
      <c r="N785" s="307"/>
      <c r="O785" s="307"/>
      <c r="P785" s="307"/>
      <c r="Q785" s="312" t="s">
        <v>679</v>
      </c>
      <c r="R785" s="307"/>
      <c r="S785" s="307"/>
    </row>
    <row r="786" spans="1:19" x14ac:dyDescent="0.2">
      <c r="A786" s="307" t="s">
        <v>1006</v>
      </c>
      <c r="B786" s="307"/>
      <c r="C786" s="316">
        <v>84.384708242414376</v>
      </c>
      <c r="D786" s="316">
        <v>70.690088468364848</v>
      </c>
      <c r="E786" s="316">
        <v>56.995468694315306</v>
      </c>
      <c r="F786" s="316">
        <v>56.704478130721775</v>
      </c>
      <c r="G786" s="316">
        <v>45.780661175348328</v>
      </c>
      <c r="H786" s="316">
        <v>42.844213816051109</v>
      </c>
      <c r="I786" s="316">
        <v>41.352455896400144</v>
      </c>
      <c r="J786" s="316">
        <v>40.6755266645186</v>
      </c>
      <c r="K786" s="316">
        <v>38.195216434615702</v>
      </c>
      <c r="L786" s="316">
        <v>34.286840936135121</v>
      </c>
      <c r="M786" s="307" t="s">
        <v>477</v>
      </c>
      <c r="N786" s="307"/>
      <c r="O786" s="307"/>
      <c r="P786" s="307"/>
      <c r="Q786" s="312"/>
      <c r="R786" s="307"/>
      <c r="S786" s="307"/>
    </row>
    <row r="787" spans="1:19" x14ac:dyDescent="0.2">
      <c r="A787" s="307" t="s">
        <v>1007</v>
      </c>
      <c r="B787" s="307"/>
      <c r="C787" s="316">
        <v>75.48124652151968</v>
      </c>
      <c r="D787" s="316">
        <v>60.849967216463455</v>
      </c>
      <c r="E787" s="316">
        <v>46.21868791140723</v>
      </c>
      <c r="F787" s="316">
        <v>38.103122768770341</v>
      </c>
      <c r="G787" s="316">
        <v>28.359048078845021</v>
      </c>
      <c r="H787" s="316">
        <v>26.967625382110569</v>
      </c>
      <c r="I787" s="316">
        <v>25.841058549388638</v>
      </c>
      <c r="J787" s="316">
        <v>25.168486794843389</v>
      </c>
      <c r="K787" s="316">
        <v>25.040376585374055</v>
      </c>
      <c r="L787" s="316">
        <v>24.389097765786929</v>
      </c>
      <c r="M787" s="307" t="s">
        <v>477</v>
      </c>
      <c r="N787" s="307"/>
      <c r="O787" s="307"/>
      <c r="P787" s="307"/>
      <c r="Q787" s="312"/>
      <c r="R787" s="307"/>
      <c r="S787" s="307"/>
    </row>
    <row r="788" spans="1:19" x14ac:dyDescent="0.2">
      <c r="A788" s="307" t="s">
        <v>1008</v>
      </c>
      <c r="B788" s="307"/>
      <c r="C788" s="316">
        <v>77.70637879471083</v>
      </c>
      <c r="D788" s="316">
        <v>63.416316917438266</v>
      </c>
      <c r="E788" s="316">
        <v>49.126255040165695</v>
      </c>
      <c r="F788" s="316">
        <v>38.513312242322009</v>
      </c>
      <c r="G788" s="316">
        <v>32.281459324162391</v>
      </c>
      <c r="H788" s="316">
        <v>29.748437463700597</v>
      </c>
      <c r="I788" s="316">
        <v>26.967969439962747</v>
      </c>
      <c r="J788" s="316">
        <v>24.502894643416049</v>
      </c>
      <c r="K788" s="316">
        <v>23.726335345888423</v>
      </c>
      <c r="L788" s="316">
        <v>22.580620934366014</v>
      </c>
      <c r="M788" s="307" t="s">
        <v>477</v>
      </c>
      <c r="N788" s="307"/>
      <c r="O788" s="307"/>
      <c r="P788" s="307"/>
      <c r="Q788" s="312"/>
      <c r="R788" s="307"/>
      <c r="S788" s="307"/>
    </row>
    <row r="789" spans="1:19" x14ac:dyDescent="0.2">
      <c r="A789" s="307" t="s">
        <v>1009</v>
      </c>
      <c r="B789" s="307"/>
      <c r="C789" s="316">
        <v>58.477322691577072</v>
      </c>
      <c r="D789" s="316">
        <v>50.342442180581898</v>
      </c>
      <c r="E789" s="316">
        <v>42.207561669586724</v>
      </c>
      <c r="F789" s="316">
        <v>42.234777395922222</v>
      </c>
      <c r="G789" s="316">
        <v>34.716683663187979</v>
      </c>
      <c r="H789" s="316">
        <v>29.379749626816643</v>
      </c>
      <c r="I789" s="316">
        <v>24.65183504781313</v>
      </c>
      <c r="J789" s="316">
        <v>20.23326138621708</v>
      </c>
      <c r="K789" s="316">
        <v>16.6785192823661</v>
      </c>
      <c r="L789" s="316">
        <v>13.965794089083333</v>
      </c>
      <c r="M789" s="307" t="s">
        <v>477</v>
      </c>
      <c r="N789" s="307"/>
      <c r="O789" s="307"/>
      <c r="P789" s="307"/>
      <c r="Q789" s="312"/>
      <c r="R789" s="307"/>
      <c r="S789" s="307"/>
    </row>
    <row r="790" spans="1:19" x14ac:dyDescent="0.2">
      <c r="A790" s="307" t="s">
        <v>1010</v>
      </c>
      <c r="B790" s="307"/>
      <c r="C790" s="316">
        <v>117.44714663219484</v>
      </c>
      <c r="D790" s="316">
        <v>131.19891157757456</v>
      </c>
      <c r="E790" s="316">
        <v>144.9506765229543</v>
      </c>
      <c r="F790" s="316">
        <v>147.39309185923449</v>
      </c>
      <c r="G790" s="316">
        <v>93.41179238247625</v>
      </c>
      <c r="H790" s="316">
        <v>86.453408446836647</v>
      </c>
      <c r="I790" s="316">
        <v>72.079151249928955</v>
      </c>
      <c r="J790" s="316">
        <v>52.770294856406608</v>
      </c>
      <c r="K790" s="316">
        <v>33.989445330097688</v>
      </c>
      <c r="L790" s="316">
        <v>17.977402784899731</v>
      </c>
      <c r="M790" s="307" t="s">
        <v>477</v>
      </c>
      <c r="N790" s="307"/>
      <c r="O790" s="307"/>
      <c r="P790" s="307"/>
      <c r="Q790" s="312"/>
      <c r="R790" s="307"/>
      <c r="S790" s="307"/>
    </row>
    <row r="791" spans="1:19" x14ac:dyDescent="0.2">
      <c r="A791" s="307" t="s">
        <v>1011</v>
      </c>
      <c r="B791" s="307"/>
      <c r="C791" s="316">
        <v>81.912360867241247</v>
      </c>
      <c r="D791" s="316">
        <v>70.707811478594323</v>
      </c>
      <c r="E791" s="316">
        <v>59.503262089947405</v>
      </c>
      <c r="F791" s="316">
        <v>65.972140461589476</v>
      </c>
      <c r="G791" s="316">
        <v>65.428720292620298</v>
      </c>
      <c r="H791" s="316">
        <v>83.322186889284822</v>
      </c>
      <c r="I791" s="316">
        <v>91.920016645357975</v>
      </c>
      <c r="J791" s="316">
        <v>84.783365081206867</v>
      </c>
      <c r="K791" s="316">
        <v>65.088317853152034</v>
      </c>
      <c r="L791" s="316">
        <v>40.1980157421565</v>
      </c>
      <c r="M791" s="307" t="s">
        <v>477</v>
      </c>
      <c r="N791" s="307"/>
      <c r="O791" s="307"/>
      <c r="P791" s="307"/>
      <c r="Q791" s="312"/>
      <c r="R791" s="307"/>
      <c r="S791" s="307"/>
    </row>
    <row r="792" spans="1:19" ht="13.5" thickBot="1" x14ac:dyDescent="0.25">
      <c r="A792" s="307" t="s">
        <v>1012</v>
      </c>
      <c r="B792" s="307"/>
      <c r="C792" s="320">
        <v>94.750253560799905</v>
      </c>
      <c r="D792" s="320">
        <v>93.945787548332987</v>
      </c>
      <c r="E792" s="320">
        <v>93.141321535866069</v>
      </c>
      <c r="F792" s="320">
        <v>92.3856794191978</v>
      </c>
      <c r="G792" s="320">
        <v>76.716567948742735</v>
      </c>
      <c r="H792" s="320">
        <v>71.932919196716043</v>
      </c>
      <c r="I792" s="320">
        <v>64.184544023229392</v>
      </c>
      <c r="J792" s="320">
        <v>55.846847803461429</v>
      </c>
      <c r="K792" s="320">
        <v>48.673846994674065</v>
      </c>
      <c r="L792" s="320">
        <v>39.651532686088672</v>
      </c>
      <c r="M792" s="307" t="s">
        <v>477</v>
      </c>
      <c r="N792" s="307"/>
      <c r="O792" s="307"/>
      <c r="P792" s="307"/>
      <c r="Q792" s="312"/>
      <c r="R792" s="307"/>
      <c r="S792" s="307"/>
    </row>
    <row r="793" spans="1:19" ht="13.5" thickTop="1" x14ac:dyDescent="0.2">
      <c r="A793" s="307"/>
      <c r="B793" s="307"/>
      <c r="C793" s="316"/>
      <c r="D793" s="316"/>
      <c r="E793" s="316"/>
      <c r="F793" s="316"/>
      <c r="G793" s="316"/>
      <c r="H793" s="316"/>
      <c r="I793" s="316"/>
      <c r="J793" s="316"/>
      <c r="K793" s="316"/>
      <c r="L793" s="316"/>
      <c r="M793" s="307"/>
      <c r="N793" s="307"/>
      <c r="O793" s="307"/>
      <c r="P793" s="307"/>
      <c r="Q793" s="312"/>
      <c r="R793" s="307"/>
      <c r="S793" s="307"/>
    </row>
    <row r="794" spans="1:19" ht="13.5" thickBot="1" x14ac:dyDescent="0.25">
      <c r="A794" s="307" t="s">
        <v>35</v>
      </c>
      <c r="B794" s="307"/>
      <c r="C794" s="311">
        <f t="array" ref="C794:L794" xml:space="preserve"> RCP26_Excess * (0.25*((1 - WEIGHT_SCENARIOS_B/100)^2)) + RCP45_Excess * (0.5*(1 - (WEIGHT_SCENARIOS_B/100)^2)) +  RCP85_Excess * (0.25*((1 + WEIGHT_SCENARIOS_B/100)^2))</f>
        <v>0.94169999999999998</v>
      </c>
      <c r="D794" s="311">
        <v>0.89269999999999994</v>
      </c>
      <c r="E794" s="311">
        <v>0.84369999999999989</v>
      </c>
      <c r="F794" s="311">
        <v>0.80619999999999992</v>
      </c>
      <c r="G794" s="311">
        <v>0.65669999999999995</v>
      </c>
      <c r="H794" s="311">
        <v>0.60880000000000001</v>
      </c>
      <c r="I794" s="311">
        <v>0.54899999999999993</v>
      </c>
      <c r="J794" s="311">
        <v>0.478825</v>
      </c>
      <c r="K794" s="311">
        <v>0.39059999999999995</v>
      </c>
      <c r="L794" s="311">
        <v>0.30300000000000005</v>
      </c>
      <c r="M794" s="307" t="s">
        <v>42</v>
      </c>
      <c r="N794" s="307"/>
      <c r="O794" s="307"/>
      <c r="P794" s="307"/>
      <c r="Q794" s="312" t="s">
        <v>679</v>
      </c>
      <c r="R794" s="307"/>
      <c r="S794" s="307"/>
    </row>
    <row r="795" spans="1:19" ht="13.5" thickTop="1" x14ac:dyDescent="0.2">
      <c r="A795" s="307"/>
      <c r="B795" s="307"/>
      <c r="C795" s="307"/>
      <c r="D795" s="307"/>
      <c r="E795" s="307"/>
      <c r="F795" s="307"/>
      <c r="G795" s="307"/>
      <c r="H795" s="307"/>
      <c r="I795" s="307"/>
      <c r="J795" s="307"/>
      <c r="K795" s="307"/>
      <c r="L795" s="307"/>
      <c r="M795" s="307"/>
      <c r="N795" s="307"/>
      <c r="O795" s="307"/>
      <c r="P795" s="307"/>
      <c r="Q795" s="307"/>
      <c r="R795" s="307"/>
      <c r="S795" s="307"/>
    </row>
  </sheetData>
  <phoneticPr fontId="0" type="noConversion"/>
  <conditionalFormatting sqref="B10:B11 B20 D42:D49 D65:D66 D84">
    <cfRule type="expression" dxfId="14" priority="2" stopIfTrue="1">
      <formula>RiskIsInput</formula>
    </cfRule>
  </conditionalFormatting>
  <conditionalFormatting sqref="D38">
    <cfRule type="expression" dxfId="13" priority="1" stopIfTrue="1">
      <formula>RiskIsInput</formula>
    </cfRule>
  </conditionalFormatting>
  <pageMargins left="0.75" right="0.75" top="1" bottom="1" header="0.5" footer="0.5"/>
  <pageSetup paperSize="9" orientation="portrait" r:id="rId1"/>
  <headerFooter alignWithMargins="0"/>
  <ignoredErrors>
    <ignoredError sqref="C210:L217 C219:L226 C228:L235 C237 C34" unlockedFormula="1"/>
  </ignoredError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P198"/>
  <sheetViews>
    <sheetView topLeftCell="C11" zoomScale="110" zoomScaleNormal="110" workbookViewId="0">
      <selection activeCell="C19" sqref="C19"/>
    </sheetView>
  </sheetViews>
  <sheetFormatPr defaultRowHeight="12.75" x14ac:dyDescent="0.2"/>
  <cols>
    <col min="1" max="1" width="21.5703125" bestFit="1" customWidth="1"/>
    <col min="2" max="2" width="44.85546875" bestFit="1" customWidth="1"/>
    <col min="3" max="3" width="12.5703125" bestFit="1" customWidth="1"/>
    <col min="4" max="5" width="9" bestFit="1" customWidth="1"/>
    <col min="6" max="6" width="9" customWidth="1"/>
    <col min="7" max="7" width="21.85546875" bestFit="1" customWidth="1"/>
    <col min="8" max="10" width="13.5703125" customWidth="1"/>
    <col min="11" max="12" width="9" customWidth="1"/>
  </cols>
  <sheetData>
    <row r="1" spans="1:11" x14ac:dyDescent="0.2">
      <c r="A1" s="2" t="str">
        <f>MODEL_NAME</f>
        <v>PAGE-ICE Nonlinear Arctic Feedbacks</v>
      </c>
      <c r="C1" t="s">
        <v>37</v>
      </c>
      <c r="D1" s="51" t="str">
        <f>VERSION</f>
        <v>6.22</v>
      </c>
    </row>
    <row r="3" spans="1:11" s="2" customFormat="1" x14ac:dyDescent="0.2">
      <c r="A3" s="2" t="s">
        <v>949</v>
      </c>
      <c r="B3" s="48"/>
      <c r="C3" s="48"/>
      <c r="D3" s="2" t="s">
        <v>399</v>
      </c>
      <c r="E3" s="2" t="s">
        <v>400</v>
      </c>
      <c r="F3" s="2" t="s">
        <v>401</v>
      </c>
    </row>
    <row r="4" spans="1:11" s="2" customFormat="1" x14ac:dyDescent="0.2">
      <c r="A4" s="124" t="s">
        <v>754</v>
      </c>
      <c r="B4" s="3" t="s">
        <v>612</v>
      </c>
      <c r="C4" s="60">
        <f ca="1">_xll.RiskTriang(D4,E4,F4)</f>
        <v>22.973481829413242</v>
      </c>
      <c r="D4" s="205">
        <v>4.3464170523113577</v>
      </c>
      <c r="E4" s="205">
        <v>22.973481829413238</v>
      </c>
      <c r="F4" s="205">
        <v>41.600546606515124</v>
      </c>
      <c r="G4" s="3" t="s">
        <v>38</v>
      </c>
      <c r="I4" s="124" t="s">
        <v>630</v>
      </c>
      <c r="K4" s="124" t="s">
        <v>615</v>
      </c>
    </row>
    <row r="5" spans="1:11" s="2" customFormat="1" x14ac:dyDescent="0.2">
      <c r="B5" s="3" t="s">
        <v>611</v>
      </c>
      <c r="C5" s="60">
        <f ca="1">_xll.RiskTriang(D5,E5,F5)</f>
        <v>26.64454562239661</v>
      </c>
      <c r="D5" s="204">
        <v>23.143282046812853</v>
      </c>
      <c r="E5" s="204">
        <v>26.64454562239661</v>
      </c>
      <c r="F5" s="204">
        <v>30.145809197980366</v>
      </c>
      <c r="G5" s="3" t="s">
        <v>38</v>
      </c>
      <c r="I5" s="124" t="s">
        <v>630</v>
      </c>
      <c r="K5" s="124" t="s">
        <v>615</v>
      </c>
    </row>
    <row r="6" spans="1:11" s="2" customFormat="1" x14ac:dyDescent="0.2">
      <c r="B6" s="3" t="s">
        <v>599</v>
      </c>
      <c r="C6" s="60">
        <f ca="1">_xll.RiskTriang(D6,E6,F6)</f>
        <v>26.963950862067179</v>
      </c>
      <c r="D6" s="204">
        <v>11.390086099054248</v>
      </c>
      <c r="E6" s="204">
        <v>26.963950862067176</v>
      </c>
      <c r="F6" s="204">
        <v>42.537815625080107</v>
      </c>
      <c r="G6" s="3" t="s">
        <v>38</v>
      </c>
      <c r="I6" s="124" t="s">
        <v>630</v>
      </c>
      <c r="K6" s="124" t="s">
        <v>615</v>
      </c>
    </row>
    <row r="7" spans="1:11" s="2" customFormat="1" x14ac:dyDescent="0.2">
      <c r="B7" s="3" t="s">
        <v>614</v>
      </c>
      <c r="C7" s="60">
        <f ca="1">_xll.RiskTriang(D7,E7,F7)</f>
        <v>312.54206687556456</v>
      </c>
      <c r="D7" s="204">
        <v>248.8662836098311</v>
      </c>
      <c r="E7" s="204">
        <v>312.5420668755645</v>
      </c>
      <c r="F7" s="204">
        <v>376.2178501412979</v>
      </c>
      <c r="G7" s="3" t="s">
        <v>39</v>
      </c>
      <c r="I7" s="124" t="s">
        <v>630</v>
      </c>
      <c r="K7" s="124" t="s">
        <v>615</v>
      </c>
    </row>
    <row r="8" spans="1:11" s="2" customFormat="1" x14ac:dyDescent="0.2">
      <c r="B8" s="3" t="s">
        <v>613</v>
      </c>
      <c r="C8" s="60">
        <f ca="1">_xll.RiskTriang(D8,E8,F8)</f>
        <v>34.873449489671636</v>
      </c>
      <c r="D8" s="204">
        <v>25.889999147446169</v>
      </c>
      <c r="E8" s="204">
        <v>34.873449489671636</v>
      </c>
      <c r="F8" s="204">
        <v>43.856899831897103</v>
      </c>
      <c r="G8" s="3" t="s">
        <v>39</v>
      </c>
      <c r="I8" s="124" t="s">
        <v>630</v>
      </c>
      <c r="K8" s="124" t="s">
        <v>615</v>
      </c>
    </row>
    <row r="9" spans="1:11" s="2" customFormat="1" x14ac:dyDescent="0.2">
      <c r="B9" s="3" t="s">
        <v>598</v>
      </c>
      <c r="C9" s="60">
        <f ca="1">_xll.RiskTriang(D9,E9,F9)</f>
        <v>4.2577015329228622</v>
      </c>
      <c r="D9" s="204">
        <v>2.8257559965001109</v>
      </c>
      <c r="E9" s="204">
        <v>4.2577015329228622</v>
      </c>
      <c r="F9" s="204">
        <v>5.6896470693456136</v>
      </c>
      <c r="G9" s="3" t="s">
        <v>39</v>
      </c>
      <c r="I9" s="124" t="s">
        <v>630</v>
      </c>
      <c r="K9" s="124" t="s">
        <v>615</v>
      </c>
    </row>
    <row r="10" spans="1:11" x14ac:dyDescent="0.2">
      <c r="B10" s="3" t="s">
        <v>159</v>
      </c>
      <c r="C10" s="60">
        <f ca="1">_xll.RiskTriang(D10,E10,F10)</f>
        <v>0</v>
      </c>
      <c r="D10" s="155">
        <v>0</v>
      </c>
      <c r="E10" s="155">
        <v>0</v>
      </c>
      <c r="F10" s="155">
        <v>0</v>
      </c>
      <c r="G10" s="3" t="s">
        <v>160</v>
      </c>
      <c r="I10" s="124" t="s">
        <v>630</v>
      </c>
      <c r="K10" s="124" t="s">
        <v>959</v>
      </c>
    </row>
    <row r="11" spans="1:11" x14ac:dyDescent="0.2">
      <c r="B11" s="3" t="s">
        <v>161</v>
      </c>
      <c r="C11" s="60">
        <f ca="1">_xll.RiskTriang(D11,E11,F11)</f>
        <v>20</v>
      </c>
      <c r="D11" s="208">
        <v>10</v>
      </c>
      <c r="E11" s="208">
        <v>20</v>
      </c>
      <c r="F11" s="208">
        <v>30</v>
      </c>
      <c r="G11" s="3" t="s">
        <v>38</v>
      </c>
      <c r="I11" s="124" t="s">
        <v>630</v>
      </c>
      <c r="K11" s="124" t="s">
        <v>637</v>
      </c>
    </row>
    <row r="13" spans="1:11" x14ac:dyDescent="0.2">
      <c r="A13" s="124" t="s">
        <v>755</v>
      </c>
      <c r="B13" t="str">
        <f>"Sulfate direct (linear) effect in "&amp;Y_0</f>
        <v>Sulfate direct (linear) effect in 2015</v>
      </c>
      <c r="C13" s="60">
        <f ca="1">_xll.RiskTriang(D13,E13,F13)</f>
        <v>-0.46666666666666673</v>
      </c>
      <c r="D13" s="9">
        <v>-0.8</v>
      </c>
      <c r="E13" s="9">
        <v>-0.4</v>
      </c>
      <c r="F13" s="9">
        <v>-0.2</v>
      </c>
      <c r="G13" s="3" t="s">
        <v>42</v>
      </c>
    </row>
    <row r="14" spans="1:11" x14ac:dyDescent="0.2">
      <c r="B14" s="3" t="s">
        <v>193</v>
      </c>
      <c r="C14" s="60">
        <f ca="1">_xll.RiskTriang(D14,E14,F14)</f>
        <v>-0.23333333333333331</v>
      </c>
      <c r="D14" s="94">
        <v>-0.5</v>
      </c>
      <c r="E14" s="94">
        <v>-0.2</v>
      </c>
      <c r="F14" s="9">
        <v>0</v>
      </c>
      <c r="G14" t="s">
        <v>42</v>
      </c>
    </row>
    <row r="15" spans="1:11" x14ac:dyDescent="0.2">
      <c r="B15" t="str">
        <f>"Sea level rise in "&amp;Y_0</f>
        <v>Sea level rise in 2015</v>
      </c>
      <c r="C15" s="60">
        <f ca="1">_xll.RiskTriang(D15,E15,F15)</f>
        <v>0.18999999999999997</v>
      </c>
      <c r="D15" s="94">
        <v>0.17</v>
      </c>
      <c r="E15" s="94">
        <v>0.19</v>
      </c>
      <c r="F15" s="94">
        <v>0.21</v>
      </c>
      <c r="G15" t="s">
        <v>180</v>
      </c>
    </row>
    <row r="16" spans="1:11" x14ac:dyDescent="0.2">
      <c r="B16" s="3" t="s">
        <v>181</v>
      </c>
      <c r="C16" s="60">
        <f ca="1">_xll.RiskTriang(D16,E16,F16)</f>
        <v>1.7333333333333334</v>
      </c>
      <c r="D16" s="9">
        <v>0.7</v>
      </c>
      <c r="E16" s="9">
        <v>1.5</v>
      </c>
      <c r="F16" s="9">
        <v>3</v>
      </c>
      <c r="G16" t="s">
        <v>182</v>
      </c>
    </row>
    <row r="17" spans="1:16" x14ac:dyDescent="0.2">
      <c r="B17" s="3" t="s">
        <v>183</v>
      </c>
      <c r="C17" s="60">
        <f ca="1">_xll.RiskTriang(D17,E17,F17)</f>
        <v>1</v>
      </c>
      <c r="D17" s="9">
        <v>0.5</v>
      </c>
      <c r="E17" s="9">
        <v>1</v>
      </c>
      <c r="F17" s="9">
        <v>1.5</v>
      </c>
      <c r="G17" t="s">
        <v>180</v>
      </c>
      <c r="K17" s="2" t="s">
        <v>400</v>
      </c>
      <c r="L17" s="2" t="s">
        <v>428</v>
      </c>
      <c r="M17" s="2" t="s">
        <v>429</v>
      </c>
      <c r="N17" s="2" t="s">
        <v>430</v>
      </c>
      <c r="O17" s="2" t="s">
        <v>431</v>
      </c>
    </row>
    <row r="18" spans="1:16" x14ac:dyDescent="0.2">
      <c r="B18" s="3" t="s">
        <v>422</v>
      </c>
      <c r="C18" s="150">
        <f ca="1">_xll.RiskOutput() + _xll.RiskGamma(N18,O18)</f>
        <v>386</v>
      </c>
      <c r="D18" s="263" t="s">
        <v>947</v>
      </c>
      <c r="E18" s="263" t="s">
        <v>947</v>
      </c>
      <c r="F18" s="263" t="s">
        <v>947</v>
      </c>
      <c r="G18" t="s">
        <v>39</v>
      </c>
      <c r="I18" s="124" t="s">
        <v>805</v>
      </c>
      <c r="K18" s="228">
        <v>362</v>
      </c>
      <c r="L18" s="228">
        <v>386</v>
      </c>
      <c r="M18" s="147">
        <f xml:space="preserve"> SQRT(L18*(L18-K18))</f>
        <v>96.249675324127722</v>
      </c>
      <c r="N18" s="147">
        <f xml:space="preserve"> L18/(L18-K18)</f>
        <v>16.083333333333332</v>
      </c>
      <c r="O18" s="147">
        <f>L18-K18</f>
        <v>24</v>
      </c>
      <c r="P18" s="3" t="s">
        <v>39</v>
      </c>
    </row>
    <row r="19" spans="1:16" x14ac:dyDescent="0.2">
      <c r="B19" s="3"/>
      <c r="C19" s="64"/>
      <c r="D19" s="64"/>
      <c r="E19" s="64"/>
      <c r="F19" s="64"/>
      <c r="I19" s="128" t="s">
        <v>804</v>
      </c>
      <c r="M19" s="147"/>
      <c r="N19" s="147"/>
      <c r="O19" s="64"/>
      <c r="P19" s="3"/>
    </row>
    <row r="20" spans="1:16" x14ac:dyDescent="0.2">
      <c r="A20" s="124" t="s">
        <v>756</v>
      </c>
      <c r="B20" s="3" t="s">
        <v>194</v>
      </c>
      <c r="C20" s="60">
        <f ca="1">_xll.RiskTriang(D20, E20, F20)</f>
        <v>1.7666666666666668</v>
      </c>
      <c r="D20" s="94">
        <v>0.8</v>
      </c>
      <c r="E20" s="94">
        <v>1.8</v>
      </c>
      <c r="F20" s="94">
        <v>2.7</v>
      </c>
      <c r="G20" s="3" t="s">
        <v>41</v>
      </c>
    </row>
    <row r="21" spans="1:16" x14ac:dyDescent="0.2">
      <c r="B21" s="3" t="s">
        <v>423</v>
      </c>
      <c r="C21" s="60">
        <f ca="1">_xll.RiskTriang(D21,E21,F21)</f>
        <v>28.333333333333332</v>
      </c>
      <c r="D21" s="9">
        <v>10</v>
      </c>
      <c r="E21" s="94">
        <v>20</v>
      </c>
      <c r="F21" s="94">
        <v>55</v>
      </c>
      <c r="G21" t="s">
        <v>39</v>
      </c>
    </row>
    <row r="22" spans="1:16" ht="13.5" thickBot="1" x14ac:dyDescent="0.25">
      <c r="B22" t="s">
        <v>40</v>
      </c>
      <c r="C22" s="31">
        <f ca="1">_xll.RiskOutput()++TCR/(1-((FRT/70)*(1-EXP(-70/FRT))))</f>
        <v>2.8066621683580406</v>
      </c>
      <c r="D22" s="263" t="s">
        <v>947</v>
      </c>
      <c r="E22" s="263" t="s">
        <v>947</v>
      </c>
      <c r="F22" s="263" t="s">
        <v>947</v>
      </c>
      <c r="G22" t="s">
        <v>41</v>
      </c>
    </row>
    <row r="23" spans="1:16" ht="13.5" thickTop="1" x14ac:dyDescent="0.2">
      <c r="C23" s="6"/>
      <c r="D23" s="64"/>
      <c r="E23" s="64"/>
      <c r="F23" s="64"/>
    </row>
    <row r="24" spans="1:16" x14ac:dyDescent="0.2">
      <c r="A24" s="124" t="s">
        <v>485</v>
      </c>
      <c r="B24" s="3" t="s">
        <v>432</v>
      </c>
      <c r="C24" s="60">
        <f ca="1">_xll.RiskTriang(D24,E24,F24)</f>
        <v>1.2700000000000002</v>
      </c>
      <c r="D24" s="141">
        <v>1.05</v>
      </c>
      <c r="E24" s="142">
        <v>1.23</v>
      </c>
      <c r="F24" s="143">
        <v>1.53</v>
      </c>
      <c r="G24" s="3" t="s">
        <v>440</v>
      </c>
    </row>
    <row r="25" spans="1:16" x14ac:dyDescent="0.2">
      <c r="B25" s="3" t="s">
        <v>433</v>
      </c>
      <c r="C25" s="60">
        <f ca="1">_xll.RiskTriang(D25,E25,F25)</f>
        <v>1.34</v>
      </c>
      <c r="D25" s="143">
        <v>1.1599999999999999</v>
      </c>
      <c r="E25" s="142">
        <v>1.3200000000000003</v>
      </c>
      <c r="F25" s="141">
        <v>1.54</v>
      </c>
      <c r="G25" s="3" t="s">
        <v>440</v>
      </c>
    </row>
    <row r="26" spans="1:16" x14ac:dyDescent="0.2">
      <c r="B26" s="3" t="s">
        <v>434</v>
      </c>
      <c r="C26" s="60">
        <f ca="1">_xll.RiskTriang(D26,E26,F26)</f>
        <v>1.22</v>
      </c>
      <c r="D26" s="141">
        <v>1.1399999999999999</v>
      </c>
      <c r="E26" s="142">
        <v>1.21</v>
      </c>
      <c r="F26" s="141">
        <v>1.31</v>
      </c>
      <c r="G26" s="3" t="s">
        <v>440</v>
      </c>
    </row>
    <row r="27" spans="1:16" x14ac:dyDescent="0.2">
      <c r="B27" s="3" t="s">
        <v>435</v>
      </c>
      <c r="C27" s="60">
        <f ca="1">_xll.RiskTriang(D27,E27,F27)</f>
        <v>1.6499999999999997</v>
      </c>
      <c r="D27" s="143">
        <v>1.41</v>
      </c>
      <c r="E27" s="142">
        <v>1.6399999999999997</v>
      </c>
      <c r="F27" s="141">
        <v>1.9</v>
      </c>
      <c r="G27" s="3" t="s">
        <v>440</v>
      </c>
    </row>
    <row r="28" spans="1:16" x14ac:dyDescent="0.2">
      <c r="B28" s="3" t="s">
        <v>436</v>
      </c>
      <c r="C28" s="60">
        <f ca="1">_xll.RiskTriang(D28,E28,F28)</f>
        <v>1.17</v>
      </c>
      <c r="D28" s="141">
        <v>1</v>
      </c>
      <c r="E28" s="142">
        <v>1.21</v>
      </c>
      <c r="F28" s="143">
        <v>1.3</v>
      </c>
      <c r="G28" s="3" t="s">
        <v>440</v>
      </c>
    </row>
    <row r="29" spans="1:16" x14ac:dyDescent="0.2">
      <c r="B29" s="3" t="s">
        <v>437</v>
      </c>
      <c r="C29" s="60">
        <f ca="1">_xll.RiskTriang(D29,E29,F29)</f>
        <v>1.01</v>
      </c>
      <c r="D29" s="141">
        <v>0.84</v>
      </c>
      <c r="E29" s="142">
        <v>1.0400000000000005</v>
      </c>
      <c r="F29" s="141">
        <v>1.1499999999999999</v>
      </c>
      <c r="G29" s="3" t="s">
        <v>440</v>
      </c>
    </row>
    <row r="30" spans="1:16" x14ac:dyDescent="0.2">
      <c r="B30" s="3" t="s">
        <v>438</v>
      </c>
      <c r="C30" s="60">
        <f ca="1">_xll.RiskTriang(D30,E30,F30)</f>
        <v>1.21</v>
      </c>
      <c r="D30" s="141">
        <v>0.99</v>
      </c>
      <c r="E30" s="142">
        <v>1.2199999999999998</v>
      </c>
      <c r="F30" s="141">
        <v>1.42</v>
      </c>
      <c r="G30" s="3" t="s">
        <v>440</v>
      </c>
    </row>
    <row r="31" spans="1:16" ht="13.5" thickBot="1" x14ac:dyDescent="0.25">
      <c r="B31" s="3" t="s">
        <v>439</v>
      </c>
      <c r="C31" s="60">
        <f ca="1">_xll.RiskTriang(D31,E31,F31)</f>
        <v>1.04</v>
      </c>
      <c r="D31" s="144">
        <v>0.9</v>
      </c>
      <c r="E31" s="144">
        <v>1.04</v>
      </c>
      <c r="F31" s="144">
        <v>1.18</v>
      </c>
      <c r="G31" s="3" t="s">
        <v>440</v>
      </c>
    </row>
    <row r="32" spans="1:16" ht="13.5" thickTop="1" x14ac:dyDescent="0.2">
      <c r="B32" s="3"/>
      <c r="C32" s="6"/>
      <c r="D32" s="64"/>
      <c r="E32" s="64"/>
      <c r="F32" s="64"/>
      <c r="G32" s="3"/>
    </row>
    <row r="33" spans="1:10" x14ac:dyDescent="0.2">
      <c r="A33" s="124" t="s">
        <v>891</v>
      </c>
      <c r="B33" s="3" t="s">
        <v>901</v>
      </c>
      <c r="C33" s="60">
        <f ca="1">_xll.RiskTriang(D33,E33,F33)</f>
        <v>0</v>
      </c>
      <c r="D33" s="150">
        <v>-1</v>
      </c>
      <c r="E33" s="150">
        <v>0</v>
      </c>
      <c r="F33" s="150">
        <v>1</v>
      </c>
      <c r="G33" s="3" t="s">
        <v>504</v>
      </c>
      <c r="I33" s="124" t="s">
        <v>935</v>
      </c>
    </row>
    <row r="34" spans="1:10" x14ac:dyDescent="0.2">
      <c r="B34" s="3"/>
      <c r="C34" s="6"/>
      <c r="D34" s="64"/>
      <c r="E34" s="64"/>
      <c r="F34" s="64"/>
      <c r="G34" s="3"/>
    </row>
    <row r="35" spans="1:10" x14ac:dyDescent="0.2">
      <c r="A35" s="124" t="s">
        <v>484</v>
      </c>
      <c r="B35" s="3"/>
      <c r="C35" s="6"/>
      <c r="D35" s="64"/>
      <c r="E35" s="64"/>
      <c r="F35" s="64"/>
      <c r="G35" s="3"/>
    </row>
    <row r="36" spans="1:10" x14ac:dyDescent="0.2">
      <c r="A36" s="124"/>
      <c r="B36" s="3" t="s">
        <v>818</v>
      </c>
      <c r="C36" s="238">
        <f ca="1">_xll.RiskTriang(D36,E36,F36)</f>
        <v>0</v>
      </c>
      <c r="D36" s="150">
        <v>-15</v>
      </c>
      <c r="E36" s="150">
        <v>0</v>
      </c>
      <c r="F36" s="150">
        <v>15</v>
      </c>
      <c r="G36" s="3" t="s">
        <v>38</v>
      </c>
      <c r="I36" s="124" t="s">
        <v>819</v>
      </c>
    </row>
    <row r="37" spans="1:10" x14ac:dyDescent="0.2">
      <c r="A37" s="124"/>
      <c r="B37" s="3"/>
      <c r="C37" s="6"/>
      <c r="D37" s="64"/>
      <c r="E37" s="64"/>
      <c r="F37" s="64"/>
      <c r="G37" s="3"/>
      <c r="I37" s="124" t="s">
        <v>740</v>
      </c>
    </row>
    <row r="38" spans="1:10" x14ac:dyDescent="0.2">
      <c r="A38" s="124" t="s">
        <v>815</v>
      </c>
      <c r="B38" s="3" t="s">
        <v>517</v>
      </c>
      <c r="C38" s="60">
        <f ca="1">_xll.RiskTriang(D38,E38,F38)</f>
        <v>1.8755694887303616</v>
      </c>
      <c r="D38" s="145">
        <v>1.4260914989725766</v>
      </c>
      <c r="E38" s="145">
        <v>1.8755694887303616</v>
      </c>
      <c r="F38" s="145">
        <v>2.3250474784881465</v>
      </c>
      <c r="G38" s="3" t="s">
        <v>504</v>
      </c>
      <c r="I38" s="124" t="s">
        <v>829</v>
      </c>
    </row>
    <row r="39" spans="1:10" x14ac:dyDescent="0.2">
      <c r="A39" s="124"/>
      <c r="B39" s="3" t="s">
        <v>505</v>
      </c>
      <c r="C39" s="18">
        <f ca="1">_xll.RiskTriang(D39,E39,F39)</f>
        <v>31939.740443072169</v>
      </c>
      <c r="D39" s="146">
        <v>28191.155542886914</v>
      </c>
      <c r="E39" s="146">
        <v>31939.740443072169</v>
      </c>
      <c r="F39" s="146">
        <v>35688.325343257427</v>
      </c>
      <c r="G39" s="3" t="s">
        <v>497</v>
      </c>
      <c r="H39" s="124"/>
      <c r="I39" s="124" t="s">
        <v>812</v>
      </c>
    </row>
    <row r="40" spans="1:10" x14ac:dyDescent="0.2">
      <c r="B40" s="3" t="s">
        <v>502</v>
      </c>
      <c r="C40" s="60">
        <f ca="1">_xll.RiskTriang(D40,E40,F40)</f>
        <v>61.693785559934845</v>
      </c>
      <c r="D40" s="145">
        <v>35.492666985691521</v>
      </c>
      <c r="E40" s="145">
        <v>61.693785559934852</v>
      </c>
      <c r="F40" s="145">
        <v>87.894904134178176</v>
      </c>
      <c r="G40" s="3" t="s">
        <v>457</v>
      </c>
      <c r="I40" s="124" t="s">
        <v>812</v>
      </c>
    </row>
    <row r="41" spans="1:10" x14ac:dyDescent="0.2">
      <c r="B41" s="3" t="s">
        <v>736</v>
      </c>
      <c r="C41" s="60">
        <f ca="1">_xll.RiskTriang(D41,E41,F41)</f>
        <v>0.25899071642927252</v>
      </c>
      <c r="D41" s="145">
        <v>0.10702024771572888</v>
      </c>
      <c r="E41" s="145">
        <v>0.25899071642927252</v>
      </c>
      <c r="F41" s="145">
        <v>0.41096118514281615</v>
      </c>
      <c r="G41" s="3" t="s">
        <v>504</v>
      </c>
      <c r="I41" s="124" t="s">
        <v>812</v>
      </c>
    </row>
    <row r="42" spans="1:10" x14ac:dyDescent="0.2">
      <c r="D42" s="110"/>
      <c r="E42" s="110"/>
      <c r="F42" s="110"/>
      <c r="G42" s="3"/>
      <c r="I42" s="124" t="s">
        <v>865</v>
      </c>
    </row>
    <row r="43" spans="1:10" x14ac:dyDescent="0.2">
      <c r="B43" s="3" t="s">
        <v>507</v>
      </c>
      <c r="C43" s="18">
        <f ca="1">_xll.RiskTriang(D43,E43,F43)</f>
        <v>2294.2376416053089</v>
      </c>
      <c r="D43" s="146">
        <v>1240.3553299182977</v>
      </c>
      <c r="E43" s="146">
        <v>2294.2376416053094</v>
      </c>
      <c r="F43" s="146">
        <v>3348.1199532923206</v>
      </c>
      <c r="G43" s="3" t="s">
        <v>497</v>
      </c>
      <c r="I43" s="124" t="s">
        <v>851</v>
      </c>
    </row>
    <row r="44" spans="1:10" x14ac:dyDescent="0.2">
      <c r="B44" s="3" t="s">
        <v>737</v>
      </c>
      <c r="C44" s="60">
        <f ca="1">_xll.RiskTriang(D44,E44,F44)</f>
        <v>206.28841306311747</v>
      </c>
      <c r="D44" s="145">
        <v>75.194316002313087</v>
      </c>
      <c r="E44" s="145">
        <v>206.28841306311747</v>
      </c>
      <c r="F44" s="145">
        <v>337.38251012392186</v>
      </c>
      <c r="G44" s="3" t="s">
        <v>457</v>
      </c>
      <c r="H44" s="224"/>
      <c r="I44" s="124" t="s">
        <v>851</v>
      </c>
      <c r="J44" s="225"/>
    </row>
    <row r="45" spans="1:10" x14ac:dyDescent="0.2">
      <c r="B45" s="3" t="s">
        <v>854</v>
      </c>
      <c r="C45" s="60">
        <f ca="1">_xll.RiskTriang(D45,E45,F45)</f>
        <v>0.2510548621108904</v>
      </c>
      <c r="D45" s="145">
        <v>-0.10877928373270773</v>
      </c>
      <c r="E45" s="145">
        <v>0.2510548621108904</v>
      </c>
      <c r="F45" s="145">
        <v>0.61088900795448853</v>
      </c>
      <c r="G45" s="3" t="s">
        <v>504</v>
      </c>
      <c r="I45" s="124" t="s">
        <v>851</v>
      </c>
    </row>
    <row r="47" spans="1:10" x14ac:dyDescent="0.2">
      <c r="C47" s="224"/>
      <c r="D47" s="225"/>
      <c r="E47" s="225"/>
      <c r="I47" s="124" t="s">
        <v>817</v>
      </c>
    </row>
    <row r="48" spans="1:10" x14ac:dyDescent="0.2">
      <c r="A48" s="124" t="s">
        <v>816</v>
      </c>
      <c r="B48" s="3" t="s">
        <v>517</v>
      </c>
      <c r="C48" s="60">
        <f ca="1">_xll.RiskTriang(D48,E48,F48)</f>
        <v>1.9359078717122433</v>
      </c>
      <c r="D48" s="145">
        <v>1.709604118161359</v>
      </c>
      <c r="E48" s="145">
        <v>1.9359078717122433</v>
      </c>
      <c r="F48" s="145">
        <v>2.1622116252631276</v>
      </c>
      <c r="G48" s="3" t="s">
        <v>504</v>
      </c>
      <c r="I48" s="124" t="s">
        <v>830</v>
      </c>
    </row>
    <row r="49" spans="1:9" x14ac:dyDescent="0.2">
      <c r="B49" s="3" t="s">
        <v>505</v>
      </c>
      <c r="C49" s="18">
        <f ca="1">_xll.RiskTriang(D49,E49,F49)</f>
        <v>61867.779459651385</v>
      </c>
      <c r="D49" s="146">
        <v>24726.803569564941</v>
      </c>
      <c r="E49" s="146">
        <v>61867.779459651392</v>
      </c>
      <c r="F49" s="146">
        <v>99008.755349737839</v>
      </c>
      <c r="G49" s="3" t="s">
        <v>497</v>
      </c>
      <c r="H49" s="124"/>
      <c r="I49" s="124" t="s">
        <v>814</v>
      </c>
    </row>
    <row r="50" spans="1:9" x14ac:dyDescent="0.2">
      <c r="B50" s="3" t="s">
        <v>502</v>
      </c>
      <c r="C50" s="60">
        <f ca="1">_xll.RiskTriang(D50,E50,F50)</f>
        <v>543.61635577597474</v>
      </c>
      <c r="D50" s="145">
        <v>252.55836838967616</v>
      </c>
      <c r="E50" s="145">
        <v>543.61635577597474</v>
      </c>
      <c r="F50" s="145">
        <v>834.67434316227332</v>
      </c>
      <c r="G50" s="3" t="s">
        <v>457</v>
      </c>
      <c r="I50" s="124" t="s">
        <v>814</v>
      </c>
    </row>
    <row r="51" spans="1:9" x14ac:dyDescent="0.2">
      <c r="B51" s="3" t="s">
        <v>736</v>
      </c>
      <c r="C51" s="60">
        <f ca="1">_xll.RiskTriang(D51,E51,F51)</f>
        <v>0.45703075682935701</v>
      </c>
      <c r="D51" s="145">
        <v>-0.2260459870624707</v>
      </c>
      <c r="E51" s="145">
        <v>0.45703075682935701</v>
      </c>
      <c r="F51" s="145">
        <v>1.1401075007211847</v>
      </c>
      <c r="I51" s="124" t="s">
        <v>814</v>
      </c>
    </row>
    <row r="53" spans="1:9" x14ac:dyDescent="0.2">
      <c r="B53" t="s">
        <v>855</v>
      </c>
      <c r="C53" s="60">
        <f ca="1">_xll.RiskTriang(D53,E53,F53)</f>
        <v>6.1161622722467444</v>
      </c>
      <c r="D53" s="145">
        <v>2.7749229188078113</v>
      </c>
      <c r="E53" s="145">
        <v>6.0445387062566285</v>
      </c>
      <c r="F53" s="145">
        <v>9.5290251916757924</v>
      </c>
      <c r="G53" t="s">
        <v>38</v>
      </c>
      <c r="I53" s="124" t="s">
        <v>856</v>
      </c>
    </row>
    <row r="56" spans="1:9" s="2" customFormat="1" x14ac:dyDescent="0.2">
      <c r="A56" s="2" t="s">
        <v>753</v>
      </c>
      <c r="B56" s="48"/>
      <c r="C56" s="48"/>
      <c r="D56" s="2" t="s">
        <v>399</v>
      </c>
      <c r="E56" s="2" t="s">
        <v>400</v>
      </c>
      <c r="F56" s="2" t="s">
        <v>401</v>
      </c>
    </row>
    <row r="57" spans="1:9" s="2" customFormat="1" x14ac:dyDescent="0.2">
      <c r="A57" s="124" t="s">
        <v>757</v>
      </c>
      <c r="B57" s="3" t="s">
        <v>948</v>
      </c>
      <c r="C57" s="60">
        <f ca="1">_xll.RiskUniform(D57,F57)</f>
        <v>0.5</v>
      </c>
      <c r="D57" s="262">
        <v>0</v>
      </c>
      <c r="E57" s="3" t="s">
        <v>947</v>
      </c>
      <c r="F57" s="262">
        <v>1</v>
      </c>
    </row>
    <row r="58" spans="1:9" x14ac:dyDescent="0.2">
      <c r="B58" t="s">
        <v>128</v>
      </c>
      <c r="C58" s="60">
        <f ca="1">_xll.RiskTriang(D58,E58,F58)</f>
        <v>1.5</v>
      </c>
      <c r="D58" s="94">
        <v>1</v>
      </c>
      <c r="E58" s="94">
        <v>1.5</v>
      </c>
      <c r="F58" s="94">
        <v>2</v>
      </c>
      <c r="G58" s="1" t="s">
        <v>41</v>
      </c>
    </row>
    <row r="59" spans="1:9" ht="13.5" thickBot="1" x14ac:dyDescent="0.25">
      <c r="B59" t="s">
        <v>129</v>
      </c>
      <c r="C59" s="60">
        <f ca="1">_xll.RiskTriang(D59,E59,F59)</f>
        <v>20</v>
      </c>
      <c r="D59" s="10">
        <v>10</v>
      </c>
      <c r="E59" s="10">
        <v>20</v>
      </c>
      <c r="F59" s="10">
        <v>30</v>
      </c>
      <c r="G59" s="1" t="s">
        <v>130</v>
      </c>
    </row>
    <row r="60" spans="1:9" ht="13.5" thickTop="1" x14ac:dyDescent="0.2"/>
    <row r="61" spans="1:9" s="2" customFormat="1" x14ac:dyDescent="0.2">
      <c r="B61" s="48"/>
      <c r="C61" s="48"/>
    </row>
    <row r="62" spans="1:9" x14ac:dyDescent="0.2">
      <c r="A62" s="124" t="s">
        <v>758</v>
      </c>
      <c r="B62" t="s">
        <v>206</v>
      </c>
      <c r="C62" s="60">
        <f ca="1">_xll.RiskTriang(D62,E62,F62)</f>
        <v>15</v>
      </c>
      <c r="D62" s="9">
        <v>10</v>
      </c>
      <c r="E62" s="9">
        <v>15</v>
      </c>
      <c r="F62" s="9">
        <v>20</v>
      </c>
      <c r="G62" t="s">
        <v>38</v>
      </c>
    </row>
    <row r="63" spans="1:9" x14ac:dyDescent="0.2">
      <c r="B63" t="s">
        <v>209</v>
      </c>
      <c r="C63" s="60">
        <f ca="1">_xll.RiskTriang(D63,E63,F63)</f>
        <v>0.5</v>
      </c>
      <c r="D63" s="9">
        <v>0.45</v>
      </c>
      <c r="E63" s="9">
        <v>0.5</v>
      </c>
      <c r="F63" s="9">
        <v>0.55000000000000004</v>
      </c>
      <c r="G63" t="s">
        <v>180</v>
      </c>
    </row>
    <row r="64" spans="1:9" x14ac:dyDescent="0.2">
      <c r="B64" t="s">
        <v>207</v>
      </c>
      <c r="C64" s="60">
        <f ca="1">_xll.RiskTriang(D64,E64,F64)</f>
        <v>3</v>
      </c>
      <c r="D64" s="9">
        <v>2.5</v>
      </c>
      <c r="E64" s="9">
        <v>3</v>
      </c>
      <c r="F64" s="9">
        <v>3.5</v>
      </c>
      <c r="G64" t="s">
        <v>41</v>
      </c>
    </row>
    <row r="65" spans="1:7" x14ac:dyDescent="0.2">
      <c r="C65" s="6"/>
      <c r="D65" s="64"/>
      <c r="E65" s="64"/>
      <c r="F65" s="64"/>
    </row>
    <row r="66" spans="1:7" x14ac:dyDescent="0.2">
      <c r="B66" t="s">
        <v>212</v>
      </c>
      <c r="C66" s="60">
        <f ca="1">_xll.RiskTriang(D66,E66,F66)</f>
        <v>0</v>
      </c>
      <c r="D66" s="9">
        <v>0</v>
      </c>
      <c r="E66" s="9">
        <v>0</v>
      </c>
      <c r="F66" s="9">
        <v>0</v>
      </c>
      <c r="G66" t="s">
        <v>210</v>
      </c>
    </row>
    <row r="67" spans="1:7" x14ac:dyDescent="0.2">
      <c r="B67" t="s">
        <v>208</v>
      </c>
      <c r="C67" s="60">
        <f ca="1">_xll.RiskTriang(D67,E67,F67)</f>
        <v>1</v>
      </c>
      <c r="D67" s="9">
        <v>0.5</v>
      </c>
      <c r="E67" s="9">
        <v>1</v>
      </c>
      <c r="F67" s="9">
        <v>1.5</v>
      </c>
      <c r="G67" t="s">
        <v>132</v>
      </c>
    </row>
    <row r="68" spans="1:7" x14ac:dyDescent="0.2">
      <c r="B68" t="s">
        <v>216</v>
      </c>
      <c r="C68" s="60">
        <f ca="1">_xll.RiskTriang(D68,E68,F68)</f>
        <v>0.73333333333333339</v>
      </c>
      <c r="D68" s="9">
        <v>0.5</v>
      </c>
      <c r="E68" s="9">
        <v>0.7</v>
      </c>
      <c r="F68" s="9">
        <v>1</v>
      </c>
    </row>
    <row r="69" spans="1:7" x14ac:dyDescent="0.2">
      <c r="B69" t="s">
        <v>211</v>
      </c>
      <c r="C69" s="60">
        <f ca="1">_xll.RiskTriang(D69,E69,F69)</f>
        <v>-0.3</v>
      </c>
      <c r="D69" s="9">
        <v>-0.4</v>
      </c>
      <c r="E69" s="9">
        <v>-0.3</v>
      </c>
      <c r="F69" s="9">
        <v>-0.2</v>
      </c>
    </row>
    <row r="70" spans="1:7" x14ac:dyDescent="0.2">
      <c r="C70" s="6"/>
      <c r="D70" s="64"/>
      <c r="E70" s="64"/>
      <c r="F70" s="64"/>
    </row>
    <row r="71" spans="1:7" x14ac:dyDescent="0.2">
      <c r="A71" s="3" t="s">
        <v>786</v>
      </c>
      <c r="B71" t="str">
        <f>I_1_NAME&amp;" initial benefit"</f>
        <v>Economic initial benefit</v>
      </c>
      <c r="C71" s="60">
        <f ca="1">_xll.RiskTriang(D71,E71,F71)</f>
        <v>0</v>
      </c>
      <c r="D71" s="145">
        <f t="array" ref="D71:F74" xml:space="preserve"> IF(ECON_IMPF_SWITCH = 0, ( IF(ECON_IMPF = ECON_IMPF_PAGE09_DEFAULT, PARAM_ECON_IMPF_PAGE09_DEFAULT, 0) + IF(ECON_IMPF = ECON_IMPF_PAGE09_IPCCAR5_BURKE, PARAM_ECON_IMPF_PAGE09_IPCCAR5_BURKE, 0) + IF(ECON_IMPF = ECON_IMPF_PAGE09_DELL_MIMIC, PARAM_ECON_IMPF_PAGE09_DELL_MIMIC, 0) + IF(ECON_IMPF = ECON_IMPF_PAGE09_BURKE_MIMIC, PARAM_ECON_IMPF_PAGE09_BURKE_MIMIC, 0) ), 0)</f>
        <v>0</v>
      </c>
      <c r="E71" s="145">
        <v>0</v>
      </c>
      <c r="F71" s="145">
        <v>0</v>
      </c>
      <c r="G71" t="s">
        <v>213</v>
      </c>
    </row>
    <row r="72" spans="1:7" x14ac:dyDescent="0.2">
      <c r="B72" t="str">
        <f>I_1_NAME&amp;" impact at calibration temperature"</f>
        <v>Economic impact at calibration temperature</v>
      </c>
      <c r="C72" s="60">
        <f ca="1">_xll.RiskTriang(D72,E72,F72)</f>
        <v>0</v>
      </c>
      <c r="D72" s="145">
        <v>0</v>
      </c>
      <c r="E72" s="145">
        <v>0</v>
      </c>
      <c r="F72" s="145">
        <v>0</v>
      </c>
      <c r="G72" t="s">
        <v>132</v>
      </c>
    </row>
    <row r="73" spans="1:7" x14ac:dyDescent="0.2">
      <c r="B73" t="str">
        <f>I_1_NAME&amp;" impact function exponent"</f>
        <v>Economic impact function exponent</v>
      </c>
      <c r="C73" s="60">
        <f ca="1">_xll.RiskTriang(D73,E73,F73)</f>
        <v>0</v>
      </c>
      <c r="D73" s="145">
        <v>0</v>
      </c>
      <c r="E73" s="145">
        <v>0</v>
      </c>
      <c r="F73" s="145">
        <v>0</v>
      </c>
    </row>
    <row r="74" spans="1:7" x14ac:dyDescent="0.2">
      <c r="B74" t="str">
        <f>I_1_NAME&amp;" exponent with income"</f>
        <v>Economic exponent with income</v>
      </c>
      <c r="C74" s="60">
        <f ca="1">_xll.RiskTriang(D74,E74,F74)</f>
        <v>0</v>
      </c>
      <c r="D74" s="145">
        <v>0</v>
      </c>
      <c r="E74" s="145">
        <v>0</v>
      </c>
      <c r="F74" s="145">
        <v>0</v>
      </c>
    </row>
    <row r="75" spans="1:7" x14ac:dyDescent="0.2">
      <c r="C75" s="6"/>
      <c r="D75" s="64"/>
      <c r="E75" s="64"/>
      <c r="F75" s="64"/>
    </row>
    <row r="76" spans="1:7" x14ac:dyDescent="0.2">
      <c r="A76" s="3" t="s">
        <v>787</v>
      </c>
      <c r="B76" t="str">
        <f>I_1_NAME&amp;" impact Burke: temp coeff"</f>
        <v>Economic impact Burke: temp coeff</v>
      </c>
      <c r="C76" s="18">
        <f ca="1">_xll.RiskTriang(D76,E76,F76)</f>
        <v>-8.2999096646943719E-3</v>
      </c>
      <c r="D76" s="146">
        <v>-1.3979188534789841E-2</v>
      </c>
      <c r="E76" s="146">
        <v>-8.2999096646943719E-3</v>
      </c>
      <c r="F76" s="146">
        <v>-2.620630794598902E-3</v>
      </c>
      <c r="G76" t="s">
        <v>695</v>
      </c>
    </row>
    <row r="77" spans="1:7" x14ac:dyDescent="0.2">
      <c r="B77" t="str">
        <f>I_1_NAME&amp;" impact Burke: temp squared coeff"</f>
        <v>Economic impact Burke: temp squared coeff</v>
      </c>
      <c r="C77" s="18">
        <f ca="1">_xll.RiskTriang(D77,E77,F77)</f>
        <v>-5.0000340370357757E-4</v>
      </c>
      <c r="D77" s="146">
        <v>-5.9999950648257619E-4</v>
      </c>
      <c r="E77" s="146">
        <v>-5.0000340370357757E-4</v>
      </c>
      <c r="F77" s="146">
        <v>-4.000073009245789E-4</v>
      </c>
      <c r="G77" t="s">
        <v>696</v>
      </c>
    </row>
    <row r="78" spans="1:7" x14ac:dyDescent="0.2">
      <c r="C78" s="6"/>
      <c r="D78" s="64"/>
      <c r="E78" s="64"/>
      <c r="F78" s="64"/>
    </row>
    <row r="79" spans="1:7" x14ac:dyDescent="0.2">
      <c r="B79" t="str">
        <f>I_2_NAME&amp;" initial benefit"</f>
        <v>Non-econ initial benefit</v>
      </c>
      <c r="C79" s="60">
        <f ca="1">_xll.RiskTriang(D79,E79,F79)</f>
        <v>8.3333333333333329E-2</v>
      </c>
      <c r="D79" s="9">
        <v>0</v>
      </c>
      <c r="E79" s="9">
        <v>0.05</v>
      </c>
      <c r="F79" s="9">
        <v>0.2</v>
      </c>
      <c r="G79" t="s">
        <v>213</v>
      </c>
    </row>
    <row r="80" spans="1:7" x14ac:dyDescent="0.2">
      <c r="B80" t="str">
        <f>I_2_NAME&amp;" impact at calibration temperature"</f>
        <v>Non-econ impact at calibration temperature</v>
      </c>
      <c r="C80" s="60">
        <f ca="1">_xll.RiskTriang(D80,E80,F80)</f>
        <v>0.6333333333333333</v>
      </c>
      <c r="D80" s="9">
        <v>0.1</v>
      </c>
      <c r="E80" s="94">
        <v>0.6</v>
      </c>
      <c r="F80" s="94">
        <v>1.2</v>
      </c>
      <c r="G80" t="s">
        <v>132</v>
      </c>
    </row>
    <row r="81" spans="2:9" x14ac:dyDescent="0.2">
      <c r="B81" t="str">
        <f>I_2_NAME&amp;" impact function exponent"</f>
        <v>Non-econ impact function exponent</v>
      </c>
      <c r="C81" s="60">
        <f ca="1">_xll.RiskTriang(D81,E81,F81)</f>
        <v>2.1666666666666665</v>
      </c>
      <c r="D81" s="9">
        <v>1.5</v>
      </c>
      <c r="E81" s="9">
        <v>2</v>
      </c>
      <c r="F81" s="9">
        <v>3</v>
      </c>
    </row>
    <row r="82" spans="2:9" x14ac:dyDescent="0.2">
      <c r="B82" t="str">
        <f>I_2_NAME&amp;" exponent with income"</f>
        <v>Non-econ exponent with income</v>
      </c>
      <c r="C82" s="60">
        <f ca="1">_xll.RiskTriang(D82,E82,F82)</f>
        <v>0</v>
      </c>
      <c r="D82" s="9">
        <v>-0.2</v>
      </c>
      <c r="E82" s="9">
        <v>0</v>
      </c>
      <c r="F82" s="9">
        <v>0.2</v>
      </c>
    </row>
    <row r="83" spans="2:9" x14ac:dyDescent="0.2">
      <c r="B83" t="s">
        <v>131</v>
      </c>
      <c r="C83" s="60">
        <f ca="1">_xll.RiskTriang(D83,E83,F83)</f>
        <v>3</v>
      </c>
      <c r="D83" s="141">
        <v>1</v>
      </c>
      <c r="E83" s="141">
        <v>3</v>
      </c>
      <c r="F83" s="141">
        <v>5</v>
      </c>
      <c r="G83" t="s">
        <v>132</v>
      </c>
      <c r="I83" s="124" t="s">
        <v>900</v>
      </c>
    </row>
    <row r="84" spans="2:9" x14ac:dyDescent="0.2">
      <c r="B84" t="s">
        <v>215</v>
      </c>
      <c r="C84" s="60">
        <f ca="1">_xll.RiskTriang(D84,E84,F84)</f>
        <v>-0.13333333333333333</v>
      </c>
      <c r="D84" s="9">
        <v>-0.3</v>
      </c>
      <c r="E84" s="9">
        <v>-0.1</v>
      </c>
      <c r="F84" s="9">
        <v>0</v>
      </c>
    </row>
    <row r="85" spans="2:9" x14ac:dyDescent="0.2">
      <c r="B85" s="3" t="s">
        <v>424</v>
      </c>
      <c r="C85" s="60">
        <f ca="1">_xll.RiskTriang(D85,E85,F85)</f>
        <v>20</v>
      </c>
      <c r="D85" s="141">
        <v>10</v>
      </c>
      <c r="E85" s="141">
        <v>20</v>
      </c>
      <c r="F85" s="141">
        <v>30</v>
      </c>
      <c r="G85" t="s">
        <v>39</v>
      </c>
      <c r="I85" s="124" t="s">
        <v>899</v>
      </c>
    </row>
    <row r="86" spans="2:9" x14ac:dyDescent="0.2">
      <c r="B86" t="s">
        <v>214</v>
      </c>
      <c r="C86" s="60">
        <f ca="1">_xll.RiskTriang(D86,E86,F86)</f>
        <v>20</v>
      </c>
      <c r="D86" s="93">
        <v>15</v>
      </c>
      <c r="E86" s="93">
        <v>20</v>
      </c>
      <c r="F86" s="93">
        <v>25</v>
      </c>
      <c r="G86" t="s">
        <v>257</v>
      </c>
      <c r="I86" s="124" t="s">
        <v>785</v>
      </c>
    </row>
    <row r="87" spans="2:9" x14ac:dyDescent="0.2">
      <c r="B87" t="s">
        <v>405</v>
      </c>
      <c r="C87" s="215">
        <f ca="1">_xll.RiskTriang(D87,E87,F87)</f>
        <v>61333333333.333336</v>
      </c>
      <c r="D87" s="216">
        <v>11500000000</v>
      </c>
      <c r="E87" s="216">
        <v>57499999999.999992</v>
      </c>
      <c r="F87" s="216">
        <v>114999999999.99998</v>
      </c>
      <c r="G87" t="str">
        <f>CURRENCY_NAME</f>
        <v>$M(2015)</v>
      </c>
    </row>
    <row r="88" spans="2:9" x14ac:dyDescent="0.2">
      <c r="C88" s="217"/>
      <c r="D88" s="218"/>
      <c r="E88" s="218"/>
      <c r="F88" s="218"/>
    </row>
    <row r="89" spans="2:9" x14ac:dyDescent="0.2">
      <c r="B89" t="str">
        <f t="array" ref="B89:B95">R_CODE_NOT_1&amp;" "&amp;I_S_NAME&amp;" weights factor"</f>
        <v>US Sea level weights factor</v>
      </c>
      <c r="C89" s="60">
        <f ca="1">_xll.RiskTriang(D89,E89,F89)</f>
        <v>0.79999999999999993</v>
      </c>
      <c r="D89" s="9">
        <v>0.6</v>
      </c>
      <c r="E89" s="9">
        <v>0.8</v>
      </c>
      <c r="F89" s="9">
        <v>1</v>
      </c>
    </row>
    <row r="90" spans="2:9" x14ac:dyDescent="0.2">
      <c r="B90" t="str">
        <v>OT Sea level weights factor</v>
      </c>
      <c r="C90" s="60">
        <f ca="1">_xll.RiskTriang(D90,E90,F90)</f>
        <v>0.80000000000000016</v>
      </c>
      <c r="D90" s="9">
        <v>0.4</v>
      </c>
      <c r="E90" s="9">
        <v>0.8</v>
      </c>
      <c r="F90" s="9">
        <v>1.2</v>
      </c>
    </row>
    <row r="91" spans="2:9" x14ac:dyDescent="0.2">
      <c r="B91" t="str">
        <v>EE Sea level weights factor</v>
      </c>
      <c r="C91" s="60">
        <f ca="1">_xll.RiskTriang(D91,E91,F91)</f>
        <v>0.40000000000000008</v>
      </c>
      <c r="D91" s="9">
        <v>0.2</v>
      </c>
      <c r="E91" s="9">
        <v>0.4</v>
      </c>
      <c r="F91" s="9">
        <v>0.6</v>
      </c>
    </row>
    <row r="92" spans="2:9" x14ac:dyDescent="0.2">
      <c r="B92" t="str">
        <v>CA Sea level weights factor</v>
      </c>
      <c r="C92" s="60">
        <f ca="1">_xll.RiskTriang(D92,E92,F92)</f>
        <v>0.80000000000000016</v>
      </c>
      <c r="D92" s="9">
        <v>0.4</v>
      </c>
      <c r="E92" s="9">
        <v>0.8</v>
      </c>
      <c r="F92" s="9">
        <v>1.2</v>
      </c>
    </row>
    <row r="93" spans="2:9" x14ac:dyDescent="0.2">
      <c r="B93" t="str">
        <v>IA Sea level weights factor</v>
      </c>
      <c r="C93" s="60">
        <f ca="1">_xll.RiskTriang(D93,E93,F93)</f>
        <v>0.80000000000000016</v>
      </c>
      <c r="D93" s="9">
        <v>0.4</v>
      </c>
      <c r="E93" s="9">
        <v>0.8</v>
      </c>
      <c r="F93" s="9">
        <v>1.2</v>
      </c>
    </row>
    <row r="94" spans="2:9" x14ac:dyDescent="0.2">
      <c r="B94" t="str">
        <v>AF Sea level weights factor</v>
      </c>
      <c r="C94" s="60">
        <f ca="1">_xll.RiskTriang(D94,E94,F94)</f>
        <v>0.6</v>
      </c>
      <c r="D94" s="9">
        <v>0.4</v>
      </c>
      <c r="E94" s="9">
        <v>0.6</v>
      </c>
      <c r="F94" s="9">
        <v>0.8</v>
      </c>
    </row>
    <row r="95" spans="2:9" ht="13.5" thickBot="1" x14ac:dyDescent="0.25">
      <c r="B95" t="str">
        <v>LA Sea level weights factor</v>
      </c>
      <c r="C95" s="60">
        <f ca="1">_xll.RiskTriang(D95,E95,F95)</f>
        <v>0.6</v>
      </c>
      <c r="D95" s="10">
        <v>0.4</v>
      </c>
      <c r="E95" s="10">
        <v>0.6</v>
      </c>
      <c r="F95" s="10">
        <v>0.8</v>
      </c>
    </row>
    <row r="96" spans="2:9" ht="13.5" thickTop="1" x14ac:dyDescent="0.2">
      <c r="C96" s="6"/>
      <c r="D96" s="64"/>
      <c r="E96" s="64"/>
      <c r="F96" s="64"/>
    </row>
    <row r="97" spans="2:6" x14ac:dyDescent="0.2">
      <c r="B97" t="str">
        <f t="array" ref="B97:B103">R_CODE_NOT_1&amp;" "&amp;I_1_NAME&amp;" weights factor"</f>
        <v>US Economic weights factor</v>
      </c>
      <c r="C97" s="60">
        <f ca="1">_xll.RiskTriang(D97,E97,F97)</f>
        <v>1</v>
      </c>
      <c r="D97" s="9">
        <v>1</v>
      </c>
      <c r="E97" s="9">
        <v>1</v>
      </c>
      <c r="F97" s="9">
        <v>1</v>
      </c>
    </row>
    <row r="98" spans="2:6" x14ac:dyDescent="0.2">
      <c r="B98" t="str">
        <v>OT Economic weights factor</v>
      </c>
      <c r="C98" s="60">
        <f ca="1">_xll.RiskTriang(D98,E98,F98)</f>
        <v>1</v>
      </c>
      <c r="D98" s="9">
        <v>1</v>
      </c>
      <c r="E98" s="9">
        <v>1</v>
      </c>
      <c r="F98" s="9">
        <v>1</v>
      </c>
    </row>
    <row r="99" spans="2:6" x14ac:dyDescent="0.2">
      <c r="B99" t="str">
        <v>EE Economic weights factor</v>
      </c>
      <c r="C99" s="60">
        <f ca="1">_xll.RiskTriang(D99,E99,F99)</f>
        <v>1</v>
      </c>
      <c r="D99" s="9">
        <v>1</v>
      </c>
      <c r="E99" s="9">
        <v>1</v>
      </c>
      <c r="F99" s="9">
        <v>1</v>
      </c>
    </row>
    <row r="100" spans="2:6" x14ac:dyDescent="0.2">
      <c r="B100" t="str">
        <v>CA Economic weights factor</v>
      </c>
      <c r="C100" s="60">
        <f ca="1">_xll.RiskTriang(D100,E100,F100)</f>
        <v>1</v>
      </c>
      <c r="D100" s="9">
        <v>1</v>
      </c>
      <c r="E100" s="9">
        <v>1</v>
      </c>
      <c r="F100" s="9">
        <v>1</v>
      </c>
    </row>
    <row r="101" spans="2:6" x14ac:dyDescent="0.2">
      <c r="B101" t="str">
        <v>IA Economic weights factor</v>
      </c>
      <c r="C101" s="60">
        <f ca="1">_xll.RiskTriang(D101,E101,F101)</f>
        <v>1</v>
      </c>
      <c r="D101" s="9">
        <v>1</v>
      </c>
      <c r="E101" s="9">
        <v>1</v>
      </c>
      <c r="F101" s="9">
        <v>1</v>
      </c>
    </row>
    <row r="102" spans="2:6" x14ac:dyDescent="0.2">
      <c r="B102" t="str">
        <v>AF Economic weights factor</v>
      </c>
      <c r="C102" s="60">
        <f ca="1">_xll.RiskTriang(D102,E102,F102)</f>
        <v>1</v>
      </c>
      <c r="D102" s="9">
        <v>1</v>
      </c>
      <c r="E102" s="9">
        <v>1</v>
      </c>
      <c r="F102" s="9">
        <v>1</v>
      </c>
    </row>
    <row r="103" spans="2:6" x14ac:dyDescent="0.2">
      <c r="B103" t="str">
        <v>LA Economic weights factor</v>
      </c>
      <c r="C103" s="60">
        <f ca="1">_xll.RiskTriang(D103,E103,F103)</f>
        <v>1</v>
      </c>
      <c r="D103" s="9">
        <v>1</v>
      </c>
      <c r="E103" s="9">
        <v>1</v>
      </c>
      <c r="F103" s="9">
        <v>1</v>
      </c>
    </row>
    <row r="104" spans="2:6" x14ac:dyDescent="0.2">
      <c r="C104" s="6"/>
      <c r="D104" s="64"/>
      <c r="E104" s="64"/>
      <c r="F104" s="64"/>
    </row>
    <row r="105" spans="2:6" x14ac:dyDescent="0.2">
      <c r="B105" t="str">
        <f t="array" ref="B105:B111">R_CODE_NOT_1&amp;" "&amp;I_2_NAME&amp;" weights factor"</f>
        <v>US Non-econ weights factor</v>
      </c>
      <c r="C105" s="60">
        <f ca="1">_xll.RiskTriang(D105,E105,F105)</f>
        <v>1</v>
      </c>
      <c r="D105" s="9">
        <v>1</v>
      </c>
      <c r="E105" s="9">
        <v>1</v>
      </c>
      <c r="F105" s="9">
        <v>1</v>
      </c>
    </row>
    <row r="106" spans="2:6" x14ac:dyDescent="0.2">
      <c r="B106" t="str">
        <v>OT Non-econ weights factor</v>
      </c>
      <c r="C106" s="60">
        <f ca="1">_xll.RiskTriang(D106,E106,F106)</f>
        <v>1</v>
      </c>
      <c r="D106" s="9">
        <v>1</v>
      </c>
      <c r="E106" s="9">
        <v>1</v>
      </c>
      <c r="F106" s="9">
        <v>1</v>
      </c>
    </row>
    <row r="107" spans="2:6" x14ac:dyDescent="0.2">
      <c r="B107" t="str">
        <v>EE Non-econ weights factor</v>
      </c>
      <c r="C107" s="60">
        <f ca="1">_xll.RiskTriang(D107,E107,F107)</f>
        <v>1</v>
      </c>
      <c r="D107" s="9">
        <v>1</v>
      </c>
      <c r="E107" s="9">
        <v>1</v>
      </c>
      <c r="F107" s="9">
        <v>1</v>
      </c>
    </row>
    <row r="108" spans="2:6" x14ac:dyDescent="0.2">
      <c r="B108" t="str">
        <v>CA Non-econ weights factor</v>
      </c>
      <c r="C108" s="60">
        <f ca="1">_xll.RiskTriang(D108,E108,F108)</f>
        <v>1</v>
      </c>
      <c r="D108" s="9">
        <v>1</v>
      </c>
      <c r="E108" s="9">
        <v>1</v>
      </c>
      <c r="F108" s="9">
        <v>1</v>
      </c>
    </row>
    <row r="109" spans="2:6" x14ac:dyDescent="0.2">
      <c r="B109" t="str">
        <v>IA Non-econ weights factor</v>
      </c>
      <c r="C109" s="60">
        <f ca="1">_xll.RiskTriang(D109,E109,F109)</f>
        <v>1</v>
      </c>
      <c r="D109" s="9">
        <v>1</v>
      </c>
      <c r="E109" s="9">
        <v>1</v>
      </c>
      <c r="F109" s="9">
        <v>1</v>
      </c>
    </row>
    <row r="110" spans="2:6" x14ac:dyDescent="0.2">
      <c r="B110" t="str">
        <v>AF Non-econ weights factor</v>
      </c>
      <c r="C110" s="60">
        <f ca="1">_xll.RiskTriang(D110,E110,F110)</f>
        <v>1</v>
      </c>
      <c r="D110" s="9">
        <v>1</v>
      </c>
      <c r="E110" s="9">
        <v>1</v>
      </c>
      <c r="F110" s="9">
        <v>1</v>
      </c>
    </row>
    <row r="111" spans="2:6" x14ac:dyDescent="0.2">
      <c r="B111" t="str">
        <v>LA Non-econ weights factor</v>
      </c>
      <c r="C111" s="60">
        <f ca="1">_xll.RiskTriang(D111,E111,F111)</f>
        <v>1</v>
      </c>
      <c r="D111" s="9">
        <v>1</v>
      </c>
      <c r="E111" s="9">
        <v>1</v>
      </c>
      <c r="F111" s="9">
        <v>1</v>
      </c>
    </row>
    <row r="112" spans="2:6" x14ac:dyDescent="0.2">
      <c r="C112" s="6"/>
      <c r="D112" s="64"/>
      <c r="E112" s="64"/>
      <c r="F112" s="64"/>
    </row>
    <row r="114" spans="1:12" s="2" customFormat="1" x14ac:dyDescent="0.2">
      <c r="A114" s="2" t="s">
        <v>43</v>
      </c>
      <c r="B114" s="48"/>
      <c r="C114" s="48"/>
      <c r="D114" s="2" t="s">
        <v>399</v>
      </c>
      <c r="E114" s="2" t="s">
        <v>400</v>
      </c>
      <c r="F114" s="2" t="s">
        <v>401</v>
      </c>
    </row>
    <row r="115" spans="1:12" x14ac:dyDescent="0.2">
      <c r="B115" t="str">
        <f>$A$114&amp;" sea level plateau"</f>
        <v>Adaptive costs sea level plateau</v>
      </c>
      <c r="C115" s="69">
        <f ca="1">_xll.RiskTriang(D115,E115,F115)</f>
        <v>2.3333333333333334E-2</v>
      </c>
      <c r="D115" s="9">
        <v>0.01</v>
      </c>
      <c r="E115" s="9">
        <v>0.02</v>
      </c>
      <c r="F115" s="9">
        <v>0.04</v>
      </c>
      <c r="G115" s="3" t="s">
        <v>365</v>
      </c>
      <c r="H115" s="1"/>
      <c r="I115" s="1"/>
    </row>
    <row r="116" spans="1:12" x14ac:dyDescent="0.2">
      <c r="B116" t="str">
        <f>$A$114&amp;" sea level impact"</f>
        <v>Adaptive costs sea level impact</v>
      </c>
      <c r="C116" s="69">
        <f ca="1">_xll.RiskTriang(D116,E116,F116)</f>
        <v>1.1666666666666668E-3</v>
      </c>
      <c r="D116" s="9">
        <v>5.0000000000000001E-4</v>
      </c>
      <c r="E116" s="9">
        <v>1E-3</v>
      </c>
      <c r="F116" s="9">
        <v>2E-3</v>
      </c>
      <c r="G116" s="3" t="s">
        <v>406</v>
      </c>
    </row>
    <row r="117" spans="1:12" x14ac:dyDescent="0.2">
      <c r="B117" t="str">
        <f>$A$114&amp;" "&amp;I_1_NAME&amp;" plateau"</f>
        <v>Adaptive costs Economic plateau</v>
      </c>
      <c r="C117" s="69">
        <f ca="1">_xll.RiskTriang(D117,E117,F117)</f>
        <v>1.1666666666666667E-2</v>
      </c>
      <c r="D117" s="9">
        <v>5.0000000000000001E-3</v>
      </c>
      <c r="E117" s="9">
        <v>0.01</v>
      </c>
      <c r="F117" s="9">
        <v>0.02</v>
      </c>
      <c r="G117" s="3" t="s">
        <v>213</v>
      </c>
      <c r="H117" s="1"/>
      <c r="I117" s="1"/>
    </row>
    <row r="118" spans="1:12" x14ac:dyDescent="0.2">
      <c r="B118" t="str">
        <f>$A$114&amp;" "&amp;I_1_NAME&amp;" impact"</f>
        <v>Adaptive costs Economic impact</v>
      </c>
      <c r="C118" s="69">
        <f ca="1">_xll.RiskTriang(D118,E118,F118)</f>
        <v>4.0000000000000001E-3</v>
      </c>
      <c r="D118" s="9">
        <v>1E-3</v>
      </c>
      <c r="E118" s="9">
        <v>3.0000000000000001E-3</v>
      </c>
      <c r="F118" s="9">
        <v>8.0000000000000002E-3</v>
      </c>
      <c r="G118" s="3" t="s">
        <v>407</v>
      </c>
      <c r="H118" s="1"/>
      <c r="I118" s="1"/>
    </row>
    <row r="119" spans="1:12" x14ac:dyDescent="0.2">
      <c r="B119" t="str">
        <f>$A$114&amp;" "&amp;I_2_NAME&amp;" plateau"</f>
        <v>Adaptive costs Non-econ plateau</v>
      </c>
      <c r="C119" s="69">
        <f ca="1">_xll.RiskTriang(D119,E119,F119)</f>
        <v>2.3333333333333334E-2</v>
      </c>
      <c r="D119" s="9">
        <v>0.01</v>
      </c>
      <c r="E119" s="9">
        <v>0.02</v>
      </c>
      <c r="F119" s="9">
        <v>0.04</v>
      </c>
      <c r="G119" s="3" t="s">
        <v>213</v>
      </c>
      <c r="H119" s="1"/>
      <c r="I119" s="1"/>
      <c r="K119" s="1"/>
      <c r="L119" s="1"/>
    </row>
    <row r="120" spans="1:12" x14ac:dyDescent="0.2">
      <c r="B120" t="str">
        <f>$A$114&amp;" "&amp;I_2_NAME&amp;" impact"</f>
        <v>Adaptive costs Non-econ impact</v>
      </c>
      <c r="C120" s="69">
        <f ca="1">_xll.RiskTriang(D120,E120,F120)</f>
        <v>5.6666666666666671E-3</v>
      </c>
      <c r="D120" s="9">
        <v>2E-3</v>
      </c>
      <c r="E120" s="9">
        <v>5.0000000000000001E-3</v>
      </c>
      <c r="F120" s="9">
        <v>0.01</v>
      </c>
      <c r="G120" s="3" t="s">
        <v>407</v>
      </c>
      <c r="H120" s="1"/>
      <c r="I120" s="1"/>
      <c r="K120" s="1"/>
      <c r="L120" s="1"/>
    </row>
    <row r="121" spans="1:12" x14ac:dyDescent="0.2">
      <c r="B121" t="str">
        <f t="array" ref="B121:B127">R_CODE_NOT_1&amp;" "&amp;$A$114&amp;" factor"</f>
        <v>US Adaptive costs factor</v>
      </c>
      <c r="C121" s="60">
        <f ca="1">_xll.RiskTriang(D121,E121,F121)</f>
        <v>0.79999999999999993</v>
      </c>
      <c r="D121" s="9">
        <v>0.6</v>
      </c>
      <c r="E121" s="9">
        <v>0.8</v>
      </c>
      <c r="F121" s="9">
        <v>1</v>
      </c>
    </row>
    <row r="122" spans="1:12" x14ac:dyDescent="0.2">
      <c r="B122" t="str">
        <v>OT Adaptive costs factor</v>
      </c>
      <c r="C122" s="60">
        <f ca="1">_xll.RiskTriang(D122,E122,F122)</f>
        <v>0.80000000000000016</v>
      </c>
      <c r="D122" s="9">
        <v>0.4</v>
      </c>
      <c r="E122" s="9">
        <v>0.8</v>
      </c>
      <c r="F122" s="9">
        <v>1.2</v>
      </c>
    </row>
    <row r="123" spans="1:12" x14ac:dyDescent="0.2">
      <c r="B123" t="str">
        <v>EE Adaptive costs factor</v>
      </c>
      <c r="C123" s="60">
        <f ca="1">_xll.RiskTriang(D123,E123,F123)</f>
        <v>0.40000000000000008</v>
      </c>
      <c r="D123" s="9">
        <v>0.2</v>
      </c>
      <c r="E123" s="9">
        <v>0.4</v>
      </c>
      <c r="F123" s="9">
        <v>0.6</v>
      </c>
    </row>
    <row r="124" spans="1:12" x14ac:dyDescent="0.2">
      <c r="B124" t="str">
        <v>CA Adaptive costs factor</v>
      </c>
      <c r="C124" s="60">
        <f ca="1">_xll.RiskTriang(D124,E124,F124)</f>
        <v>0.80000000000000016</v>
      </c>
      <c r="D124" s="9">
        <v>0.4</v>
      </c>
      <c r="E124" s="9">
        <v>0.8</v>
      </c>
      <c r="F124" s="9">
        <v>1.2</v>
      </c>
    </row>
    <row r="125" spans="1:12" x14ac:dyDescent="0.2">
      <c r="B125" t="str">
        <v>IA Adaptive costs factor</v>
      </c>
      <c r="C125" s="60">
        <f ca="1">_xll.RiskTriang(D125,E125,F125)</f>
        <v>0.80000000000000016</v>
      </c>
      <c r="D125" s="9">
        <v>0.4</v>
      </c>
      <c r="E125" s="9">
        <v>0.8</v>
      </c>
      <c r="F125" s="9">
        <v>1.2</v>
      </c>
    </row>
    <row r="126" spans="1:12" x14ac:dyDescent="0.2">
      <c r="B126" t="str">
        <v>AF Adaptive costs factor</v>
      </c>
      <c r="C126" s="60">
        <f ca="1">_xll.RiskTriang(D126,E126,F126)</f>
        <v>0.6</v>
      </c>
      <c r="D126" s="9">
        <v>0.4</v>
      </c>
      <c r="E126" s="9">
        <v>0.6</v>
      </c>
      <c r="F126" s="9">
        <v>0.8</v>
      </c>
    </row>
    <row r="127" spans="1:12" ht="13.5" thickBot="1" x14ac:dyDescent="0.25">
      <c r="B127" t="str">
        <v>LA Adaptive costs factor</v>
      </c>
      <c r="C127" s="60">
        <f ca="1">_xll.RiskTriang(D127,E127,F127)</f>
        <v>0.6</v>
      </c>
      <c r="D127" s="10">
        <v>0.4</v>
      </c>
      <c r="E127" s="10">
        <v>0.6</v>
      </c>
      <c r="F127" s="10">
        <v>0.8</v>
      </c>
    </row>
    <row r="128" spans="1:12" ht="13.5" thickTop="1" x14ac:dyDescent="0.2"/>
    <row r="129" spans="1:9" s="2" customFormat="1" x14ac:dyDescent="0.2">
      <c r="A129" s="2" t="s">
        <v>44</v>
      </c>
      <c r="B129" s="48"/>
      <c r="C129" s="48"/>
    </row>
    <row r="130" spans="1:9" x14ac:dyDescent="0.2">
      <c r="B130" s="2" t="s">
        <v>12</v>
      </c>
      <c r="C130" s="6"/>
      <c r="D130" s="2" t="s">
        <v>399</v>
      </c>
      <c r="E130" s="2" t="s">
        <v>400</v>
      </c>
      <c r="F130" s="2" t="s">
        <v>401</v>
      </c>
    </row>
    <row r="131" spans="1:9" x14ac:dyDescent="0.2">
      <c r="B131" t="str">
        <f>"Uncertainty in BAU emissions in "&amp;Y_LAST_SSP</f>
        <v>Uncertainty in BAU emissions in 2060</v>
      </c>
      <c r="C131" s="60">
        <f ca="1">_xll.RiskTriang(D131,E131,F131)</f>
        <v>-22</v>
      </c>
      <c r="D131" s="106">
        <v>-50</v>
      </c>
      <c r="E131" s="106">
        <v>-22</v>
      </c>
      <c r="F131" s="106">
        <v>6</v>
      </c>
      <c r="G131" s="3" t="s">
        <v>529</v>
      </c>
      <c r="I131" s="124" t="s">
        <v>789</v>
      </c>
    </row>
    <row r="132" spans="1:9" x14ac:dyDescent="0.2">
      <c r="B132" s="3" t="s">
        <v>273</v>
      </c>
      <c r="C132" s="60">
        <f ca="1">_xll.RiskTriang(D132,E132,F132)</f>
        <v>10</v>
      </c>
      <c r="D132" s="140">
        <v>0</v>
      </c>
      <c r="E132" s="140">
        <v>10</v>
      </c>
      <c r="F132" s="140">
        <v>20</v>
      </c>
      <c r="G132" s="3" t="s">
        <v>262</v>
      </c>
      <c r="I132" s="124"/>
    </row>
    <row r="133" spans="1:9" x14ac:dyDescent="0.2">
      <c r="B133" s="3" t="s">
        <v>790</v>
      </c>
      <c r="C133" s="60">
        <f ca="1">_xll.RiskTriang(D133,E133,F133)</f>
        <v>-100</v>
      </c>
      <c r="D133" s="140">
        <v>-150</v>
      </c>
      <c r="E133" s="140">
        <v>-100</v>
      </c>
      <c r="F133" s="140">
        <v>-50</v>
      </c>
      <c r="G133" s="3" t="str">
        <f>CURRENCY_NAME&amp;" per "&amp;EMIT_NAME</f>
        <v>$M(2015) per Mtonne</v>
      </c>
    </row>
    <row r="134" spans="1:9" x14ac:dyDescent="0.2">
      <c r="B134" s="3" t="s">
        <v>791</v>
      </c>
      <c r="C134" s="60">
        <f ca="1">_xll.RiskTriang(D134,E134,F134)</f>
        <v>60</v>
      </c>
      <c r="D134" s="140">
        <v>50</v>
      </c>
      <c r="E134" s="140">
        <v>60</v>
      </c>
      <c r="F134" s="140">
        <v>70</v>
      </c>
      <c r="G134" s="3" t="s">
        <v>262</v>
      </c>
    </row>
    <row r="135" spans="1:9" x14ac:dyDescent="0.2">
      <c r="B135" s="3" t="s">
        <v>792</v>
      </c>
      <c r="C135" s="60">
        <f ca="1">_xll.RiskTriang(D135,E135,F135)</f>
        <v>150</v>
      </c>
      <c r="D135" s="140">
        <v>100</v>
      </c>
      <c r="E135" s="140">
        <v>150</v>
      </c>
      <c r="F135" s="140">
        <v>200</v>
      </c>
      <c r="G135" s="3" t="str">
        <f>CURRENCY_NAME&amp;" per "&amp;EMIT_NAME</f>
        <v>$M(2015) per Mtonne</v>
      </c>
      <c r="I135" s="124" t="s">
        <v>806</v>
      </c>
    </row>
    <row r="136" spans="1:9" x14ac:dyDescent="0.2">
      <c r="B136" s="3" t="s">
        <v>263</v>
      </c>
      <c r="C136" s="60">
        <f ca="1">_xll.RiskTriang(D136,E136,F136)</f>
        <v>150000</v>
      </c>
      <c r="D136" s="9">
        <v>100000</v>
      </c>
      <c r="E136" s="9">
        <v>150000</v>
      </c>
      <c r="F136" s="9">
        <v>200000</v>
      </c>
      <c r="G136" s="3" t="str">
        <f>EMIT_NAME</f>
        <v>Mtonne</v>
      </c>
    </row>
    <row r="137" spans="1:9" x14ac:dyDescent="0.2">
      <c r="B137" s="2" t="s">
        <v>13</v>
      </c>
      <c r="C137" s="6"/>
      <c r="D137" s="64"/>
      <c r="E137" s="64"/>
      <c r="F137" s="64"/>
    </row>
    <row r="138" spans="1:9" x14ac:dyDescent="0.2">
      <c r="B138" t="str">
        <f>"Uncertainty in BAU emissions in "&amp;Y_LAST_SSP</f>
        <v>Uncertainty in BAU emissions in 2060</v>
      </c>
      <c r="C138" s="60">
        <f ca="1">_xll.RiskTriang(D138,E138,F138)</f>
        <v>-30.333333333333332</v>
      </c>
      <c r="D138" s="106">
        <v>-67</v>
      </c>
      <c r="E138" s="106">
        <v>-30</v>
      </c>
      <c r="F138" s="106">
        <v>6</v>
      </c>
      <c r="G138" s="3" t="s">
        <v>529</v>
      </c>
      <c r="I138" s="124" t="s">
        <v>789</v>
      </c>
    </row>
    <row r="139" spans="1:9" x14ac:dyDescent="0.2">
      <c r="B139" s="3" t="s">
        <v>273</v>
      </c>
      <c r="C139" s="60">
        <f ca="1">_xll.RiskTriang(D139,E139,F139)</f>
        <v>10</v>
      </c>
      <c r="D139" s="9">
        <v>0</v>
      </c>
      <c r="E139" s="9">
        <v>10</v>
      </c>
      <c r="F139" s="9">
        <v>20</v>
      </c>
      <c r="G139" s="3" t="s">
        <v>262</v>
      </c>
      <c r="I139" s="124"/>
    </row>
    <row r="140" spans="1:9" x14ac:dyDescent="0.2">
      <c r="B140" s="3" t="s">
        <v>790</v>
      </c>
      <c r="C140" s="60">
        <f ca="1">_xll.RiskTriang(D140,E140,F140)</f>
        <v>-4983.333333333333</v>
      </c>
      <c r="D140" s="94">
        <v>-9200</v>
      </c>
      <c r="E140" s="94">
        <v>-4600</v>
      </c>
      <c r="F140" s="94">
        <v>-1150</v>
      </c>
      <c r="G140" s="3" t="str">
        <f>CURRENCY_NAME&amp;" per "&amp;EMIT_NAME</f>
        <v>$M(2015) per Mtonne</v>
      </c>
    </row>
    <row r="141" spans="1:9" x14ac:dyDescent="0.2">
      <c r="B141" s="3" t="s">
        <v>791</v>
      </c>
      <c r="C141" s="60">
        <f ca="1">_xll.RiskTriang(D141,E141,F141)</f>
        <v>51.666666666666664</v>
      </c>
      <c r="D141" s="9">
        <v>35</v>
      </c>
      <c r="E141" s="9">
        <v>50</v>
      </c>
      <c r="F141" s="9">
        <v>70</v>
      </c>
      <c r="G141" s="3" t="s">
        <v>262</v>
      </c>
    </row>
    <row r="142" spans="1:9" x14ac:dyDescent="0.2">
      <c r="B142" s="3" t="s">
        <v>792</v>
      </c>
      <c r="C142" s="60">
        <f ca="1">_xll.RiskTriang(D142,E142,F142)</f>
        <v>7283.333333333333</v>
      </c>
      <c r="D142" s="94">
        <v>3449.9999999999995</v>
      </c>
      <c r="E142" s="94">
        <v>6899.9999999999991</v>
      </c>
      <c r="F142" s="94">
        <v>11500</v>
      </c>
      <c r="G142" s="3" t="str">
        <f>CURRENCY_NAME&amp;" per "&amp;EMIT_NAME</f>
        <v>$M(2015) per Mtonne</v>
      </c>
    </row>
    <row r="143" spans="1:9" x14ac:dyDescent="0.2">
      <c r="B143" s="3" t="s">
        <v>263</v>
      </c>
      <c r="C143" s="60">
        <f ca="1">_xll.RiskTriang(D143,E143,F143)</f>
        <v>2000</v>
      </c>
      <c r="D143" s="9">
        <v>1500</v>
      </c>
      <c r="E143" s="9">
        <v>2000</v>
      </c>
      <c r="F143" s="9">
        <v>2500</v>
      </c>
      <c r="G143" s="3" t="str">
        <f>EMIT_NAME</f>
        <v>Mtonne</v>
      </c>
    </row>
    <row r="144" spans="1:9" x14ac:dyDescent="0.2">
      <c r="B144" s="2" t="s">
        <v>144</v>
      </c>
      <c r="C144" s="6"/>
      <c r="D144" s="64"/>
      <c r="E144" s="64"/>
      <c r="F144" s="64"/>
    </row>
    <row r="145" spans="2:9" x14ac:dyDescent="0.2">
      <c r="B145" t="str">
        <f>"Uncertainty in BAU emissions in "&amp;Y_LAST_SSP</f>
        <v>Uncertainty in BAU emissions in 2060</v>
      </c>
      <c r="C145" s="60">
        <f ca="1">_xll.RiskTriang(D145,E145,F145)</f>
        <v>-7</v>
      </c>
      <c r="D145" s="106">
        <v>-20</v>
      </c>
      <c r="E145" s="106">
        <v>-7</v>
      </c>
      <c r="F145" s="106">
        <v>6</v>
      </c>
      <c r="G145" s="3" t="s">
        <v>529</v>
      </c>
      <c r="I145" s="124" t="s">
        <v>789</v>
      </c>
    </row>
    <row r="146" spans="2:9" x14ac:dyDescent="0.2">
      <c r="B146" s="3" t="s">
        <v>273</v>
      </c>
      <c r="C146" s="60">
        <f ca="1">_xll.RiskTriang(D146,E146,F146)</f>
        <v>10</v>
      </c>
      <c r="D146" s="9">
        <v>0</v>
      </c>
      <c r="E146" s="9">
        <v>10</v>
      </c>
      <c r="F146" s="9">
        <v>20</v>
      </c>
      <c r="G146" s="3" t="s">
        <v>262</v>
      </c>
      <c r="I146" s="124"/>
    </row>
    <row r="147" spans="2:9" x14ac:dyDescent="0.2">
      <c r="B147" s="3" t="s">
        <v>790</v>
      </c>
      <c r="C147" s="60">
        <f ca="1">_xll.RiskTriang(D147,E147,F147)</f>
        <v>-8433.3333333333339</v>
      </c>
      <c r="D147" s="94">
        <v>-17250</v>
      </c>
      <c r="E147" s="94">
        <v>-8049.9999999999991</v>
      </c>
      <c r="F147" s="94">
        <v>0</v>
      </c>
      <c r="G147" s="3" t="str">
        <f>CURRENCY_NAME&amp;" per "&amp;EMIT_NAME</f>
        <v>$M(2015) per Mtonne</v>
      </c>
    </row>
    <row r="148" spans="2:9" x14ac:dyDescent="0.2">
      <c r="B148" s="3" t="s">
        <v>791</v>
      </c>
      <c r="C148" s="60">
        <f ca="1">_xll.RiskTriang(D148,E148,F148)</f>
        <v>51.666666666666664</v>
      </c>
      <c r="D148" s="9">
        <v>35</v>
      </c>
      <c r="E148" s="9">
        <v>50</v>
      </c>
      <c r="F148" s="9">
        <v>70</v>
      </c>
      <c r="G148" s="3" t="s">
        <v>262</v>
      </c>
    </row>
    <row r="149" spans="2:9" x14ac:dyDescent="0.2">
      <c r="B149" s="3" t="s">
        <v>792</v>
      </c>
      <c r="C149" s="60">
        <f ca="1">_xll.RiskTriang(D149,E149,F149)</f>
        <v>31433.333333333332</v>
      </c>
      <c r="D149" s="94">
        <v>2300</v>
      </c>
      <c r="E149" s="94">
        <v>23000</v>
      </c>
      <c r="F149" s="94">
        <v>69000</v>
      </c>
      <c r="G149" s="3" t="str">
        <f>CURRENCY_NAME&amp;" per "&amp;EMIT_NAME</f>
        <v>$M(2015) per Mtonne</v>
      </c>
    </row>
    <row r="150" spans="2:9" x14ac:dyDescent="0.2">
      <c r="B150" s="3" t="s">
        <v>263</v>
      </c>
      <c r="C150" s="60">
        <f ca="1">_xll.RiskTriang(D150,E150,F150)</f>
        <v>53.333333333333336</v>
      </c>
      <c r="D150" s="9">
        <v>30</v>
      </c>
      <c r="E150" s="9">
        <v>50</v>
      </c>
      <c r="F150" s="9">
        <v>80</v>
      </c>
      <c r="G150" s="3" t="str">
        <f>EMIT_NAME</f>
        <v>Mtonne</v>
      </c>
    </row>
    <row r="151" spans="2:9" x14ac:dyDescent="0.2">
      <c r="B151" s="2" t="str">
        <f>GLIN_NAME</f>
        <v>Lin</v>
      </c>
      <c r="C151" s="6"/>
      <c r="D151" s="64"/>
      <c r="E151" s="64"/>
      <c r="F151" s="64"/>
    </row>
    <row r="152" spans="2:9" x14ac:dyDescent="0.2">
      <c r="B152" t="str">
        <f>"Uncertainty in BAU emissions in "&amp;Y_LAST_SSP</f>
        <v>Uncertainty in BAU emissions in 2060</v>
      </c>
      <c r="C152" s="60">
        <f ca="1">_xll.RiskTriang(D152,E152,F152)</f>
        <v>0</v>
      </c>
      <c r="D152" s="106">
        <v>-50</v>
      </c>
      <c r="E152" s="106">
        <v>0</v>
      </c>
      <c r="F152" s="106">
        <v>50</v>
      </c>
      <c r="G152" s="3" t="s">
        <v>529</v>
      </c>
      <c r="I152" s="124" t="s">
        <v>789</v>
      </c>
    </row>
    <row r="153" spans="2:9" x14ac:dyDescent="0.2">
      <c r="B153" s="3" t="s">
        <v>273</v>
      </c>
      <c r="C153" s="60">
        <f ca="1">_xll.RiskTriang(D153,E153,F153)</f>
        <v>10</v>
      </c>
      <c r="D153" s="9">
        <v>0</v>
      </c>
      <c r="E153" s="9">
        <v>10</v>
      </c>
      <c r="F153" s="9">
        <v>20</v>
      </c>
      <c r="G153" s="3" t="s">
        <v>262</v>
      </c>
      <c r="I153" s="124"/>
    </row>
    <row r="154" spans="2:9" x14ac:dyDescent="0.2">
      <c r="B154" s="3" t="s">
        <v>790</v>
      </c>
      <c r="C154" s="60">
        <f ca="1">_xll.RiskTriang(D154,E154,F154)</f>
        <v>-268.33333333333331</v>
      </c>
      <c r="D154" s="94">
        <v>-459.99999999999994</v>
      </c>
      <c r="E154" s="94">
        <v>-229.99999999999997</v>
      </c>
      <c r="F154" s="94">
        <v>-114.99999999999999</v>
      </c>
      <c r="G154" s="3" t="str">
        <f>CURRENCY_NAME&amp;" per "&amp;EMIT_NAME</f>
        <v>$M(2015) per Mtonne</v>
      </c>
    </row>
    <row r="155" spans="2:9" x14ac:dyDescent="0.2">
      <c r="B155" s="3" t="s">
        <v>791</v>
      </c>
      <c r="C155" s="60">
        <f ca="1">_xll.RiskTriang(D155,E155,F155)</f>
        <v>70</v>
      </c>
      <c r="D155" s="9">
        <v>60</v>
      </c>
      <c r="E155" s="9">
        <v>70</v>
      </c>
      <c r="F155" s="9">
        <v>80</v>
      </c>
      <c r="G155" s="3" t="s">
        <v>262</v>
      </c>
    </row>
    <row r="156" spans="2:9" x14ac:dyDescent="0.2">
      <c r="B156" s="3" t="s">
        <v>792</v>
      </c>
      <c r="C156" s="60">
        <f ca="1">_xll.RiskTriang(D156,E156,F156)</f>
        <v>383.33333333333331</v>
      </c>
      <c r="D156" s="94">
        <v>114.99999999999999</v>
      </c>
      <c r="E156" s="94">
        <v>345</v>
      </c>
      <c r="F156" s="94">
        <v>690</v>
      </c>
      <c r="G156" s="3" t="str">
        <f>CURRENCY_NAME&amp;" per "&amp;EMIT_NAME</f>
        <v>$M(2015) per Mtonne</v>
      </c>
    </row>
    <row r="157" spans="2:9" x14ac:dyDescent="0.2">
      <c r="B157" s="3" t="s">
        <v>263</v>
      </c>
      <c r="C157" s="60">
        <f ca="1">_xll.RiskTriang(D157,E157,F157)</f>
        <v>2000</v>
      </c>
      <c r="D157" s="9">
        <v>1500</v>
      </c>
      <c r="E157" s="9">
        <v>2000</v>
      </c>
      <c r="F157" s="9">
        <v>2500</v>
      </c>
      <c r="G157" s="3" t="str">
        <f>EMIT_NAME</f>
        <v>Mtonne</v>
      </c>
    </row>
    <row r="158" spans="2:9" x14ac:dyDescent="0.2">
      <c r="C158" s="6"/>
      <c r="D158" s="64"/>
      <c r="E158" s="64"/>
      <c r="F158" s="64"/>
    </row>
    <row r="159" spans="2:9" x14ac:dyDescent="0.2">
      <c r="B159" t="str">
        <f t="array" ref="B159:B165">R_CODE_NOT_1&amp;" uncertainty in BAU emissions factor"</f>
        <v>US uncertainty in BAU emissions factor</v>
      </c>
      <c r="C159" s="60">
        <f ca="1">_xll.RiskTriang(D159,E159,F159)</f>
        <v>1</v>
      </c>
      <c r="D159" s="9">
        <v>0.8</v>
      </c>
      <c r="E159" s="9">
        <v>1</v>
      </c>
      <c r="F159" s="9">
        <v>1.2</v>
      </c>
    </row>
    <row r="160" spans="2:9" x14ac:dyDescent="0.2">
      <c r="B160" t="str">
        <v>OT uncertainty in BAU emissions factor</v>
      </c>
      <c r="C160" s="60">
        <f ca="1">_xll.RiskTriang(D160,E160,F160)</f>
        <v>1</v>
      </c>
      <c r="D160" s="9">
        <v>0.8</v>
      </c>
      <c r="E160" s="9">
        <v>1</v>
      </c>
      <c r="F160" s="9">
        <v>1.2</v>
      </c>
    </row>
    <row r="161" spans="2:6" x14ac:dyDescent="0.2">
      <c r="B161" t="str">
        <v>EE uncertainty in BAU emissions factor</v>
      </c>
      <c r="C161" s="60">
        <f ca="1">_xll.RiskTriang(D161,E161,F161)</f>
        <v>1</v>
      </c>
      <c r="D161" s="9">
        <v>0.65</v>
      </c>
      <c r="E161" s="9">
        <v>1</v>
      </c>
      <c r="F161" s="9">
        <v>1.35</v>
      </c>
    </row>
    <row r="162" spans="2:6" x14ac:dyDescent="0.2">
      <c r="B162" t="str">
        <v>CA uncertainty in BAU emissions factor</v>
      </c>
      <c r="C162" s="60">
        <f ca="1">_xll.RiskTriang(D162,E162,F162)</f>
        <v>1</v>
      </c>
      <c r="D162" s="9">
        <v>0.5</v>
      </c>
      <c r="E162" s="9">
        <v>1</v>
      </c>
      <c r="F162" s="9">
        <v>1.5</v>
      </c>
    </row>
    <row r="163" spans="2:6" x14ac:dyDescent="0.2">
      <c r="B163" t="str">
        <v>IA uncertainty in BAU emissions factor</v>
      </c>
      <c r="C163" s="60">
        <f ca="1">_xll.RiskTriang(D163,E163,F163)</f>
        <v>1</v>
      </c>
      <c r="D163" s="9">
        <v>0.5</v>
      </c>
      <c r="E163" s="9">
        <v>1</v>
      </c>
      <c r="F163" s="9">
        <v>1.5</v>
      </c>
    </row>
    <row r="164" spans="2:6" x14ac:dyDescent="0.2">
      <c r="B164" t="str">
        <v>AF uncertainty in BAU emissions factor</v>
      </c>
      <c r="C164" s="60">
        <f ca="1">_xll.RiskTriang(D164,E164,F164)</f>
        <v>1</v>
      </c>
      <c r="D164" s="9">
        <v>0.5</v>
      </c>
      <c r="E164" s="9">
        <v>1</v>
      </c>
      <c r="F164" s="9">
        <v>1.5</v>
      </c>
    </row>
    <row r="165" spans="2:6" ht="13.5" thickBot="1" x14ac:dyDescent="0.25">
      <c r="B165" t="str">
        <v>LA uncertainty in BAU emissions factor</v>
      </c>
      <c r="C165" s="60">
        <f ca="1">_xll.RiskTriang(D165,E165,F165)</f>
        <v>1</v>
      </c>
      <c r="D165" s="10">
        <v>0.5</v>
      </c>
      <c r="E165" s="10">
        <v>1</v>
      </c>
      <c r="F165" s="10">
        <v>1.5</v>
      </c>
    </row>
    <row r="166" spans="2:6" ht="13.5" thickTop="1" x14ac:dyDescent="0.2">
      <c r="C166" s="6"/>
      <c r="D166" s="64"/>
      <c r="E166" s="64"/>
      <c r="F166" s="64"/>
    </row>
    <row r="167" spans="2:6" x14ac:dyDescent="0.2">
      <c r="B167" t="str">
        <f t="array" ref="B167:B173">R_CODE_NOT_1&amp;" negative cost percentage factor"</f>
        <v>US negative cost percentage factor</v>
      </c>
      <c r="C167" s="60">
        <f ca="1">_xll.RiskTriang(D167,E167,F167)</f>
        <v>1.0833333333333333</v>
      </c>
      <c r="D167" s="9">
        <v>0.75</v>
      </c>
      <c r="E167" s="9">
        <v>1</v>
      </c>
      <c r="F167" s="9">
        <v>1.5</v>
      </c>
    </row>
    <row r="168" spans="2:6" x14ac:dyDescent="0.2">
      <c r="B168" t="str">
        <v>OT negative cost percentage factor</v>
      </c>
      <c r="C168" s="60">
        <f ca="1">_xll.RiskTriang(D168,E168,F168)</f>
        <v>1</v>
      </c>
      <c r="D168" s="9">
        <v>0.75</v>
      </c>
      <c r="E168" s="9">
        <v>1</v>
      </c>
      <c r="F168" s="9">
        <v>1.25</v>
      </c>
    </row>
    <row r="169" spans="2:6" x14ac:dyDescent="0.2">
      <c r="B169" t="str">
        <v>EE negative cost percentage factor</v>
      </c>
      <c r="C169" s="60">
        <f ca="1">_xll.RiskTriang(D169,E169,F169)</f>
        <v>0.70000000000000007</v>
      </c>
      <c r="D169" s="9">
        <v>0.4</v>
      </c>
      <c r="E169" s="9">
        <v>0.7</v>
      </c>
      <c r="F169" s="9">
        <v>1</v>
      </c>
    </row>
    <row r="170" spans="2:6" x14ac:dyDescent="0.2">
      <c r="B170" t="str">
        <v>CA negative cost percentage factor</v>
      </c>
      <c r="C170" s="60">
        <f ca="1">_xll.RiskTriang(D170,E170,F170)</f>
        <v>0.70000000000000007</v>
      </c>
      <c r="D170" s="9">
        <v>0.4</v>
      </c>
      <c r="E170" s="9">
        <v>0.7</v>
      </c>
      <c r="F170" s="9">
        <v>1</v>
      </c>
    </row>
    <row r="171" spans="2:6" x14ac:dyDescent="0.2">
      <c r="B171" t="str">
        <v>IA negative cost percentage factor</v>
      </c>
      <c r="C171" s="60">
        <f ca="1">_xll.RiskTriang(D171,E171,F171)</f>
        <v>0.70000000000000007</v>
      </c>
      <c r="D171" s="9">
        <v>0.4</v>
      </c>
      <c r="E171" s="9">
        <v>0.7</v>
      </c>
      <c r="F171" s="9">
        <v>1</v>
      </c>
    </row>
    <row r="172" spans="2:6" x14ac:dyDescent="0.2">
      <c r="B172" t="str">
        <v>AF negative cost percentage factor</v>
      </c>
      <c r="C172" s="60">
        <f ca="1">_xll.RiskTriang(D172,E172,F172)</f>
        <v>0.70000000000000007</v>
      </c>
      <c r="D172" s="9">
        <v>0.4</v>
      </c>
      <c r="E172" s="9">
        <v>0.7</v>
      </c>
      <c r="F172" s="9">
        <v>1</v>
      </c>
    </row>
    <row r="173" spans="2:6" ht="13.5" thickBot="1" x14ac:dyDescent="0.25">
      <c r="B173" t="str">
        <v>LA negative cost percentage factor</v>
      </c>
      <c r="C173" s="60">
        <f ca="1">_xll.RiskTriang(D173,E173,F173)</f>
        <v>0.70000000000000007</v>
      </c>
      <c r="D173" s="10">
        <v>0.4</v>
      </c>
      <c r="E173" s="10">
        <v>0.7</v>
      </c>
      <c r="F173" s="10">
        <v>1</v>
      </c>
    </row>
    <row r="174" spans="2:6" ht="13.5" thickTop="1" x14ac:dyDescent="0.2">
      <c r="C174" s="6"/>
      <c r="D174" s="64"/>
      <c r="E174" s="64"/>
      <c r="F174" s="64"/>
    </row>
    <row r="175" spans="2:6" x14ac:dyDescent="0.2">
      <c r="B175" t="str">
        <f t="array" ref="B175:B181">R_CODE_NOT_1&amp;" maximum cost factor"</f>
        <v>US maximum cost factor</v>
      </c>
      <c r="C175" s="60">
        <f ca="1">_xll.RiskTriang(D175,E175,F175)</f>
        <v>1</v>
      </c>
      <c r="D175" s="9">
        <v>0.8</v>
      </c>
      <c r="E175" s="9">
        <v>1</v>
      </c>
      <c r="F175" s="9">
        <v>1.2</v>
      </c>
    </row>
    <row r="176" spans="2:6" x14ac:dyDescent="0.2">
      <c r="B176" t="str">
        <v>OT maximum cost factor</v>
      </c>
      <c r="C176" s="60">
        <f ca="1">_xll.RiskTriang(D176,E176,F176)</f>
        <v>1.2333333333333334</v>
      </c>
      <c r="D176" s="9">
        <v>1</v>
      </c>
      <c r="E176" s="9">
        <v>1.2</v>
      </c>
      <c r="F176" s="9">
        <v>1.5</v>
      </c>
    </row>
    <row r="177" spans="2:9" x14ac:dyDescent="0.2">
      <c r="B177" t="str">
        <v>EE maximum cost factor</v>
      </c>
      <c r="C177" s="60">
        <f ca="1">_xll.RiskTriang(D177,E177,F177)</f>
        <v>0.70000000000000007</v>
      </c>
      <c r="D177" s="9">
        <v>0.4</v>
      </c>
      <c r="E177" s="9">
        <v>0.7</v>
      </c>
      <c r="F177" s="9">
        <v>1</v>
      </c>
    </row>
    <row r="178" spans="2:9" x14ac:dyDescent="0.2">
      <c r="B178" t="str">
        <v>CA maximum cost factor</v>
      </c>
      <c r="C178" s="60">
        <f ca="1">_xll.RiskTriang(D178,E178,F178)</f>
        <v>1</v>
      </c>
      <c r="D178" s="9">
        <v>0.8</v>
      </c>
      <c r="E178" s="9">
        <v>1</v>
      </c>
      <c r="F178" s="9">
        <v>1.2</v>
      </c>
    </row>
    <row r="179" spans="2:9" x14ac:dyDescent="0.2">
      <c r="B179" t="str">
        <v>IA maximum cost factor</v>
      </c>
      <c r="C179" s="60">
        <f ca="1">_xll.RiskTriang(D179,E179,F179)</f>
        <v>1.2333333333333334</v>
      </c>
      <c r="D179" s="9">
        <v>1</v>
      </c>
      <c r="E179" s="9">
        <v>1.2</v>
      </c>
      <c r="F179" s="9">
        <v>1.5</v>
      </c>
    </row>
    <row r="180" spans="2:9" x14ac:dyDescent="0.2">
      <c r="B180" t="str">
        <v>AF maximum cost factor</v>
      </c>
      <c r="C180" s="60">
        <f ca="1">_xll.RiskTriang(D180,E180,F180)</f>
        <v>1.2333333333333334</v>
      </c>
      <c r="D180" s="9">
        <v>1</v>
      </c>
      <c r="E180" s="9">
        <v>1.2</v>
      </c>
      <c r="F180" s="9">
        <v>1.5</v>
      </c>
    </row>
    <row r="181" spans="2:9" ht="13.5" thickBot="1" x14ac:dyDescent="0.25">
      <c r="B181" t="str">
        <v>LA maximum cost factor</v>
      </c>
      <c r="C181" s="60">
        <f ca="1">_xll.RiskTriang(D181,E181,F181)</f>
        <v>0.70000000000000007</v>
      </c>
      <c r="D181" s="10">
        <v>0.4</v>
      </c>
      <c r="E181" s="10">
        <v>0.7</v>
      </c>
      <c r="F181" s="10">
        <v>1</v>
      </c>
    </row>
    <row r="182" spans="2:9" ht="13.5" thickTop="1" x14ac:dyDescent="0.2">
      <c r="C182" s="6"/>
      <c r="D182" s="64"/>
      <c r="E182" s="64"/>
      <c r="F182" s="64"/>
    </row>
    <row r="183" spans="2:9" x14ac:dyDescent="0.2">
      <c r="B183" t="str">
        <f>"Cutbacks at negative cost in "&amp;Y_LAST_SSP&amp;" as multiple of "&amp;Y_0</f>
        <v>Cutbacks at negative cost in 2060 as multiple of 2015</v>
      </c>
      <c r="C183" s="60">
        <f ca="1">_xll.RiskTriang(D183,E183,F183)</f>
        <v>0.8833333333333333</v>
      </c>
      <c r="D183" s="93">
        <v>0.6</v>
      </c>
      <c r="E183" s="93">
        <v>0.9</v>
      </c>
      <c r="F183" s="93">
        <v>1.1499999999999999</v>
      </c>
      <c r="I183" s="124" t="s">
        <v>794</v>
      </c>
    </row>
    <row r="184" spans="2:9" x14ac:dyDescent="0.2">
      <c r="B184" s="3" t="s">
        <v>265</v>
      </c>
      <c r="C184" s="30">
        <f ca="1">((Q0PROPMULT)^(1/(Y_LAST_SSP-Y_0))-1)*100</f>
        <v>-0.27529292474206546</v>
      </c>
      <c r="D184" s="263" t="s">
        <v>947</v>
      </c>
      <c r="E184" s="263" t="s">
        <v>947</v>
      </c>
      <c r="F184" s="263" t="s">
        <v>947</v>
      </c>
      <c r="G184" s="3" t="s">
        <v>46</v>
      </c>
      <c r="H184" s="124" t="s">
        <v>795</v>
      </c>
    </row>
    <row r="185" spans="2:9" x14ac:dyDescent="0.2">
      <c r="B185" t="str">
        <f>"Most negative cost in "&amp;Y_LAST_SSP&amp;" as multiple of "&amp;Y_0</f>
        <v>Most negative cost in 2060 as multiple of 2015</v>
      </c>
      <c r="C185" s="60">
        <f ca="1">_xll.RiskTriang(D185,E185,F185)</f>
        <v>0.93333333333333346</v>
      </c>
      <c r="D185" s="93">
        <v>0.8</v>
      </c>
      <c r="E185" s="93">
        <v>0.9</v>
      </c>
      <c r="F185" s="93">
        <v>1.1000000000000001</v>
      </c>
      <c r="G185" s="3"/>
      <c r="I185" s="124" t="s">
        <v>794</v>
      </c>
    </row>
    <row r="186" spans="2:9" x14ac:dyDescent="0.2">
      <c r="B186" s="3" t="s">
        <v>267</v>
      </c>
      <c r="C186" s="30">
        <f ca="1">((C0MULT)^(1/(Y_LAST_SSP-Y_0))-1)*100</f>
        <v>-0.15320002096848029</v>
      </c>
      <c r="D186" s="263" t="s">
        <v>947</v>
      </c>
      <c r="E186" s="263" t="s">
        <v>947</v>
      </c>
      <c r="F186" s="263" t="s">
        <v>947</v>
      </c>
      <c r="G186" s="3" t="s">
        <v>46</v>
      </c>
      <c r="H186" s="124" t="s">
        <v>797</v>
      </c>
    </row>
    <row r="187" spans="2:9" x14ac:dyDescent="0.2">
      <c r="B187" t="str">
        <f>"Maximum cutbacks in "&amp;Y_LAST_SSP&amp;" as multiple of "&amp;Y_0</f>
        <v>Maximum cutbacks in 2060 as multiple of 2015</v>
      </c>
      <c r="C187" s="60">
        <f ca="1">_xll.RiskTriang(D187,E187,F187)</f>
        <v>1.1166666666666667</v>
      </c>
      <c r="D187" s="93">
        <v>1</v>
      </c>
      <c r="E187" s="93">
        <v>1.1000000000000001</v>
      </c>
      <c r="F187" s="93">
        <v>1.25</v>
      </c>
      <c r="G187" s="3"/>
      <c r="I187" s="124" t="s">
        <v>794</v>
      </c>
    </row>
    <row r="188" spans="2:9" x14ac:dyDescent="0.2">
      <c r="B188" s="3" t="s">
        <v>266</v>
      </c>
      <c r="C188" s="30">
        <f ca="1">((QMAX_MINUS_Q0_PROPMULT)^(1/(Y_LAST_SSP-Y_0))-1)*100</f>
        <v>0.24551880983130214</v>
      </c>
      <c r="D188" s="263" t="s">
        <v>947</v>
      </c>
      <c r="E188" s="263" t="s">
        <v>947</v>
      </c>
      <c r="F188" s="263" t="s">
        <v>947</v>
      </c>
      <c r="G188" s="3" t="s">
        <v>46</v>
      </c>
      <c r="H188" s="124" t="s">
        <v>796</v>
      </c>
    </row>
    <row r="189" spans="2:9" x14ac:dyDescent="0.2">
      <c r="B189" s="3" t="s">
        <v>268</v>
      </c>
      <c r="C189" s="60">
        <f ca="1">_xll.RiskTriang(D189,E189,F189)</f>
        <v>0.5</v>
      </c>
      <c r="D189" s="9">
        <v>0.25</v>
      </c>
      <c r="E189" s="9">
        <v>0.45</v>
      </c>
      <c r="F189" s="9">
        <v>0.8</v>
      </c>
      <c r="G189" s="3"/>
    </row>
    <row r="190" spans="2:9" x14ac:dyDescent="0.2">
      <c r="B190" s="3" t="s">
        <v>269</v>
      </c>
      <c r="C190" s="60">
        <f ca="1">_xll.RiskTriang(D190,E190,F190)</f>
        <v>0.39999999999999997</v>
      </c>
      <c r="D190" s="9">
        <v>0.1</v>
      </c>
      <c r="E190" s="9">
        <v>0.4</v>
      </c>
      <c r="F190" s="9">
        <v>0.7</v>
      </c>
      <c r="G190" s="3"/>
    </row>
    <row r="191" spans="2:9" x14ac:dyDescent="0.2">
      <c r="B191" s="3" t="s">
        <v>270</v>
      </c>
      <c r="C191" s="60">
        <f ca="1">_xll.RiskTriang(D191,E191,F191)</f>
        <v>0.20000000000000004</v>
      </c>
      <c r="D191" s="9">
        <v>0.1</v>
      </c>
      <c r="E191" s="9">
        <v>0.2</v>
      </c>
      <c r="F191" s="9">
        <v>0.3</v>
      </c>
      <c r="G191" s="3"/>
    </row>
    <row r="192" spans="2:9" x14ac:dyDescent="0.2">
      <c r="B192" s="3" t="s">
        <v>799</v>
      </c>
      <c r="C192" s="60">
        <f ca="1">_xll.RiskTriang(D192,E192,F192)</f>
        <v>0.19999999999999998</v>
      </c>
      <c r="D192" s="9">
        <v>0.05</v>
      </c>
      <c r="E192" s="9">
        <v>0.2</v>
      </c>
      <c r="F192" s="9">
        <v>0.35</v>
      </c>
      <c r="G192" s="3" t="s">
        <v>793</v>
      </c>
      <c r="I192" s="124" t="s">
        <v>788</v>
      </c>
    </row>
    <row r="193" spans="1:11" s="2" customFormat="1" x14ac:dyDescent="0.2">
      <c r="I193"/>
      <c r="J193"/>
      <c r="K193"/>
    </row>
    <row r="194" spans="1:11" x14ac:dyDescent="0.2">
      <c r="A194" s="2"/>
      <c r="B194" t="str">
        <f>"Costs in "&amp;Y_LAST_SSP&amp;" as multiple of "&amp;Y_0</f>
        <v>Costs in 2060 as multiple of 2015</v>
      </c>
      <c r="C194" s="60">
        <f ca="1">_xll.RiskTriang(D194,E194,F194)</f>
        <v>0.65</v>
      </c>
      <c r="D194" s="93">
        <v>0.6</v>
      </c>
      <c r="E194" s="93">
        <v>0.65</v>
      </c>
      <c r="F194" s="93">
        <v>0.7</v>
      </c>
      <c r="G194" s="2"/>
      <c r="I194" s="124" t="s">
        <v>807</v>
      </c>
    </row>
    <row r="195" spans="1:11" x14ac:dyDescent="0.2">
      <c r="B195" s="3" t="s">
        <v>271</v>
      </c>
      <c r="C195" s="30">
        <f ca="1" xml:space="preserve"> _xll.RiskOutput() + (-((AUTOMULT)^(1/(Y_LAST_SSP-Y_0))-1))*100</f>
        <v>0.95272788337187331</v>
      </c>
      <c r="D195" s="263" t="s">
        <v>947</v>
      </c>
      <c r="E195" s="263" t="s">
        <v>947</v>
      </c>
      <c r="F195" s="263" t="s">
        <v>947</v>
      </c>
      <c r="G195" s="3" t="s">
        <v>46</v>
      </c>
      <c r="H195" s="124" t="s">
        <v>798</v>
      </c>
    </row>
    <row r="196" spans="1:11" x14ac:dyDescent="0.2">
      <c r="B196" s="3" t="s">
        <v>272</v>
      </c>
      <c r="C196" s="60">
        <f ca="1">_xll.RiskTriang(D196,E196,F196)</f>
        <v>1</v>
      </c>
      <c r="D196" s="9">
        <v>1</v>
      </c>
      <c r="E196" s="9">
        <v>1</v>
      </c>
      <c r="F196" s="9">
        <v>1</v>
      </c>
      <c r="G196" s="3"/>
    </row>
    <row r="198" spans="1:11" x14ac:dyDescent="0.2">
      <c r="B198" s="124" t="s">
        <v>808</v>
      </c>
      <c r="D198" s="124">
        <f>(-((D194)^(1/(Y_LAST_SSP-Y_0))-1))*100</f>
        <v>1.128749330990686</v>
      </c>
      <c r="E198" s="124">
        <f>(-((E194)^(1/(Y_LAST_SSP-Y_0))-1))*100</f>
        <v>0.95272788337187331</v>
      </c>
      <c r="F198" s="124">
        <f>(-((F194)^(1/(Y_LAST_SSP-Y_0))-1))*100</f>
        <v>0.7894781082939617</v>
      </c>
      <c r="G198" s="3" t="s">
        <v>46</v>
      </c>
    </row>
  </sheetData>
  <phoneticPr fontId="0" type="noConversion"/>
  <conditionalFormatting sqref="C18 C22 C195">
    <cfRule type="expression" dxfId="12" priority="1" stopIfTrue="1">
      <formula>RiskIsOutput</formula>
    </cfRule>
  </conditionalFormatting>
  <conditionalFormatting sqref="C4:C11 C13:C17 C20:C21 C24:C31 C33 C36 C38:C41 C43:C45 C48:C51 C53 C57:C59 C62:C64 C66:C69 C71:C74 C76:C77 C79:C87 C89:C95 C97:C103 C105:C111 C115:C127 C131:C136 C138:C143 C145:C150 C152:C157 C159:C165 C167:C173 C175:C181 C183 C185 C187 C189:C192 C194 C196">
    <cfRule type="expression" dxfId="11" priority="2" stopIfTrue="1">
      <formula>RiskIsInput</formula>
    </cfRule>
  </conditionalFormatting>
  <pageMargins left="0.75" right="0.75" top="1" bottom="1" header="0.5" footer="0.5"/>
  <pageSetup paperSize="9" orientation="portrait" horizontalDpi="4294967293"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O90"/>
  <sheetViews>
    <sheetView workbookViewId="0">
      <selection activeCell="B5" sqref="B5"/>
    </sheetView>
  </sheetViews>
  <sheetFormatPr defaultRowHeight="12.75" x14ac:dyDescent="0.2"/>
  <cols>
    <col min="1" max="1" width="33.42578125" customWidth="1"/>
    <col min="2" max="11" width="7" customWidth="1"/>
    <col min="12" max="12" width="11.85546875" bestFit="1" customWidth="1"/>
  </cols>
  <sheetData>
    <row r="1" spans="1:15" x14ac:dyDescent="0.2">
      <c r="A1" s="2" t="str">
        <f>MODEL_NAME</f>
        <v>PAGE-ICE Nonlinear Arctic Feedbacks</v>
      </c>
      <c r="B1" t="s">
        <v>37</v>
      </c>
      <c r="C1" s="51" t="str">
        <f>VERSION</f>
        <v>6.22</v>
      </c>
    </row>
    <row r="3" spans="1:15" x14ac:dyDescent="0.2">
      <c r="A3" s="2" t="s">
        <v>45</v>
      </c>
      <c r="B3" s="47" t="s">
        <v>480</v>
      </c>
      <c r="C3" s="46"/>
      <c r="D3" s="46"/>
      <c r="E3" s="46"/>
      <c r="F3" s="46"/>
      <c r="G3" s="47" t="str">
        <f>SCENARIO_PAIR</f>
        <v>SSP5-34-OS</v>
      </c>
      <c r="H3" s="46"/>
      <c r="I3" s="46"/>
      <c r="J3" s="46"/>
      <c r="K3" s="46"/>
    </row>
    <row r="4" spans="1:15" s="2" customFormat="1" x14ac:dyDescent="0.2">
      <c r="A4" s="47"/>
      <c r="B4" s="2">
        <f t="array" ref="B4:K4">Y</f>
        <v>2020</v>
      </c>
      <c r="C4" s="2">
        <v>2025</v>
      </c>
      <c r="D4" s="2">
        <v>2030</v>
      </c>
      <c r="E4" s="2">
        <v>2040</v>
      </c>
      <c r="F4" s="2">
        <v>2050</v>
      </c>
      <c r="G4" s="2">
        <v>2060</v>
      </c>
      <c r="H4" s="2">
        <v>2070</v>
      </c>
      <c r="I4" s="2">
        <v>2080</v>
      </c>
      <c r="J4" s="2">
        <v>2090</v>
      </c>
      <c r="K4" s="2">
        <v>2100</v>
      </c>
    </row>
    <row r="5" spans="1:15" x14ac:dyDescent="0.2">
      <c r="A5" t="str">
        <f t="array" ref="A5:A12">R_CODE&amp;" "&amp;'Base data'!$B$12&amp;" emissions"</f>
        <v>EU CO2 emissions</v>
      </c>
      <c r="B5" s="88">
        <f t="array" ref="B5:K12" xml:space="preserve"> IF(SCENARIO_SWITCH = 0, 0, 0) + IF(SCENARIO_SWITCH = 1, RCP26extra_CO2, 0) + IF(SCENARIO_SWITCH = 2, RCPW_CO2, 0) + IF(SCENARIO_SWITCH = 3, ( IF(SCENARIO_PAIR = PAIR_RCP26, RCP26_CO2, 0) + IF(SCENARIO_PAIR = PAIR_RCP45, RCP45_CO2, 0) +  IF(SCENARIO_PAIR = PAIR_RCP85, RCP85_CO2, 0) ), 0)</f>
        <v>107.20490184978931</v>
      </c>
      <c r="C5" s="88">
        <v>115.14885338478642</v>
      </c>
      <c r="D5" s="88">
        <v>123.09280491978353</v>
      </c>
      <c r="E5" s="88">
        <v>146.76892454566476</v>
      </c>
      <c r="F5" s="88">
        <v>109.34432453127907</v>
      </c>
      <c r="G5" s="88">
        <v>27.79838331722198</v>
      </c>
      <c r="H5" s="88">
        <v>-20.860229932661333</v>
      </c>
      <c r="I5" s="88">
        <v>-37.892958066302626</v>
      </c>
      <c r="J5" s="88">
        <v>-47.051397300711962</v>
      </c>
      <c r="K5" s="88">
        <v>-49.237525154831836</v>
      </c>
      <c r="L5" s="3" t="s">
        <v>477</v>
      </c>
      <c r="O5" s="128" t="s">
        <v>646</v>
      </c>
    </row>
    <row r="6" spans="1:15" x14ac:dyDescent="0.2">
      <c r="A6" t="str">
        <v>US CO2 emissions</v>
      </c>
      <c r="B6" s="90">
        <v>106.62881982252256</v>
      </c>
      <c r="C6" s="90">
        <v>122.44446615330868</v>
      </c>
      <c r="D6" s="90">
        <v>138.2601124840948</v>
      </c>
      <c r="E6" s="90">
        <v>172.04080704492984</v>
      </c>
      <c r="F6" s="90">
        <v>121.70061577261383</v>
      </c>
      <c r="G6" s="90">
        <v>15.280574946805919</v>
      </c>
      <c r="H6" s="90">
        <v>-41.850001764128471</v>
      </c>
      <c r="I6" s="90">
        <v>-61.1664743800618</v>
      </c>
      <c r="J6" s="90">
        <v>-64.56498121356131</v>
      </c>
      <c r="K6" s="90">
        <v>-64.244990741894554</v>
      </c>
      <c r="L6" s="3" t="s">
        <v>477</v>
      </c>
    </row>
    <row r="7" spans="1:15" x14ac:dyDescent="0.2">
      <c r="A7" t="str">
        <v>OT CO2 emissions</v>
      </c>
      <c r="B7" s="90">
        <v>107.20490184978931</v>
      </c>
      <c r="C7" s="90">
        <v>115.14885338478642</v>
      </c>
      <c r="D7" s="90">
        <v>123.09280491978353</v>
      </c>
      <c r="E7" s="90">
        <v>146.76892454566476</v>
      </c>
      <c r="F7" s="90">
        <v>109.34432453127907</v>
      </c>
      <c r="G7" s="90">
        <v>27.79838331722198</v>
      </c>
      <c r="H7" s="90">
        <v>-20.860229932661333</v>
      </c>
      <c r="I7" s="90">
        <v>-37.892958066302626</v>
      </c>
      <c r="J7" s="90">
        <v>-47.051397300711962</v>
      </c>
      <c r="K7" s="90">
        <v>-49.237525154831836</v>
      </c>
      <c r="L7" s="3" t="s">
        <v>477</v>
      </c>
    </row>
    <row r="8" spans="1:15" x14ac:dyDescent="0.2">
      <c r="A8" t="str">
        <v>EE CO2 emissions</v>
      </c>
      <c r="B8" s="90">
        <v>105.49656700523606</v>
      </c>
      <c r="C8" s="90">
        <v>113.59984065280277</v>
      </c>
      <c r="D8" s="90">
        <v>121.70311430036948</v>
      </c>
      <c r="E8" s="90">
        <v>149.49618165580483</v>
      </c>
      <c r="F8" s="90">
        <v>90.757515398788939</v>
      </c>
      <c r="G8" s="90">
        <v>-4.7394508423443469</v>
      </c>
      <c r="H8" s="90">
        <v>-46.757683772189047</v>
      </c>
      <c r="I8" s="90">
        <v>-56.176786862708845</v>
      </c>
      <c r="J8" s="90">
        <v>-58.257370024848093</v>
      </c>
      <c r="K8" s="90">
        <v>-58.752509327799572</v>
      </c>
      <c r="L8" s="3" t="s">
        <v>477</v>
      </c>
    </row>
    <row r="9" spans="1:15" x14ac:dyDescent="0.2">
      <c r="A9" t="str">
        <v>CA CO2 emissions</v>
      </c>
      <c r="B9" s="90">
        <v>108.63173056885</v>
      </c>
      <c r="C9" s="90">
        <v>121.18295083959941</v>
      </c>
      <c r="D9" s="90">
        <v>133.73417111034883</v>
      </c>
      <c r="E9" s="90">
        <v>158.19260350872742</v>
      </c>
      <c r="F9" s="90">
        <v>101.74675680684209</v>
      </c>
      <c r="G9" s="90">
        <v>26.184763125271015</v>
      </c>
      <c r="H9" s="90">
        <v>-11.116643975830678</v>
      </c>
      <c r="I9" s="90">
        <v>-21.483216138218783</v>
      </c>
      <c r="J9" s="90">
        <v>-22.971713822157124</v>
      </c>
      <c r="K9" s="90">
        <v>-23.349875188381066</v>
      </c>
      <c r="L9" s="3" t="s">
        <v>477</v>
      </c>
    </row>
    <row r="10" spans="1:15" x14ac:dyDescent="0.2">
      <c r="A10" t="str">
        <v>IA CO2 emissions</v>
      </c>
      <c r="B10" s="90">
        <v>121.49843909165486</v>
      </c>
      <c r="C10" s="90">
        <v>147.70743065618643</v>
      </c>
      <c r="D10" s="90">
        <v>173.91642222071798</v>
      </c>
      <c r="E10" s="90">
        <v>247.59323014514914</v>
      </c>
      <c r="F10" s="90">
        <v>196.18806286264396</v>
      </c>
      <c r="G10" s="90">
        <v>69.019472210728907</v>
      </c>
      <c r="H10" s="90">
        <v>-4.2416627248750114</v>
      </c>
      <c r="I10" s="90">
        <v>-28.947900659031905</v>
      </c>
      <c r="J10" s="90">
        <v>-39.782906896287088</v>
      </c>
      <c r="K10" s="90">
        <v>-40.393958329004043</v>
      </c>
      <c r="L10" s="3" t="s">
        <v>477</v>
      </c>
    </row>
    <row r="11" spans="1:15" x14ac:dyDescent="0.2">
      <c r="A11" t="str">
        <v>AF CO2 emissions</v>
      </c>
      <c r="B11" s="90">
        <v>121.31752254253364</v>
      </c>
      <c r="C11" s="90">
        <v>142.01842724554854</v>
      </c>
      <c r="D11" s="90">
        <v>162.71933194856342</v>
      </c>
      <c r="E11" s="90">
        <v>244.20674895241751</v>
      </c>
      <c r="F11" s="90">
        <v>186.66313470289481</v>
      </c>
      <c r="G11" s="90">
        <v>15.073751005559089</v>
      </c>
      <c r="H11" s="90">
        <v>-77.884513789667054</v>
      </c>
      <c r="I11" s="90">
        <v>-115.35374668315583</v>
      </c>
      <c r="J11" s="90">
        <v>-138.96256318513093</v>
      </c>
      <c r="K11" s="90">
        <v>-148.89850757020903</v>
      </c>
      <c r="L11" s="3" t="s">
        <v>477</v>
      </c>
    </row>
    <row r="12" spans="1:15" ht="13.5" thickBot="1" x14ac:dyDescent="0.25">
      <c r="A12" t="str">
        <v>LA CO2 emissions</v>
      </c>
      <c r="B12" s="92">
        <v>117.86191020957818</v>
      </c>
      <c r="C12" s="92">
        <v>142.0573764076326</v>
      </c>
      <c r="D12" s="92">
        <v>166.25284260568705</v>
      </c>
      <c r="E12" s="92">
        <v>221.65671508969282</v>
      </c>
      <c r="F12" s="92">
        <v>169.3358300730259</v>
      </c>
      <c r="G12" s="92">
        <v>24.18227843758276</v>
      </c>
      <c r="H12" s="92">
        <v>-62.052755330589271</v>
      </c>
      <c r="I12" s="92">
        <v>-107.93758436682131</v>
      </c>
      <c r="J12" s="92">
        <v>-121.29281867472655</v>
      </c>
      <c r="K12" s="92">
        <v>-140.5035258496188</v>
      </c>
      <c r="L12" s="3" t="s">
        <v>477</v>
      </c>
    </row>
    <row r="13" spans="1:15" ht="13.5" thickTop="1" x14ac:dyDescent="0.2">
      <c r="L13" s="3"/>
    </row>
    <row r="14" spans="1:15" x14ac:dyDescent="0.2">
      <c r="A14" t="str">
        <f t="array" ref="A14:A21">R_CODE&amp;" "&amp;'Base data'!$C$12&amp;" emissions"</f>
        <v>EU CH4 emissions</v>
      </c>
      <c r="B14" s="54">
        <f t="array" ref="B14:K21" xml:space="preserve"> IF(SCENARIO_SWITCH = 0, 0, 0) + IF(SCENARIO_SWITCH = 1, RCP26extra_CH4, 0) + IF(SCENARIO_SWITCH = 2, RCPW_CH4, 0) + IF(SCENARIO_SWITCH = 3, ( IF(SCENARIO_PAIR = PAIR_RCP26, RCP26_CH4, 0) + IF(SCENARIO_PAIR = PAIR_RCP45, RCP45_CH4, 0) +  IF(SCENARIO_PAIR = PAIR_RCP85, RCP85_CH4, 0) ), 0)</f>
        <v>99.875801476282646</v>
      </c>
      <c r="C14" s="54">
        <v>106.44454520492664</v>
      </c>
      <c r="D14" s="54">
        <v>113.01328893357065</v>
      </c>
      <c r="E14" s="54">
        <v>133.53088191023232</v>
      </c>
      <c r="F14" s="54">
        <v>65.373782669638615</v>
      </c>
      <c r="G14" s="54">
        <v>80.171264690408805</v>
      </c>
      <c r="H14" s="54">
        <v>102.45228282183703</v>
      </c>
      <c r="I14" s="54">
        <v>113.94408831076416</v>
      </c>
      <c r="J14" s="54">
        <v>117.88233361710525</v>
      </c>
      <c r="K14" s="54">
        <v>119.15706979396602</v>
      </c>
      <c r="L14" s="3" t="s">
        <v>477</v>
      </c>
      <c r="O14" s="128" t="s">
        <v>646</v>
      </c>
    </row>
    <row r="15" spans="1:15" x14ac:dyDescent="0.2">
      <c r="A15" t="str">
        <v>US CH4 emissions</v>
      </c>
      <c r="B15" s="55">
        <v>95.688690750316368</v>
      </c>
      <c r="C15" s="55">
        <v>103.70907513080405</v>
      </c>
      <c r="D15" s="55">
        <v>111.72945951129175</v>
      </c>
      <c r="E15" s="55">
        <v>132.5640380293141</v>
      </c>
      <c r="F15" s="55">
        <v>57.838997979510481</v>
      </c>
      <c r="G15" s="55">
        <v>62.059243463644108</v>
      </c>
      <c r="H15" s="55">
        <v>62.53024054467204</v>
      </c>
      <c r="I15" s="55">
        <v>77.574410656063236</v>
      </c>
      <c r="J15" s="55">
        <v>92.945638714022635</v>
      </c>
      <c r="K15" s="55">
        <v>96.180704498466213</v>
      </c>
      <c r="L15" s="3" t="s">
        <v>477</v>
      </c>
    </row>
    <row r="16" spans="1:15" x14ac:dyDescent="0.2">
      <c r="A16" t="str">
        <v>OT CH4 emissions</v>
      </c>
      <c r="B16" s="55">
        <v>100.39252828290462</v>
      </c>
      <c r="C16" s="55">
        <v>104.29633808872731</v>
      </c>
      <c r="D16" s="55">
        <v>108.20014789455</v>
      </c>
      <c r="E16" s="55">
        <v>132.52630849713995</v>
      </c>
      <c r="F16" s="55">
        <v>70.907633588651848</v>
      </c>
      <c r="G16" s="55">
        <v>42.366804429764869</v>
      </c>
      <c r="H16" s="55">
        <v>33.613765190964884</v>
      </c>
      <c r="I16" s="55">
        <v>30.126864912712147</v>
      </c>
      <c r="J16" s="55">
        <v>28.350367470923956</v>
      </c>
      <c r="K16" s="55">
        <v>26.603270919845716</v>
      </c>
      <c r="L16" s="3" t="s">
        <v>477</v>
      </c>
    </row>
    <row r="17" spans="1:15" x14ac:dyDescent="0.2">
      <c r="A17" t="str">
        <v>EE CH4 emissions</v>
      </c>
      <c r="B17" s="55">
        <v>102.89655168069585</v>
      </c>
      <c r="C17" s="55">
        <v>107.64619471186782</v>
      </c>
      <c r="D17" s="55">
        <v>112.39583774303978</v>
      </c>
      <c r="E17" s="55">
        <v>130.15654313041583</v>
      </c>
      <c r="F17" s="55">
        <v>56.031809939421947</v>
      </c>
      <c r="G17" s="55">
        <v>31.535248474358067</v>
      </c>
      <c r="H17" s="55">
        <v>30.073757391061051</v>
      </c>
      <c r="I17" s="55">
        <v>27.2932587370859</v>
      </c>
      <c r="J17" s="55">
        <v>25.676379285623881</v>
      </c>
      <c r="K17" s="55">
        <v>22.909917035553477</v>
      </c>
      <c r="L17" s="3" t="s">
        <v>477</v>
      </c>
    </row>
    <row r="18" spans="1:15" x14ac:dyDescent="0.2">
      <c r="A18" t="str">
        <v>CA CH4 emissions</v>
      </c>
      <c r="B18" s="55">
        <v>84.753028617293509</v>
      </c>
      <c r="C18" s="55">
        <v>76.169992778264856</v>
      </c>
      <c r="D18" s="55">
        <v>67.586956939236188</v>
      </c>
      <c r="E18" s="55">
        <v>65.194391665077404</v>
      </c>
      <c r="F18" s="55">
        <v>24.96008567859624</v>
      </c>
      <c r="G18" s="55">
        <v>17.239161113846958</v>
      </c>
      <c r="H18" s="55">
        <v>13.996914674835512</v>
      </c>
      <c r="I18" s="55">
        <v>11.722654282720022</v>
      </c>
      <c r="J18" s="55">
        <v>7.2822417578574266</v>
      </c>
      <c r="K18" s="55">
        <v>6.1480183224812235</v>
      </c>
      <c r="L18" s="3" t="s">
        <v>477</v>
      </c>
    </row>
    <row r="19" spans="1:15" x14ac:dyDescent="0.2">
      <c r="A19" t="str">
        <v>IA CH4 emissions</v>
      </c>
      <c r="B19" s="55">
        <v>99.638985490290764</v>
      </c>
      <c r="C19" s="55">
        <v>101.60711946714721</v>
      </c>
      <c r="D19" s="55">
        <v>103.57525344400366</v>
      </c>
      <c r="E19" s="55">
        <v>109.4344455434327</v>
      </c>
      <c r="F19" s="55">
        <v>47.848310741274865</v>
      </c>
      <c r="G19" s="55">
        <v>37.442718263055809</v>
      </c>
      <c r="H19" s="55">
        <v>35.164307236152879</v>
      </c>
      <c r="I19" s="55">
        <v>27.527982521682169</v>
      </c>
      <c r="J19" s="55">
        <v>21.114930808087287</v>
      </c>
      <c r="K19" s="55">
        <v>17.383767624657718</v>
      </c>
      <c r="L19" s="3" t="s">
        <v>477</v>
      </c>
    </row>
    <row r="20" spans="1:15" x14ac:dyDescent="0.2">
      <c r="A20" t="str">
        <v>AF CH4 emissions</v>
      </c>
      <c r="B20" s="55">
        <v>122.01528518915242</v>
      </c>
      <c r="C20" s="55">
        <v>155.78227878288931</v>
      </c>
      <c r="D20" s="55">
        <v>189.54927237662622</v>
      </c>
      <c r="E20" s="55">
        <v>275.94000656195806</v>
      </c>
      <c r="F20" s="55">
        <v>157.59499641301761</v>
      </c>
      <c r="G20" s="55">
        <v>72.001159080457924</v>
      </c>
      <c r="H20" s="55">
        <v>43.409953385545819</v>
      </c>
      <c r="I20" s="55">
        <v>35.372597666354679</v>
      </c>
      <c r="J20" s="55">
        <v>29.132322025885298</v>
      </c>
      <c r="K20" s="55">
        <v>24.25610054297255</v>
      </c>
      <c r="L20" s="3" t="s">
        <v>477</v>
      </c>
    </row>
    <row r="21" spans="1:15" ht="13.5" thickBot="1" x14ac:dyDescent="0.25">
      <c r="A21" t="str">
        <v>LA CH4 emissions</v>
      </c>
      <c r="B21" s="56">
        <v>109.86411672565421</v>
      </c>
      <c r="C21" s="56">
        <v>116.13216806842394</v>
      </c>
      <c r="D21" s="56">
        <v>122.40021941119367</v>
      </c>
      <c r="E21" s="56">
        <v>128.71460163163425</v>
      </c>
      <c r="F21" s="56">
        <v>52.919969631994313</v>
      </c>
      <c r="G21" s="56">
        <v>29.525657240297516</v>
      </c>
      <c r="H21" s="56">
        <v>24.015512639953773</v>
      </c>
      <c r="I21" s="56">
        <v>20.149331194567573</v>
      </c>
      <c r="J21" s="56">
        <v>16.423719704343934</v>
      </c>
      <c r="K21" s="56">
        <v>12.883167222436349</v>
      </c>
      <c r="L21" s="3" t="s">
        <v>477</v>
      </c>
    </row>
    <row r="22" spans="1:15" ht="13.5" thickTop="1" x14ac:dyDescent="0.2">
      <c r="L22" s="3"/>
    </row>
    <row r="23" spans="1:15" x14ac:dyDescent="0.2">
      <c r="A23" t="str">
        <f t="array" ref="A23:A30">R_CODE&amp;" "&amp;'Base data'!$D$12&amp;" emissions"</f>
        <v>EU N2O emissions</v>
      </c>
      <c r="B23" s="54">
        <f t="array" ref="B23:K30" xml:space="preserve"> IF(SCENARIO_SWITCH = 0, 0, 0) + IF(SCENARIO_SWITCH = 1, RCP26extra_N2O, 0) + IF(SCENARIO_SWITCH = 2, RCPW_N2O, 0) + IF(SCENARIO_SWITCH = 3, ( IF(SCENARIO_PAIR = PAIR_RCP26, RCP26_N2O, 0) + IF(SCENARIO_PAIR = PAIR_RCP45, RCP45_N2O, 0) +  IF(SCENARIO_PAIR = PAIR_RCP85, RCP85_N2O, 0) ), 0)</f>
        <v>107.63919108759174</v>
      </c>
      <c r="C23" s="54">
        <v>111.83227945915688</v>
      </c>
      <c r="D23" s="54">
        <v>116.02536783072202</v>
      </c>
      <c r="E23" s="54">
        <v>122.75100576642203</v>
      </c>
      <c r="F23" s="54">
        <v>88.975206959298518</v>
      </c>
      <c r="G23" s="54">
        <v>112.0322086024367</v>
      </c>
      <c r="H23" s="54">
        <v>117.15827107032109</v>
      </c>
      <c r="I23" s="54">
        <v>113.1663119266055</v>
      </c>
      <c r="J23" s="54">
        <v>108.62489724770641</v>
      </c>
      <c r="K23" s="54">
        <v>105.36972018348624</v>
      </c>
      <c r="L23" s="3" t="s">
        <v>477</v>
      </c>
      <c r="O23" s="128" t="s">
        <v>646</v>
      </c>
    </row>
    <row r="24" spans="1:15" x14ac:dyDescent="0.2">
      <c r="A24" t="str">
        <v>US N2O emissions</v>
      </c>
      <c r="B24" s="55">
        <v>107.63919108759174</v>
      </c>
      <c r="C24" s="55">
        <v>111.83227945915688</v>
      </c>
      <c r="D24" s="55">
        <v>116.02536783072202</v>
      </c>
      <c r="E24" s="55">
        <v>122.75100576642203</v>
      </c>
      <c r="F24" s="55">
        <v>88.975206959298518</v>
      </c>
      <c r="G24" s="55">
        <v>112.0322086024367</v>
      </c>
      <c r="H24" s="55">
        <v>117.15827107032109</v>
      </c>
      <c r="I24" s="55">
        <v>113.1663119266055</v>
      </c>
      <c r="J24" s="55">
        <v>108.62489724770641</v>
      </c>
      <c r="K24" s="55">
        <v>105.36972018348624</v>
      </c>
      <c r="L24" s="3" t="s">
        <v>477</v>
      </c>
    </row>
    <row r="25" spans="1:15" x14ac:dyDescent="0.2">
      <c r="A25" t="str">
        <v>OT N2O emissions</v>
      </c>
      <c r="B25" s="55">
        <v>107.63919108759174</v>
      </c>
      <c r="C25" s="55">
        <v>111.83227945915688</v>
      </c>
      <c r="D25" s="55">
        <v>116.02536783072202</v>
      </c>
      <c r="E25" s="55">
        <v>122.75100576642203</v>
      </c>
      <c r="F25" s="55">
        <v>88.975206959298518</v>
      </c>
      <c r="G25" s="55">
        <v>112.0322086024367</v>
      </c>
      <c r="H25" s="55">
        <v>117.15827107032109</v>
      </c>
      <c r="I25" s="55">
        <v>113.1663119266055</v>
      </c>
      <c r="J25" s="55">
        <v>108.62489724770641</v>
      </c>
      <c r="K25" s="55">
        <v>105.36972018348624</v>
      </c>
      <c r="L25" s="3" t="s">
        <v>477</v>
      </c>
    </row>
    <row r="26" spans="1:15" x14ac:dyDescent="0.2">
      <c r="A26" t="str">
        <v>EE N2O emissions</v>
      </c>
      <c r="B26" s="55">
        <v>107.63919108759174</v>
      </c>
      <c r="C26" s="55">
        <v>111.83227945915688</v>
      </c>
      <c r="D26" s="55">
        <v>116.02536783072202</v>
      </c>
      <c r="E26" s="55">
        <v>122.75100576642203</v>
      </c>
      <c r="F26" s="55">
        <v>88.975206959298518</v>
      </c>
      <c r="G26" s="55">
        <v>112.0322086024367</v>
      </c>
      <c r="H26" s="55">
        <v>117.15827107032109</v>
      </c>
      <c r="I26" s="55">
        <v>113.1663119266055</v>
      </c>
      <c r="J26" s="55">
        <v>108.62489724770641</v>
      </c>
      <c r="K26" s="55">
        <v>105.36972018348624</v>
      </c>
      <c r="L26" s="3" t="s">
        <v>477</v>
      </c>
    </row>
    <row r="27" spans="1:15" x14ac:dyDescent="0.2">
      <c r="A27" t="str">
        <v>CA N2O emissions</v>
      </c>
      <c r="B27" s="55">
        <v>107.63919108759174</v>
      </c>
      <c r="C27" s="55">
        <v>111.83227945915688</v>
      </c>
      <c r="D27" s="55">
        <v>116.02536783072202</v>
      </c>
      <c r="E27" s="55">
        <v>122.75100576642203</v>
      </c>
      <c r="F27" s="55">
        <v>88.975206959298518</v>
      </c>
      <c r="G27" s="55">
        <v>112.0322086024367</v>
      </c>
      <c r="H27" s="55">
        <v>117.15827107032109</v>
      </c>
      <c r="I27" s="55">
        <v>113.1663119266055</v>
      </c>
      <c r="J27" s="55">
        <v>108.62489724770641</v>
      </c>
      <c r="K27" s="55">
        <v>105.36972018348624</v>
      </c>
      <c r="L27" s="3" t="s">
        <v>477</v>
      </c>
    </row>
    <row r="28" spans="1:15" x14ac:dyDescent="0.2">
      <c r="A28" t="str">
        <v>IA N2O emissions</v>
      </c>
      <c r="B28" s="55">
        <v>107.63919108759174</v>
      </c>
      <c r="C28" s="55">
        <v>111.83227945915688</v>
      </c>
      <c r="D28" s="55">
        <v>116.02536783072202</v>
      </c>
      <c r="E28" s="55">
        <v>122.75100576642203</v>
      </c>
      <c r="F28" s="55">
        <v>88.975206959298518</v>
      </c>
      <c r="G28" s="55">
        <v>112.0322086024367</v>
      </c>
      <c r="H28" s="55">
        <v>117.15827107032109</v>
      </c>
      <c r="I28" s="55">
        <v>113.1663119266055</v>
      </c>
      <c r="J28" s="55">
        <v>108.62489724770641</v>
      </c>
      <c r="K28" s="55">
        <v>105.36972018348624</v>
      </c>
      <c r="L28" s="3" t="s">
        <v>477</v>
      </c>
    </row>
    <row r="29" spans="1:15" x14ac:dyDescent="0.2">
      <c r="A29" t="str">
        <v>AF N2O emissions</v>
      </c>
      <c r="B29" s="55">
        <v>107.63919108759174</v>
      </c>
      <c r="C29" s="55">
        <v>111.83227945915688</v>
      </c>
      <c r="D29" s="55">
        <v>116.02536783072202</v>
      </c>
      <c r="E29" s="55">
        <v>122.75100576642203</v>
      </c>
      <c r="F29" s="55">
        <v>88.975206959298518</v>
      </c>
      <c r="G29" s="55">
        <v>112.0322086024367</v>
      </c>
      <c r="H29" s="55">
        <v>117.15827107032109</v>
      </c>
      <c r="I29" s="55">
        <v>113.1663119266055</v>
      </c>
      <c r="J29" s="55">
        <v>108.62489724770641</v>
      </c>
      <c r="K29" s="55">
        <v>105.36972018348624</v>
      </c>
      <c r="L29" s="3" t="s">
        <v>477</v>
      </c>
    </row>
    <row r="30" spans="1:15" ht="13.5" thickBot="1" x14ac:dyDescent="0.25">
      <c r="A30" t="str">
        <v>LA N2O emissions</v>
      </c>
      <c r="B30" s="56">
        <v>107.63919108759174</v>
      </c>
      <c r="C30" s="56">
        <v>111.83227945915688</v>
      </c>
      <c r="D30" s="56">
        <v>116.02536783072202</v>
      </c>
      <c r="E30" s="56">
        <v>122.75100576642203</v>
      </c>
      <c r="F30" s="56">
        <v>88.975206959298518</v>
      </c>
      <c r="G30" s="56">
        <v>112.0322086024367</v>
      </c>
      <c r="H30" s="56">
        <v>117.15827107032109</v>
      </c>
      <c r="I30" s="56">
        <v>113.1663119266055</v>
      </c>
      <c r="J30" s="56">
        <v>108.62489724770641</v>
      </c>
      <c r="K30" s="56">
        <v>105.36972018348624</v>
      </c>
      <c r="L30" s="3" t="s">
        <v>477</v>
      </c>
    </row>
    <row r="31" spans="1:15" ht="13.5" thickTop="1" x14ac:dyDescent="0.2">
      <c r="L31" s="3"/>
    </row>
    <row r="32" spans="1:15" x14ac:dyDescent="0.2">
      <c r="A32" t="str">
        <f t="array" ref="A32:A39">R_CODE&amp;" "&amp;GLIN_NAME&amp;" emissions"</f>
        <v>EU Lin emissions</v>
      </c>
      <c r="B32" s="54">
        <f t="array" ref="B32:K39" xml:space="preserve"> IF(SCENARIO_SWITCH = 0, 0, 0) + IF(SCENARIO_SWITCH = 1, RCP26extra_Lin, 0) + IF(SCENARIO_SWITCH = 2, RCPW_Lin, 0) + IF(SCENARIO_SWITCH = 3, ( IF(SCENARIO_PAIR = PAIR_RCP26, RCP26_Lin, 0) + IF(SCENARIO_PAIR = PAIR_RCP45, RCP45_Lin, 0) +  IF(SCENARIO_PAIR = PAIR_RCP85, RCP85_Lin, 0) ), 0)</f>
        <v>123.12461561981884</v>
      </c>
      <c r="C32" s="54">
        <v>127.87774576472447</v>
      </c>
      <c r="D32" s="54">
        <v>132.63087590963011</v>
      </c>
      <c r="E32" s="54">
        <v>137.19476273699667</v>
      </c>
      <c r="F32" s="54">
        <v>81.844233192137963</v>
      </c>
      <c r="G32" s="54">
        <v>10.918165037973296</v>
      </c>
      <c r="H32" s="54">
        <v>10.420168838777277</v>
      </c>
      <c r="I32" s="54">
        <v>10.104184708640975</v>
      </c>
      <c r="J32" s="54">
        <v>9.383084665274815</v>
      </c>
      <c r="K32" s="54">
        <v>8.6517348529388673</v>
      </c>
      <c r="L32" s="3" t="s">
        <v>477</v>
      </c>
      <c r="O32" s="128" t="s">
        <v>646</v>
      </c>
    </row>
    <row r="33" spans="1:15" x14ac:dyDescent="0.2">
      <c r="A33" t="str">
        <v>US Lin emissions</v>
      </c>
      <c r="B33" s="55">
        <v>123.12461561981884</v>
      </c>
      <c r="C33" s="55">
        <v>127.87774576472447</v>
      </c>
      <c r="D33" s="55">
        <v>132.63087590963011</v>
      </c>
      <c r="E33" s="55">
        <v>137.19476273699667</v>
      </c>
      <c r="F33" s="55">
        <v>81.844233192137963</v>
      </c>
      <c r="G33" s="55">
        <v>10.918165037973296</v>
      </c>
      <c r="H33" s="55">
        <v>10.420168838777277</v>
      </c>
      <c r="I33" s="55">
        <v>10.104184708640975</v>
      </c>
      <c r="J33" s="55">
        <v>9.383084665274815</v>
      </c>
      <c r="K33" s="55">
        <v>8.6517348529388673</v>
      </c>
      <c r="L33" s="3" t="s">
        <v>477</v>
      </c>
    </row>
    <row r="34" spans="1:15" x14ac:dyDescent="0.2">
      <c r="A34" t="str">
        <v>OT Lin emissions</v>
      </c>
      <c r="B34" s="55">
        <v>123.12461561981884</v>
      </c>
      <c r="C34" s="55">
        <v>127.87774576472447</v>
      </c>
      <c r="D34" s="55">
        <v>132.63087590963011</v>
      </c>
      <c r="E34" s="55">
        <v>137.19476273699667</v>
      </c>
      <c r="F34" s="55">
        <v>81.844233192137963</v>
      </c>
      <c r="G34" s="55">
        <v>10.918165037973296</v>
      </c>
      <c r="H34" s="55">
        <v>10.420168838777277</v>
      </c>
      <c r="I34" s="55">
        <v>10.104184708640975</v>
      </c>
      <c r="J34" s="55">
        <v>9.383084665274815</v>
      </c>
      <c r="K34" s="55">
        <v>8.6517348529388673</v>
      </c>
      <c r="L34" s="3" t="s">
        <v>477</v>
      </c>
    </row>
    <row r="35" spans="1:15" x14ac:dyDescent="0.2">
      <c r="A35" t="str">
        <v>EE Lin emissions</v>
      </c>
      <c r="B35" s="55">
        <v>123.12461561981884</v>
      </c>
      <c r="C35" s="55">
        <v>127.87774576472447</v>
      </c>
      <c r="D35" s="55">
        <v>132.63087590963011</v>
      </c>
      <c r="E35" s="55">
        <v>137.19476273699667</v>
      </c>
      <c r="F35" s="55">
        <v>81.844233192137963</v>
      </c>
      <c r="G35" s="55">
        <v>10.918165037973296</v>
      </c>
      <c r="H35" s="55">
        <v>10.420168838777277</v>
      </c>
      <c r="I35" s="55">
        <v>10.104184708640975</v>
      </c>
      <c r="J35" s="55">
        <v>9.383084665274815</v>
      </c>
      <c r="K35" s="55">
        <v>8.6517348529388673</v>
      </c>
      <c r="L35" s="3" t="s">
        <v>477</v>
      </c>
    </row>
    <row r="36" spans="1:15" x14ac:dyDescent="0.2">
      <c r="A36" t="str">
        <v>CA Lin emissions</v>
      </c>
      <c r="B36" s="55">
        <v>123.12461561981884</v>
      </c>
      <c r="C36" s="55">
        <v>127.87774576472447</v>
      </c>
      <c r="D36" s="55">
        <v>132.63087590963011</v>
      </c>
      <c r="E36" s="55">
        <v>137.19476273699667</v>
      </c>
      <c r="F36" s="55">
        <v>81.844233192137963</v>
      </c>
      <c r="G36" s="55">
        <v>10.918165037973296</v>
      </c>
      <c r="H36" s="55">
        <v>10.420168838777277</v>
      </c>
      <c r="I36" s="55">
        <v>10.104184708640975</v>
      </c>
      <c r="J36" s="55">
        <v>9.383084665274815</v>
      </c>
      <c r="K36" s="55">
        <v>8.6517348529388673</v>
      </c>
      <c r="L36" s="3" t="s">
        <v>477</v>
      </c>
    </row>
    <row r="37" spans="1:15" x14ac:dyDescent="0.2">
      <c r="A37" t="str">
        <v>IA Lin emissions</v>
      </c>
      <c r="B37" s="55">
        <v>123.12461561981884</v>
      </c>
      <c r="C37" s="55">
        <v>127.87774576472447</v>
      </c>
      <c r="D37" s="55">
        <v>132.63087590963011</v>
      </c>
      <c r="E37" s="55">
        <v>137.19476273699667</v>
      </c>
      <c r="F37" s="55">
        <v>81.844233192137963</v>
      </c>
      <c r="G37" s="55">
        <v>10.918165037973296</v>
      </c>
      <c r="H37" s="55">
        <v>10.420168838777277</v>
      </c>
      <c r="I37" s="55">
        <v>10.104184708640975</v>
      </c>
      <c r="J37" s="55">
        <v>9.383084665274815</v>
      </c>
      <c r="K37" s="55">
        <v>8.6517348529388673</v>
      </c>
      <c r="L37" s="3" t="s">
        <v>477</v>
      </c>
    </row>
    <row r="38" spans="1:15" x14ac:dyDescent="0.2">
      <c r="A38" t="str">
        <v>AF Lin emissions</v>
      </c>
      <c r="B38" s="55">
        <v>123.12461561981884</v>
      </c>
      <c r="C38" s="55">
        <v>127.87774576472447</v>
      </c>
      <c r="D38" s="55">
        <v>132.63087590963011</v>
      </c>
      <c r="E38" s="55">
        <v>137.19476273699667</v>
      </c>
      <c r="F38" s="55">
        <v>81.844233192137963</v>
      </c>
      <c r="G38" s="55">
        <v>10.918165037973296</v>
      </c>
      <c r="H38" s="55">
        <v>10.420168838777277</v>
      </c>
      <c r="I38" s="55">
        <v>10.104184708640975</v>
      </c>
      <c r="J38" s="55">
        <v>9.383084665274815</v>
      </c>
      <c r="K38" s="55">
        <v>8.6517348529388673</v>
      </c>
      <c r="L38" s="3" t="s">
        <v>477</v>
      </c>
    </row>
    <row r="39" spans="1:15" ht="13.5" thickBot="1" x14ac:dyDescent="0.25">
      <c r="A39" t="str">
        <v>LA Lin emissions</v>
      </c>
      <c r="B39" s="56">
        <v>123.12461561981884</v>
      </c>
      <c r="C39" s="56">
        <v>127.87774576472447</v>
      </c>
      <c r="D39" s="56">
        <v>132.63087590963011</v>
      </c>
      <c r="E39" s="56">
        <v>137.19476273699667</v>
      </c>
      <c r="F39" s="56">
        <v>81.844233192137963</v>
      </c>
      <c r="G39" s="56">
        <v>10.918165037973296</v>
      </c>
      <c r="H39" s="56">
        <v>10.420168838777277</v>
      </c>
      <c r="I39" s="56">
        <v>10.104184708640975</v>
      </c>
      <c r="J39" s="56">
        <v>9.383084665274815</v>
      </c>
      <c r="K39" s="56">
        <v>8.6517348529388673</v>
      </c>
      <c r="L39" s="3" t="s">
        <v>477</v>
      </c>
    </row>
    <row r="40" spans="1:15" ht="13.5" thickTop="1" x14ac:dyDescent="0.2">
      <c r="L40" s="3"/>
    </row>
    <row r="41" spans="1:15" x14ac:dyDescent="0.2">
      <c r="A41" t="str">
        <f t="array" ref="A41:A48">R_CODE&amp;" sulphates"</f>
        <v>EU sulphates</v>
      </c>
      <c r="B41" s="54">
        <f t="array" ref="B41:K48" xml:space="preserve"> IF(SCENARIO_SWITCH = 0, 0, 0) + IF(SCENARIO_SWITCH = 1, RCP26extra_sulph, 0) + IF(SCENARIO_SWITCH = 2, RCPW_sulph, 0) + IF(SCENARIO_SWITCH = 3, ( IF(SCENARIO_PAIR = PAIR_RCP26, RCP26_sulph, 0) + IF(SCENARIO_PAIR = PAIR_RCP45, RCP45_sulph, 0) +  IF(SCENARIO_PAIR = PAIR_RCP85, RCP85_sulph, 0) ), 0)</f>
        <v>78.699283577680092</v>
      </c>
      <c r="C41" s="54">
        <v>64.618866024040585</v>
      </c>
      <c r="D41" s="54">
        <v>50.538448470401065</v>
      </c>
      <c r="E41" s="54">
        <v>53.332771046068459</v>
      </c>
      <c r="F41" s="54">
        <v>39.705142692684888</v>
      </c>
      <c r="G41" s="54">
        <v>26.623071899756326</v>
      </c>
      <c r="H41" s="54">
        <v>18.723594496957507</v>
      </c>
      <c r="I41" s="54">
        <v>15.506324520780998</v>
      </c>
      <c r="J41" s="54">
        <v>14.303592862061839</v>
      </c>
      <c r="K41" s="54">
        <v>14.086674366138695</v>
      </c>
      <c r="L41" s="3" t="s">
        <v>477</v>
      </c>
      <c r="O41" s="128" t="s">
        <v>646</v>
      </c>
    </row>
    <row r="42" spans="1:15" x14ac:dyDescent="0.2">
      <c r="A42" t="str">
        <v>US sulphates</v>
      </c>
      <c r="B42" s="55">
        <v>84.384708242414376</v>
      </c>
      <c r="C42" s="55">
        <v>70.690088468364848</v>
      </c>
      <c r="D42" s="55">
        <v>56.995468694315306</v>
      </c>
      <c r="E42" s="55">
        <v>56.704478130721775</v>
      </c>
      <c r="F42" s="55">
        <v>35.567727316148684</v>
      </c>
      <c r="G42" s="55">
        <v>22.831962972987291</v>
      </c>
      <c r="H42" s="55">
        <v>15.79723463900762</v>
      </c>
      <c r="I42" s="55">
        <v>12.622865059923631</v>
      </c>
      <c r="J42" s="55">
        <v>11.213291531585606</v>
      </c>
      <c r="K42" s="55">
        <v>10.783275215589223</v>
      </c>
      <c r="L42" s="3" t="s">
        <v>477</v>
      </c>
    </row>
    <row r="43" spans="1:15" x14ac:dyDescent="0.2">
      <c r="A43" t="str">
        <v>OT sulphates</v>
      </c>
      <c r="B43" s="55">
        <v>75.48124652151968</v>
      </c>
      <c r="C43" s="55">
        <v>60.849967216463455</v>
      </c>
      <c r="D43" s="55">
        <v>46.21868791140723</v>
      </c>
      <c r="E43" s="55">
        <v>38.103122768770341</v>
      </c>
      <c r="F43" s="55">
        <v>25.899886698984016</v>
      </c>
      <c r="G43" s="55">
        <v>22.356938021653992</v>
      </c>
      <c r="H43" s="55">
        <v>19.249544069904083</v>
      </c>
      <c r="I43" s="55">
        <v>17.287376005906427</v>
      </c>
      <c r="J43" s="55">
        <v>16.424259453328329</v>
      </c>
      <c r="K43" s="55">
        <v>15.899308624884622</v>
      </c>
      <c r="L43" s="3" t="s">
        <v>477</v>
      </c>
    </row>
    <row r="44" spans="1:15" x14ac:dyDescent="0.2">
      <c r="A44" t="str">
        <v>EE sulphates</v>
      </c>
      <c r="B44" s="55">
        <v>77.70637879471083</v>
      </c>
      <c r="C44" s="55">
        <v>63.416316917438266</v>
      </c>
      <c r="D44" s="55">
        <v>49.126255040165695</v>
      </c>
      <c r="E44" s="55">
        <v>38.513312242322009</v>
      </c>
      <c r="F44" s="55">
        <v>30.308623899008683</v>
      </c>
      <c r="G44" s="55">
        <v>27.047280356102188</v>
      </c>
      <c r="H44" s="55">
        <v>24.129383185366187</v>
      </c>
      <c r="I44" s="55">
        <v>21.809346470946277</v>
      </c>
      <c r="J44" s="55">
        <v>21.48692079360022</v>
      </c>
      <c r="K44" s="55">
        <v>21.14779801102592</v>
      </c>
      <c r="L44" s="3" t="s">
        <v>477</v>
      </c>
    </row>
    <row r="45" spans="1:15" x14ac:dyDescent="0.2">
      <c r="A45" t="str">
        <v>CA sulphates</v>
      </c>
      <c r="B45" s="55">
        <v>58.477322691577072</v>
      </c>
      <c r="C45" s="55">
        <v>50.342442180581898</v>
      </c>
      <c r="D45" s="55">
        <v>42.207561669586724</v>
      </c>
      <c r="E45" s="55">
        <v>42.234777395922222</v>
      </c>
      <c r="F45" s="55">
        <v>27.094252326692423</v>
      </c>
      <c r="G45" s="55">
        <v>19.656415541276303</v>
      </c>
      <c r="H45" s="55">
        <v>13.792334025328431</v>
      </c>
      <c r="I45" s="55">
        <v>10.749012056485341</v>
      </c>
      <c r="J45" s="55">
        <v>9.735578679086899</v>
      </c>
      <c r="K45" s="55">
        <v>8.9925671973565269</v>
      </c>
      <c r="L45" s="3" t="s">
        <v>477</v>
      </c>
    </row>
    <row r="46" spans="1:15" x14ac:dyDescent="0.2">
      <c r="A46" t="str">
        <v>IA sulphates</v>
      </c>
      <c r="B46" s="55">
        <v>117.44714663219484</v>
      </c>
      <c r="C46" s="55">
        <v>131.19891157757456</v>
      </c>
      <c r="D46" s="55">
        <v>144.9506765229543</v>
      </c>
      <c r="E46" s="55">
        <v>147.39309185923449</v>
      </c>
      <c r="F46" s="55">
        <v>55.867205351210785</v>
      </c>
      <c r="G46" s="55">
        <v>29.144471908466429</v>
      </c>
      <c r="H46" s="55">
        <v>17.141491447259497</v>
      </c>
      <c r="I46" s="55">
        <v>11.725012325298202</v>
      </c>
      <c r="J46" s="55">
        <v>8.8593589867366198</v>
      </c>
      <c r="K46" s="55">
        <v>7.368247866503796</v>
      </c>
      <c r="L46" s="3" t="s">
        <v>477</v>
      </c>
    </row>
    <row r="47" spans="1:15" x14ac:dyDescent="0.2">
      <c r="A47" t="str">
        <v>AF sulphates</v>
      </c>
      <c r="B47" s="55">
        <v>81.912360867241247</v>
      </c>
      <c r="C47" s="55">
        <v>70.707811478594323</v>
      </c>
      <c r="D47" s="55">
        <v>59.503262089947405</v>
      </c>
      <c r="E47" s="55">
        <v>65.972140461589476</v>
      </c>
      <c r="F47" s="55">
        <v>41.917608193856935</v>
      </c>
      <c r="G47" s="55">
        <v>32.234315196595034</v>
      </c>
      <c r="H47" s="55">
        <v>26.327619967487013</v>
      </c>
      <c r="I47" s="55">
        <v>21.257679122668879</v>
      </c>
      <c r="J47" s="55">
        <v>18.043641362018725</v>
      </c>
      <c r="K47" s="55">
        <v>17.191830610843812</v>
      </c>
      <c r="L47" s="3" t="s">
        <v>477</v>
      </c>
    </row>
    <row r="48" spans="1:15" ht="13.5" thickBot="1" x14ac:dyDescent="0.25">
      <c r="A48" t="str">
        <v>LA sulphates</v>
      </c>
      <c r="B48" s="56">
        <v>94.750253560799905</v>
      </c>
      <c r="C48" s="56">
        <v>93.945787548332987</v>
      </c>
      <c r="D48" s="56">
        <v>93.141321535866069</v>
      </c>
      <c r="E48" s="56">
        <v>92.3856794191978</v>
      </c>
      <c r="F48" s="56">
        <v>55.450000492424437</v>
      </c>
      <c r="G48" s="56">
        <v>33.556107137779989</v>
      </c>
      <c r="H48" s="56">
        <v>19.022335749212811</v>
      </c>
      <c r="I48" s="56">
        <v>11.711620257176227</v>
      </c>
      <c r="J48" s="56">
        <v>9.6914208349998692</v>
      </c>
      <c r="K48" s="56">
        <v>8.6874528418206687</v>
      </c>
      <c r="L48" s="3" t="s">
        <v>477</v>
      </c>
    </row>
    <row r="49" spans="1:15" ht="13.5" thickTop="1" x14ac:dyDescent="0.2">
      <c r="B49" s="61"/>
      <c r="C49" s="61"/>
      <c r="D49" s="61"/>
      <c r="E49" s="61"/>
      <c r="F49" s="61"/>
      <c r="G49" s="61"/>
      <c r="H49" s="61"/>
      <c r="I49" s="61"/>
      <c r="J49" s="61"/>
      <c r="K49" s="61"/>
    </row>
    <row r="50" spans="1:15" ht="13.5" thickBot="1" x14ac:dyDescent="0.25">
      <c r="A50" s="3" t="s">
        <v>35</v>
      </c>
      <c r="B50" s="62">
        <f t="array" ref="B50:K50" xml:space="preserve"> IF(SCENARIO_SWITCH = 0, 0, 0) + IF(SCENARIO_SWITCH = 1, RCP26extra_Excess, 0) + IF(SCENARIO_SWITCH = 2, RCPW_Excess, 0) + IF(SCENARIO_SWITCH = 3, ( IF(SCENARIO_PAIR = PAIR_RCP26, RCP26_Excess, 0) + IF(SCENARIO_PAIR = PAIR_RCP45, RCP45_Excess, 0) +  IF(SCENARIO_PAIR = PAIR_RCP85, RCP85_Excess, 0) ), 0)</f>
        <v>0.94169999999999998</v>
      </c>
      <c r="C50" s="62">
        <v>0.89269999999999994</v>
      </c>
      <c r="D50" s="62">
        <v>0.84369999999999989</v>
      </c>
      <c r="E50" s="62">
        <v>0.80619999999999992</v>
      </c>
      <c r="F50" s="62">
        <v>0.55649999999999999</v>
      </c>
      <c r="G50" s="62">
        <v>0.46420000000000006</v>
      </c>
      <c r="H50" s="62">
        <v>0.36930000000000002</v>
      </c>
      <c r="I50" s="62">
        <v>0.28809999999999997</v>
      </c>
      <c r="J50" s="62">
        <v>0.24089999999999998</v>
      </c>
      <c r="K50" s="62">
        <v>0.21779999999999999</v>
      </c>
      <c r="L50" s="3" t="s">
        <v>42</v>
      </c>
      <c r="O50" s="128" t="s">
        <v>646</v>
      </c>
    </row>
    <row r="51" spans="1:15" ht="13.5" thickTop="1" x14ac:dyDescent="0.2">
      <c r="B51" s="61"/>
      <c r="C51" s="61"/>
      <c r="D51" s="61"/>
      <c r="E51" s="61"/>
      <c r="F51" s="61"/>
      <c r="G51" s="61"/>
      <c r="H51" s="61"/>
      <c r="I51" s="61"/>
      <c r="J51" s="61"/>
      <c r="K51" s="61"/>
    </row>
    <row r="52" spans="1:15" x14ac:dyDescent="0.2">
      <c r="A52" s="2" t="s">
        <v>195</v>
      </c>
    </row>
    <row r="53" spans="1:15" x14ac:dyDescent="0.2">
      <c r="A53" s="2"/>
      <c r="B53" s="3" t="s">
        <v>718</v>
      </c>
      <c r="C53" s="214"/>
      <c r="D53" s="214"/>
      <c r="E53" s="214"/>
      <c r="F53" s="214"/>
    </row>
    <row r="54" spans="1:15" x14ac:dyDescent="0.2">
      <c r="A54" s="2"/>
      <c r="B54" s="3"/>
      <c r="F54" s="3" t="s">
        <v>717</v>
      </c>
    </row>
    <row r="55" spans="1:15" x14ac:dyDescent="0.2">
      <c r="A55" s="2"/>
      <c r="B55" s="3" t="s">
        <v>200</v>
      </c>
      <c r="C55" s="3" t="s">
        <v>196</v>
      </c>
      <c r="D55" s="3" t="s">
        <v>197</v>
      </c>
      <c r="F55" s="3" t="s">
        <v>408</v>
      </c>
      <c r="G55" s="3" t="s">
        <v>198</v>
      </c>
      <c r="H55" s="3" t="s">
        <v>199</v>
      </c>
      <c r="I55" s="3" t="s">
        <v>409</v>
      </c>
    </row>
    <row r="56" spans="1:15" s="2" customFormat="1" x14ac:dyDescent="0.2">
      <c r="A56" t="str">
        <f t="array" ref="A56:A63">R_CODE&amp;" sea level"</f>
        <v>EU sea level</v>
      </c>
      <c r="B56" s="230">
        <v>0.25</v>
      </c>
      <c r="C56" s="54">
        <v>2000</v>
      </c>
      <c r="D56" s="138">
        <v>50</v>
      </c>
      <c r="E56"/>
      <c r="F56" s="54">
        <v>50</v>
      </c>
      <c r="G56" s="54">
        <v>2020</v>
      </c>
      <c r="H56" s="138">
        <v>50</v>
      </c>
      <c r="I56" s="233">
        <v>1</v>
      </c>
      <c r="J56"/>
      <c r="K56"/>
      <c r="L56"/>
      <c r="O56" s="124" t="s">
        <v>706</v>
      </c>
    </row>
    <row r="57" spans="1:15" x14ac:dyDescent="0.2">
      <c r="A57" t="str">
        <v>US sea level</v>
      </c>
      <c r="B57" s="231">
        <v>0.25</v>
      </c>
      <c r="C57" s="55">
        <v>2000</v>
      </c>
      <c r="D57" s="134">
        <v>50</v>
      </c>
      <c r="F57" s="55">
        <v>50</v>
      </c>
      <c r="G57" s="55">
        <v>2020</v>
      </c>
      <c r="H57" s="134">
        <v>50</v>
      </c>
      <c r="I57" s="234">
        <v>1</v>
      </c>
      <c r="O57" s="124" t="s">
        <v>878</v>
      </c>
    </row>
    <row r="58" spans="1:15" x14ac:dyDescent="0.2">
      <c r="A58" t="str">
        <v>OT sea level</v>
      </c>
      <c r="B58" s="231">
        <v>0.25</v>
      </c>
      <c r="C58" s="55">
        <v>2000</v>
      </c>
      <c r="D58" s="134">
        <v>50</v>
      </c>
      <c r="F58" s="55">
        <v>50</v>
      </c>
      <c r="G58" s="55">
        <v>2020</v>
      </c>
      <c r="H58" s="134">
        <v>50</v>
      </c>
      <c r="I58" s="234">
        <v>1</v>
      </c>
    </row>
    <row r="59" spans="1:15" x14ac:dyDescent="0.2">
      <c r="A59" t="str">
        <v>EE sea level</v>
      </c>
      <c r="B59" s="231">
        <v>0.25</v>
      </c>
      <c r="C59" s="55">
        <v>2000</v>
      </c>
      <c r="D59" s="134">
        <v>50</v>
      </c>
      <c r="F59" s="55">
        <v>50</v>
      </c>
      <c r="G59" s="55">
        <v>2020</v>
      </c>
      <c r="H59" s="134">
        <v>50</v>
      </c>
      <c r="I59" s="234">
        <v>1</v>
      </c>
    </row>
    <row r="60" spans="1:15" x14ac:dyDescent="0.2">
      <c r="A60" t="str">
        <v>CA sea level</v>
      </c>
      <c r="B60" s="231">
        <v>0.2</v>
      </c>
      <c r="C60" s="55">
        <v>2000</v>
      </c>
      <c r="D60" s="134">
        <v>75</v>
      </c>
      <c r="F60" s="55">
        <v>25</v>
      </c>
      <c r="G60" s="55">
        <v>2020</v>
      </c>
      <c r="H60" s="134">
        <v>75</v>
      </c>
      <c r="I60" s="234">
        <v>1</v>
      </c>
    </row>
    <row r="61" spans="1:15" x14ac:dyDescent="0.2">
      <c r="A61" t="str">
        <v>IA sea level</v>
      </c>
      <c r="B61" s="231">
        <v>0.2</v>
      </c>
      <c r="C61" s="55">
        <v>2000</v>
      </c>
      <c r="D61" s="134">
        <v>75</v>
      </c>
      <c r="F61" s="55">
        <v>25</v>
      </c>
      <c r="G61" s="55">
        <v>2020</v>
      </c>
      <c r="H61" s="134">
        <v>75</v>
      </c>
      <c r="I61" s="234">
        <v>1</v>
      </c>
    </row>
    <row r="62" spans="1:15" x14ac:dyDescent="0.2">
      <c r="A62" t="str">
        <v>AF sea level</v>
      </c>
      <c r="B62" s="231">
        <v>0.2</v>
      </c>
      <c r="C62" s="55">
        <v>2000</v>
      </c>
      <c r="D62" s="134">
        <v>75</v>
      </c>
      <c r="F62" s="55">
        <v>25</v>
      </c>
      <c r="G62" s="55">
        <v>2020</v>
      </c>
      <c r="H62" s="134">
        <v>75</v>
      </c>
      <c r="I62" s="234">
        <v>1</v>
      </c>
    </row>
    <row r="63" spans="1:15" ht="13.5" thickBot="1" x14ac:dyDescent="0.25">
      <c r="A63" t="str">
        <v>LA sea level</v>
      </c>
      <c r="B63" s="232">
        <v>0.2</v>
      </c>
      <c r="C63" s="56">
        <v>2000</v>
      </c>
      <c r="D63" s="139">
        <v>75</v>
      </c>
      <c r="F63" s="56">
        <v>25</v>
      </c>
      <c r="G63" s="56">
        <v>2020</v>
      </c>
      <c r="H63" s="139">
        <v>75</v>
      </c>
      <c r="I63" s="235">
        <v>1</v>
      </c>
    </row>
    <row r="64" spans="1:15" ht="13.5" thickTop="1" x14ac:dyDescent="0.2">
      <c r="B64" s="214" t="s">
        <v>180</v>
      </c>
      <c r="C64" s="214"/>
      <c r="D64" s="214"/>
      <c r="E64" s="214"/>
      <c r="F64" s="214" t="s">
        <v>38</v>
      </c>
      <c r="G64" s="214"/>
      <c r="H64" s="214"/>
      <c r="I64" s="214" t="s">
        <v>180</v>
      </c>
    </row>
    <row r="65" spans="1:15" x14ac:dyDescent="0.2">
      <c r="B65" s="214"/>
      <c r="C65" s="214"/>
      <c r="D65" s="214"/>
      <c r="E65" s="214"/>
      <c r="F65" s="214"/>
      <c r="G65" s="214"/>
      <c r="H65" s="214"/>
      <c r="I65" s="214"/>
    </row>
    <row r="66" spans="1:15" x14ac:dyDescent="0.2">
      <c r="B66" s="3" t="s">
        <v>718</v>
      </c>
      <c r="C66" s="214"/>
      <c r="D66" s="214"/>
      <c r="E66" s="214"/>
      <c r="F66" s="214"/>
      <c r="G66" s="214"/>
      <c r="H66" s="214"/>
      <c r="I66" s="214"/>
    </row>
    <row r="67" spans="1:15" x14ac:dyDescent="0.2">
      <c r="B67" s="3"/>
      <c r="F67" s="3" t="s">
        <v>717</v>
      </c>
    </row>
    <row r="68" spans="1:15" x14ac:dyDescent="0.2">
      <c r="A68" s="2"/>
      <c r="B68" s="3" t="s">
        <v>200</v>
      </c>
      <c r="C68" s="3" t="s">
        <v>196</v>
      </c>
      <c r="D68" s="3" t="s">
        <v>197</v>
      </c>
      <c r="F68" s="3" t="s">
        <v>408</v>
      </c>
      <c r="G68" s="3" t="s">
        <v>198</v>
      </c>
      <c r="H68" s="3" t="s">
        <v>199</v>
      </c>
      <c r="I68" s="3" t="s">
        <v>409</v>
      </c>
    </row>
    <row r="69" spans="1:15" x14ac:dyDescent="0.2">
      <c r="A69" t="str">
        <f t="array" ref="A69:A76">R_CODE&amp;" "&amp;I_1_NAME</f>
        <v>EU Economic</v>
      </c>
      <c r="B69" s="233">
        <v>0</v>
      </c>
      <c r="C69" s="54">
        <v>2000</v>
      </c>
      <c r="D69" s="138">
        <v>40</v>
      </c>
      <c r="F69" s="54">
        <v>30</v>
      </c>
      <c r="G69" s="54">
        <v>2010</v>
      </c>
      <c r="H69" s="138">
        <v>30</v>
      </c>
      <c r="I69" s="233">
        <v>0</v>
      </c>
      <c r="O69" s="124" t="s">
        <v>706</v>
      </c>
    </row>
    <row r="70" spans="1:15" x14ac:dyDescent="0.2">
      <c r="A70" t="str">
        <v>US Economic</v>
      </c>
      <c r="B70" s="234">
        <v>0</v>
      </c>
      <c r="C70" s="55">
        <v>2000</v>
      </c>
      <c r="D70" s="134">
        <v>40</v>
      </c>
      <c r="F70" s="55">
        <v>30</v>
      </c>
      <c r="G70" s="55">
        <v>2010</v>
      </c>
      <c r="H70" s="134">
        <v>30</v>
      </c>
      <c r="I70" s="234">
        <v>0</v>
      </c>
      <c r="O70" s="124" t="s">
        <v>876</v>
      </c>
    </row>
    <row r="71" spans="1:15" x14ac:dyDescent="0.2">
      <c r="A71" t="str">
        <v>OT Economic</v>
      </c>
      <c r="B71" s="234">
        <v>0</v>
      </c>
      <c r="C71" s="55">
        <v>2000</v>
      </c>
      <c r="D71" s="134">
        <v>40</v>
      </c>
      <c r="F71" s="55">
        <v>30</v>
      </c>
      <c r="G71" s="55">
        <v>2010</v>
      </c>
      <c r="H71" s="134">
        <v>30</v>
      </c>
      <c r="I71" s="234">
        <v>0</v>
      </c>
    </row>
    <row r="72" spans="1:15" x14ac:dyDescent="0.2">
      <c r="A72" t="str">
        <v>EE Economic</v>
      </c>
      <c r="B72" s="234">
        <v>0</v>
      </c>
      <c r="C72" s="55">
        <v>2000</v>
      </c>
      <c r="D72" s="134">
        <v>40</v>
      </c>
      <c r="F72" s="55">
        <v>30</v>
      </c>
      <c r="G72" s="55">
        <v>2010</v>
      </c>
      <c r="H72" s="134">
        <v>30</v>
      </c>
      <c r="I72" s="234">
        <v>0</v>
      </c>
    </row>
    <row r="73" spans="1:15" x14ac:dyDescent="0.2">
      <c r="A73" t="str">
        <v>CA Economic</v>
      </c>
      <c r="B73" s="234">
        <v>0</v>
      </c>
      <c r="C73" s="55">
        <v>2010</v>
      </c>
      <c r="D73" s="134">
        <v>60</v>
      </c>
      <c r="F73" s="134">
        <v>20</v>
      </c>
      <c r="G73" s="134">
        <v>2020</v>
      </c>
      <c r="H73" s="134">
        <v>50</v>
      </c>
      <c r="I73" s="234">
        <v>0</v>
      </c>
    </row>
    <row r="74" spans="1:15" x14ac:dyDescent="0.2">
      <c r="A74" t="str">
        <v>IA Economic</v>
      </c>
      <c r="B74" s="234">
        <v>0</v>
      </c>
      <c r="C74" s="55">
        <v>2010</v>
      </c>
      <c r="D74" s="134">
        <v>60</v>
      </c>
      <c r="F74" s="134">
        <v>20</v>
      </c>
      <c r="G74" s="134">
        <v>2020</v>
      </c>
      <c r="H74" s="134">
        <v>50</v>
      </c>
      <c r="I74" s="234">
        <v>0</v>
      </c>
    </row>
    <row r="75" spans="1:15" x14ac:dyDescent="0.2">
      <c r="A75" t="str">
        <v>AF Economic</v>
      </c>
      <c r="B75" s="234">
        <v>0</v>
      </c>
      <c r="C75" s="55">
        <v>2010</v>
      </c>
      <c r="D75" s="134">
        <v>60</v>
      </c>
      <c r="F75" s="134">
        <v>20</v>
      </c>
      <c r="G75" s="134">
        <v>2020</v>
      </c>
      <c r="H75" s="134">
        <v>50</v>
      </c>
      <c r="I75" s="234">
        <v>0</v>
      </c>
    </row>
    <row r="76" spans="1:15" ht="13.5" thickBot="1" x14ac:dyDescent="0.25">
      <c r="A76" t="str">
        <v>LA Economic</v>
      </c>
      <c r="B76" s="235">
        <v>0</v>
      </c>
      <c r="C76" s="56">
        <v>2010</v>
      </c>
      <c r="D76" s="139">
        <v>60</v>
      </c>
      <c r="F76" s="139">
        <v>20</v>
      </c>
      <c r="G76" s="139">
        <v>2020</v>
      </c>
      <c r="H76" s="139">
        <v>50</v>
      </c>
      <c r="I76" s="235">
        <v>0</v>
      </c>
    </row>
    <row r="77" spans="1:15" ht="13.5" thickTop="1" x14ac:dyDescent="0.2">
      <c r="B77" t="s">
        <v>41</v>
      </c>
      <c r="F77" t="s">
        <v>38</v>
      </c>
      <c r="I77" t="s">
        <v>41</v>
      </c>
    </row>
    <row r="79" spans="1:15" x14ac:dyDescent="0.2">
      <c r="B79" s="3" t="s">
        <v>718</v>
      </c>
      <c r="C79" s="214"/>
      <c r="D79" s="214"/>
      <c r="E79" s="214"/>
      <c r="F79" s="214"/>
    </row>
    <row r="80" spans="1:15" x14ac:dyDescent="0.2">
      <c r="B80" s="3"/>
      <c r="F80" s="3" t="s">
        <v>717</v>
      </c>
    </row>
    <row r="81" spans="1:15" x14ac:dyDescent="0.2">
      <c r="A81" s="2"/>
      <c r="B81" s="3" t="s">
        <v>200</v>
      </c>
      <c r="C81" s="3" t="s">
        <v>196</v>
      </c>
      <c r="D81" s="3" t="s">
        <v>197</v>
      </c>
      <c r="F81" s="3" t="s">
        <v>408</v>
      </c>
      <c r="G81" s="3" t="s">
        <v>198</v>
      </c>
      <c r="H81" s="3" t="s">
        <v>199</v>
      </c>
      <c r="I81" s="3" t="s">
        <v>409</v>
      </c>
    </row>
    <row r="82" spans="1:15" x14ac:dyDescent="0.2">
      <c r="A82" t="str">
        <f t="array" ref="A82:A89">R_CODE&amp;" "&amp;I_2_NAME</f>
        <v>EU Non-econ</v>
      </c>
      <c r="B82" s="233">
        <v>0</v>
      </c>
      <c r="C82" s="54">
        <v>2000</v>
      </c>
      <c r="D82" s="54">
        <v>100</v>
      </c>
      <c r="F82" s="54">
        <v>15</v>
      </c>
      <c r="G82" s="54">
        <v>2010</v>
      </c>
      <c r="H82" s="54">
        <v>40</v>
      </c>
      <c r="I82" s="236">
        <v>0</v>
      </c>
      <c r="O82" s="124" t="s">
        <v>706</v>
      </c>
    </row>
    <row r="83" spans="1:15" x14ac:dyDescent="0.2">
      <c r="A83" t="str">
        <v>US Non-econ</v>
      </c>
      <c r="B83" s="234">
        <v>0</v>
      </c>
      <c r="C83" s="55">
        <v>2000</v>
      </c>
      <c r="D83" s="55">
        <v>100</v>
      </c>
      <c r="F83" s="55">
        <v>15</v>
      </c>
      <c r="G83" s="55">
        <v>2010</v>
      </c>
      <c r="H83" s="55">
        <v>40</v>
      </c>
      <c r="I83" s="207">
        <v>0</v>
      </c>
      <c r="O83" s="124" t="s">
        <v>877</v>
      </c>
    </row>
    <row r="84" spans="1:15" x14ac:dyDescent="0.2">
      <c r="A84" t="str">
        <v>OT Non-econ</v>
      </c>
      <c r="B84" s="234">
        <v>0</v>
      </c>
      <c r="C84" s="55">
        <v>2000</v>
      </c>
      <c r="D84" s="55">
        <v>100</v>
      </c>
      <c r="F84" s="55">
        <v>15</v>
      </c>
      <c r="G84" s="55">
        <v>2010</v>
      </c>
      <c r="H84" s="55">
        <v>40</v>
      </c>
      <c r="I84" s="207">
        <v>0</v>
      </c>
    </row>
    <row r="85" spans="1:15" x14ac:dyDescent="0.2">
      <c r="A85" t="str">
        <v>EE Non-econ</v>
      </c>
      <c r="B85" s="234">
        <v>0</v>
      </c>
      <c r="C85" s="55">
        <v>2000</v>
      </c>
      <c r="D85" s="55">
        <v>100</v>
      </c>
      <c r="F85" s="55">
        <v>15</v>
      </c>
      <c r="G85" s="55">
        <v>2010</v>
      </c>
      <c r="H85" s="55">
        <v>40</v>
      </c>
      <c r="I85" s="207">
        <v>0</v>
      </c>
    </row>
    <row r="86" spans="1:15" x14ac:dyDescent="0.2">
      <c r="A86" t="str">
        <v>CA Non-econ</v>
      </c>
      <c r="B86" s="234">
        <v>0</v>
      </c>
      <c r="C86" s="55">
        <v>2000</v>
      </c>
      <c r="D86" s="55">
        <v>100</v>
      </c>
      <c r="F86" s="55">
        <v>15</v>
      </c>
      <c r="G86" s="55">
        <v>2010</v>
      </c>
      <c r="H86" s="55">
        <v>40</v>
      </c>
      <c r="I86" s="207">
        <v>0</v>
      </c>
    </row>
    <row r="87" spans="1:15" x14ac:dyDescent="0.2">
      <c r="A87" t="str">
        <v>IA Non-econ</v>
      </c>
      <c r="B87" s="234">
        <v>0</v>
      </c>
      <c r="C87" s="55">
        <v>2000</v>
      </c>
      <c r="D87" s="55">
        <v>100</v>
      </c>
      <c r="F87" s="55">
        <v>15</v>
      </c>
      <c r="G87" s="55">
        <v>2010</v>
      </c>
      <c r="H87" s="55">
        <v>40</v>
      </c>
      <c r="I87" s="207">
        <v>0</v>
      </c>
    </row>
    <row r="88" spans="1:15" x14ac:dyDescent="0.2">
      <c r="A88" t="str">
        <v>AF Non-econ</v>
      </c>
      <c r="B88" s="234">
        <v>0</v>
      </c>
      <c r="C88" s="55">
        <v>2000</v>
      </c>
      <c r="D88" s="55">
        <v>100</v>
      </c>
      <c r="F88" s="55">
        <v>15</v>
      </c>
      <c r="G88" s="55">
        <v>2010</v>
      </c>
      <c r="H88" s="55">
        <v>40</v>
      </c>
      <c r="I88" s="207">
        <v>0</v>
      </c>
    </row>
    <row r="89" spans="1:15" ht="13.5" thickBot="1" x14ac:dyDescent="0.25">
      <c r="A89" t="str">
        <v>LA Non-econ</v>
      </c>
      <c r="B89" s="235">
        <v>0</v>
      </c>
      <c r="C89" s="56">
        <v>2000</v>
      </c>
      <c r="D89" s="56">
        <v>100</v>
      </c>
      <c r="F89" s="56">
        <v>15</v>
      </c>
      <c r="G89" s="56">
        <v>2010</v>
      </c>
      <c r="H89" s="56">
        <v>40</v>
      </c>
      <c r="I89" s="237">
        <v>0</v>
      </c>
    </row>
    <row r="90" spans="1:15" ht="13.5" thickTop="1" x14ac:dyDescent="0.2">
      <c r="B90" t="s">
        <v>41</v>
      </c>
      <c r="F90" t="s">
        <v>38</v>
      </c>
      <c r="I90" t="s">
        <v>41</v>
      </c>
    </row>
  </sheetData>
  <phoneticPr fontId="0" type="noConversion"/>
  <pageMargins left="0.75" right="0.75" top="1" bottom="1" header="0.5" footer="0.5"/>
  <pageSetup paperSize="9" orientation="portrait" horizontalDpi="360"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90"/>
  <sheetViews>
    <sheetView workbookViewId="0">
      <selection activeCell="B5" sqref="B5"/>
    </sheetView>
  </sheetViews>
  <sheetFormatPr defaultRowHeight="12.75" x14ac:dyDescent="0.2"/>
  <cols>
    <col min="1" max="1" width="33.28515625" customWidth="1"/>
    <col min="2" max="11" width="7" customWidth="1"/>
    <col min="12" max="12" width="11.85546875" bestFit="1" customWidth="1"/>
  </cols>
  <sheetData>
    <row r="1" spans="1:15" x14ac:dyDescent="0.2">
      <c r="A1" s="2" t="str">
        <f>MODEL_NAME</f>
        <v>PAGE-ICE Nonlinear Arctic Feedbacks</v>
      </c>
      <c r="B1" t="s">
        <v>37</v>
      </c>
      <c r="C1" s="51" t="str">
        <f>VERSION</f>
        <v>6.22</v>
      </c>
    </row>
    <row r="2" spans="1:15" x14ac:dyDescent="0.2">
      <c r="O2" s="124" t="s">
        <v>781</v>
      </c>
    </row>
    <row r="3" spans="1:15" x14ac:dyDescent="0.2">
      <c r="A3" s="2" t="s">
        <v>45</v>
      </c>
      <c r="B3" s="47" t="str">
        <f>'Policy A'!B3</f>
        <v xml:space="preserve">Chosen RCP scenario (emissions): </v>
      </c>
      <c r="C3" s="47"/>
      <c r="D3" s="47"/>
      <c r="E3" s="47"/>
      <c r="F3" s="47"/>
      <c r="G3" s="47" t="str">
        <f>SCENARIO_PAIR_B</f>
        <v>SSP5-85</v>
      </c>
      <c r="H3" s="46"/>
      <c r="I3" s="46"/>
      <c r="J3" s="46"/>
      <c r="K3" s="46"/>
    </row>
    <row r="4" spans="1:15" s="2" customFormat="1" x14ac:dyDescent="0.2">
      <c r="A4" s="47"/>
      <c r="B4" s="2">
        <f t="array" ref="B4:K4">Y</f>
        <v>2020</v>
      </c>
      <c r="C4" s="2">
        <v>2025</v>
      </c>
      <c r="D4" s="2">
        <v>2030</v>
      </c>
      <c r="E4" s="2">
        <v>2040</v>
      </c>
      <c r="F4" s="2">
        <v>2050</v>
      </c>
      <c r="G4" s="2">
        <v>2060</v>
      </c>
      <c r="H4" s="2">
        <v>2070</v>
      </c>
      <c r="I4" s="2">
        <v>2080</v>
      </c>
      <c r="J4" s="2">
        <v>2090</v>
      </c>
      <c r="K4" s="2">
        <v>2100</v>
      </c>
    </row>
    <row r="5" spans="1:15" x14ac:dyDescent="0.2">
      <c r="A5" t="str">
        <f t="array" ref="A5:A12">R_CODE&amp;" "&amp;'Base data'!$B$12&amp;" emissions"</f>
        <v>EU CO2 emissions</v>
      </c>
      <c r="B5" s="228">
        <f t="array" ref="B5:K12" xml:space="preserve"> IF(SCENARIO_SWITCH_B = 0, 0, 0) + IF(SCENARIO_SWITCH_B = 1, RCP26extra_CO2_B, 0) + IF(SCENARIO_SWITCH_B = 2, RCPW_CO2_B, 0) + IF(SCENARIO_SWITCH_B = 3, ( IF(SCENARIO_PAIR_B = PAIR_RCP26, RCP26_CO2, 0) + IF(SCENARIO_PAIR_B = PAIR_RCP45, RCP45_CO2, 0) +  IF(SCENARIO_PAIR_B = PAIR_RCP85, RCP85_CO2, 0) ), 0)</f>
        <v>107.14808474924513</v>
      </c>
      <c r="C5" s="228">
        <v>115.01972067855388</v>
      </c>
      <c r="D5" s="228">
        <v>122.89135660786265</v>
      </c>
      <c r="E5" s="228">
        <v>146.3107268040921</v>
      </c>
      <c r="F5" s="228">
        <v>175.47926828992945</v>
      </c>
      <c r="G5" s="228">
        <v>215.32652173225873</v>
      </c>
      <c r="H5" s="228">
        <v>257.02896720606623</v>
      </c>
      <c r="I5" s="228">
        <v>287.09240624855863</v>
      </c>
      <c r="J5" s="228">
        <v>297.83354766749909</v>
      </c>
      <c r="K5" s="228">
        <v>310.6155406301134</v>
      </c>
      <c r="L5" s="3" t="s">
        <v>477</v>
      </c>
      <c r="O5" s="124" t="s">
        <v>781</v>
      </c>
    </row>
    <row r="6" spans="1:15" x14ac:dyDescent="0.2">
      <c r="A6" t="str">
        <v>US CO2 emissions</v>
      </c>
      <c r="B6" s="228">
        <v>106.62881982252256</v>
      </c>
      <c r="C6" s="228">
        <v>122.44446615330868</v>
      </c>
      <c r="D6" s="228">
        <v>138.2601124840948</v>
      </c>
      <c r="E6" s="228">
        <v>172.04080704492984</v>
      </c>
      <c r="F6" s="228">
        <v>209.54177323668222</v>
      </c>
      <c r="G6" s="228">
        <v>255.97769325823518</v>
      </c>
      <c r="H6" s="228">
        <v>283.80638149512851</v>
      </c>
      <c r="I6" s="228">
        <v>311.2986004648734</v>
      </c>
      <c r="J6" s="228">
        <v>303.74252208372735</v>
      </c>
      <c r="K6" s="228">
        <v>285.24746031781643</v>
      </c>
      <c r="L6" s="3" t="s">
        <v>477</v>
      </c>
    </row>
    <row r="7" spans="1:15" x14ac:dyDescent="0.2">
      <c r="A7" t="str">
        <v>OT CO2 emissions</v>
      </c>
      <c r="B7" s="228">
        <v>107.14808474924513</v>
      </c>
      <c r="C7" s="228">
        <v>115.01972067855388</v>
      </c>
      <c r="D7" s="228">
        <v>122.89135660786265</v>
      </c>
      <c r="E7" s="228">
        <v>146.3107268040921</v>
      </c>
      <c r="F7" s="228">
        <v>175.47926828992945</v>
      </c>
      <c r="G7" s="228">
        <v>215.32652173225873</v>
      </c>
      <c r="H7" s="228">
        <v>257.02896720606623</v>
      </c>
      <c r="I7" s="228">
        <v>287.09240624855863</v>
      </c>
      <c r="J7" s="228">
        <v>297.83354766749909</v>
      </c>
      <c r="K7" s="228">
        <v>310.6155406301134</v>
      </c>
      <c r="L7" s="3" t="s">
        <v>477</v>
      </c>
    </row>
    <row r="8" spans="1:15" x14ac:dyDescent="0.2">
      <c r="A8" t="str">
        <v>EE CO2 emissions</v>
      </c>
      <c r="B8" s="228">
        <v>105.61573024151168</v>
      </c>
      <c r="C8" s="228">
        <v>113.87425023932457</v>
      </c>
      <c r="D8" s="228">
        <v>122.13277023713744</v>
      </c>
      <c r="E8" s="228">
        <v>150.38534943121905</v>
      </c>
      <c r="F8" s="228">
        <v>184.80252143506209</v>
      </c>
      <c r="G8" s="228">
        <v>222.57392590355326</v>
      </c>
      <c r="H8" s="228">
        <v>241.91204486022838</v>
      </c>
      <c r="I8" s="228">
        <v>233.71186971717606</v>
      </c>
      <c r="J8" s="228">
        <v>208.11807141288719</v>
      </c>
      <c r="K8" s="228">
        <v>181.41973492472235</v>
      </c>
      <c r="L8" s="3" t="s">
        <v>477</v>
      </c>
    </row>
    <row r="9" spans="1:15" x14ac:dyDescent="0.2">
      <c r="A9" t="str">
        <v>CA CO2 emissions</v>
      </c>
      <c r="B9" s="228">
        <v>108.63173056885</v>
      </c>
      <c r="C9" s="228">
        <v>121.18295083959941</v>
      </c>
      <c r="D9" s="228">
        <v>133.73417111034883</v>
      </c>
      <c r="E9" s="228">
        <v>158.19260350872742</v>
      </c>
      <c r="F9" s="228">
        <v>170.05785754463326</v>
      </c>
      <c r="G9" s="228">
        <v>180.68270806352206</v>
      </c>
      <c r="H9" s="228">
        <v>184.49376836267561</v>
      </c>
      <c r="I9" s="228">
        <v>173.78000092513602</v>
      </c>
      <c r="J9" s="228">
        <v>146.80674687653598</v>
      </c>
      <c r="K9" s="228">
        <v>117.09609037713334</v>
      </c>
      <c r="L9" s="3" t="s">
        <v>477</v>
      </c>
    </row>
    <row r="10" spans="1:15" x14ac:dyDescent="0.2">
      <c r="A10" t="str">
        <v>IA CO2 emissions</v>
      </c>
      <c r="B10" s="228">
        <v>121.49841851683979</v>
      </c>
      <c r="C10" s="228">
        <v>147.70741008137139</v>
      </c>
      <c r="D10" s="228">
        <v>173.91640164590297</v>
      </c>
      <c r="E10" s="228">
        <v>247.59316842070393</v>
      </c>
      <c r="F10" s="228">
        <v>340.36727279386025</v>
      </c>
      <c r="G10" s="228">
        <v>441.84271335723167</v>
      </c>
      <c r="H10" s="228">
        <v>543.06368460783688</v>
      </c>
      <c r="I10" s="228">
        <v>631.470949081242</v>
      </c>
      <c r="J10" s="228">
        <v>656.7421714371776</v>
      </c>
      <c r="K10" s="228">
        <v>640.92552925111181</v>
      </c>
      <c r="L10" s="3" t="s">
        <v>477</v>
      </c>
    </row>
    <row r="11" spans="1:15" x14ac:dyDescent="0.2">
      <c r="A11" t="str">
        <v>AF CO2 emissions</v>
      </c>
      <c r="B11" s="228">
        <v>121.34090554348217</v>
      </c>
      <c r="C11" s="228">
        <v>142.0690654003626</v>
      </c>
      <c r="D11" s="228">
        <v>162.79722525724301</v>
      </c>
      <c r="E11" s="228">
        <v>244.44493138184831</v>
      </c>
      <c r="F11" s="228">
        <v>369.47173628537467</v>
      </c>
      <c r="G11" s="228">
        <v>543.70150803846946</v>
      </c>
      <c r="H11" s="228">
        <v>726.73259332188695</v>
      </c>
      <c r="I11" s="228">
        <v>894.63646787613914</v>
      </c>
      <c r="J11" s="228">
        <v>973.81560147441985</v>
      </c>
      <c r="K11" s="228">
        <v>1007.7329895421856</v>
      </c>
      <c r="L11" s="3" t="s">
        <v>477</v>
      </c>
    </row>
    <row r="12" spans="1:15" x14ac:dyDescent="0.2">
      <c r="A12" t="str">
        <v>LA CO2 emissions</v>
      </c>
      <c r="B12" s="228">
        <v>117.86185660079576</v>
      </c>
      <c r="C12" s="228">
        <v>142.05721558128539</v>
      </c>
      <c r="D12" s="228">
        <v>166.25257456177502</v>
      </c>
      <c r="E12" s="228">
        <v>221.656071784304</v>
      </c>
      <c r="F12" s="228">
        <v>268.34782021329863</v>
      </c>
      <c r="G12" s="228">
        <v>306.91869584842874</v>
      </c>
      <c r="H12" s="228">
        <v>337.68525854979663</v>
      </c>
      <c r="I12" s="228">
        <v>350.55619111745364</v>
      </c>
      <c r="J12" s="228">
        <v>340.31203527886754</v>
      </c>
      <c r="K12" s="228">
        <v>327.12802742196436</v>
      </c>
      <c r="L12" s="3" t="s">
        <v>477</v>
      </c>
    </row>
    <row r="13" spans="1:15" x14ac:dyDescent="0.2">
      <c r="L13" s="3"/>
    </row>
    <row r="14" spans="1:15" x14ac:dyDescent="0.2">
      <c r="A14" t="str">
        <f t="array" ref="A14:A21">R_CODE&amp;" "&amp;'Base data'!$C$12&amp;" emissions"</f>
        <v>EU CH4 emissions</v>
      </c>
      <c r="B14" s="228">
        <f t="array" ref="B14:K21" xml:space="preserve"> IF(SCENARIO_SWITCH_B = 0, 0, 0) + IF(SCENARIO_SWITCH_B = 1, RCP26extra_CH4_B, 0) + IF(SCENARIO_SWITCH_B = 2, RCPW_CH4_B, 0) + IF(SCENARIO_SWITCH_B = 3, ( IF(SCENARIO_PAIR_B = PAIR_RCP26, RCP26_CH4, 0) + IF(SCENARIO_PAIR_B = PAIR_RCP45, RCP45_CH4, 0) +  IF(SCENARIO_PAIR_B = PAIR_RCP85, RCP85_CH4, 0) ), 0)</f>
        <v>99.875801476282646</v>
      </c>
      <c r="C14" s="228">
        <v>106.44454520492664</v>
      </c>
      <c r="D14" s="228">
        <v>113.01328893357065</v>
      </c>
      <c r="E14" s="228">
        <v>133.53088191023232</v>
      </c>
      <c r="F14" s="228">
        <v>152.05655607164789</v>
      </c>
      <c r="G14" s="228">
        <v>157.87581638119408</v>
      </c>
      <c r="H14" s="228">
        <v>166.50649891235639</v>
      </c>
      <c r="I14" s="228">
        <v>169.8588959198909</v>
      </c>
      <c r="J14" s="228">
        <v>195.78411368645473</v>
      </c>
      <c r="K14" s="228">
        <v>179.6355134237252</v>
      </c>
      <c r="L14" s="3" t="s">
        <v>477</v>
      </c>
    </row>
    <row r="15" spans="1:15" x14ac:dyDescent="0.2">
      <c r="A15" t="str">
        <v>US CH4 emissions</v>
      </c>
      <c r="B15" s="228">
        <v>95.688690750316368</v>
      </c>
      <c r="C15" s="228">
        <v>103.70907513080405</v>
      </c>
      <c r="D15" s="228">
        <v>111.72945951129175</v>
      </c>
      <c r="E15" s="228">
        <v>132.5640380293141</v>
      </c>
      <c r="F15" s="228">
        <v>153.54918352538499</v>
      </c>
      <c r="G15" s="228">
        <v>161.86672426847423</v>
      </c>
      <c r="H15" s="228">
        <v>155.24614341908566</v>
      </c>
      <c r="I15" s="228">
        <v>161.9802603953321</v>
      </c>
      <c r="J15" s="228">
        <v>165.05347895083301</v>
      </c>
      <c r="K15" s="228">
        <v>159.94930859317353</v>
      </c>
      <c r="L15" s="3" t="s">
        <v>477</v>
      </c>
    </row>
    <row r="16" spans="1:15" x14ac:dyDescent="0.2">
      <c r="A16" t="str">
        <v>OT CH4 emissions</v>
      </c>
      <c r="B16" s="228">
        <v>100.39252828290462</v>
      </c>
      <c r="C16" s="228">
        <v>104.29633808872731</v>
      </c>
      <c r="D16" s="228">
        <v>108.20014789455</v>
      </c>
      <c r="E16" s="228">
        <v>132.52630849713995</v>
      </c>
      <c r="F16" s="228">
        <v>155.22954265393369</v>
      </c>
      <c r="G16" s="228">
        <v>164.79201396296995</v>
      </c>
      <c r="H16" s="228">
        <v>151.88094894636589</v>
      </c>
      <c r="I16" s="228">
        <v>137.88814106709734</v>
      </c>
      <c r="J16" s="228">
        <v>136.8533198820825</v>
      </c>
      <c r="K16" s="228">
        <v>190.57316931655109</v>
      </c>
      <c r="L16" s="3" t="s">
        <v>477</v>
      </c>
    </row>
    <row r="17" spans="1:12" x14ac:dyDescent="0.2">
      <c r="A17" t="str">
        <v>EE CH4 emissions</v>
      </c>
      <c r="B17" s="228">
        <v>102.89655168069585</v>
      </c>
      <c r="C17" s="228">
        <v>107.64619471186782</v>
      </c>
      <c r="D17" s="228">
        <v>112.39583774303978</v>
      </c>
      <c r="E17" s="228">
        <v>130.15654313041583</v>
      </c>
      <c r="F17" s="228">
        <v>153.26384766151639</v>
      </c>
      <c r="G17" s="228">
        <v>175.7263923154249</v>
      </c>
      <c r="H17" s="228">
        <v>198.10933198293276</v>
      </c>
      <c r="I17" s="228">
        <v>219.18514240484154</v>
      </c>
      <c r="J17" s="228">
        <v>225.88139620865158</v>
      </c>
      <c r="K17" s="228">
        <v>223.18081804616634</v>
      </c>
      <c r="L17" s="3" t="s">
        <v>477</v>
      </c>
    </row>
    <row r="18" spans="1:12" x14ac:dyDescent="0.2">
      <c r="A18" t="str">
        <v>CA CH4 emissions</v>
      </c>
      <c r="B18" s="228">
        <v>84.753028617293509</v>
      </c>
      <c r="C18" s="228">
        <v>76.169992778264856</v>
      </c>
      <c r="D18" s="228">
        <v>67.586956939236188</v>
      </c>
      <c r="E18" s="228">
        <v>65.194391665077404</v>
      </c>
      <c r="F18" s="228">
        <v>60.793026826883455</v>
      </c>
      <c r="G18" s="228">
        <v>59.361343677636121</v>
      </c>
      <c r="H18" s="228">
        <v>57.755799569073382</v>
      </c>
      <c r="I18" s="228">
        <v>47.771030602094598</v>
      </c>
      <c r="J18" s="228">
        <v>40.924025892345909</v>
      </c>
      <c r="K18" s="228">
        <v>35.322223722264155</v>
      </c>
      <c r="L18" s="3" t="s">
        <v>477</v>
      </c>
    </row>
    <row r="19" spans="1:12" x14ac:dyDescent="0.2">
      <c r="A19" t="str">
        <v>IA CH4 emissions</v>
      </c>
      <c r="B19" s="228">
        <v>99.638985490290764</v>
      </c>
      <c r="C19" s="228">
        <v>101.60711946714721</v>
      </c>
      <c r="D19" s="228">
        <v>103.57525344400366</v>
      </c>
      <c r="E19" s="228">
        <v>109.4344455434327</v>
      </c>
      <c r="F19" s="228">
        <v>115.16657988669748</v>
      </c>
      <c r="G19" s="228">
        <v>90.785660904088246</v>
      </c>
      <c r="H19" s="228">
        <v>75.901733636955555</v>
      </c>
      <c r="I19" s="228">
        <v>59.099904050940538</v>
      </c>
      <c r="J19" s="228">
        <v>51.55974880999149</v>
      </c>
      <c r="K19" s="228">
        <v>45.42658425394653</v>
      </c>
      <c r="L19" s="3" t="s">
        <v>477</v>
      </c>
    </row>
    <row r="20" spans="1:12" x14ac:dyDescent="0.2">
      <c r="A20" t="str">
        <v>AF CH4 emissions</v>
      </c>
      <c r="B20" s="228">
        <v>122.01528518915242</v>
      </c>
      <c r="C20" s="228">
        <v>155.78227878288931</v>
      </c>
      <c r="D20" s="228">
        <v>189.54927237662622</v>
      </c>
      <c r="E20" s="228">
        <v>275.94000656195806</v>
      </c>
      <c r="F20" s="228">
        <v>330.31230627491306</v>
      </c>
      <c r="G20" s="228">
        <v>360.74546880690832</v>
      </c>
      <c r="H20" s="228">
        <v>378.69157274694476</v>
      </c>
      <c r="I20" s="228">
        <v>368.16316959280738</v>
      </c>
      <c r="J20" s="228">
        <v>309.07042357760645</v>
      </c>
      <c r="K20" s="228">
        <v>273.43018321830192</v>
      </c>
      <c r="L20" s="3" t="s">
        <v>477</v>
      </c>
    </row>
    <row r="21" spans="1:12" x14ac:dyDescent="0.2">
      <c r="A21" t="str">
        <v>LA CH4 emissions</v>
      </c>
      <c r="B21" s="228">
        <v>109.86411672565421</v>
      </c>
      <c r="C21" s="228">
        <v>116.13216806842394</v>
      </c>
      <c r="D21" s="228">
        <v>122.40021941119367</v>
      </c>
      <c r="E21" s="228">
        <v>128.71460163163425</v>
      </c>
      <c r="F21" s="228">
        <v>107.49732267659728</v>
      </c>
      <c r="G21" s="228">
        <v>101.08304842354472</v>
      </c>
      <c r="H21" s="228">
        <v>97.581653618065332</v>
      </c>
      <c r="I21" s="228">
        <v>90.456618055211351</v>
      </c>
      <c r="J21" s="228">
        <v>72.991532190725863</v>
      </c>
      <c r="K21" s="228">
        <v>64.980089463862143</v>
      </c>
      <c r="L21" s="3" t="s">
        <v>477</v>
      </c>
    </row>
    <row r="22" spans="1:12" x14ac:dyDescent="0.2">
      <c r="L22" s="3"/>
    </row>
    <row r="23" spans="1:12" x14ac:dyDescent="0.2">
      <c r="A23" t="str">
        <f t="array" ref="A23:A30">R_CODE&amp;" "&amp;'Base data'!$D$12&amp;" emissions"</f>
        <v>EU N2O emissions</v>
      </c>
      <c r="B23" s="228">
        <f t="array" ref="B23:K30" xml:space="preserve"> IF(SCENARIO_SWITCH_B = 0, 0, 0) + IF(SCENARIO_SWITCH_B = 1, RCP26extra_N2O_B, 0) + IF(SCENARIO_SWITCH_B = 2, RCPW_N2O_B, 0) + IF(SCENARIO_SWITCH_B = 3, ( IF(SCENARIO_PAIR_B = PAIR_RCP26, RCP26_N2O, 0) + IF(SCENARIO_PAIR_B = PAIR_RCP45, RCP45_N2O, 0) +  IF(SCENARIO_PAIR_B = PAIR_RCP85, RCP85_N2O, 0) ), 0)</f>
        <v>107.63919108759174</v>
      </c>
      <c r="C23" s="228">
        <v>111.83227945915688</v>
      </c>
      <c r="D23" s="228">
        <v>116.02536783072202</v>
      </c>
      <c r="E23" s="228">
        <v>122.75100576642203</v>
      </c>
      <c r="F23" s="228">
        <v>120.8373530910477</v>
      </c>
      <c r="G23" s="228">
        <v>123.27051395132386</v>
      </c>
      <c r="H23" s="228">
        <v>123.24897139129817</v>
      </c>
      <c r="I23" s="228">
        <v>123.74602201834861</v>
      </c>
      <c r="J23" s="228">
        <v>121.32090275229359</v>
      </c>
      <c r="K23" s="228">
        <v>116.74322844036696</v>
      </c>
      <c r="L23" s="3" t="s">
        <v>477</v>
      </c>
    </row>
    <row r="24" spans="1:12" x14ac:dyDescent="0.2">
      <c r="A24" t="str">
        <v>US N2O emissions</v>
      </c>
      <c r="B24" s="228">
        <v>107.63919108759174</v>
      </c>
      <c r="C24" s="228">
        <v>111.83227945915688</v>
      </c>
      <c r="D24" s="228">
        <v>116.02536783072202</v>
      </c>
      <c r="E24" s="228">
        <v>122.75100576642203</v>
      </c>
      <c r="F24" s="228">
        <v>120.8373530910477</v>
      </c>
      <c r="G24" s="228">
        <v>123.27051395132386</v>
      </c>
      <c r="H24" s="228">
        <v>123.24897139129817</v>
      </c>
      <c r="I24" s="228">
        <v>123.74602201834861</v>
      </c>
      <c r="J24" s="228">
        <v>121.32090275229359</v>
      </c>
      <c r="K24" s="228">
        <v>116.74322844036696</v>
      </c>
      <c r="L24" s="3" t="s">
        <v>477</v>
      </c>
    </row>
    <row r="25" spans="1:12" x14ac:dyDescent="0.2">
      <c r="A25" t="str">
        <v>OT N2O emissions</v>
      </c>
      <c r="B25" s="228">
        <v>107.63919108759174</v>
      </c>
      <c r="C25" s="228">
        <v>111.83227945915688</v>
      </c>
      <c r="D25" s="228">
        <v>116.02536783072202</v>
      </c>
      <c r="E25" s="228">
        <v>122.75100576642203</v>
      </c>
      <c r="F25" s="228">
        <v>120.8373530910477</v>
      </c>
      <c r="G25" s="228">
        <v>123.27051395132386</v>
      </c>
      <c r="H25" s="228">
        <v>123.24897139129817</v>
      </c>
      <c r="I25" s="228">
        <v>123.74602201834861</v>
      </c>
      <c r="J25" s="228">
        <v>121.32090275229359</v>
      </c>
      <c r="K25" s="228">
        <v>116.74322844036696</v>
      </c>
      <c r="L25" s="3" t="s">
        <v>477</v>
      </c>
    </row>
    <row r="26" spans="1:12" x14ac:dyDescent="0.2">
      <c r="A26" t="str">
        <v>EE N2O emissions</v>
      </c>
      <c r="B26" s="228">
        <v>107.63919108759174</v>
      </c>
      <c r="C26" s="228">
        <v>111.83227945915688</v>
      </c>
      <c r="D26" s="228">
        <v>116.02536783072202</v>
      </c>
      <c r="E26" s="228">
        <v>122.75100576642203</v>
      </c>
      <c r="F26" s="228">
        <v>120.8373530910477</v>
      </c>
      <c r="G26" s="228">
        <v>123.27051395132386</v>
      </c>
      <c r="H26" s="228">
        <v>123.24897139129817</v>
      </c>
      <c r="I26" s="228">
        <v>123.74602201834861</v>
      </c>
      <c r="J26" s="228">
        <v>121.32090275229359</v>
      </c>
      <c r="K26" s="228">
        <v>116.74322844036696</v>
      </c>
      <c r="L26" s="3" t="s">
        <v>477</v>
      </c>
    </row>
    <row r="27" spans="1:12" x14ac:dyDescent="0.2">
      <c r="A27" t="str">
        <v>CA N2O emissions</v>
      </c>
      <c r="B27" s="228">
        <v>107.63919108759174</v>
      </c>
      <c r="C27" s="228">
        <v>111.83227945915688</v>
      </c>
      <c r="D27" s="228">
        <v>116.02536783072202</v>
      </c>
      <c r="E27" s="228">
        <v>122.75100576642203</v>
      </c>
      <c r="F27" s="228">
        <v>120.8373530910477</v>
      </c>
      <c r="G27" s="228">
        <v>123.27051395132386</v>
      </c>
      <c r="H27" s="228">
        <v>123.24897139129817</v>
      </c>
      <c r="I27" s="228">
        <v>123.74602201834861</v>
      </c>
      <c r="J27" s="228">
        <v>121.32090275229359</v>
      </c>
      <c r="K27" s="228">
        <v>116.74322844036696</v>
      </c>
      <c r="L27" s="3" t="s">
        <v>477</v>
      </c>
    </row>
    <row r="28" spans="1:12" x14ac:dyDescent="0.2">
      <c r="A28" t="str">
        <v>IA N2O emissions</v>
      </c>
      <c r="B28" s="228">
        <v>107.63919108759174</v>
      </c>
      <c r="C28" s="228">
        <v>111.83227945915688</v>
      </c>
      <c r="D28" s="228">
        <v>116.02536783072202</v>
      </c>
      <c r="E28" s="228">
        <v>122.75100576642203</v>
      </c>
      <c r="F28" s="228">
        <v>120.8373530910477</v>
      </c>
      <c r="G28" s="228">
        <v>123.27051395132386</v>
      </c>
      <c r="H28" s="228">
        <v>123.24897139129817</v>
      </c>
      <c r="I28" s="228">
        <v>123.74602201834861</v>
      </c>
      <c r="J28" s="228">
        <v>121.32090275229359</v>
      </c>
      <c r="K28" s="228">
        <v>116.74322844036696</v>
      </c>
      <c r="L28" s="3" t="s">
        <v>477</v>
      </c>
    </row>
    <row r="29" spans="1:12" x14ac:dyDescent="0.2">
      <c r="A29" t="str">
        <v>AF N2O emissions</v>
      </c>
      <c r="B29" s="228">
        <v>107.63919108759174</v>
      </c>
      <c r="C29" s="228">
        <v>111.83227945915688</v>
      </c>
      <c r="D29" s="228">
        <v>116.02536783072202</v>
      </c>
      <c r="E29" s="228">
        <v>122.75100576642203</v>
      </c>
      <c r="F29" s="228">
        <v>120.8373530910477</v>
      </c>
      <c r="G29" s="228">
        <v>123.27051395132386</v>
      </c>
      <c r="H29" s="228">
        <v>123.24897139129817</v>
      </c>
      <c r="I29" s="228">
        <v>123.74602201834861</v>
      </c>
      <c r="J29" s="228">
        <v>121.32090275229359</v>
      </c>
      <c r="K29" s="228">
        <v>116.74322844036696</v>
      </c>
      <c r="L29" s="3" t="s">
        <v>477</v>
      </c>
    </row>
    <row r="30" spans="1:12" x14ac:dyDescent="0.2">
      <c r="A30" t="str">
        <v>LA N2O emissions</v>
      </c>
      <c r="B30" s="228">
        <v>107.63919108759174</v>
      </c>
      <c r="C30" s="228">
        <v>111.83227945915688</v>
      </c>
      <c r="D30" s="228">
        <v>116.02536783072202</v>
      </c>
      <c r="E30" s="228">
        <v>122.75100576642203</v>
      </c>
      <c r="F30" s="228">
        <v>120.8373530910477</v>
      </c>
      <c r="G30" s="228">
        <v>123.27051395132386</v>
      </c>
      <c r="H30" s="228">
        <v>123.24897139129817</v>
      </c>
      <c r="I30" s="228">
        <v>123.74602201834861</v>
      </c>
      <c r="J30" s="228">
        <v>121.32090275229359</v>
      </c>
      <c r="K30" s="228">
        <v>116.74322844036696</v>
      </c>
      <c r="L30" s="3" t="s">
        <v>477</v>
      </c>
    </row>
    <row r="31" spans="1:12" x14ac:dyDescent="0.2">
      <c r="L31" s="3"/>
    </row>
    <row r="32" spans="1:12" x14ac:dyDescent="0.2">
      <c r="A32" t="str">
        <f t="array" ref="A32:A39">R_CODE&amp;" "&amp;GLIN_NAME&amp;" emissions"</f>
        <v>EU Lin emissions</v>
      </c>
      <c r="B32" s="228">
        <f t="array" ref="B32:K39" xml:space="preserve"> IF(SCENARIO_SWITCH_B = 0, 0, 0) + IF(SCENARIO_SWITCH_B = 1, RCP26extra_Lin_B, 0) + IF(SCENARIO_SWITCH_B = 2, RCPW_Lin_B, 0) + IF(SCENARIO_SWITCH_B = 3, ( IF(SCENARIO_PAIR_B = PAIR_RCP26, RCP26_Lin, 0) + IF(SCENARIO_PAIR_B = PAIR_RCP45, RCP45_Lin, 0) +  IF(SCENARIO_PAIR_B = PAIR_RCP85, RCP85_Lin, 0) ), 0)</f>
        <v>123.12461561981884</v>
      </c>
      <c r="C32" s="228">
        <v>127.87774576472447</v>
      </c>
      <c r="D32" s="228">
        <v>132.63087590963011</v>
      </c>
      <c r="E32" s="228">
        <v>137.19476273699667</v>
      </c>
      <c r="F32" s="228">
        <v>150.7712200616993</v>
      </c>
      <c r="G32" s="228">
        <v>169.03284158816098</v>
      </c>
      <c r="H32" s="228">
        <v>191.32886988371919</v>
      </c>
      <c r="I32" s="228">
        <v>200.99460176845437</v>
      </c>
      <c r="J32" s="228">
        <v>192.97575950612435</v>
      </c>
      <c r="K32" s="228">
        <v>184.06857667542283</v>
      </c>
      <c r="L32" s="3" t="s">
        <v>477</v>
      </c>
    </row>
    <row r="33" spans="1:12" x14ac:dyDescent="0.2">
      <c r="A33" t="str">
        <v>US Lin emissions</v>
      </c>
      <c r="B33" s="228">
        <v>123.12461561981884</v>
      </c>
      <c r="C33" s="228">
        <v>127.87774576472447</v>
      </c>
      <c r="D33" s="228">
        <v>132.63087590963011</v>
      </c>
      <c r="E33" s="228">
        <v>137.19476273699667</v>
      </c>
      <c r="F33" s="228">
        <v>150.7712200616993</v>
      </c>
      <c r="G33" s="228">
        <v>169.03284158816098</v>
      </c>
      <c r="H33" s="228">
        <v>191.32886988371919</v>
      </c>
      <c r="I33" s="228">
        <v>200.99460176845437</v>
      </c>
      <c r="J33" s="228">
        <v>192.97575950612435</v>
      </c>
      <c r="K33" s="228">
        <v>184.06857667542283</v>
      </c>
      <c r="L33" s="3" t="s">
        <v>477</v>
      </c>
    </row>
    <row r="34" spans="1:12" x14ac:dyDescent="0.2">
      <c r="A34" t="str">
        <v>OT Lin emissions</v>
      </c>
      <c r="B34" s="228">
        <v>123.12461561981884</v>
      </c>
      <c r="C34" s="228">
        <v>127.87774576472447</v>
      </c>
      <c r="D34" s="228">
        <v>132.63087590963011</v>
      </c>
      <c r="E34" s="228">
        <v>137.19476273699667</v>
      </c>
      <c r="F34" s="228">
        <v>150.7712200616993</v>
      </c>
      <c r="G34" s="228">
        <v>169.03284158816098</v>
      </c>
      <c r="H34" s="228">
        <v>191.32886988371919</v>
      </c>
      <c r="I34" s="228">
        <v>200.99460176845437</v>
      </c>
      <c r="J34" s="228">
        <v>192.97575950612435</v>
      </c>
      <c r="K34" s="228">
        <v>184.06857667542283</v>
      </c>
      <c r="L34" s="3" t="s">
        <v>477</v>
      </c>
    </row>
    <row r="35" spans="1:12" x14ac:dyDescent="0.2">
      <c r="A35" t="str">
        <v>EE Lin emissions</v>
      </c>
      <c r="B35" s="228">
        <v>123.12461561981884</v>
      </c>
      <c r="C35" s="228">
        <v>127.87774576472447</v>
      </c>
      <c r="D35" s="228">
        <v>132.63087590963011</v>
      </c>
      <c r="E35" s="228">
        <v>137.19476273699667</v>
      </c>
      <c r="F35" s="228">
        <v>150.7712200616993</v>
      </c>
      <c r="G35" s="228">
        <v>169.03284158816098</v>
      </c>
      <c r="H35" s="228">
        <v>191.32886988371919</v>
      </c>
      <c r="I35" s="228">
        <v>200.99460176845437</v>
      </c>
      <c r="J35" s="228">
        <v>192.97575950612435</v>
      </c>
      <c r="K35" s="228">
        <v>184.06857667542283</v>
      </c>
      <c r="L35" s="3" t="s">
        <v>477</v>
      </c>
    </row>
    <row r="36" spans="1:12" x14ac:dyDescent="0.2">
      <c r="A36" t="str">
        <v>CA Lin emissions</v>
      </c>
      <c r="B36" s="228">
        <v>123.12461561981884</v>
      </c>
      <c r="C36" s="228">
        <v>127.87774576472447</v>
      </c>
      <c r="D36" s="228">
        <v>132.63087590963011</v>
      </c>
      <c r="E36" s="228">
        <v>137.19476273699667</v>
      </c>
      <c r="F36" s="228">
        <v>150.7712200616993</v>
      </c>
      <c r="G36" s="228">
        <v>169.03284158816098</v>
      </c>
      <c r="H36" s="228">
        <v>191.32886988371919</v>
      </c>
      <c r="I36" s="228">
        <v>200.99460176845437</v>
      </c>
      <c r="J36" s="228">
        <v>192.97575950612435</v>
      </c>
      <c r="K36" s="228">
        <v>184.06857667542283</v>
      </c>
      <c r="L36" s="3" t="s">
        <v>477</v>
      </c>
    </row>
    <row r="37" spans="1:12" x14ac:dyDescent="0.2">
      <c r="A37" t="str">
        <v>IA Lin emissions</v>
      </c>
      <c r="B37" s="228">
        <v>123.12461561981884</v>
      </c>
      <c r="C37" s="228">
        <v>127.87774576472447</v>
      </c>
      <c r="D37" s="228">
        <v>132.63087590963011</v>
      </c>
      <c r="E37" s="228">
        <v>137.19476273699667</v>
      </c>
      <c r="F37" s="228">
        <v>150.7712200616993</v>
      </c>
      <c r="G37" s="228">
        <v>169.03284158816098</v>
      </c>
      <c r="H37" s="228">
        <v>191.32886988371919</v>
      </c>
      <c r="I37" s="228">
        <v>200.99460176845437</v>
      </c>
      <c r="J37" s="228">
        <v>192.97575950612435</v>
      </c>
      <c r="K37" s="228">
        <v>184.06857667542283</v>
      </c>
      <c r="L37" s="3" t="s">
        <v>477</v>
      </c>
    </row>
    <row r="38" spans="1:12" x14ac:dyDescent="0.2">
      <c r="A38" t="str">
        <v>AF Lin emissions</v>
      </c>
      <c r="B38" s="228">
        <v>123.12461561981884</v>
      </c>
      <c r="C38" s="228">
        <v>127.87774576472447</v>
      </c>
      <c r="D38" s="228">
        <v>132.63087590963011</v>
      </c>
      <c r="E38" s="228">
        <v>137.19476273699667</v>
      </c>
      <c r="F38" s="228">
        <v>150.7712200616993</v>
      </c>
      <c r="G38" s="228">
        <v>169.03284158816098</v>
      </c>
      <c r="H38" s="228">
        <v>191.32886988371919</v>
      </c>
      <c r="I38" s="228">
        <v>200.99460176845437</v>
      </c>
      <c r="J38" s="228">
        <v>192.97575950612435</v>
      </c>
      <c r="K38" s="228">
        <v>184.06857667542283</v>
      </c>
      <c r="L38" s="3" t="s">
        <v>477</v>
      </c>
    </row>
    <row r="39" spans="1:12" x14ac:dyDescent="0.2">
      <c r="A39" t="str">
        <v>LA Lin emissions</v>
      </c>
      <c r="B39" s="228">
        <v>123.12461561981884</v>
      </c>
      <c r="C39" s="228">
        <v>127.87774576472447</v>
      </c>
      <c r="D39" s="228">
        <v>132.63087590963011</v>
      </c>
      <c r="E39" s="228">
        <v>137.19476273699667</v>
      </c>
      <c r="F39" s="228">
        <v>150.7712200616993</v>
      </c>
      <c r="G39" s="228">
        <v>169.03284158816098</v>
      </c>
      <c r="H39" s="228">
        <v>191.32886988371919</v>
      </c>
      <c r="I39" s="228">
        <v>200.99460176845437</v>
      </c>
      <c r="J39" s="228">
        <v>192.97575950612435</v>
      </c>
      <c r="K39" s="228">
        <v>184.06857667542283</v>
      </c>
      <c r="L39" s="3" t="s">
        <v>477</v>
      </c>
    </row>
    <row r="40" spans="1:12" x14ac:dyDescent="0.2">
      <c r="L40" s="3"/>
    </row>
    <row r="41" spans="1:12" x14ac:dyDescent="0.2">
      <c r="A41" t="str">
        <f t="array" ref="A41:A48">R_CODE&amp;" sulphates"</f>
        <v>EU sulphates</v>
      </c>
      <c r="B41" s="228">
        <f t="array" ref="B41:K48" xml:space="preserve"> IF(SCENARIO_SWITCH_B = 0, 0, 0) + IF(SCENARIO_SWITCH_B = 1, RCP26extra_sulph_B, 0) + IF(SCENARIO_SWITCH_B = 2, RCPW_sulph_B, 0) + IF(SCENARIO_SWITCH_B = 3, ( IF(SCENARIO_PAIR_B = PAIR_RCP26, RCP26_sulph, 0) + IF(SCENARIO_PAIR_B = PAIR_RCP45, RCP45_sulph, 0) +  IF(SCENARIO_PAIR_B = PAIR_RCP85, RCP85_sulph, 0) ), 0)</f>
        <v>78.699283577680092</v>
      </c>
      <c r="C41" s="228">
        <v>64.618866024040585</v>
      </c>
      <c r="D41" s="228">
        <v>50.538448470401065</v>
      </c>
      <c r="E41" s="228">
        <v>53.332771046068459</v>
      </c>
      <c r="F41" s="228">
        <v>64.062380208411895</v>
      </c>
      <c r="G41" s="228">
        <v>82.493452146974406</v>
      </c>
      <c r="H41" s="228">
        <v>98.756006057105225</v>
      </c>
      <c r="I41" s="228">
        <v>107.50924161904346</v>
      </c>
      <c r="J41" s="228">
        <v>100.05178832595365</v>
      </c>
      <c r="K41" s="228">
        <v>80.436107122497987</v>
      </c>
      <c r="L41" s="3" t="s">
        <v>477</v>
      </c>
    </row>
    <row r="42" spans="1:12" x14ac:dyDescent="0.2">
      <c r="A42" t="str">
        <v>US sulphates</v>
      </c>
      <c r="B42" s="228">
        <v>84.384708242414376</v>
      </c>
      <c r="C42" s="228">
        <v>70.690088468364848</v>
      </c>
      <c r="D42" s="228">
        <v>56.995468694315306</v>
      </c>
      <c r="E42" s="228">
        <v>56.704478130721775</v>
      </c>
      <c r="F42" s="228">
        <v>49.18497246174821</v>
      </c>
      <c r="G42" s="228">
        <v>49.514964097072379</v>
      </c>
      <c r="H42" s="228">
        <v>49.870862982197657</v>
      </c>
      <c r="I42" s="228">
        <v>50.026413866050262</v>
      </c>
      <c r="J42" s="228">
        <v>47.189191402292401</v>
      </c>
      <c r="K42" s="228">
        <v>42.12136284298375</v>
      </c>
      <c r="L42" s="3" t="s">
        <v>477</v>
      </c>
    </row>
    <row r="43" spans="1:12" x14ac:dyDescent="0.2">
      <c r="A43" t="str">
        <v>OT sulphates</v>
      </c>
      <c r="B43" s="228">
        <v>75.48124652151968</v>
      </c>
      <c r="C43" s="228">
        <v>60.849967216463455</v>
      </c>
      <c r="D43" s="228">
        <v>46.21868791140723</v>
      </c>
      <c r="E43" s="228">
        <v>38.103122768770341</v>
      </c>
      <c r="F43" s="228">
        <v>29.178768538798689</v>
      </c>
      <c r="G43" s="228">
        <v>28.504521168929426</v>
      </c>
      <c r="H43" s="228">
        <v>28.038230042550158</v>
      </c>
      <c r="I43" s="228">
        <v>27.795523724489041</v>
      </c>
      <c r="J43" s="228">
        <v>27.912415629389297</v>
      </c>
      <c r="K43" s="228">
        <v>27.21902747942103</v>
      </c>
      <c r="L43" s="3" t="s">
        <v>477</v>
      </c>
    </row>
    <row r="44" spans="1:12" x14ac:dyDescent="0.2">
      <c r="A44" t="str">
        <v>EE sulphates</v>
      </c>
      <c r="B44" s="228">
        <v>77.70637879471083</v>
      </c>
      <c r="C44" s="228">
        <v>63.416316917438266</v>
      </c>
      <c r="D44" s="228">
        <v>49.126255040165695</v>
      </c>
      <c r="E44" s="228">
        <v>38.513312242322009</v>
      </c>
      <c r="F44" s="228">
        <v>32.939071132546964</v>
      </c>
      <c r="G44" s="228">
        <v>30.648823166233402</v>
      </c>
      <c r="H44" s="228">
        <v>27.914164858161602</v>
      </c>
      <c r="I44" s="228">
        <v>25.400744034239306</v>
      </c>
      <c r="J44" s="228">
        <v>24.472806863317825</v>
      </c>
      <c r="K44" s="228">
        <v>23.058228575479379</v>
      </c>
      <c r="L44" s="3" t="s">
        <v>477</v>
      </c>
    </row>
    <row r="45" spans="1:12" x14ac:dyDescent="0.2">
      <c r="A45" t="str">
        <v>CA sulphates</v>
      </c>
      <c r="B45" s="228">
        <v>58.477322691577072</v>
      </c>
      <c r="C45" s="228">
        <v>50.342442180581898</v>
      </c>
      <c r="D45" s="228">
        <v>42.207561669586724</v>
      </c>
      <c r="E45" s="228">
        <v>42.234777395922222</v>
      </c>
      <c r="F45" s="228">
        <v>37.257494108686494</v>
      </c>
      <c r="G45" s="228">
        <v>32.620860988663424</v>
      </c>
      <c r="H45" s="228">
        <v>28.271668721974699</v>
      </c>
      <c r="I45" s="228">
        <v>23.394677829460996</v>
      </c>
      <c r="J45" s="228">
        <v>18.9928328167925</v>
      </c>
      <c r="K45" s="228">
        <v>15.623536386325602</v>
      </c>
      <c r="L45" s="3" t="s">
        <v>477</v>
      </c>
    </row>
    <row r="46" spans="1:12" x14ac:dyDescent="0.2">
      <c r="A46" t="str">
        <v>IA sulphates</v>
      </c>
      <c r="B46" s="228">
        <v>117.44714663219484</v>
      </c>
      <c r="C46" s="228">
        <v>131.19891157757456</v>
      </c>
      <c r="D46" s="228">
        <v>144.9506765229543</v>
      </c>
      <c r="E46" s="228">
        <v>147.39309185923449</v>
      </c>
      <c r="F46" s="228">
        <v>105.92665472623142</v>
      </c>
      <c r="G46" s="228">
        <v>105.55638729296005</v>
      </c>
      <c r="H46" s="228">
        <v>90.391704517485437</v>
      </c>
      <c r="I46" s="228">
        <v>66.452055700109412</v>
      </c>
      <c r="J46" s="228">
        <v>42.366140777884709</v>
      </c>
      <c r="K46" s="228">
        <v>21.513787757698374</v>
      </c>
      <c r="L46" s="3" t="s">
        <v>477</v>
      </c>
    </row>
    <row r="47" spans="1:12" x14ac:dyDescent="0.2">
      <c r="A47" t="str">
        <v>AF sulphates</v>
      </c>
      <c r="B47" s="228">
        <v>81.912360867241247</v>
      </c>
      <c r="C47" s="228">
        <v>70.707811478594323</v>
      </c>
      <c r="D47" s="228">
        <v>59.503262089947405</v>
      </c>
      <c r="E47" s="228">
        <v>65.972140461589476</v>
      </c>
      <c r="F47" s="228">
        <v>73.265757658874762</v>
      </c>
      <c r="G47" s="228">
        <v>100.35147745351476</v>
      </c>
      <c r="H47" s="228">
        <v>113.78414887131495</v>
      </c>
      <c r="I47" s="228">
        <v>105.95859373405285</v>
      </c>
      <c r="J47" s="228">
        <v>80.769876683529802</v>
      </c>
      <c r="K47" s="228">
        <v>47.86674411926073</v>
      </c>
      <c r="L47" s="3" t="s">
        <v>477</v>
      </c>
    </row>
    <row r="48" spans="1:12" x14ac:dyDescent="0.2">
      <c r="A48" t="str">
        <v>LA sulphates</v>
      </c>
      <c r="B48" s="228">
        <v>94.750253560799905</v>
      </c>
      <c r="C48" s="228">
        <v>93.945787548332987</v>
      </c>
      <c r="D48" s="228">
        <v>93.141321535866069</v>
      </c>
      <c r="E48" s="228">
        <v>92.3856794191978</v>
      </c>
      <c r="F48" s="228">
        <v>83.805423767515506</v>
      </c>
      <c r="G48" s="228">
        <v>84.725189883028051</v>
      </c>
      <c r="H48" s="228">
        <v>79.238613447901599</v>
      </c>
      <c r="I48" s="228">
        <v>70.558590318889827</v>
      </c>
      <c r="J48" s="228">
        <v>61.6679890478988</v>
      </c>
      <c r="K48" s="228">
        <v>49.97289263417801</v>
      </c>
      <c r="L48" s="3" t="s">
        <v>477</v>
      </c>
    </row>
    <row r="49" spans="1:12" x14ac:dyDescent="0.2">
      <c r="B49" s="61"/>
      <c r="C49" s="61"/>
      <c r="D49" s="61"/>
      <c r="E49" s="61"/>
      <c r="F49" s="61"/>
      <c r="G49" s="61"/>
      <c r="H49" s="61"/>
      <c r="I49" s="61"/>
      <c r="J49" s="61"/>
      <c r="K49" s="61"/>
    </row>
    <row r="50" spans="1:12" x14ac:dyDescent="0.2">
      <c r="A50" t="s">
        <v>35</v>
      </c>
      <c r="B50" s="264">
        <f t="array" ref="B50:K50" xml:space="preserve"> IF(SCENARIO_SWITCH_B = 0, 0, 0) + IF(SCENARIO_SWITCH_B = 1, RCP26extra_Excess_B, 0) + IF(SCENARIO_SWITCH_B = 2, RCPW_Excess_B, 0) + IF(SCENARIO_SWITCH_B = 3, ( IF(SCENARIO_PAIR_B = PAIR_RCP26, RCP26_Excess, 0) + IF(SCENARIO_PAIR_B = PAIR_RCP45, RCP45_Excess, 0) +  IF(SCENARIO_PAIR_B = PAIR_RCP85, RCP85_Excess, 0) ), 0)</f>
        <v>0.94169999999999998</v>
      </c>
      <c r="C50" s="264">
        <v>0.89269999999999994</v>
      </c>
      <c r="D50" s="264">
        <v>0.84369999999999989</v>
      </c>
      <c r="E50" s="264">
        <v>0.80619999999999992</v>
      </c>
      <c r="F50" s="264">
        <v>0.69009999999999994</v>
      </c>
      <c r="G50" s="264">
        <v>0.65700000000000003</v>
      </c>
      <c r="H50" s="264">
        <v>0.6089</v>
      </c>
      <c r="I50" s="264">
        <v>0.54239999999999999</v>
      </c>
      <c r="J50" s="264">
        <v>0.4405</v>
      </c>
      <c r="K50" s="264">
        <v>0.33140000000000003</v>
      </c>
      <c r="L50" s="3" t="s">
        <v>42</v>
      </c>
    </row>
    <row r="51" spans="1:12" x14ac:dyDescent="0.2">
      <c r="B51" s="61"/>
      <c r="C51" s="61"/>
      <c r="D51" s="61"/>
      <c r="E51" s="61"/>
      <c r="F51" s="61"/>
      <c r="G51" s="61"/>
      <c r="H51" s="61"/>
      <c r="I51" s="61"/>
      <c r="J51" s="61"/>
      <c r="K51" s="61"/>
    </row>
    <row r="52" spans="1:12" x14ac:dyDescent="0.2">
      <c r="A52" s="2" t="s">
        <v>195</v>
      </c>
    </row>
    <row r="53" spans="1:12" x14ac:dyDescent="0.2">
      <c r="A53" s="279" t="s">
        <v>1014</v>
      </c>
      <c r="B53" s="3" t="s">
        <v>718</v>
      </c>
      <c r="C53" s="214"/>
      <c r="D53" s="214"/>
      <c r="E53" s="214"/>
      <c r="F53" s="214"/>
    </row>
    <row r="54" spans="1:12" s="2" customFormat="1" x14ac:dyDescent="0.2">
      <c r="B54" s="3"/>
      <c r="C54"/>
      <c r="D54"/>
      <c r="E54"/>
      <c r="F54" s="3" t="s">
        <v>717</v>
      </c>
      <c r="G54"/>
      <c r="H54"/>
      <c r="I54"/>
      <c r="J54"/>
      <c r="K54"/>
      <c r="L54"/>
    </row>
    <row r="55" spans="1:12" x14ac:dyDescent="0.2">
      <c r="A55" s="2"/>
      <c r="B55" s="3" t="s">
        <v>200</v>
      </c>
      <c r="C55" s="3" t="s">
        <v>196</v>
      </c>
      <c r="D55" s="3" t="s">
        <v>197</v>
      </c>
      <c r="F55" s="3" t="s">
        <v>408</v>
      </c>
      <c r="G55" s="3" t="s">
        <v>198</v>
      </c>
      <c r="H55" s="3" t="s">
        <v>199</v>
      </c>
      <c r="I55" s="3" t="s">
        <v>409</v>
      </c>
    </row>
    <row r="56" spans="1:12" x14ac:dyDescent="0.2">
      <c r="A56" t="str">
        <f t="array" ref="A56:A63">R_CODE&amp;" sea level"</f>
        <v>EU sea level</v>
      </c>
      <c r="B56" s="230">
        <v>0.25</v>
      </c>
      <c r="C56" s="54">
        <v>2000</v>
      </c>
      <c r="D56" s="138">
        <v>50</v>
      </c>
      <c r="F56" s="54">
        <v>50</v>
      </c>
      <c r="G56" s="54">
        <v>2020</v>
      </c>
      <c r="H56" s="138">
        <v>50</v>
      </c>
      <c r="I56" s="233">
        <v>1</v>
      </c>
    </row>
    <row r="57" spans="1:12" x14ac:dyDescent="0.2">
      <c r="A57" t="str">
        <v>US sea level</v>
      </c>
      <c r="B57" s="231">
        <v>0.25</v>
      </c>
      <c r="C57" s="55">
        <v>2000</v>
      </c>
      <c r="D57" s="134">
        <v>50</v>
      </c>
      <c r="F57" s="55">
        <v>50</v>
      </c>
      <c r="G57" s="55">
        <v>2020</v>
      </c>
      <c r="H57" s="134">
        <v>50</v>
      </c>
      <c r="I57" s="234">
        <v>1</v>
      </c>
    </row>
    <row r="58" spans="1:12" x14ac:dyDescent="0.2">
      <c r="A58" t="str">
        <v>OT sea level</v>
      </c>
      <c r="B58" s="231">
        <v>0.25</v>
      </c>
      <c r="C58" s="55">
        <v>2000</v>
      </c>
      <c r="D58" s="134">
        <v>50</v>
      </c>
      <c r="F58" s="55">
        <v>50</v>
      </c>
      <c r="G58" s="55">
        <v>2020</v>
      </c>
      <c r="H58" s="134">
        <v>50</v>
      </c>
      <c r="I58" s="234">
        <v>1</v>
      </c>
    </row>
    <row r="59" spans="1:12" x14ac:dyDescent="0.2">
      <c r="A59" t="str">
        <v>EE sea level</v>
      </c>
      <c r="B59" s="231">
        <v>0.25</v>
      </c>
      <c r="C59" s="55">
        <v>2000</v>
      </c>
      <c r="D59" s="134">
        <v>50</v>
      </c>
      <c r="F59" s="55">
        <v>50</v>
      </c>
      <c r="G59" s="55">
        <v>2020</v>
      </c>
      <c r="H59" s="134">
        <v>50</v>
      </c>
      <c r="I59" s="234">
        <v>1</v>
      </c>
    </row>
    <row r="60" spans="1:12" x14ac:dyDescent="0.2">
      <c r="A60" t="str">
        <v>CA sea level</v>
      </c>
      <c r="B60" s="231">
        <v>0.2</v>
      </c>
      <c r="C60" s="55">
        <v>2000</v>
      </c>
      <c r="D60" s="134">
        <v>75</v>
      </c>
      <c r="F60" s="55">
        <v>25</v>
      </c>
      <c r="G60" s="55">
        <v>2020</v>
      </c>
      <c r="H60" s="134">
        <v>75</v>
      </c>
      <c r="I60" s="234">
        <v>1</v>
      </c>
    </row>
    <row r="61" spans="1:12" x14ac:dyDescent="0.2">
      <c r="A61" t="str">
        <v>IA sea level</v>
      </c>
      <c r="B61" s="231">
        <v>0.2</v>
      </c>
      <c r="C61" s="55">
        <v>2000</v>
      </c>
      <c r="D61" s="134">
        <v>75</v>
      </c>
      <c r="F61" s="55">
        <v>25</v>
      </c>
      <c r="G61" s="55">
        <v>2020</v>
      </c>
      <c r="H61" s="134">
        <v>75</v>
      </c>
      <c r="I61" s="234">
        <v>1</v>
      </c>
    </row>
    <row r="62" spans="1:12" x14ac:dyDescent="0.2">
      <c r="A62" t="str">
        <v>AF sea level</v>
      </c>
      <c r="B62" s="231">
        <v>0.2</v>
      </c>
      <c r="C62" s="55">
        <v>2000</v>
      </c>
      <c r="D62" s="134">
        <v>75</v>
      </c>
      <c r="F62" s="55">
        <v>25</v>
      </c>
      <c r="G62" s="55">
        <v>2020</v>
      </c>
      <c r="H62" s="134">
        <v>75</v>
      </c>
      <c r="I62" s="234">
        <v>1</v>
      </c>
    </row>
    <row r="63" spans="1:12" ht="13.5" thickBot="1" x14ac:dyDescent="0.25">
      <c r="A63" t="str">
        <v>LA sea level</v>
      </c>
      <c r="B63" s="232">
        <v>0.2</v>
      </c>
      <c r="C63" s="56">
        <v>2000</v>
      </c>
      <c r="D63" s="139">
        <v>75</v>
      </c>
      <c r="F63" s="56">
        <v>25</v>
      </c>
      <c r="G63" s="56">
        <v>2020</v>
      </c>
      <c r="H63" s="139">
        <v>75</v>
      </c>
      <c r="I63" s="235">
        <v>1</v>
      </c>
    </row>
    <row r="64" spans="1:12" ht="13.5" thickTop="1" x14ac:dyDescent="0.2">
      <c r="B64" s="214" t="s">
        <v>180</v>
      </c>
      <c r="C64" s="214"/>
      <c r="D64" s="214"/>
      <c r="E64" s="214"/>
      <c r="F64" s="214" t="s">
        <v>38</v>
      </c>
      <c r="G64" s="214"/>
      <c r="H64" s="214"/>
      <c r="I64" s="214" t="s">
        <v>180</v>
      </c>
    </row>
    <row r="65" spans="1:9" x14ac:dyDescent="0.2">
      <c r="B65" s="214"/>
      <c r="C65" s="214"/>
      <c r="D65" s="214"/>
      <c r="E65" s="214"/>
      <c r="F65" s="214"/>
      <c r="G65" s="214"/>
      <c r="H65" s="214"/>
      <c r="I65" s="214"/>
    </row>
    <row r="66" spans="1:9" x14ac:dyDescent="0.2">
      <c r="B66" s="3" t="s">
        <v>718</v>
      </c>
      <c r="C66" s="214"/>
      <c r="D66" s="214"/>
      <c r="E66" s="214"/>
      <c r="F66" s="214"/>
      <c r="G66" s="214"/>
      <c r="H66" s="214"/>
      <c r="I66" s="214"/>
    </row>
    <row r="67" spans="1:9" x14ac:dyDescent="0.2">
      <c r="B67" s="3"/>
      <c r="F67" s="3" t="s">
        <v>717</v>
      </c>
    </row>
    <row r="68" spans="1:9" x14ac:dyDescent="0.2">
      <c r="A68" s="2"/>
      <c r="B68" s="3" t="s">
        <v>200</v>
      </c>
      <c r="C68" s="3" t="s">
        <v>196</v>
      </c>
      <c r="D68" s="3" t="s">
        <v>197</v>
      </c>
      <c r="F68" s="3" t="s">
        <v>408</v>
      </c>
      <c r="G68" s="3" t="s">
        <v>198</v>
      </c>
      <c r="H68" s="3" t="s">
        <v>199</v>
      </c>
      <c r="I68" s="3" t="s">
        <v>409</v>
      </c>
    </row>
    <row r="69" spans="1:9" x14ac:dyDescent="0.2">
      <c r="A69" t="str">
        <f t="array" ref="A69:A76">R_CODE&amp;" "&amp;I_1_NAME</f>
        <v>EU Economic</v>
      </c>
      <c r="B69" s="233">
        <v>0</v>
      </c>
      <c r="C69" s="54">
        <v>2000</v>
      </c>
      <c r="D69" s="138">
        <v>40</v>
      </c>
      <c r="F69" s="54">
        <v>30</v>
      </c>
      <c r="G69" s="54">
        <v>2010</v>
      </c>
      <c r="H69" s="138">
        <v>30</v>
      </c>
      <c r="I69" s="233">
        <v>0</v>
      </c>
    </row>
    <row r="70" spans="1:9" x14ac:dyDescent="0.2">
      <c r="A70" t="str">
        <v>US Economic</v>
      </c>
      <c r="B70" s="234">
        <v>0</v>
      </c>
      <c r="C70" s="55">
        <v>2000</v>
      </c>
      <c r="D70" s="134">
        <v>40</v>
      </c>
      <c r="F70" s="55">
        <v>30</v>
      </c>
      <c r="G70" s="55">
        <v>2010</v>
      </c>
      <c r="H70" s="134">
        <v>30</v>
      </c>
      <c r="I70" s="234">
        <v>0</v>
      </c>
    </row>
    <row r="71" spans="1:9" x14ac:dyDescent="0.2">
      <c r="A71" t="str">
        <v>OT Economic</v>
      </c>
      <c r="B71" s="234">
        <v>0</v>
      </c>
      <c r="C71" s="55">
        <v>2000</v>
      </c>
      <c r="D71" s="134">
        <v>40</v>
      </c>
      <c r="F71" s="55">
        <v>30</v>
      </c>
      <c r="G71" s="55">
        <v>2010</v>
      </c>
      <c r="H71" s="134">
        <v>30</v>
      </c>
      <c r="I71" s="234">
        <v>0</v>
      </c>
    </row>
    <row r="72" spans="1:9" x14ac:dyDescent="0.2">
      <c r="A72" t="str">
        <v>EE Economic</v>
      </c>
      <c r="B72" s="234">
        <v>0</v>
      </c>
      <c r="C72" s="55">
        <v>2000</v>
      </c>
      <c r="D72" s="134">
        <v>40</v>
      </c>
      <c r="F72" s="55">
        <v>30</v>
      </c>
      <c r="G72" s="55">
        <v>2010</v>
      </c>
      <c r="H72" s="134">
        <v>30</v>
      </c>
      <c r="I72" s="234">
        <v>0</v>
      </c>
    </row>
    <row r="73" spans="1:9" x14ac:dyDescent="0.2">
      <c r="A73" t="str">
        <v>CA Economic</v>
      </c>
      <c r="B73" s="234">
        <v>0</v>
      </c>
      <c r="C73" s="55">
        <v>2010</v>
      </c>
      <c r="D73" s="134">
        <v>60</v>
      </c>
      <c r="F73" s="134">
        <v>20</v>
      </c>
      <c r="G73" s="134">
        <v>2020</v>
      </c>
      <c r="H73" s="134">
        <v>50</v>
      </c>
      <c r="I73" s="234">
        <v>0</v>
      </c>
    </row>
    <row r="74" spans="1:9" x14ac:dyDescent="0.2">
      <c r="A74" t="str">
        <v>IA Economic</v>
      </c>
      <c r="B74" s="234">
        <v>0</v>
      </c>
      <c r="C74" s="55">
        <v>2010</v>
      </c>
      <c r="D74" s="134">
        <v>60</v>
      </c>
      <c r="F74" s="134">
        <v>20</v>
      </c>
      <c r="G74" s="134">
        <v>2020</v>
      </c>
      <c r="H74" s="134">
        <v>50</v>
      </c>
      <c r="I74" s="234">
        <v>0</v>
      </c>
    </row>
    <row r="75" spans="1:9" x14ac:dyDescent="0.2">
      <c r="A75" t="str">
        <v>AF Economic</v>
      </c>
      <c r="B75" s="234">
        <v>0</v>
      </c>
      <c r="C75" s="55">
        <v>2010</v>
      </c>
      <c r="D75" s="134">
        <v>60</v>
      </c>
      <c r="F75" s="134">
        <v>20</v>
      </c>
      <c r="G75" s="134">
        <v>2020</v>
      </c>
      <c r="H75" s="134">
        <v>50</v>
      </c>
      <c r="I75" s="234">
        <v>0</v>
      </c>
    </row>
    <row r="76" spans="1:9" ht="13.5" thickBot="1" x14ac:dyDescent="0.25">
      <c r="A76" t="str">
        <v>LA Economic</v>
      </c>
      <c r="B76" s="235">
        <v>0</v>
      </c>
      <c r="C76" s="56">
        <v>2010</v>
      </c>
      <c r="D76" s="139">
        <v>60</v>
      </c>
      <c r="F76" s="139">
        <v>20</v>
      </c>
      <c r="G76" s="139">
        <v>2020</v>
      </c>
      <c r="H76" s="139">
        <v>50</v>
      </c>
      <c r="I76" s="235">
        <v>0</v>
      </c>
    </row>
    <row r="77" spans="1:9" ht="13.5" thickTop="1" x14ac:dyDescent="0.2">
      <c r="B77" t="s">
        <v>41</v>
      </c>
      <c r="F77" t="s">
        <v>38</v>
      </c>
      <c r="I77" t="s">
        <v>41</v>
      </c>
    </row>
    <row r="79" spans="1:9" x14ac:dyDescent="0.2">
      <c r="B79" s="3" t="s">
        <v>718</v>
      </c>
      <c r="C79" s="214"/>
      <c r="D79" s="214"/>
      <c r="E79" s="214"/>
      <c r="F79" s="214"/>
    </row>
    <row r="80" spans="1:9" x14ac:dyDescent="0.2">
      <c r="B80" s="3"/>
      <c r="F80" s="3" t="s">
        <v>717</v>
      </c>
    </row>
    <row r="81" spans="1:9" x14ac:dyDescent="0.2">
      <c r="A81" s="2"/>
      <c r="B81" s="3" t="s">
        <v>200</v>
      </c>
      <c r="C81" s="3" t="s">
        <v>196</v>
      </c>
      <c r="D81" s="3" t="s">
        <v>197</v>
      </c>
      <c r="F81" s="3" t="s">
        <v>408</v>
      </c>
      <c r="G81" s="3" t="s">
        <v>198</v>
      </c>
      <c r="H81" s="3" t="s">
        <v>199</v>
      </c>
      <c r="I81" s="3" t="s">
        <v>409</v>
      </c>
    </row>
    <row r="82" spans="1:9" x14ac:dyDescent="0.2">
      <c r="A82" t="str">
        <f t="array" ref="A82:A89">R_CODE&amp;" "&amp;I_2_NAME</f>
        <v>EU Non-econ</v>
      </c>
      <c r="B82" s="233">
        <v>0</v>
      </c>
      <c r="C82" s="54">
        <v>2000</v>
      </c>
      <c r="D82" s="54">
        <v>100</v>
      </c>
      <c r="F82" s="54">
        <v>15</v>
      </c>
      <c r="G82" s="54">
        <v>2010</v>
      </c>
      <c r="H82" s="54">
        <v>40</v>
      </c>
      <c r="I82" s="236">
        <v>0</v>
      </c>
    </row>
    <row r="83" spans="1:9" x14ac:dyDescent="0.2">
      <c r="A83" t="str">
        <v>US Non-econ</v>
      </c>
      <c r="B83" s="234">
        <v>0</v>
      </c>
      <c r="C83" s="55">
        <v>2000</v>
      </c>
      <c r="D83" s="55">
        <v>100</v>
      </c>
      <c r="F83" s="55">
        <v>15</v>
      </c>
      <c r="G83" s="55">
        <v>2010</v>
      </c>
      <c r="H83" s="55">
        <v>40</v>
      </c>
      <c r="I83" s="207">
        <v>0</v>
      </c>
    </row>
    <row r="84" spans="1:9" x14ac:dyDescent="0.2">
      <c r="A84" t="str">
        <v>OT Non-econ</v>
      </c>
      <c r="B84" s="234">
        <v>0</v>
      </c>
      <c r="C84" s="55">
        <v>2000</v>
      </c>
      <c r="D84" s="55">
        <v>100</v>
      </c>
      <c r="F84" s="55">
        <v>15</v>
      </c>
      <c r="G84" s="55">
        <v>2010</v>
      </c>
      <c r="H84" s="55">
        <v>40</v>
      </c>
      <c r="I84" s="207">
        <v>0</v>
      </c>
    </row>
    <row r="85" spans="1:9" x14ac:dyDescent="0.2">
      <c r="A85" t="str">
        <v>EE Non-econ</v>
      </c>
      <c r="B85" s="234">
        <v>0</v>
      </c>
      <c r="C85" s="55">
        <v>2000</v>
      </c>
      <c r="D85" s="55">
        <v>100</v>
      </c>
      <c r="F85" s="55">
        <v>15</v>
      </c>
      <c r="G85" s="55">
        <v>2010</v>
      </c>
      <c r="H85" s="55">
        <v>40</v>
      </c>
      <c r="I85" s="207">
        <v>0</v>
      </c>
    </row>
    <row r="86" spans="1:9" x14ac:dyDescent="0.2">
      <c r="A86" t="str">
        <v>CA Non-econ</v>
      </c>
      <c r="B86" s="234">
        <v>0</v>
      </c>
      <c r="C86" s="55">
        <v>2000</v>
      </c>
      <c r="D86" s="55">
        <v>100</v>
      </c>
      <c r="F86" s="55">
        <v>15</v>
      </c>
      <c r="G86" s="55">
        <v>2010</v>
      </c>
      <c r="H86" s="55">
        <v>40</v>
      </c>
      <c r="I86" s="207">
        <v>0</v>
      </c>
    </row>
    <row r="87" spans="1:9" x14ac:dyDescent="0.2">
      <c r="A87" t="str">
        <v>IA Non-econ</v>
      </c>
      <c r="B87" s="234">
        <v>0</v>
      </c>
      <c r="C87" s="55">
        <v>2000</v>
      </c>
      <c r="D87" s="55">
        <v>100</v>
      </c>
      <c r="F87" s="55">
        <v>15</v>
      </c>
      <c r="G87" s="55">
        <v>2010</v>
      </c>
      <c r="H87" s="55">
        <v>40</v>
      </c>
      <c r="I87" s="207">
        <v>0</v>
      </c>
    </row>
    <row r="88" spans="1:9" x14ac:dyDescent="0.2">
      <c r="A88" t="str">
        <v>AF Non-econ</v>
      </c>
      <c r="B88" s="234">
        <v>0</v>
      </c>
      <c r="C88" s="55">
        <v>2000</v>
      </c>
      <c r="D88" s="55">
        <v>100</v>
      </c>
      <c r="F88" s="55">
        <v>15</v>
      </c>
      <c r="G88" s="55">
        <v>2010</v>
      </c>
      <c r="H88" s="55">
        <v>40</v>
      </c>
      <c r="I88" s="207">
        <v>0</v>
      </c>
    </row>
    <row r="89" spans="1:9" ht="13.5" thickBot="1" x14ac:dyDescent="0.25">
      <c r="A89" t="str">
        <v>LA Non-econ</v>
      </c>
      <c r="B89" s="235">
        <v>0</v>
      </c>
      <c r="C89" s="56">
        <v>2000</v>
      </c>
      <c r="D89" s="56">
        <v>100</v>
      </c>
      <c r="F89" s="56">
        <v>15</v>
      </c>
      <c r="G89" s="56">
        <v>2010</v>
      </c>
      <c r="H89" s="56">
        <v>40</v>
      </c>
      <c r="I89" s="237">
        <v>0</v>
      </c>
    </row>
    <row r="90" spans="1:9" ht="13.5" thickTop="1" x14ac:dyDescent="0.2">
      <c r="B90" t="s">
        <v>41</v>
      </c>
      <c r="F90" t="s">
        <v>38</v>
      </c>
      <c r="I90" t="s">
        <v>41</v>
      </c>
    </row>
  </sheetData>
  <phoneticPr fontId="21" type="noConversion"/>
  <pageMargins left="0.75" right="0.75" top="1" bottom="1" header="0.5" footer="0.5"/>
  <pageSetup paperSize="9" orientation="portrait" horizontalDpi="36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89"/>
  <sheetViews>
    <sheetView topLeftCell="A50" workbookViewId="0">
      <selection activeCell="B5" sqref="B5"/>
    </sheetView>
  </sheetViews>
  <sheetFormatPr defaultRowHeight="12.75" x14ac:dyDescent="0.2"/>
  <cols>
    <col min="1" max="1" width="33.42578125" customWidth="1"/>
    <col min="2" max="11" width="7" customWidth="1"/>
    <col min="12" max="12" width="11.85546875" bestFit="1" customWidth="1"/>
  </cols>
  <sheetData>
    <row r="1" spans="1:12" x14ac:dyDescent="0.2">
      <c r="A1" s="2" t="str">
        <f>MODEL_NAME</f>
        <v>PAGE-ICE Nonlinear Arctic Feedbacks</v>
      </c>
      <c r="B1" t="s">
        <v>37</v>
      </c>
      <c r="C1" s="51" t="str">
        <f>VERSION</f>
        <v>6.22</v>
      </c>
    </row>
    <row r="3" spans="1:12" x14ac:dyDescent="0.2">
      <c r="A3" s="2" t="s">
        <v>45</v>
      </c>
      <c r="B3" s="47" t="s">
        <v>259</v>
      </c>
      <c r="C3" s="46"/>
      <c r="D3" s="46"/>
      <c r="E3" s="46"/>
      <c r="F3" s="46"/>
      <c r="G3" s="46"/>
      <c r="H3" s="46"/>
      <c r="I3" s="46"/>
      <c r="J3" s="46"/>
      <c r="K3" s="46"/>
    </row>
    <row r="4" spans="1:12" s="2" customFormat="1" x14ac:dyDescent="0.2">
      <c r="A4" s="47"/>
      <c r="B4" s="2">
        <f t="array" ref="B4:K4">Y</f>
        <v>2020</v>
      </c>
      <c r="C4" s="2">
        <v>2025</v>
      </c>
      <c r="D4" s="2">
        <v>2030</v>
      </c>
      <c r="E4" s="2">
        <v>2040</v>
      </c>
      <c r="F4" s="2">
        <v>2050</v>
      </c>
      <c r="G4" s="2">
        <v>2060</v>
      </c>
      <c r="H4" s="2">
        <v>2070</v>
      </c>
      <c r="I4" s="2">
        <v>2080</v>
      </c>
      <c r="J4" s="2">
        <v>2090</v>
      </c>
      <c r="K4" s="2">
        <v>2100</v>
      </c>
    </row>
    <row r="5" spans="1:12" x14ac:dyDescent="0.2">
      <c r="A5" t="str">
        <f t="array" ref="A5:A12">R_CODE&amp;" "&amp;'Base data'!$B$12&amp;" emissions"</f>
        <v>EU CO2 emissions</v>
      </c>
      <c r="B5" s="14">
        <f>'Policy A'!B5-'Policy B'!B5</f>
        <v>5.6817100544179766E-2</v>
      </c>
      <c r="C5" s="14">
        <f>'Policy A'!C5-'Policy B'!C5</f>
        <v>0.12913270623253936</v>
      </c>
      <c r="D5" s="14">
        <f>'Policy A'!D5-'Policy B'!D5</f>
        <v>0.20144831192088475</v>
      </c>
      <c r="E5" s="14">
        <f>'Policy A'!E5-'Policy B'!E5</f>
        <v>0.45819774157266124</v>
      </c>
      <c r="F5" s="14">
        <f>'Policy A'!F5-'Policy B'!F5</f>
        <v>-66.13494375865038</v>
      </c>
      <c r="G5" s="14">
        <f>'Policy A'!G5-'Policy B'!G5</f>
        <v>-187.52813841503675</v>
      </c>
      <c r="H5" s="14">
        <f>'Policy A'!H5-'Policy B'!H5</f>
        <v>-277.88919713872758</v>
      </c>
      <c r="I5" s="14">
        <f>'Policy A'!I5-'Policy B'!I5</f>
        <v>-324.98536431486127</v>
      </c>
      <c r="J5" s="14">
        <f>'Policy A'!J5-'Policy B'!J5</f>
        <v>-344.88494496821107</v>
      </c>
      <c r="K5" s="14">
        <f>'Policy A'!K5-'Policy B'!K5</f>
        <v>-359.85306578494522</v>
      </c>
      <c r="L5" t="s">
        <v>38</v>
      </c>
    </row>
    <row r="6" spans="1:12" x14ac:dyDescent="0.2">
      <c r="A6" t="str">
        <v>US CO2 emissions</v>
      </c>
      <c r="B6" s="14">
        <f>'Policy A'!B6-'Policy B'!B6</f>
        <v>0</v>
      </c>
      <c r="C6" s="14">
        <f>'Policy A'!C6-'Policy B'!C6</f>
        <v>0</v>
      </c>
      <c r="D6" s="14">
        <f>'Policy A'!D6-'Policy B'!D6</f>
        <v>0</v>
      </c>
      <c r="E6" s="14">
        <f>'Policy A'!E6-'Policy B'!E6</f>
        <v>0</v>
      </c>
      <c r="F6" s="14">
        <f>'Policy A'!F6-'Policy B'!F6</f>
        <v>-87.841157464068388</v>
      </c>
      <c r="G6" s="14">
        <f>'Policy A'!G6-'Policy B'!G6</f>
        <v>-240.69711831142925</v>
      </c>
      <c r="H6" s="14">
        <f>'Policy A'!H6-'Policy B'!H6</f>
        <v>-325.65638325925698</v>
      </c>
      <c r="I6" s="14">
        <f>'Policy A'!I6-'Policy B'!I6</f>
        <v>-372.4650748449352</v>
      </c>
      <c r="J6" s="14">
        <f>'Policy A'!J6-'Policy B'!J6</f>
        <v>-368.30750329728869</v>
      </c>
      <c r="K6" s="14">
        <f>'Policy A'!K6-'Policy B'!K6</f>
        <v>-349.49245105971102</v>
      </c>
      <c r="L6" t="s">
        <v>38</v>
      </c>
    </row>
    <row r="7" spans="1:12" x14ac:dyDescent="0.2">
      <c r="A7" t="str">
        <v>OT CO2 emissions</v>
      </c>
      <c r="B7" s="14">
        <f>'Policy A'!B7-'Policy B'!B7</f>
        <v>5.6817100544179766E-2</v>
      </c>
      <c r="C7" s="14">
        <f>'Policy A'!C7-'Policy B'!C7</f>
        <v>0.12913270623253936</v>
      </c>
      <c r="D7" s="14">
        <f>'Policy A'!D7-'Policy B'!D7</f>
        <v>0.20144831192088475</v>
      </c>
      <c r="E7" s="14">
        <f>'Policy A'!E7-'Policy B'!E7</f>
        <v>0.45819774157266124</v>
      </c>
      <c r="F7" s="14">
        <f>'Policy A'!F7-'Policy B'!F7</f>
        <v>-66.13494375865038</v>
      </c>
      <c r="G7" s="14">
        <f>'Policy A'!G7-'Policy B'!G7</f>
        <v>-187.52813841503675</v>
      </c>
      <c r="H7" s="14">
        <f>'Policy A'!H7-'Policy B'!H7</f>
        <v>-277.88919713872758</v>
      </c>
      <c r="I7" s="14">
        <f>'Policy A'!I7-'Policy B'!I7</f>
        <v>-324.98536431486127</v>
      </c>
      <c r="J7" s="14">
        <f>'Policy A'!J7-'Policy B'!J7</f>
        <v>-344.88494496821107</v>
      </c>
      <c r="K7" s="14">
        <f>'Policy A'!K7-'Policy B'!K7</f>
        <v>-359.85306578494522</v>
      </c>
      <c r="L7" t="s">
        <v>38</v>
      </c>
    </row>
    <row r="8" spans="1:12" x14ac:dyDescent="0.2">
      <c r="A8" t="str">
        <v>EE CO2 emissions</v>
      </c>
      <c r="B8" s="14">
        <f>'Policy A'!B8-'Policy B'!B8</f>
        <v>-0.1191632362756252</v>
      </c>
      <c r="C8" s="14">
        <f>'Policy A'!C8-'Policy B'!C8</f>
        <v>-0.27440958652179859</v>
      </c>
      <c r="D8" s="14">
        <f>'Policy A'!D8-'Policy B'!D8</f>
        <v>-0.42965593676795777</v>
      </c>
      <c r="E8" s="14">
        <f>'Policy A'!E8-'Policy B'!E8</f>
        <v>-0.88916777541422221</v>
      </c>
      <c r="F8" s="14">
        <f>'Policy A'!F8-'Policy B'!F8</f>
        <v>-94.045006036273151</v>
      </c>
      <c r="G8" s="14">
        <f>'Policy A'!G8-'Policy B'!G8</f>
        <v>-227.31337674589761</v>
      </c>
      <c r="H8" s="14">
        <f>'Policy A'!H8-'Policy B'!H8</f>
        <v>-288.66972863241745</v>
      </c>
      <c r="I8" s="14">
        <f>'Policy A'!I8-'Policy B'!I8</f>
        <v>-289.88865657988492</v>
      </c>
      <c r="J8" s="14">
        <f>'Policy A'!J8-'Policy B'!J8</f>
        <v>-266.37544143773528</v>
      </c>
      <c r="K8" s="14">
        <f>'Policy A'!K8-'Policy B'!K8</f>
        <v>-240.17224425252192</v>
      </c>
      <c r="L8" t="s">
        <v>38</v>
      </c>
    </row>
    <row r="9" spans="1:12" x14ac:dyDescent="0.2">
      <c r="A9" t="str">
        <v>CA CO2 emissions</v>
      </c>
      <c r="B9" s="14">
        <f>'Policy A'!B9-'Policy B'!B9</f>
        <v>0</v>
      </c>
      <c r="C9" s="14">
        <f>'Policy A'!C9-'Policy B'!C9</f>
        <v>0</v>
      </c>
      <c r="D9" s="14">
        <f>'Policy A'!D9-'Policy B'!D9</f>
        <v>0</v>
      </c>
      <c r="E9" s="14">
        <f>'Policy A'!E9-'Policy B'!E9</f>
        <v>0</v>
      </c>
      <c r="F9" s="14">
        <f>'Policy A'!F9-'Policy B'!F9</f>
        <v>-68.311100737791179</v>
      </c>
      <c r="G9" s="14">
        <f>'Policy A'!G9-'Policy B'!G9</f>
        <v>-154.49794493825104</v>
      </c>
      <c r="H9" s="14">
        <f>'Policy A'!H9-'Policy B'!H9</f>
        <v>-195.61041233850628</v>
      </c>
      <c r="I9" s="14">
        <f>'Policy A'!I9-'Policy B'!I9</f>
        <v>-195.2632170633548</v>
      </c>
      <c r="J9" s="14">
        <f>'Policy A'!J9-'Policy B'!J9</f>
        <v>-169.7784606986931</v>
      </c>
      <c r="K9" s="14">
        <f>'Policy A'!K9-'Policy B'!K9</f>
        <v>-140.4459655655144</v>
      </c>
      <c r="L9" t="s">
        <v>38</v>
      </c>
    </row>
    <row r="10" spans="1:12" x14ac:dyDescent="0.2">
      <c r="A10" t="str">
        <v>IA CO2 emissions</v>
      </c>
      <c r="B10" s="14">
        <f>'Policy A'!B10-'Policy B'!B10</f>
        <v>2.0574815067675445E-5</v>
      </c>
      <c r="C10" s="14">
        <f>'Policy A'!C10-'Policy B'!C10</f>
        <v>2.0574815039253735E-5</v>
      </c>
      <c r="D10" s="14">
        <f>'Policy A'!D10-'Policy B'!D10</f>
        <v>2.0574815010832026E-5</v>
      </c>
      <c r="E10" s="14">
        <f>'Policy A'!E10-'Policy B'!E10</f>
        <v>6.1724445203026335E-5</v>
      </c>
      <c r="F10" s="14">
        <f>'Policy A'!F10-'Policy B'!F10</f>
        <v>-144.17920993121629</v>
      </c>
      <c r="G10" s="14">
        <f>'Policy A'!G10-'Policy B'!G10</f>
        <v>-372.82324114650277</v>
      </c>
      <c r="H10" s="14">
        <f>'Policy A'!H10-'Policy B'!H10</f>
        <v>-547.3053473327119</v>
      </c>
      <c r="I10" s="14">
        <f>'Policy A'!I10-'Policy B'!I10</f>
        <v>-660.41884974027391</v>
      </c>
      <c r="J10" s="14">
        <f>'Policy A'!J10-'Policy B'!J10</f>
        <v>-696.52507833346465</v>
      </c>
      <c r="K10" s="14">
        <f>'Policy A'!K10-'Policy B'!K10</f>
        <v>-681.31948758011583</v>
      </c>
      <c r="L10" t="s">
        <v>38</v>
      </c>
    </row>
    <row r="11" spans="1:12" x14ac:dyDescent="0.2">
      <c r="A11" t="str">
        <v>AF CO2 emissions</v>
      </c>
      <c r="B11" s="14">
        <f>'Policy A'!B11-'Policy B'!B11</f>
        <v>-2.338300094852741E-2</v>
      </c>
      <c r="C11" s="14">
        <f>'Policy A'!C11-'Policy B'!C11</f>
        <v>-5.0638154814066638E-2</v>
      </c>
      <c r="D11" s="14">
        <f>'Policy A'!D11-'Policy B'!D11</f>
        <v>-7.7893308679591655E-2</v>
      </c>
      <c r="E11" s="14">
        <f>'Policy A'!E11-'Policy B'!E11</f>
        <v>-0.23818242943079326</v>
      </c>
      <c r="F11" s="14">
        <f>'Policy A'!F11-'Policy B'!F11</f>
        <v>-182.80860158247987</v>
      </c>
      <c r="G11" s="14">
        <f>'Policy A'!G11-'Policy B'!G11</f>
        <v>-528.62775703291038</v>
      </c>
      <c r="H11" s="14">
        <f>'Policy A'!H11-'Policy B'!H11</f>
        <v>-804.61710711155399</v>
      </c>
      <c r="I11" s="14">
        <f>'Policy A'!I11-'Policy B'!I11</f>
        <v>-1009.9902145592949</v>
      </c>
      <c r="J11" s="14">
        <f>'Policy A'!J11-'Policy B'!J11</f>
        <v>-1112.7781646595508</v>
      </c>
      <c r="K11" s="14">
        <f>'Policy A'!K11-'Policy B'!K11</f>
        <v>-1156.6314971123945</v>
      </c>
      <c r="L11" t="s">
        <v>38</v>
      </c>
    </row>
    <row r="12" spans="1:12" x14ac:dyDescent="0.2">
      <c r="A12" t="str">
        <v>LA CO2 emissions</v>
      </c>
      <c r="B12" s="14">
        <f>'Policy A'!B12-'Policy B'!B12</f>
        <v>5.3608782422998047E-5</v>
      </c>
      <c r="C12" s="14">
        <f>'Policy A'!C12-'Policy B'!C12</f>
        <v>1.6082634721215072E-4</v>
      </c>
      <c r="D12" s="14">
        <f>'Policy A'!D12-'Policy B'!D12</f>
        <v>2.6804391202972511E-4</v>
      </c>
      <c r="E12" s="14">
        <f>'Policy A'!E12-'Policy B'!E12</f>
        <v>6.4330538882018118E-4</v>
      </c>
      <c r="F12" s="14">
        <f>'Policy A'!F12-'Policy B'!F12</f>
        <v>-99.011990140272729</v>
      </c>
      <c r="G12" s="14">
        <f>'Policy A'!G12-'Policy B'!G12</f>
        <v>-282.736417410846</v>
      </c>
      <c r="H12" s="14">
        <f>'Policy A'!H12-'Policy B'!H12</f>
        <v>-399.73801388038589</v>
      </c>
      <c r="I12" s="14">
        <f>'Policy A'!I12-'Policy B'!I12</f>
        <v>-458.49377548427492</v>
      </c>
      <c r="J12" s="14">
        <f>'Policy A'!J12-'Policy B'!J12</f>
        <v>-461.6048539535941</v>
      </c>
      <c r="K12" s="14">
        <f>'Policy A'!K12-'Policy B'!K12</f>
        <v>-467.63155327158313</v>
      </c>
      <c r="L12" t="s">
        <v>38</v>
      </c>
    </row>
    <row r="14" spans="1:12" x14ac:dyDescent="0.2">
      <c r="A14" t="str">
        <f t="array" ref="A14:A21">R_CODE&amp;" "&amp;'Base data'!$C$12&amp;" emissions"</f>
        <v>EU CH4 emissions</v>
      </c>
      <c r="B14" s="14">
        <f>'Policy A'!B14-'Policy B'!B14</f>
        <v>0</v>
      </c>
      <c r="C14" s="14">
        <f>'Policy A'!C14-'Policy B'!C14</f>
        <v>0</v>
      </c>
      <c r="D14" s="14">
        <f>'Policy A'!D14-'Policy B'!D14</f>
        <v>0</v>
      </c>
      <c r="E14" s="14">
        <f>'Policy A'!E14-'Policy B'!E14</f>
        <v>0</v>
      </c>
      <c r="F14" s="14">
        <f>'Policy A'!F14-'Policy B'!F14</f>
        <v>-86.682773402009275</v>
      </c>
      <c r="G14" s="14">
        <f>'Policy A'!G14-'Policy B'!G14</f>
        <v>-77.70455169078528</v>
      </c>
      <c r="H14" s="14">
        <f>'Policy A'!H14-'Policy B'!H14</f>
        <v>-64.054216090519361</v>
      </c>
      <c r="I14" s="14">
        <f>'Policy A'!I14-'Policy B'!I14</f>
        <v>-55.91480760912674</v>
      </c>
      <c r="J14" s="14">
        <f>'Policy A'!J14-'Policy B'!J14</f>
        <v>-77.901780069349485</v>
      </c>
      <c r="K14" s="14">
        <f>'Policy A'!K14-'Policy B'!K14</f>
        <v>-60.478443629759184</v>
      </c>
      <c r="L14" t="s">
        <v>38</v>
      </c>
    </row>
    <row r="15" spans="1:12" x14ac:dyDescent="0.2">
      <c r="A15" t="str">
        <v>US CH4 emissions</v>
      </c>
      <c r="B15" s="14">
        <f>'Policy A'!B15-'Policy B'!B15</f>
        <v>0</v>
      </c>
      <c r="C15" s="14">
        <f>'Policy A'!C15-'Policy B'!C15</f>
        <v>0</v>
      </c>
      <c r="D15" s="14">
        <f>'Policy A'!D15-'Policy B'!D15</f>
        <v>0</v>
      </c>
      <c r="E15" s="14">
        <f>'Policy A'!E15-'Policy B'!E15</f>
        <v>0</v>
      </c>
      <c r="F15" s="14">
        <f>'Policy A'!F15-'Policy B'!F15</f>
        <v>-95.710185545874509</v>
      </c>
      <c r="G15" s="14">
        <f>'Policy A'!G15-'Policy B'!G15</f>
        <v>-99.807480804830121</v>
      </c>
      <c r="H15" s="14">
        <f>'Policy A'!H15-'Policy B'!H15</f>
        <v>-92.715902874413615</v>
      </c>
      <c r="I15" s="14">
        <f>'Policy A'!I15-'Policy B'!I15</f>
        <v>-84.405849739268859</v>
      </c>
      <c r="J15" s="14">
        <f>'Policy A'!J15-'Policy B'!J15</f>
        <v>-72.107840236810375</v>
      </c>
      <c r="K15" s="14">
        <f>'Policy A'!K15-'Policy B'!K15</f>
        <v>-63.768604094707314</v>
      </c>
      <c r="L15" t="s">
        <v>38</v>
      </c>
    </row>
    <row r="16" spans="1:12" x14ac:dyDescent="0.2">
      <c r="A16" t="str">
        <v>OT CH4 emissions</v>
      </c>
      <c r="B16" s="14">
        <f>'Policy A'!B16-'Policy B'!B16</f>
        <v>0</v>
      </c>
      <c r="C16" s="14">
        <f>'Policy A'!C16-'Policy B'!C16</f>
        <v>0</v>
      </c>
      <c r="D16" s="14">
        <f>'Policy A'!D16-'Policy B'!D16</f>
        <v>0</v>
      </c>
      <c r="E16" s="14">
        <f>'Policy A'!E16-'Policy B'!E16</f>
        <v>0</v>
      </c>
      <c r="F16" s="14">
        <f>'Policy A'!F16-'Policy B'!F16</f>
        <v>-84.321909065281844</v>
      </c>
      <c r="G16" s="14">
        <f>'Policy A'!G16-'Policy B'!G16</f>
        <v>-122.42520953320508</v>
      </c>
      <c r="H16" s="14">
        <f>'Policy A'!H16-'Policy B'!H16</f>
        <v>-118.26718375540101</v>
      </c>
      <c r="I16" s="14">
        <f>'Policy A'!I16-'Policy B'!I16</f>
        <v>-107.76127615438519</v>
      </c>
      <c r="J16" s="14">
        <f>'Policy A'!J16-'Policy B'!J16</f>
        <v>-108.50295241115855</v>
      </c>
      <c r="K16" s="14">
        <f>'Policy A'!K16-'Policy B'!K16</f>
        <v>-163.96989839670536</v>
      </c>
      <c r="L16" t="s">
        <v>38</v>
      </c>
    </row>
    <row r="17" spans="1:12" x14ac:dyDescent="0.2">
      <c r="A17" t="str">
        <v>EE CH4 emissions</v>
      </c>
      <c r="B17" s="14">
        <f>'Policy A'!B17-'Policy B'!B17</f>
        <v>0</v>
      </c>
      <c r="C17" s="14">
        <f>'Policy A'!C17-'Policy B'!C17</f>
        <v>0</v>
      </c>
      <c r="D17" s="14">
        <f>'Policy A'!D17-'Policy B'!D17</f>
        <v>0</v>
      </c>
      <c r="E17" s="14">
        <f>'Policy A'!E17-'Policy B'!E17</f>
        <v>0</v>
      </c>
      <c r="F17" s="14">
        <f>'Policy A'!F17-'Policy B'!F17</f>
        <v>-97.232037722094447</v>
      </c>
      <c r="G17" s="14">
        <f>'Policy A'!G17-'Policy B'!G17</f>
        <v>-144.19114384106683</v>
      </c>
      <c r="H17" s="14">
        <f>'Policy A'!H17-'Policy B'!H17</f>
        <v>-168.03557459187169</v>
      </c>
      <c r="I17" s="14">
        <f>'Policy A'!I17-'Policy B'!I17</f>
        <v>-191.89188366775565</v>
      </c>
      <c r="J17" s="14">
        <f>'Policy A'!J17-'Policy B'!J17</f>
        <v>-200.2050169230277</v>
      </c>
      <c r="K17" s="14">
        <f>'Policy A'!K17-'Policy B'!K17</f>
        <v>-200.27090101061287</v>
      </c>
      <c r="L17" t="s">
        <v>38</v>
      </c>
    </row>
    <row r="18" spans="1:12" x14ac:dyDescent="0.2">
      <c r="A18" t="str">
        <v>CA CH4 emissions</v>
      </c>
      <c r="B18" s="14">
        <f>'Policy A'!B18-'Policy B'!B18</f>
        <v>0</v>
      </c>
      <c r="C18" s="14">
        <f>'Policy A'!C18-'Policy B'!C18</f>
        <v>0</v>
      </c>
      <c r="D18" s="14">
        <f>'Policy A'!D18-'Policy B'!D18</f>
        <v>0</v>
      </c>
      <c r="E18" s="14">
        <f>'Policy A'!E18-'Policy B'!E18</f>
        <v>0</v>
      </c>
      <c r="F18" s="14">
        <f>'Policy A'!F18-'Policy B'!F18</f>
        <v>-35.832941148287219</v>
      </c>
      <c r="G18" s="14">
        <f>'Policy A'!G18-'Policy B'!G18</f>
        <v>-42.122182563789167</v>
      </c>
      <c r="H18" s="14">
        <f>'Policy A'!H18-'Policy B'!H18</f>
        <v>-43.758884894237866</v>
      </c>
      <c r="I18" s="14">
        <f>'Policy A'!I18-'Policy B'!I18</f>
        <v>-36.048376319374576</v>
      </c>
      <c r="J18" s="14">
        <f>'Policy A'!J18-'Policy B'!J18</f>
        <v>-33.641784134488482</v>
      </c>
      <c r="K18" s="14">
        <f>'Policy A'!K18-'Policy B'!K18</f>
        <v>-29.174205399782931</v>
      </c>
      <c r="L18" t="s">
        <v>38</v>
      </c>
    </row>
    <row r="19" spans="1:12" x14ac:dyDescent="0.2">
      <c r="A19" t="str">
        <v>IA CH4 emissions</v>
      </c>
      <c r="B19" s="14">
        <f>'Policy A'!B19-'Policy B'!B19</f>
        <v>0</v>
      </c>
      <c r="C19" s="14">
        <f>'Policy A'!C19-'Policy B'!C19</f>
        <v>0</v>
      </c>
      <c r="D19" s="14">
        <f>'Policy A'!D19-'Policy B'!D19</f>
        <v>0</v>
      </c>
      <c r="E19" s="14">
        <f>'Policy A'!E19-'Policy B'!E19</f>
        <v>0</v>
      </c>
      <c r="F19" s="14">
        <f>'Policy A'!F19-'Policy B'!F19</f>
        <v>-67.318269145422619</v>
      </c>
      <c r="G19" s="14">
        <f>'Policy A'!G19-'Policy B'!G19</f>
        <v>-53.342942641032437</v>
      </c>
      <c r="H19" s="14">
        <f>'Policy A'!H19-'Policy B'!H19</f>
        <v>-40.737426400802676</v>
      </c>
      <c r="I19" s="14">
        <f>'Policy A'!I19-'Policy B'!I19</f>
        <v>-31.571921529258368</v>
      </c>
      <c r="J19" s="14">
        <f>'Policy A'!J19-'Policy B'!J19</f>
        <v>-30.444818001904203</v>
      </c>
      <c r="K19" s="14">
        <f>'Policy A'!K19-'Policy B'!K19</f>
        <v>-28.042816629288811</v>
      </c>
      <c r="L19" t="s">
        <v>38</v>
      </c>
    </row>
    <row r="20" spans="1:12" x14ac:dyDescent="0.2">
      <c r="A20" t="str">
        <v>AF CH4 emissions</v>
      </c>
      <c r="B20" s="14">
        <f>'Policy A'!B20-'Policy B'!B20</f>
        <v>0</v>
      </c>
      <c r="C20" s="14">
        <f>'Policy A'!C20-'Policy B'!C20</f>
        <v>0</v>
      </c>
      <c r="D20" s="14">
        <f>'Policy A'!D20-'Policy B'!D20</f>
        <v>0</v>
      </c>
      <c r="E20" s="14">
        <f>'Policy A'!E20-'Policy B'!E20</f>
        <v>0</v>
      </c>
      <c r="F20" s="14">
        <f>'Policy A'!F20-'Policy B'!F20</f>
        <v>-172.71730986189544</v>
      </c>
      <c r="G20" s="14">
        <f>'Policy A'!G20-'Policy B'!G20</f>
        <v>-288.74430972645041</v>
      </c>
      <c r="H20" s="14">
        <f>'Policy A'!H20-'Policy B'!H20</f>
        <v>-335.28161936139895</v>
      </c>
      <c r="I20" s="14">
        <f>'Policy A'!I20-'Policy B'!I20</f>
        <v>-332.79057192645269</v>
      </c>
      <c r="J20" s="14">
        <f>'Policy A'!J20-'Policy B'!J20</f>
        <v>-279.93810155172116</v>
      </c>
      <c r="K20" s="14">
        <f>'Policy A'!K20-'Policy B'!K20</f>
        <v>-249.17408267532937</v>
      </c>
      <c r="L20" t="s">
        <v>38</v>
      </c>
    </row>
    <row r="21" spans="1:12" x14ac:dyDescent="0.2">
      <c r="A21" t="str">
        <v>LA CH4 emissions</v>
      </c>
      <c r="B21" s="14">
        <f>'Policy A'!B21-'Policy B'!B21</f>
        <v>0</v>
      </c>
      <c r="C21" s="14">
        <f>'Policy A'!C21-'Policy B'!C21</f>
        <v>0</v>
      </c>
      <c r="D21" s="14">
        <f>'Policy A'!D21-'Policy B'!D21</f>
        <v>0</v>
      </c>
      <c r="E21" s="14">
        <f>'Policy A'!E21-'Policy B'!E21</f>
        <v>0</v>
      </c>
      <c r="F21" s="14">
        <f>'Policy A'!F21-'Policy B'!F21</f>
        <v>-54.577353044602965</v>
      </c>
      <c r="G21" s="14">
        <f>'Policy A'!G21-'Policy B'!G21</f>
        <v>-71.557391183247205</v>
      </c>
      <c r="H21" s="14">
        <f>'Policy A'!H21-'Policy B'!H21</f>
        <v>-73.566140978111562</v>
      </c>
      <c r="I21" s="14">
        <f>'Policy A'!I21-'Policy B'!I21</f>
        <v>-70.307286860643785</v>
      </c>
      <c r="J21" s="14">
        <f>'Policy A'!J21-'Policy B'!J21</f>
        <v>-56.567812486381925</v>
      </c>
      <c r="K21" s="14">
        <f>'Policy A'!K21-'Policy B'!K21</f>
        <v>-52.096922241425794</v>
      </c>
      <c r="L21" t="s">
        <v>38</v>
      </c>
    </row>
    <row r="23" spans="1:12" x14ac:dyDescent="0.2">
      <c r="A23" t="str">
        <f t="array" ref="A23:A30">R_CODE&amp;" "&amp;'Base data'!$D$12&amp;" emissions"</f>
        <v>EU N2O emissions</v>
      </c>
      <c r="B23" s="14">
        <f>'Policy A'!B23-'Policy B'!B23</f>
        <v>0</v>
      </c>
      <c r="C23" s="14">
        <f>'Policy A'!C23-'Policy B'!C23</f>
        <v>0</v>
      </c>
      <c r="D23" s="14">
        <f>'Policy A'!D23-'Policy B'!D23</f>
        <v>0</v>
      </c>
      <c r="E23" s="14">
        <f>'Policy A'!E23-'Policy B'!E23</f>
        <v>0</v>
      </c>
      <c r="F23" s="14">
        <f>'Policy A'!F23-'Policy B'!F23</f>
        <v>-31.862146131749185</v>
      </c>
      <c r="G23" s="14">
        <f>'Policy A'!G23-'Policy B'!G23</f>
        <v>-11.238305348887167</v>
      </c>
      <c r="H23" s="14">
        <f>'Policy A'!H23-'Policy B'!H23</f>
        <v>-6.0907003209770778</v>
      </c>
      <c r="I23" s="14">
        <f>'Policy A'!I23-'Policy B'!I23</f>
        <v>-10.57971009174311</v>
      </c>
      <c r="J23" s="14">
        <f>'Policy A'!J23-'Policy B'!J23</f>
        <v>-12.696005504587177</v>
      </c>
      <c r="K23" s="14">
        <f>'Policy A'!K23-'Policy B'!K23</f>
        <v>-11.373508256880726</v>
      </c>
      <c r="L23" t="s">
        <v>38</v>
      </c>
    </row>
    <row r="24" spans="1:12" x14ac:dyDescent="0.2">
      <c r="A24" t="str">
        <v>US N2O emissions</v>
      </c>
      <c r="B24" s="14">
        <f>'Policy A'!B24-'Policy B'!B24</f>
        <v>0</v>
      </c>
      <c r="C24" s="14">
        <f>'Policy A'!C24-'Policy B'!C24</f>
        <v>0</v>
      </c>
      <c r="D24" s="14">
        <f>'Policy A'!D24-'Policy B'!D24</f>
        <v>0</v>
      </c>
      <c r="E24" s="14">
        <f>'Policy A'!E24-'Policy B'!E24</f>
        <v>0</v>
      </c>
      <c r="F24" s="14">
        <f>'Policy A'!F24-'Policy B'!F24</f>
        <v>-31.862146131749185</v>
      </c>
      <c r="G24" s="14">
        <f>'Policy A'!G24-'Policy B'!G24</f>
        <v>-11.238305348887167</v>
      </c>
      <c r="H24" s="14">
        <f>'Policy A'!H24-'Policy B'!H24</f>
        <v>-6.0907003209770778</v>
      </c>
      <c r="I24" s="14">
        <f>'Policy A'!I24-'Policy B'!I24</f>
        <v>-10.57971009174311</v>
      </c>
      <c r="J24" s="14">
        <f>'Policy A'!J24-'Policy B'!J24</f>
        <v>-12.696005504587177</v>
      </c>
      <c r="K24" s="14">
        <f>'Policy A'!K24-'Policy B'!K24</f>
        <v>-11.373508256880726</v>
      </c>
      <c r="L24" t="s">
        <v>38</v>
      </c>
    </row>
    <row r="25" spans="1:12" x14ac:dyDescent="0.2">
      <c r="A25" t="str">
        <v>OT N2O emissions</v>
      </c>
      <c r="B25" s="14">
        <f>'Policy A'!B25-'Policy B'!B25</f>
        <v>0</v>
      </c>
      <c r="C25" s="14">
        <f>'Policy A'!C25-'Policy B'!C25</f>
        <v>0</v>
      </c>
      <c r="D25" s="14">
        <f>'Policy A'!D25-'Policy B'!D25</f>
        <v>0</v>
      </c>
      <c r="E25" s="14">
        <f>'Policy A'!E25-'Policy B'!E25</f>
        <v>0</v>
      </c>
      <c r="F25" s="14">
        <f>'Policy A'!F25-'Policy B'!F25</f>
        <v>-31.862146131749185</v>
      </c>
      <c r="G25" s="14">
        <f>'Policy A'!G25-'Policy B'!G25</f>
        <v>-11.238305348887167</v>
      </c>
      <c r="H25" s="14">
        <f>'Policy A'!H25-'Policy B'!H25</f>
        <v>-6.0907003209770778</v>
      </c>
      <c r="I25" s="14">
        <f>'Policy A'!I25-'Policy B'!I25</f>
        <v>-10.57971009174311</v>
      </c>
      <c r="J25" s="14">
        <f>'Policy A'!J25-'Policy B'!J25</f>
        <v>-12.696005504587177</v>
      </c>
      <c r="K25" s="14">
        <f>'Policy A'!K25-'Policy B'!K25</f>
        <v>-11.373508256880726</v>
      </c>
      <c r="L25" t="s">
        <v>38</v>
      </c>
    </row>
    <row r="26" spans="1:12" x14ac:dyDescent="0.2">
      <c r="A26" t="str">
        <v>EE N2O emissions</v>
      </c>
      <c r="B26" s="14">
        <f>'Policy A'!B26-'Policy B'!B26</f>
        <v>0</v>
      </c>
      <c r="C26" s="14">
        <f>'Policy A'!C26-'Policy B'!C26</f>
        <v>0</v>
      </c>
      <c r="D26" s="14">
        <f>'Policy A'!D26-'Policy B'!D26</f>
        <v>0</v>
      </c>
      <c r="E26" s="14">
        <f>'Policy A'!E26-'Policy B'!E26</f>
        <v>0</v>
      </c>
      <c r="F26" s="14">
        <f>'Policy A'!F26-'Policy B'!F26</f>
        <v>-31.862146131749185</v>
      </c>
      <c r="G26" s="14">
        <f>'Policy A'!G26-'Policy B'!G26</f>
        <v>-11.238305348887167</v>
      </c>
      <c r="H26" s="14">
        <f>'Policy A'!H26-'Policy B'!H26</f>
        <v>-6.0907003209770778</v>
      </c>
      <c r="I26" s="14">
        <f>'Policy A'!I26-'Policy B'!I26</f>
        <v>-10.57971009174311</v>
      </c>
      <c r="J26" s="14">
        <f>'Policy A'!J26-'Policy B'!J26</f>
        <v>-12.696005504587177</v>
      </c>
      <c r="K26" s="14">
        <f>'Policy A'!K26-'Policy B'!K26</f>
        <v>-11.373508256880726</v>
      </c>
      <c r="L26" t="s">
        <v>38</v>
      </c>
    </row>
    <row r="27" spans="1:12" x14ac:dyDescent="0.2">
      <c r="A27" t="str">
        <v>CA N2O emissions</v>
      </c>
      <c r="B27" s="14">
        <f>'Policy A'!B27-'Policy B'!B27</f>
        <v>0</v>
      </c>
      <c r="C27" s="14">
        <f>'Policy A'!C27-'Policy B'!C27</f>
        <v>0</v>
      </c>
      <c r="D27" s="14">
        <f>'Policy A'!D27-'Policy B'!D27</f>
        <v>0</v>
      </c>
      <c r="E27" s="14">
        <f>'Policy A'!E27-'Policy B'!E27</f>
        <v>0</v>
      </c>
      <c r="F27" s="14">
        <f>'Policy A'!F27-'Policy B'!F27</f>
        <v>-31.862146131749185</v>
      </c>
      <c r="G27" s="14">
        <f>'Policy A'!G27-'Policy B'!G27</f>
        <v>-11.238305348887167</v>
      </c>
      <c r="H27" s="14">
        <f>'Policy A'!H27-'Policy B'!H27</f>
        <v>-6.0907003209770778</v>
      </c>
      <c r="I27" s="14">
        <f>'Policy A'!I27-'Policy B'!I27</f>
        <v>-10.57971009174311</v>
      </c>
      <c r="J27" s="14">
        <f>'Policy A'!J27-'Policy B'!J27</f>
        <v>-12.696005504587177</v>
      </c>
      <c r="K27" s="14">
        <f>'Policy A'!K27-'Policy B'!K27</f>
        <v>-11.373508256880726</v>
      </c>
      <c r="L27" t="s">
        <v>38</v>
      </c>
    </row>
    <row r="28" spans="1:12" x14ac:dyDescent="0.2">
      <c r="A28" t="str">
        <v>IA N2O emissions</v>
      </c>
      <c r="B28" s="14">
        <f>'Policy A'!B28-'Policy B'!B28</f>
        <v>0</v>
      </c>
      <c r="C28" s="14">
        <f>'Policy A'!C28-'Policy B'!C28</f>
        <v>0</v>
      </c>
      <c r="D28" s="14">
        <f>'Policy A'!D28-'Policy B'!D28</f>
        <v>0</v>
      </c>
      <c r="E28" s="14">
        <f>'Policy A'!E28-'Policy B'!E28</f>
        <v>0</v>
      </c>
      <c r="F28" s="14">
        <f>'Policy A'!F28-'Policy B'!F28</f>
        <v>-31.862146131749185</v>
      </c>
      <c r="G28" s="14">
        <f>'Policy A'!G28-'Policy B'!G28</f>
        <v>-11.238305348887167</v>
      </c>
      <c r="H28" s="14">
        <f>'Policy A'!H28-'Policy B'!H28</f>
        <v>-6.0907003209770778</v>
      </c>
      <c r="I28" s="14">
        <f>'Policy A'!I28-'Policy B'!I28</f>
        <v>-10.57971009174311</v>
      </c>
      <c r="J28" s="14">
        <f>'Policy A'!J28-'Policy B'!J28</f>
        <v>-12.696005504587177</v>
      </c>
      <c r="K28" s="14">
        <f>'Policy A'!K28-'Policy B'!K28</f>
        <v>-11.373508256880726</v>
      </c>
      <c r="L28" t="s">
        <v>38</v>
      </c>
    </row>
    <row r="29" spans="1:12" x14ac:dyDescent="0.2">
      <c r="A29" t="str">
        <v>AF N2O emissions</v>
      </c>
      <c r="B29" s="14">
        <f>'Policy A'!B29-'Policy B'!B29</f>
        <v>0</v>
      </c>
      <c r="C29" s="14">
        <f>'Policy A'!C29-'Policy B'!C29</f>
        <v>0</v>
      </c>
      <c r="D29" s="14">
        <f>'Policy A'!D29-'Policy B'!D29</f>
        <v>0</v>
      </c>
      <c r="E29" s="14">
        <f>'Policy A'!E29-'Policy B'!E29</f>
        <v>0</v>
      </c>
      <c r="F29" s="14">
        <f>'Policy A'!F29-'Policy B'!F29</f>
        <v>-31.862146131749185</v>
      </c>
      <c r="G29" s="14">
        <f>'Policy A'!G29-'Policy B'!G29</f>
        <v>-11.238305348887167</v>
      </c>
      <c r="H29" s="14">
        <f>'Policy A'!H29-'Policy B'!H29</f>
        <v>-6.0907003209770778</v>
      </c>
      <c r="I29" s="14">
        <f>'Policy A'!I29-'Policy B'!I29</f>
        <v>-10.57971009174311</v>
      </c>
      <c r="J29" s="14">
        <f>'Policy A'!J29-'Policy B'!J29</f>
        <v>-12.696005504587177</v>
      </c>
      <c r="K29" s="14">
        <f>'Policy A'!K29-'Policy B'!K29</f>
        <v>-11.373508256880726</v>
      </c>
      <c r="L29" t="s">
        <v>38</v>
      </c>
    </row>
    <row r="30" spans="1:12" x14ac:dyDescent="0.2">
      <c r="A30" t="str">
        <v>LA N2O emissions</v>
      </c>
      <c r="B30" s="14">
        <f>'Policy A'!B30-'Policy B'!B30</f>
        <v>0</v>
      </c>
      <c r="C30" s="14">
        <f>'Policy A'!C30-'Policy B'!C30</f>
        <v>0</v>
      </c>
      <c r="D30" s="14">
        <f>'Policy A'!D30-'Policy B'!D30</f>
        <v>0</v>
      </c>
      <c r="E30" s="14">
        <f>'Policy A'!E30-'Policy B'!E30</f>
        <v>0</v>
      </c>
      <c r="F30" s="14">
        <f>'Policy A'!F30-'Policy B'!F30</f>
        <v>-31.862146131749185</v>
      </c>
      <c r="G30" s="14">
        <f>'Policy A'!G30-'Policy B'!G30</f>
        <v>-11.238305348887167</v>
      </c>
      <c r="H30" s="14">
        <f>'Policy A'!H30-'Policy B'!H30</f>
        <v>-6.0907003209770778</v>
      </c>
      <c r="I30" s="14">
        <f>'Policy A'!I30-'Policy B'!I30</f>
        <v>-10.57971009174311</v>
      </c>
      <c r="J30" s="14">
        <f>'Policy A'!J30-'Policy B'!J30</f>
        <v>-12.696005504587177</v>
      </c>
      <c r="K30" s="14">
        <f>'Policy A'!K30-'Policy B'!K30</f>
        <v>-11.373508256880726</v>
      </c>
      <c r="L30" t="s">
        <v>38</v>
      </c>
    </row>
    <row r="32" spans="1:12" x14ac:dyDescent="0.2">
      <c r="A32" t="str">
        <f t="array" ref="A32:A39">R_CODE&amp;" "&amp;GLIN_NAME&amp;" emissions"</f>
        <v>EU Lin emissions</v>
      </c>
      <c r="B32" s="14">
        <f>'Policy A'!B32-'Policy B'!B32</f>
        <v>0</v>
      </c>
      <c r="C32" s="14">
        <f>'Policy A'!C32-'Policy B'!C32</f>
        <v>0</v>
      </c>
      <c r="D32" s="14">
        <f>'Policy A'!D32-'Policy B'!D32</f>
        <v>0</v>
      </c>
      <c r="E32" s="14">
        <f>'Policy A'!E32-'Policy B'!E32</f>
        <v>0</v>
      </c>
      <c r="F32" s="14">
        <f>'Policy A'!F32-'Policy B'!F32</f>
        <v>-68.926986869561333</v>
      </c>
      <c r="G32" s="14">
        <f>'Policy A'!G32-'Policy B'!G32</f>
        <v>-158.11467655018768</v>
      </c>
      <c r="H32" s="14">
        <f>'Policy A'!H32-'Policy B'!H32</f>
        <v>-180.90870104494192</v>
      </c>
      <c r="I32" s="14">
        <f>'Policy A'!I32-'Policy B'!I32</f>
        <v>-190.89041705981339</v>
      </c>
      <c r="J32" s="14">
        <f>'Policy A'!J32-'Policy B'!J32</f>
        <v>-183.59267484084953</v>
      </c>
      <c r="K32" s="14">
        <f>'Policy A'!K32-'Policy B'!K32</f>
        <v>-175.41684182248397</v>
      </c>
      <c r="L32" t="s">
        <v>38</v>
      </c>
    </row>
    <row r="33" spans="1:12" x14ac:dyDescent="0.2">
      <c r="A33" t="str">
        <v>US Lin emissions</v>
      </c>
      <c r="B33" s="14">
        <f>'Policy A'!B33-'Policy B'!B33</f>
        <v>0</v>
      </c>
      <c r="C33" s="14">
        <f>'Policy A'!C33-'Policy B'!C33</f>
        <v>0</v>
      </c>
      <c r="D33" s="14">
        <f>'Policy A'!D33-'Policy B'!D33</f>
        <v>0</v>
      </c>
      <c r="E33" s="14">
        <f>'Policy A'!E33-'Policy B'!E33</f>
        <v>0</v>
      </c>
      <c r="F33" s="14">
        <f>'Policy A'!F33-'Policy B'!F33</f>
        <v>-68.926986869561333</v>
      </c>
      <c r="G33" s="14">
        <f>'Policy A'!G33-'Policy B'!G33</f>
        <v>-158.11467655018768</v>
      </c>
      <c r="H33" s="14">
        <f>'Policy A'!H33-'Policy B'!H33</f>
        <v>-180.90870104494192</v>
      </c>
      <c r="I33" s="14">
        <f>'Policy A'!I33-'Policy B'!I33</f>
        <v>-190.89041705981339</v>
      </c>
      <c r="J33" s="14">
        <f>'Policy A'!J33-'Policy B'!J33</f>
        <v>-183.59267484084953</v>
      </c>
      <c r="K33" s="14">
        <f>'Policy A'!K33-'Policy B'!K33</f>
        <v>-175.41684182248397</v>
      </c>
      <c r="L33" t="s">
        <v>38</v>
      </c>
    </row>
    <row r="34" spans="1:12" x14ac:dyDescent="0.2">
      <c r="A34" t="str">
        <v>OT Lin emissions</v>
      </c>
      <c r="B34" s="14">
        <f>'Policy A'!B34-'Policy B'!B34</f>
        <v>0</v>
      </c>
      <c r="C34" s="14">
        <f>'Policy A'!C34-'Policy B'!C34</f>
        <v>0</v>
      </c>
      <c r="D34" s="14">
        <f>'Policy A'!D34-'Policy B'!D34</f>
        <v>0</v>
      </c>
      <c r="E34" s="14">
        <f>'Policy A'!E34-'Policy B'!E34</f>
        <v>0</v>
      </c>
      <c r="F34" s="14">
        <f>'Policy A'!F34-'Policy B'!F34</f>
        <v>-68.926986869561333</v>
      </c>
      <c r="G34" s="14">
        <f>'Policy A'!G34-'Policy B'!G34</f>
        <v>-158.11467655018768</v>
      </c>
      <c r="H34" s="14">
        <f>'Policy A'!H34-'Policy B'!H34</f>
        <v>-180.90870104494192</v>
      </c>
      <c r="I34" s="14">
        <f>'Policy A'!I34-'Policy B'!I34</f>
        <v>-190.89041705981339</v>
      </c>
      <c r="J34" s="14">
        <f>'Policy A'!J34-'Policy B'!J34</f>
        <v>-183.59267484084953</v>
      </c>
      <c r="K34" s="14">
        <f>'Policy A'!K34-'Policy B'!K34</f>
        <v>-175.41684182248397</v>
      </c>
      <c r="L34" t="s">
        <v>38</v>
      </c>
    </row>
    <row r="35" spans="1:12" x14ac:dyDescent="0.2">
      <c r="A35" t="str">
        <v>EE Lin emissions</v>
      </c>
      <c r="B35" s="14">
        <f>'Policy A'!B35-'Policy B'!B35</f>
        <v>0</v>
      </c>
      <c r="C35" s="14">
        <f>'Policy A'!C35-'Policy B'!C35</f>
        <v>0</v>
      </c>
      <c r="D35" s="14">
        <f>'Policy A'!D35-'Policy B'!D35</f>
        <v>0</v>
      </c>
      <c r="E35" s="14">
        <f>'Policy A'!E35-'Policy B'!E35</f>
        <v>0</v>
      </c>
      <c r="F35" s="14">
        <f>'Policy A'!F35-'Policy B'!F35</f>
        <v>-68.926986869561333</v>
      </c>
      <c r="G35" s="14">
        <f>'Policy A'!G35-'Policy B'!G35</f>
        <v>-158.11467655018768</v>
      </c>
      <c r="H35" s="14">
        <f>'Policy A'!H35-'Policy B'!H35</f>
        <v>-180.90870104494192</v>
      </c>
      <c r="I35" s="14">
        <f>'Policy A'!I35-'Policy B'!I35</f>
        <v>-190.89041705981339</v>
      </c>
      <c r="J35" s="14">
        <f>'Policy A'!J35-'Policy B'!J35</f>
        <v>-183.59267484084953</v>
      </c>
      <c r="K35" s="14">
        <f>'Policy A'!K35-'Policy B'!K35</f>
        <v>-175.41684182248397</v>
      </c>
      <c r="L35" t="s">
        <v>38</v>
      </c>
    </row>
    <row r="36" spans="1:12" x14ac:dyDescent="0.2">
      <c r="A36" t="str">
        <v>CA Lin emissions</v>
      </c>
      <c r="B36" s="14">
        <f>'Policy A'!B36-'Policy B'!B36</f>
        <v>0</v>
      </c>
      <c r="C36" s="14">
        <f>'Policy A'!C36-'Policy B'!C36</f>
        <v>0</v>
      </c>
      <c r="D36" s="14">
        <f>'Policy A'!D36-'Policy B'!D36</f>
        <v>0</v>
      </c>
      <c r="E36" s="14">
        <f>'Policy A'!E36-'Policy B'!E36</f>
        <v>0</v>
      </c>
      <c r="F36" s="14">
        <f>'Policy A'!F36-'Policy B'!F36</f>
        <v>-68.926986869561333</v>
      </c>
      <c r="G36" s="14">
        <f>'Policy A'!G36-'Policy B'!G36</f>
        <v>-158.11467655018768</v>
      </c>
      <c r="H36" s="14">
        <f>'Policy A'!H36-'Policy B'!H36</f>
        <v>-180.90870104494192</v>
      </c>
      <c r="I36" s="14">
        <f>'Policy A'!I36-'Policy B'!I36</f>
        <v>-190.89041705981339</v>
      </c>
      <c r="J36" s="14">
        <f>'Policy A'!J36-'Policy B'!J36</f>
        <v>-183.59267484084953</v>
      </c>
      <c r="K36" s="14">
        <f>'Policy A'!K36-'Policy B'!K36</f>
        <v>-175.41684182248397</v>
      </c>
      <c r="L36" t="s">
        <v>38</v>
      </c>
    </row>
    <row r="37" spans="1:12" x14ac:dyDescent="0.2">
      <c r="A37" t="str">
        <v>IA Lin emissions</v>
      </c>
      <c r="B37" s="14">
        <f>'Policy A'!B37-'Policy B'!B37</f>
        <v>0</v>
      </c>
      <c r="C37" s="14">
        <f>'Policy A'!C37-'Policy B'!C37</f>
        <v>0</v>
      </c>
      <c r="D37" s="14">
        <f>'Policy A'!D37-'Policy B'!D37</f>
        <v>0</v>
      </c>
      <c r="E37" s="14">
        <f>'Policy A'!E37-'Policy B'!E37</f>
        <v>0</v>
      </c>
      <c r="F37" s="14">
        <f>'Policy A'!F37-'Policy B'!F37</f>
        <v>-68.926986869561333</v>
      </c>
      <c r="G37" s="14">
        <f>'Policy A'!G37-'Policy B'!G37</f>
        <v>-158.11467655018768</v>
      </c>
      <c r="H37" s="14">
        <f>'Policy A'!H37-'Policy B'!H37</f>
        <v>-180.90870104494192</v>
      </c>
      <c r="I37" s="14">
        <f>'Policy A'!I37-'Policy B'!I37</f>
        <v>-190.89041705981339</v>
      </c>
      <c r="J37" s="14">
        <f>'Policy A'!J37-'Policy B'!J37</f>
        <v>-183.59267484084953</v>
      </c>
      <c r="K37" s="14">
        <f>'Policy A'!K37-'Policy B'!K37</f>
        <v>-175.41684182248397</v>
      </c>
      <c r="L37" t="s">
        <v>38</v>
      </c>
    </row>
    <row r="38" spans="1:12" x14ac:dyDescent="0.2">
      <c r="A38" t="str">
        <v>AF Lin emissions</v>
      </c>
      <c r="B38" s="14">
        <f>'Policy A'!B38-'Policy B'!B38</f>
        <v>0</v>
      </c>
      <c r="C38" s="14">
        <f>'Policy A'!C38-'Policy B'!C38</f>
        <v>0</v>
      </c>
      <c r="D38" s="14">
        <f>'Policy A'!D38-'Policy B'!D38</f>
        <v>0</v>
      </c>
      <c r="E38" s="14">
        <f>'Policy A'!E38-'Policy B'!E38</f>
        <v>0</v>
      </c>
      <c r="F38" s="14">
        <f>'Policy A'!F38-'Policy B'!F38</f>
        <v>-68.926986869561333</v>
      </c>
      <c r="G38" s="14">
        <f>'Policy A'!G38-'Policy B'!G38</f>
        <v>-158.11467655018768</v>
      </c>
      <c r="H38" s="14">
        <f>'Policy A'!H38-'Policy B'!H38</f>
        <v>-180.90870104494192</v>
      </c>
      <c r="I38" s="14">
        <f>'Policy A'!I38-'Policy B'!I38</f>
        <v>-190.89041705981339</v>
      </c>
      <c r="J38" s="14">
        <f>'Policy A'!J38-'Policy B'!J38</f>
        <v>-183.59267484084953</v>
      </c>
      <c r="K38" s="14">
        <f>'Policy A'!K38-'Policy B'!K38</f>
        <v>-175.41684182248397</v>
      </c>
      <c r="L38" t="s">
        <v>38</v>
      </c>
    </row>
    <row r="39" spans="1:12" x14ac:dyDescent="0.2">
      <c r="A39" t="str">
        <v>LA Lin emissions</v>
      </c>
      <c r="B39" s="14">
        <f>'Policy A'!B39-'Policy B'!B39</f>
        <v>0</v>
      </c>
      <c r="C39" s="14">
        <f>'Policy A'!C39-'Policy B'!C39</f>
        <v>0</v>
      </c>
      <c r="D39" s="14">
        <f>'Policy A'!D39-'Policy B'!D39</f>
        <v>0</v>
      </c>
      <c r="E39" s="14">
        <f>'Policy A'!E39-'Policy B'!E39</f>
        <v>0</v>
      </c>
      <c r="F39" s="14">
        <f>'Policy A'!F39-'Policy B'!F39</f>
        <v>-68.926986869561333</v>
      </c>
      <c r="G39" s="14">
        <f>'Policy A'!G39-'Policy B'!G39</f>
        <v>-158.11467655018768</v>
      </c>
      <c r="H39" s="14">
        <f>'Policy A'!H39-'Policy B'!H39</f>
        <v>-180.90870104494192</v>
      </c>
      <c r="I39" s="14">
        <f>'Policy A'!I39-'Policy B'!I39</f>
        <v>-190.89041705981339</v>
      </c>
      <c r="J39" s="14">
        <f>'Policy A'!J39-'Policy B'!J39</f>
        <v>-183.59267484084953</v>
      </c>
      <c r="K39" s="14">
        <f>'Policy A'!K39-'Policy B'!K39</f>
        <v>-175.41684182248397</v>
      </c>
      <c r="L39" t="s">
        <v>38</v>
      </c>
    </row>
    <row r="41" spans="1:12" x14ac:dyDescent="0.2">
      <c r="A41" t="str">
        <f t="array" ref="A41:A48">R_CODE&amp;" sulphates"</f>
        <v>EU sulphates</v>
      </c>
      <c r="B41" s="14">
        <f>'Policy A'!B41-'Policy B'!B41</f>
        <v>0</v>
      </c>
      <c r="C41" s="14">
        <f>'Policy A'!C41-'Policy B'!C41</f>
        <v>0</v>
      </c>
      <c r="D41" s="14">
        <f>'Policy A'!D41-'Policy B'!D41</f>
        <v>0</v>
      </c>
      <c r="E41" s="14">
        <f>'Policy A'!E41-'Policy B'!E41</f>
        <v>0</v>
      </c>
      <c r="F41" s="14">
        <f>'Policy A'!F41-'Policy B'!F41</f>
        <v>-24.357237515727007</v>
      </c>
      <c r="G41" s="14">
        <f>'Policy A'!G41-'Policy B'!G41</f>
        <v>-55.87038024721808</v>
      </c>
      <c r="H41" s="14">
        <f>'Policy A'!H41-'Policy B'!H41</f>
        <v>-80.032411560147722</v>
      </c>
      <c r="I41" s="14">
        <f>'Policy A'!I41-'Policy B'!I41</f>
        <v>-92.002917098262472</v>
      </c>
      <c r="J41" s="14">
        <f>'Policy A'!J41-'Policy B'!J41</f>
        <v>-85.748195463891818</v>
      </c>
      <c r="K41" s="14">
        <f>'Policy A'!K41-'Policy B'!K41</f>
        <v>-66.349432756359292</v>
      </c>
      <c r="L41" t="s">
        <v>38</v>
      </c>
    </row>
    <row r="42" spans="1:12" x14ac:dyDescent="0.2">
      <c r="A42" t="str">
        <v>US sulphates</v>
      </c>
      <c r="B42" s="14">
        <f>'Policy A'!B42-'Policy B'!B42</f>
        <v>0</v>
      </c>
      <c r="C42" s="14">
        <f>'Policy A'!C42-'Policy B'!C42</f>
        <v>0</v>
      </c>
      <c r="D42" s="14">
        <f>'Policy A'!D42-'Policy B'!D42</f>
        <v>0</v>
      </c>
      <c r="E42" s="14">
        <f>'Policy A'!E42-'Policy B'!E42</f>
        <v>0</v>
      </c>
      <c r="F42" s="14">
        <f>'Policy A'!F42-'Policy B'!F42</f>
        <v>-13.617245145599526</v>
      </c>
      <c r="G42" s="14">
        <f>'Policy A'!G42-'Policy B'!G42</f>
        <v>-26.683001124085088</v>
      </c>
      <c r="H42" s="14">
        <f>'Policy A'!H42-'Policy B'!H42</f>
        <v>-34.073628343190038</v>
      </c>
      <c r="I42" s="14">
        <f>'Policy A'!I42-'Policy B'!I42</f>
        <v>-37.403548806126629</v>
      </c>
      <c r="J42" s="14">
        <f>'Policy A'!J42-'Policy B'!J42</f>
        <v>-35.975899870706797</v>
      </c>
      <c r="K42" s="14">
        <f>'Policy A'!K42-'Policy B'!K42</f>
        <v>-31.338087627394529</v>
      </c>
      <c r="L42" t="s">
        <v>38</v>
      </c>
    </row>
    <row r="43" spans="1:12" x14ac:dyDescent="0.2">
      <c r="A43" t="str">
        <v>OT sulphates</v>
      </c>
      <c r="B43" s="14">
        <f>'Policy A'!B43-'Policy B'!B43</f>
        <v>0</v>
      </c>
      <c r="C43" s="14">
        <f>'Policy A'!C43-'Policy B'!C43</f>
        <v>0</v>
      </c>
      <c r="D43" s="14">
        <f>'Policy A'!D43-'Policy B'!D43</f>
        <v>0</v>
      </c>
      <c r="E43" s="14">
        <f>'Policy A'!E43-'Policy B'!E43</f>
        <v>0</v>
      </c>
      <c r="F43" s="14">
        <f>'Policy A'!F43-'Policy B'!F43</f>
        <v>-3.2788818398146731</v>
      </c>
      <c r="G43" s="14">
        <f>'Policy A'!G43-'Policy B'!G43</f>
        <v>-6.1475831472754336</v>
      </c>
      <c r="H43" s="14">
        <f>'Policy A'!H43-'Policy B'!H43</f>
        <v>-8.7886859726460749</v>
      </c>
      <c r="I43" s="14">
        <f>'Policy A'!I43-'Policy B'!I43</f>
        <v>-10.508147718582613</v>
      </c>
      <c r="J43" s="14">
        <f>'Policy A'!J43-'Policy B'!J43</f>
        <v>-11.488156176060969</v>
      </c>
      <c r="K43" s="14">
        <f>'Policy A'!K43-'Policy B'!K43</f>
        <v>-11.319718854536408</v>
      </c>
      <c r="L43" t="s">
        <v>38</v>
      </c>
    </row>
    <row r="44" spans="1:12" x14ac:dyDescent="0.2">
      <c r="A44" t="str">
        <v>EE sulphates</v>
      </c>
      <c r="B44" s="14">
        <f>'Policy A'!B44-'Policy B'!B44</f>
        <v>0</v>
      </c>
      <c r="C44" s="14">
        <f>'Policy A'!C44-'Policy B'!C44</f>
        <v>0</v>
      </c>
      <c r="D44" s="14">
        <f>'Policy A'!D44-'Policy B'!D44</f>
        <v>0</v>
      </c>
      <c r="E44" s="14">
        <f>'Policy A'!E44-'Policy B'!E44</f>
        <v>0</v>
      </c>
      <c r="F44" s="14">
        <f>'Policy A'!F44-'Policy B'!F44</f>
        <v>-2.6304472335382805</v>
      </c>
      <c r="G44" s="14">
        <f>'Policy A'!G44-'Policy B'!G44</f>
        <v>-3.6015428101312139</v>
      </c>
      <c r="H44" s="14">
        <f>'Policy A'!H44-'Policy B'!H44</f>
        <v>-3.7847816727954147</v>
      </c>
      <c r="I44" s="14">
        <f>'Policy A'!I44-'Policy B'!I44</f>
        <v>-3.5913975632930288</v>
      </c>
      <c r="J44" s="14">
        <f>'Policy A'!J44-'Policy B'!J44</f>
        <v>-2.9858860697176048</v>
      </c>
      <c r="K44" s="14">
        <f>'Policy A'!K44-'Policy B'!K44</f>
        <v>-1.9104305644534598</v>
      </c>
      <c r="L44" t="s">
        <v>38</v>
      </c>
    </row>
    <row r="45" spans="1:12" x14ac:dyDescent="0.2">
      <c r="A45" t="str">
        <v>CA sulphates</v>
      </c>
      <c r="B45" s="14">
        <f>'Policy A'!B45-'Policy B'!B45</f>
        <v>0</v>
      </c>
      <c r="C45" s="14">
        <f>'Policy A'!C45-'Policy B'!C45</f>
        <v>0</v>
      </c>
      <c r="D45" s="14">
        <f>'Policy A'!D45-'Policy B'!D45</f>
        <v>0</v>
      </c>
      <c r="E45" s="14">
        <f>'Policy A'!E45-'Policy B'!E45</f>
        <v>0</v>
      </c>
      <c r="F45" s="14">
        <f>'Policy A'!F45-'Policy B'!F45</f>
        <v>-10.163241781994071</v>
      </c>
      <c r="G45" s="14">
        <f>'Policy A'!G45-'Policy B'!G45</f>
        <v>-12.964445447387121</v>
      </c>
      <c r="H45" s="14">
        <f>'Policy A'!H45-'Policy B'!H45</f>
        <v>-14.479334696646267</v>
      </c>
      <c r="I45" s="14">
        <f>'Policy A'!I45-'Policy B'!I45</f>
        <v>-12.645665772975654</v>
      </c>
      <c r="J45" s="14">
        <f>'Policy A'!J45-'Policy B'!J45</f>
        <v>-9.2572541377056012</v>
      </c>
      <c r="K45" s="14">
        <f>'Policy A'!K45-'Policy B'!K45</f>
        <v>-6.6309691889690754</v>
      </c>
      <c r="L45" t="s">
        <v>38</v>
      </c>
    </row>
    <row r="46" spans="1:12" x14ac:dyDescent="0.2">
      <c r="A46" t="str">
        <v>IA sulphates</v>
      </c>
      <c r="B46" s="14">
        <f>'Policy A'!B46-'Policy B'!B46</f>
        <v>0</v>
      </c>
      <c r="C46" s="14">
        <f>'Policy A'!C46-'Policy B'!C46</f>
        <v>0</v>
      </c>
      <c r="D46" s="14">
        <f>'Policy A'!D46-'Policy B'!D46</f>
        <v>0</v>
      </c>
      <c r="E46" s="14">
        <f>'Policy A'!E46-'Policy B'!E46</f>
        <v>0</v>
      </c>
      <c r="F46" s="14">
        <f>'Policy A'!F46-'Policy B'!F46</f>
        <v>-50.059449375020634</v>
      </c>
      <c r="G46" s="14">
        <f>'Policy A'!G46-'Policy B'!G46</f>
        <v>-76.411915384493625</v>
      </c>
      <c r="H46" s="14">
        <f>'Policy A'!H46-'Policy B'!H46</f>
        <v>-73.250213070225939</v>
      </c>
      <c r="I46" s="14">
        <f>'Policy A'!I46-'Policy B'!I46</f>
        <v>-54.72704337481121</v>
      </c>
      <c r="J46" s="14">
        <f>'Policy A'!J46-'Policy B'!J46</f>
        <v>-33.506781791148086</v>
      </c>
      <c r="K46" s="14">
        <f>'Policy A'!K46-'Policy B'!K46</f>
        <v>-14.145539891194577</v>
      </c>
      <c r="L46" t="s">
        <v>38</v>
      </c>
    </row>
    <row r="47" spans="1:12" x14ac:dyDescent="0.2">
      <c r="A47" t="str">
        <v>AF sulphates</v>
      </c>
      <c r="B47" s="14">
        <f>'Policy A'!B47-'Policy B'!B47</f>
        <v>0</v>
      </c>
      <c r="C47" s="14">
        <f>'Policy A'!C47-'Policy B'!C47</f>
        <v>0</v>
      </c>
      <c r="D47" s="14">
        <f>'Policy A'!D47-'Policy B'!D47</f>
        <v>0</v>
      </c>
      <c r="E47" s="14">
        <f>'Policy A'!E47-'Policy B'!E47</f>
        <v>0</v>
      </c>
      <c r="F47" s="14">
        <f>'Policy A'!F47-'Policy B'!F47</f>
        <v>-31.348149465017826</v>
      </c>
      <c r="G47" s="14">
        <f>'Policy A'!G47-'Policy B'!G47</f>
        <v>-68.117162256919727</v>
      </c>
      <c r="H47" s="14">
        <f>'Policy A'!H47-'Policy B'!H47</f>
        <v>-87.456528903827945</v>
      </c>
      <c r="I47" s="14">
        <f>'Policy A'!I47-'Policy B'!I47</f>
        <v>-84.700914611383979</v>
      </c>
      <c r="J47" s="14">
        <f>'Policy A'!J47-'Policy B'!J47</f>
        <v>-62.726235321511076</v>
      </c>
      <c r="K47" s="14">
        <f>'Policy A'!K47-'Policy B'!K47</f>
        <v>-30.674913508416918</v>
      </c>
      <c r="L47" t="s">
        <v>38</v>
      </c>
    </row>
    <row r="48" spans="1:12" x14ac:dyDescent="0.2">
      <c r="A48" t="str">
        <v>LA sulphates</v>
      </c>
      <c r="B48" s="14">
        <f>'Policy A'!B48-'Policy B'!B48</f>
        <v>0</v>
      </c>
      <c r="C48" s="14">
        <f>'Policy A'!C48-'Policy B'!C48</f>
        <v>0</v>
      </c>
      <c r="D48" s="14">
        <f>'Policy A'!D48-'Policy B'!D48</f>
        <v>0</v>
      </c>
      <c r="E48" s="14">
        <f>'Policy A'!E48-'Policy B'!E48</f>
        <v>0</v>
      </c>
      <c r="F48" s="14">
        <f>'Policy A'!F48-'Policy B'!F48</f>
        <v>-28.35542327509107</v>
      </c>
      <c r="G48" s="14">
        <f>'Policy A'!G48-'Policy B'!G48</f>
        <v>-51.169082745248062</v>
      </c>
      <c r="H48" s="14">
        <f>'Policy A'!H48-'Policy B'!H48</f>
        <v>-60.216277698688785</v>
      </c>
      <c r="I48" s="14">
        <f>'Policy A'!I48-'Policy B'!I48</f>
        <v>-58.846970061713598</v>
      </c>
      <c r="J48" s="14">
        <f>'Policy A'!J48-'Policy B'!J48</f>
        <v>-51.976568212898933</v>
      </c>
      <c r="K48" s="14">
        <f>'Policy A'!K48-'Policy B'!K48</f>
        <v>-41.285439792357337</v>
      </c>
      <c r="L48" t="s">
        <v>38</v>
      </c>
    </row>
    <row r="49" spans="1:12" x14ac:dyDescent="0.2">
      <c r="B49" s="4"/>
      <c r="C49" s="4"/>
      <c r="D49" s="4"/>
      <c r="E49" s="4"/>
      <c r="F49" s="4"/>
      <c r="G49" s="4"/>
      <c r="H49" s="4"/>
      <c r="I49" s="4"/>
      <c r="J49" s="4"/>
      <c r="K49" s="4"/>
    </row>
    <row r="50" spans="1:12" x14ac:dyDescent="0.2">
      <c r="A50" t="s">
        <v>35</v>
      </c>
      <c r="B50" s="33">
        <f>'Policy A'!B50-'Policy B'!B50</f>
        <v>0</v>
      </c>
      <c r="C50" s="33">
        <f>'Policy A'!C50-'Policy B'!C50</f>
        <v>0</v>
      </c>
      <c r="D50" s="33">
        <f>'Policy A'!D50-'Policy B'!D50</f>
        <v>0</v>
      </c>
      <c r="E50" s="33">
        <f>'Policy A'!E50-'Policy B'!E50</f>
        <v>0</v>
      </c>
      <c r="F50" s="33">
        <f>'Policy A'!F50-'Policy B'!F50</f>
        <v>-0.13359999999999994</v>
      </c>
      <c r="G50" s="33">
        <f>'Policy A'!G50-'Policy B'!G50</f>
        <v>-0.19279999999999997</v>
      </c>
      <c r="H50" s="33">
        <f>'Policy A'!H50-'Policy B'!H50</f>
        <v>-0.23959999999999998</v>
      </c>
      <c r="I50" s="33">
        <f>'Policy A'!I50-'Policy B'!I50</f>
        <v>-0.25430000000000003</v>
      </c>
      <c r="J50" s="33">
        <f>'Policy A'!J50-'Policy B'!J50</f>
        <v>-0.19960000000000003</v>
      </c>
      <c r="K50" s="33">
        <f>'Policy A'!K50-'Policy B'!K50</f>
        <v>-0.11360000000000003</v>
      </c>
      <c r="L50" t="s">
        <v>42</v>
      </c>
    </row>
    <row r="51" spans="1:12" x14ac:dyDescent="0.2">
      <c r="B51" s="61"/>
      <c r="C51" s="61"/>
      <c r="D51" s="61"/>
      <c r="E51" s="61"/>
      <c r="F51" s="61"/>
      <c r="G51" s="61"/>
      <c r="H51" s="61"/>
      <c r="I51" s="61"/>
      <c r="J51" s="61"/>
      <c r="K51" s="61"/>
    </row>
    <row r="52" spans="1:12" x14ac:dyDescent="0.2">
      <c r="A52" s="2" t="s">
        <v>195</v>
      </c>
    </row>
    <row r="53" spans="1:12" x14ac:dyDescent="0.2">
      <c r="A53" s="2"/>
    </row>
    <row r="54" spans="1:12" x14ac:dyDescent="0.2">
      <c r="A54" s="2"/>
    </row>
    <row r="55" spans="1:12" x14ac:dyDescent="0.2">
      <c r="A55" s="2"/>
      <c r="B55" s="3" t="s">
        <v>200</v>
      </c>
      <c r="C55" s="3" t="s">
        <v>196</v>
      </c>
      <c r="D55" s="3" t="s">
        <v>197</v>
      </c>
      <c r="F55" s="3" t="s">
        <v>408</v>
      </c>
      <c r="G55" s="3" t="s">
        <v>198</v>
      </c>
      <c r="H55" s="3" t="s">
        <v>199</v>
      </c>
      <c r="I55" s="3" t="s">
        <v>409</v>
      </c>
    </row>
    <row r="56" spans="1:12" s="2" customFormat="1" x14ac:dyDescent="0.2">
      <c r="A56" t="str">
        <f t="array" ref="A56:A63">R_CODE&amp;" sea level"</f>
        <v>EU sea level</v>
      </c>
      <c r="B56" s="14">
        <f>'Policy A'!B56-'Policy B'!B56</f>
        <v>0</v>
      </c>
      <c r="C56" s="14">
        <f>'Policy A'!C56-'Policy B'!C56</f>
        <v>0</v>
      </c>
      <c r="D56" s="14">
        <f>'Policy A'!D56-'Policy B'!D56</f>
        <v>0</v>
      </c>
      <c r="E56"/>
      <c r="F56" s="14">
        <f>'Policy A'!F56-'Policy B'!F56</f>
        <v>0</v>
      </c>
      <c r="G56" s="14">
        <f>'Policy A'!G56-'Policy B'!G56</f>
        <v>0</v>
      </c>
      <c r="H56" s="14">
        <f>'Policy A'!H56-'Policy B'!H56</f>
        <v>0</v>
      </c>
      <c r="I56" s="14">
        <f>'Policy A'!I56-'Policy B'!I56</f>
        <v>0</v>
      </c>
      <c r="J56"/>
      <c r="K56"/>
      <c r="L56"/>
    </row>
    <row r="57" spans="1:12" x14ac:dyDescent="0.2">
      <c r="A57" t="str">
        <v>US sea level</v>
      </c>
      <c r="B57" s="14">
        <f>'Policy A'!B57-'Policy B'!B57</f>
        <v>0</v>
      </c>
      <c r="C57" s="14">
        <f>'Policy A'!C57-'Policy B'!C57</f>
        <v>0</v>
      </c>
      <c r="D57" s="14">
        <f>'Policy A'!D57-'Policy B'!D57</f>
        <v>0</v>
      </c>
      <c r="F57" s="14">
        <f>'Policy A'!F57-'Policy B'!F57</f>
        <v>0</v>
      </c>
      <c r="G57" s="14">
        <f>'Policy A'!G57-'Policy B'!G57</f>
        <v>0</v>
      </c>
      <c r="H57" s="14">
        <f>'Policy A'!H57-'Policy B'!H57</f>
        <v>0</v>
      </c>
      <c r="I57" s="14">
        <f>'Policy A'!I57-'Policy B'!I57</f>
        <v>0</v>
      </c>
    </row>
    <row r="58" spans="1:12" x14ac:dyDescent="0.2">
      <c r="A58" t="str">
        <v>OT sea level</v>
      </c>
      <c r="B58" s="14">
        <f>'Policy A'!B58-'Policy B'!B58</f>
        <v>0</v>
      </c>
      <c r="C58" s="14">
        <f>'Policy A'!C58-'Policy B'!C58</f>
        <v>0</v>
      </c>
      <c r="D58" s="14">
        <f>'Policy A'!D58-'Policy B'!D58</f>
        <v>0</v>
      </c>
      <c r="F58" s="14">
        <f>'Policy A'!F58-'Policy B'!F58</f>
        <v>0</v>
      </c>
      <c r="G58" s="14">
        <f>'Policy A'!G58-'Policy B'!G58</f>
        <v>0</v>
      </c>
      <c r="H58" s="14">
        <f>'Policy A'!H58-'Policy B'!H58</f>
        <v>0</v>
      </c>
      <c r="I58" s="14">
        <f>'Policy A'!I58-'Policy B'!I58</f>
        <v>0</v>
      </c>
    </row>
    <row r="59" spans="1:12" x14ac:dyDescent="0.2">
      <c r="A59" t="str">
        <v>EE sea level</v>
      </c>
      <c r="B59" s="14">
        <f>'Policy A'!B59-'Policy B'!B59</f>
        <v>0</v>
      </c>
      <c r="C59" s="14">
        <f>'Policy A'!C59-'Policy B'!C59</f>
        <v>0</v>
      </c>
      <c r="D59" s="14">
        <f>'Policy A'!D59-'Policy B'!D59</f>
        <v>0</v>
      </c>
      <c r="F59" s="14">
        <f>'Policy A'!F59-'Policy B'!F59</f>
        <v>0</v>
      </c>
      <c r="G59" s="14">
        <f>'Policy A'!G59-'Policy B'!G59</f>
        <v>0</v>
      </c>
      <c r="H59" s="14">
        <f>'Policy A'!H59-'Policy B'!H59</f>
        <v>0</v>
      </c>
      <c r="I59" s="14">
        <f>'Policy A'!I59-'Policy B'!I59</f>
        <v>0</v>
      </c>
    </row>
    <row r="60" spans="1:12" x14ac:dyDescent="0.2">
      <c r="A60" t="str">
        <v>CA sea level</v>
      </c>
      <c r="B60" s="14">
        <f>'Policy A'!B60-'Policy B'!B60</f>
        <v>0</v>
      </c>
      <c r="C60" s="14">
        <f>'Policy A'!C60-'Policy B'!C60</f>
        <v>0</v>
      </c>
      <c r="D60" s="14">
        <f>'Policy A'!D60-'Policy B'!D60</f>
        <v>0</v>
      </c>
      <c r="F60" s="14">
        <f>'Policy A'!F60-'Policy B'!F60</f>
        <v>0</v>
      </c>
      <c r="G60" s="14">
        <f>'Policy A'!G60-'Policy B'!G60</f>
        <v>0</v>
      </c>
      <c r="H60" s="14">
        <f>'Policy A'!H60-'Policy B'!H60</f>
        <v>0</v>
      </c>
      <c r="I60" s="14">
        <f>'Policy A'!I60-'Policy B'!I60</f>
        <v>0</v>
      </c>
    </row>
    <row r="61" spans="1:12" x14ac:dyDescent="0.2">
      <c r="A61" t="str">
        <v>IA sea level</v>
      </c>
      <c r="B61" s="14">
        <f>'Policy A'!B61-'Policy B'!B61</f>
        <v>0</v>
      </c>
      <c r="C61" s="14">
        <f>'Policy A'!C61-'Policy B'!C61</f>
        <v>0</v>
      </c>
      <c r="D61" s="14">
        <f>'Policy A'!D61-'Policy B'!D61</f>
        <v>0</v>
      </c>
      <c r="F61" s="14">
        <f>'Policy A'!F61-'Policy B'!F61</f>
        <v>0</v>
      </c>
      <c r="G61" s="14">
        <f>'Policy A'!G61-'Policy B'!G61</f>
        <v>0</v>
      </c>
      <c r="H61" s="14">
        <f>'Policy A'!H61-'Policy B'!H61</f>
        <v>0</v>
      </c>
      <c r="I61" s="14">
        <f>'Policy A'!I61-'Policy B'!I61</f>
        <v>0</v>
      </c>
    </row>
    <row r="62" spans="1:12" x14ac:dyDescent="0.2">
      <c r="A62" t="str">
        <v>AF sea level</v>
      </c>
      <c r="B62" s="14">
        <f>'Policy A'!B62-'Policy B'!B62</f>
        <v>0</v>
      </c>
      <c r="C62" s="14">
        <f>'Policy A'!C62-'Policy B'!C62</f>
        <v>0</v>
      </c>
      <c r="D62" s="14">
        <f>'Policy A'!D62-'Policy B'!D62</f>
        <v>0</v>
      </c>
      <c r="F62" s="14">
        <f>'Policy A'!F62-'Policy B'!F62</f>
        <v>0</v>
      </c>
      <c r="G62" s="14">
        <f>'Policy A'!G62-'Policy B'!G62</f>
        <v>0</v>
      </c>
      <c r="H62" s="14">
        <f>'Policy A'!H62-'Policy B'!H62</f>
        <v>0</v>
      </c>
      <c r="I62" s="14">
        <f>'Policy A'!I62-'Policy B'!I62</f>
        <v>0</v>
      </c>
    </row>
    <row r="63" spans="1:12" x14ac:dyDescent="0.2">
      <c r="A63" t="str">
        <v>LA sea level</v>
      </c>
      <c r="B63" s="14">
        <f>'Policy A'!B63-'Policy B'!B63</f>
        <v>0</v>
      </c>
      <c r="C63" s="14">
        <f>'Policy A'!C63-'Policy B'!C63</f>
        <v>0</v>
      </c>
      <c r="D63" s="14">
        <f>'Policy A'!D63-'Policy B'!D63</f>
        <v>0</v>
      </c>
      <c r="F63" s="14">
        <f>'Policy A'!F63-'Policy B'!F63</f>
        <v>0</v>
      </c>
      <c r="G63" s="14">
        <f>'Policy A'!G63-'Policy B'!G63</f>
        <v>0</v>
      </c>
      <c r="H63" s="14">
        <f>'Policy A'!H63-'Policy B'!H63</f>
        <v>0</v>
      </c>
      <c r="I63" s="14">
        <f>'Policy A'!I63-'Policy B'!I63</f>
        <v>0</v>
      </c>
    </row>
    <row r="68" spans="1:9" x14ac:dyDescent="0.2">
      <c r="A68" s="2"/>
      <c r="B68" s="3" t="s">
        <v>200</v>
      </c>
      <c r="C68" s="3" t="s">
        <v>196</v>
      </c>
      <c r="D68" s="3" t="s">
        <v>197</v>
      </c>
      <c r="F68" s="3" t="s">
        <v>408</v>
      </c>
      <c r="G68" s="3" t="s">
        <v>198</v>
      </c>
      <c r="H68" s="3" t="s">
        <v>199</v>
      </c>
      <c r="I68" s="3" t="s">
        <v>409</v>
      </c>
    </row>
    <row r="69" spans="1:9" x14ac:dyDescent="0.2">
      <c r="A69" t="str">
        <f t="array" ref="A69:A76">R_CODE&amp;" "&amp;I_1_NAME</f>
        <v>EU Economic</v>
      </c>
      <c r="B69" s="14">
        <f>'Policy A'!B69-'Policy B'!B69</f>
        <v>0</v>
      </c>
      <c r="C69" s="14">
        <f>'Policy A'!C69-'Policy B'!C69</f>
        <v>0</v>
      </c>
      <c r="D69" s="14">
        <f>'Policy A'!D69-'Policy B'!D69</f>
        <v>0</v>
      </c>
      <c r="F69" s="14">
        <f>'Policy A'!F69-'Policy B'!F69</f>
        <v>0</v>
      </c>
      <c r="G69" s="14">
        <f>'Policy A'!G69-'Policy B'!G69</f>
        <v>0</v>
      </c>
      <c r="H69" s="14">
        <f>'Policy A'!H69-'Policy B'!H69</f>
        <v>0</v>
      </c>
      <c r="I69" s="14">
        <f>'Policy A'!I69-'Policy B'!I69</f>
        <v>0</v>
      </c>
    </row>
    <row r="70" spans="1:9" x14ac:dyDescent="0.2">
      <c r="A70" t="str">
        <v>US Economic</v>
      </c>
      <c r="B70" s="14">
        <f>'Policy A'!B70-'Policy B'!B70</f>
        <v>0</v>
      </c>
      <c r="C70" s="14">
        <f>'Policy A'!C70-'Policy B'!C70</f>
        <v>0</v>
      </c>
      <c r="D70" s="14">
        <f>'Policy A'!D70-'Policy B'!D70</f>
        <v>0</v>
      </c>
      <c r="F70" s="14">
        <f>'Policy A'!F70-'Policy B'!F70</f>
        <v>0</v>
      </c>
      <c r="G70" s="14">
        <f>'Policy A'!G70-'Policy B'!G70</f>
        <v>0</v>
      </c>
      <c r="H70" s="14">
        <f>'Policy A'!H70-'Policy B'!H70</f>
        <v>0</v>
      </c>
      <c r="I70" s="14">
        <f>'Policy A'!I70-'Policy B'!I70</f>
        <v>0</v>
      </c>
    </row>
    <row r="71" spans="1:9" x14ac:dyDescent="0.2">
      <c r="A71" t="str">
        <v>OT Economic</v>
      </c>
      <c r="B71" s="14">
        <f>'Policy A'!B71-'Policy B'!B71</f>
        <v>0</v>
      </c>
      <c r="C71" s="14">
        <f>'Policy A'!C71-'Policy B'!C71</f>
        <v>0</v>
      </c>
      <c r="D71" s="14">
        <f>'Policy A'!D71-'Policy B'!D71</f>
        <v>0</v>
      </c>
      <c r="F71" s="14">
        <f>'Policy A'!F71-'Policy B'!F71</f>
        <v>0</v>
      </c>
      <c r="G71" s="14">
        <f>'Policy A'!G71-'Policy B'!G71</f>
        <v>0</v>
      </c>
      <c r="H71" s="14">
        <f>'Policy A'!H71-'Policy B'!H71</f>
        <v>0</v>
      </c>
      <c r="I71" s="14">
        <f>'Policy A'!I71-'Policy B'!I71</f>
        <v>0</v>
      </c>
    </row>
    <row r="72" spans="1:9" x14ac:dyDescent="0.2">
      <c r="A72" t="str">
        <v>EE Economic</v>
      </c>
      <c r="B72" s="14">
        <f>'Policy A'!B72-'Policy B'!B72</f>
        <v>0</v>
      </c>
      <c r="C72" s="14">
        <f>'Policy A'!C72-'Policy B'!C72</f>
        <v>0</v>
      </c>
      <c r="D72" s="14">
        <f>'Policy A'!D72-'Policy B'!D72</f>
        <v>0</v>
      </c>
      <c r="F72" s="14">
        <f>'Policy A'!F72-'Policy B'!F72</f>
        <v>0</v>
      </c>
      <c r="G72" s="14">
        <f>'Policy A'!G72-'Policy B'!G72</f>
        <v>0</v>
      </c>
      <c r="H72" s="14">
        <f>'Policy A'!H72-'Policy B'!H72</f>
        <v>0</v>
      </c>
      <c r="I72" s="14">
        <f>'Policy A'!I72-'Policy B'!I72</f>
        <v>0</v>
      </c>
    </row>
    <row r="73" spans="1:9" x14ac:dyDescent="0.2">
      <c r="A73" t="str">
        <v>CA Economic</v>
      </c>
      <c r="B73" s="14">
        <f>'Policy A'!B73-'Policy B'!B73</f>
        <v>0</v>
      </c>
      <c r="C73" s="14">
        <f>'Policy A'!C73-'Policy B'!C73</f>
        <v>0</v>
      </c>
      <c r="D73" s="14">
        <f>'Policy A'!D73-'Policy B'!D73</f>
        <v>0</v>
      </c>
      <c r="F73" s="14">
        <f>'Policy A'!F73-'Policy B'!F73</f>
        <v>0</v>
      </c>
      <c r="G73" s="14">
        <f>'Policy A'!G73-'Policy B'!G73</f>
        <v>0</v>
      </c>
      <c r="H73" s="14">
        <f>'Policy A'!H73-'Policy B'!H73</f>
        <v>0</v>
      </c>
      <c r="I73" s="14">
        <f>'Policy A'!I73-'Policy B'!I73</f>
        <v>0</v>
      </c>
    </row>
    <row r="74" spans="1:9" x14ac:dyDescent="0.2">
      <c r="A74" t="str">
        <v>IA Economic</v>
      </c>
      <c r="B74" s="14">
        <f>'Policy A'!B74-'Policy B'!B74</f>
        <v>0</v>
      </c>
      <c r="C74" s="14">
        <f>'Policy A'!C74-'Policy B'!C74</f>
        <v>0</v>
      </c>
      <c r="D74" s="14">
        <f>'Policy A'!D74-'Policy B'!D74</f>
        <v>0</v>
      </c>
      <c r="F74" s="14">
        <f>'Policy A'!F74-'Policy B'!F74</f>
        <v>0</v>
      </c>
      <c r="G74" s="14">
        <f>'Policy A'!G74-'Policy B'!G74</f>
        <v>0</v>
      </c>
      <c r="H74" s="14">
        <f>'Policy A'!H74-'Policy B'!H74</f>
        <v>0</v>
      </c>
      <c r="I74" s="14">
        <f>'Policy A'!I74-'Policy B'!I74</f>
        <v>0</v>
      </c>
    </row>
    <row r="75" spans="1:9" x14ac:dyDescent="0.2">
      <c r="A75" t="str">
        <v>AF Economic</v>
      </c>
      <c r="B75" s="14">
        <f>'Policy A'!B75-'Policy B'!B75</f>
        <v>0</v>
      </c>
      <c r="C75" s="14">
        <f>'Policy A'!C75-'Policy B'!C75</f>
        <v>0</v>
      </c>
      <c r="D75" s="14">
        <f>'Policy A'!D75-'Policy B'!D75</f>
        <v>0</v>
      </c>
      <c r="F75" s="14">
        <f>'Policy A'!F75-'Policy B'!F75</f>
        <v>0</v>
      </c>
      <c r="G75" s="14">
        <f>'Policy A'!G75-'Policy B'!G75</f>
        <v>0</v>
      </c>
      <c r="H75" s="14">
        <f>'Policy A'!H75-'Policy B'!H75</f>
        <v>0</v>
      </c>
      <c r="I75" s="14">
        <f>'Policy A'!I75-'Policy B'!I75</f>
        <v>0</v>
      </c>
    </row>
    <row r="76" spans="1:9" x14ac:dyDescent="0.2">
      <c r="A76" t="str">
        <v>LA Economic</v>
      </c>
      <c r="B76" s="14">
        <f>'Policy A'!B76-'Policy B'!B76</f>
        <v>0</v>
      </c>
      <c r="C76" s="14">
        <f>'Policy A'!C76-'Policy B'!C76</f>
        <v>0</v>
      </c>
      <c r="D76" s="14">
        <f>'Policy A'!D76-'Policy B'!D76</f>
        <v>0</v>
      </c>
      <c r="F76" s="14">
        <f>'Policy A'!F76-'Policy B'!F76</f>
        <v>0</v>
      </c>
      <c r="G76" s="14">
        <f>'Policy A'!G76-'Policy B'!G76</f>
        <v>0</v>
      </c>
      <c r="H76" s="14">
        <f>'Policy A'!H76-'Policy B'!H76</f>
        <v>0</v>
      </c>
      <c r="I76" s="14">
        <f>'Policy A'!I76-'Policy B'!I76</f>
        <v>0</v>
      </c>
    </row>
    <row r="81" spans="1:9" x14ac:dyDescent="0.2">
      <c r="A81" s="2"/>
      <c r="B81" s="3" t="s">
        <v>200</v>
      </c>
      <c r="C81" s="3" t="s">
        <v>196</v>
      </c>
      <c r="D81" s="3" t="s">
        <v>197</v>
      </c>
      <c r="F81" s="3" t="s">
        <v>408</v>
      </c>
      <c r="G81" s="3" t="s">
        <v>198</v>
      </c>
      <c r="H81" s="3" t="s">
        <v>199</v>
      </c>
      <c r="I81" s="3" t="s">
        <v>409</v>
      </c>
    </row>
    <row r="82" spans="1:9" x14ac:dyDescent="0.2">
      <c r="A82" t="str">
        <f t="array" ref="A82:A89">R_CODE&amp;" "&amp;I_2_NAME</f>
        <v>EU Non-econ</v>
      </c>
      <c r="B82" s="14">
        <f>'Policy A'!B82-'Policy B'!B82</f>
        <v>0</v>
      </c>
      <c r="C82" s="14">
        <f>'Policy A'!C82-'Policy B'!C82</f>
        <v>0</v>
      </c>
      <c r="D82" s="14">
        <f>'Policy A'!D82-'Policy B'!D82</f>
        <v>0</v>
      </c>
      <c r="F82" s="14">
        <f>'Policy A'!F82-'Policy B'!F82</f>
        <v>0</v>
      </c>
      <c r="G82" s="14">
        <f>'Policy A'!G82-'Policy B'!G82</f>
        <v>0</v>
      </c>
      <c r="H82" s="14">
        <f>'Policy A'!H82-'Policy B'!H82</f>
        <v>0</v>
      </c>
      <c r="I82" s="14">
        <f>'Policy A'!I82-'Policy B'!I82</f>
        <v>0</v>
      </c>
    </row>
    <row r="83" spans="1:9" x14ac:dyDescent="0.2">
      <c r="A83" t="str">
        <v>US Non-econ</v>
      </c>
      <c r="B83" s="14">
        <f>'Policy A'!B83-'Policy B'!B83</f>
        <v>0</v>
      </c>
      <c r="C83" s="14">
        <f>'Policy A'!C83-'Policy B'!C83</f>
        <v>0</v>
      </c>
      <c r="D83" s="14">
        <f>'Policy A'!D83-'Policy B'!D83</f>
        <v>0</v>
      </c>
      <c r="F83" s="14">
        <f>'Policy A'!F83-'Policy B'!F83</f>
        <v>0</v>
      </c>
      <c r="G83" s="14">
        <f>'Policy A'!G83-'Policy B'!G83</f>
        <v>0</v>
      </c>
      <c r="H83" s="14">
        <f>'Policy A'!H83-'Policy B'!H83</f>
        <v>0</v>
      </c>
      <c r="I83" s="14">
        <f>'Policy A'!I83-'Policy B'!I83</f>
        <v>0</v>
      </c>
    </row>
    <row r="84" spans="1:9" x14ac:dyDescent="0.2">
      <c r="A84" t="str">
        <v>OT Non-econ</v>
      </c>
      <c r="B84" s="14">
        <f>'Policy A'!B84-'Policy B'!B84</f>
        <v>0</v>
      </c>
      <c r="C84" s="14">
        <f>'Policy A'!C84-'Policy B'!C84</f>
        <v>0</v>
      </c>
      <c r="D84" s="14">
        <f>'Policy A'!D84-'Policy B'!D84</f>
        <v>0</v>
      </c>
      <c r="F84" s="14">
        <f>'Policy A'!F84-'Policy B'!F84</f>
        <v>0</v>
      </c>
      <c r="G84" s="14">
        <f>'Policy A'!G84-'Policy B'!G84</f>
        <v>0</v>
      </c>
      <c r="H84" s="14">
        <f>'Policy A'!H84-'Policy B'!H84</f>
        <v>0</v>
      </c>
      <c r="I84" s="14">
        <f>'Policy A'!I84-'Policy B'!I84</f>
        <v>0</v>
      </c>
    </row>
    <row r="85" spans="1:9" x14ac:dyDescent="0.2">
      <c r="A85" t="str">
        <v>EE Non-econ</v>
      </c>
      <c r="B85" s="14">
        <f>'Policy A'!B85-'Policy B'!B85</f>
        <v>0</v>
      </c>
      <c r="C85" s="14">
        <f>'Policy A'!C85-'Policy B'!C85</f>
        <v>0</v>
      </c>
      <c r="D85" s="14">
        <f>'Policy A'!D85-'Policy B'!D85</f>
        <v>0</v>
      </c>
      <c r="F85" s="14">
        <f>'Policy A'!F85-'Policy B'!F85</f>
        <v>0</v>
      </c>
      <c r="G85" s="14">
        <f>'Policy A'!G85-'Policy B'!G85</f>
        <v>0</v>
      </c>
      <c r="H85" s="14">
        <f>'Policy A'!H85-'Policy B'!H85</f>
        <v>0</v>
      </c>
      <c r="I85" s="14">
        <f>'Policy A'!I85-'Policy B'!I85</f>
        <v>0</v>
      </c>
    </row>
    <row r="86" spans="1:9" x14ac:dyDescent="0.2">
      <c r="A86" t="str">
        <v>CA Non-econ</v>
      </c>
      <c r="B86" s="14">
        <f>'Policy A'!B86-'Policy B'!B86</f>
        <v>0</v>
      </c>
      <c r="C86" s="14">
        <f>'Policy A'!C86-'Policy B'!C86</f>
        <v>0</v>
      </c>
      <c r="D86" s="14">
        <f>'Policy A'!D86-'Policy B'!D86</f>
        <v>0</v>
      </c>
      <c r="F86" s="14">
        <f>'Policy A'!F86-'Policy B'!F86</f>
        <v>0</v>
      </c>
      <c r="G86" s="14">
        <f>'Policy A'!G86-'Policy B'!G86</f>
        <v>0</v>
      </c>
      <c r="H86" s="14">
        <f>'Policy A'!H86-'Policy B'!H86</f>
        <v>0</v>
      </c>
      <c r="I86" s="14">
        <f>'Policy A'!I86-'Policy B'!I86</f>
        <v>0</v>
      </c>
    </row>
    <row r="87" spans="1:9" x14ac:dyDescent="0.2">
      <c r="A87" t="str">
        <v>IA Non-econ</v>
      </c>
      <c r="B87" s="14">
        <f>'Policy A'!B87-'Policy B'!B87</f>
        <v>0</v>
      </c>
      <c r="C87" s="14">
        <f>'Policy A'!C87-'Policy B'!C87</f>
        <v>0</v>
      </c>
      <c r="D87" s="14">
        <f>'Policy A'!D87-'Policy B'!D87</f>
        <v>0</v>
      </c>
      <c r="F87" s="14">
        <f>'Policy A'!F87-'Policy B'!F87</f>
        <v>0</v>
      </c>
      <c r="G87" s="14">
        <f>'Policy A'!G87-'Policy B'!G87</f>
        <v>0</v>
      </c>
      <c r="H87" s="14">
        <f>'Policy A'!H87-'Policy B'!H87</f>
        <v>0</v>
      </c>
      <c r="I87" s="14">
        <f>'Policy A'!I87-'Policy B'!I87</f>
        <v>0</v>
      </c>
    </row>
    <row r="88" spans="1:9" x14ac:dyDescent="0.2">
      <c r="A88" t="str">
        <v>AF Non-econ</v>
      </c>
      <c r="B88" s="14">
        <f>'Policy A'!B88-'Policy B'!B88</f>
        <v>0</v>
      </c>
      <c r="C88" s="14">
        <f>'Policy A'!C88-'Policy B'!C88</f>
        <v>0</v>
      </c>
      <c r="D88" s="14">
        <f>'Policy A'!D88-'Policy B'!D88</f>
        <v>0</v>
      </c>
      <c r="F88" s="14">
        <f>'Policy A'!F88-'Policy B'!F88</f>
        <v>0</v>
      </c>
      <c r="G88" s="14">
        <f>'Policy A'!G88-'Policy B'!G88</f>
        <v>0</v>
      </c>
      <c r="H88" s="14">
        <f>'Policy A'!H88-'Policy B'!H88</f>
        <v>0</v>
      </c>
      <c r="I88" s="14">
        <f>'Policy A'!I88-'Policy B'!I88</f>
        <v>0</v>
      </c>
    </row>
    <row r="89" spans="1:9" x14ac:dyDescent="0.2">
      <c r="A89" t="str">
        <v>LA Non-econ</v>
      </c>
      <c r="B89" s="14">
        <f>'Policy A'!B89-'Policy B'!B89</f>
        <v>0</v>
      </c>
      <c r="C89" s="14">
        <f>'Policy A'!C89-'Policy B'!C89</f>
        <v>0</v>
      </c>
      <c r="D89" s="14">
        <f>'Policy A'!D89-'Policy B'!D89</f>
        <v>0</v>
      </c>
      <c r="F89" s="14">
        <f>'Policy A'!F89-'Policy B'!F89</f>
        <v>0</v>
      </c>
      <c r="G89" s="14">
        <f>'Policy A'!G89-'Policy B'!G89</f>
        <v>0</v>
      </c>
      <c r="H89" s="14">
        <f>'Policy A'!H89-'Policy B'!H89</f>
        <v>0</v>
      </c>
      <c r="I89" s="14">
        <f>'Policy A'!I89-'Policy B'!I89</f>
        <v>0</v>
      </c>
    </row>
  </sheetData>
  <phoneticPr fontId="21" type="noConversion"/>
  <pageMargins left="0.75" right="0.75" top="1" bottom="1" header="0.5" footer="0.5"/>
  <pageSetup paperSize="9" orientation="portrait" horizontalDpi="36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142"/>
  <sheetViews>
    <sheetView workbookViewId="0">
      <selection activeCell="B5" sqref="B5"/>
    </sheetView>
  </sheetViews>
  <sheetFormatPr defaultRowHeight="12.75" x14ac:dyDescent="0.2"/>
  <cols>
    <col min="1" max="12" width="10.5703125" customWidth="1"/>
    <col min="13" max="13" width="8.5703125" bestFit="1" customWidth="1"/>
  </cols>
  <sheetData>
    <row r="1" spans="1:17" x14ac:dyDescent="0.2">
      <c r="A1" s="2" t="str">
        <f>MODEL_NAME</f>
        <v>PAGE-ICE Nonlinear Arctic Feedbacks</v>
      </c>
      <c r="B1" t="s">
        <v>37</v>
      </c>
      <c r="C1" s="51" t="str">
        <f>VERSION</f>
        <v>6.22</v>
      </c>
    </row>
    <row r="3" spans="1:17" x14ac:dyDescent="0.2">
      <c r="A3" s="2" t="s">
        <v>568</v>
      </c>
    </row>
    <row r="4" spans="1:17" s="2" customFormat="1" x14ac:dyDescent="0.2">
      <c r="A4" s="2" t="s">
        <v>567</v>
      </c>
      <c r="B4" s="2">
        <f>Y_0</f>
        <v>2015</v>
      </c>
      <c r="C4" s="2">
        <f t="array" ref="C4:L4">Y</f>
        <v>2020</v>
      </c>
      <c r="D4" s="2">
        <v>2025</v>
      </c>
      <c r="E4" s="2">
        <v>2030</v>
      </c>
      <c r="F4" s="2">
        <v>2040</v>
      </c>
      <c r="G4" s="2">
        <v>2050</v>
      </c>
      <c r="H4" s="2">
        <v>2060</v>
      </c>
      <c r="I4" s="2">
        <v>2070</v>
      </c>
      <c r="J4" s="2">
        <v>2080</v>
      </c>
      <c r="K4" s="2">
        <v>2090</v>
      </c>
      <c r="L4" s="2">
        <v>2100</v>
      </c>
    </row>
    <row r="5" spans="1:17" x14ac:dyDescent="0.2">
      <c r="A5" t="str">
        <f t="array" ref="A5:A12">R_CODE&amp;" "&amp;'Base data'!$B$12</f>
        <v>EU CO2</v>
      </c>
      <c r="B5" s="27">
        <f t="array" ref="B5:B12" xml:space="preserve"> E_CO2_0</f>
        <v>3315.451</v>
      </c>
      <c r="C5" s="27">
        <f t="array" ref="C5:L12" xml:space="preserve"> E_CO2_0 * er_co2_a/100</f>
        <v>3554.3259904278584</v>
      </c>
      <c r="D5" s="27">
        <v>3817.7038110344351</v>
      </c>
      <c r="E5" s="27">
        <v>4081.0816316410123</v>
      </c>
      <c r="F5" s="27">
        <v>4866.0517765384875</v>
      </c>
      <c r="G5" s="27">
        <v>3625.2575011155368</v>
      </c>
      <c r="H5" s="27">
        <v>921.64177767466924</v>
      </c>
      <c r="I5" s="27">
        <v>-691.61070190471946</v>
      </c>
      <c r="J5" s="27">
        <v>-1256.3224571388109</v>
      </c>
      <c r="K5" s="27">
        <v>-1559.9660223204278</v>
      </c>
      <c r="L5" s="27">
        <v>-1632.4460201211236</v>
      </c>
      <c r="M5" t="str">
        <f>'Base data'!$F$35</f>
        <v>Mtonne</v>
      </c>
    </row>
    <row r="6" spans="1:17" x14ac:dyDescent="0.2">
      <c r="A6" t="str">
        <v>US CO2</v>
      </c>
      <c r="B6" s="28">
        <v>4990.1930000000002</v>
      </c>
      <c r="C6" s="28">
        <v>5320.9839027661328</v>
      </c>
      <c r="D6" s="28">
        <v>6110.2151788697802</v>
      </c>
      <c r="E6" s="28">
        <v>6899.4464549734257</v>
      </c>
      <c r="F6" s="28">
        <v>8585.1683102995958</v>
      </c>
      <c r="G6" s="28">
        <v>6073.0956092418719</v>
      </c>
      <c r="H6" s="28">
        <v>762.53018135526281</v>
      </c>
      <c r="I6" s="28">
        <v>-2088.3958585334158</v>
      </c>
      <c r="J6" s="28">
        <v>-3052.3251228606373</v>
      </c>
      <c r="K6" s="28">
        <v>-3221.9171729704517</v>
      </c>
      <c r="L6" s="28">
        <v>-3205.9490308526701</v>
      </c>
      <c r="M6" t="str">
        <f>'Base data'!$F$35</f>
        <v>Mtonne</v>
      </c>
    </row>
    <row r="7" spans="1:17" x14ac:dyDescent="0.2">
      <c r="A7" t="str">
        <v>OT CO2</v>
      </c>
      <c r="B7" s="28">
        <v>3109.335</v>
      </c>
      <c r="C7" s="28">
        <v>3333.3595349311463</v>
      </c>
      <c r="D7" s="28">
        <v>3580.3636003918491</v>
      </c>
      <c r="E7" s="28">
        <v>3827.3676658525515</v>
      </c>
      <c r="F7" s="28">
        <v>4563.5375400219455</v>
      </c>
      <c r="G7" s="28">
        <v>3399.8813531646465</v>
      </c>
      <c r="H7" s="28">
        <v>864.344861916544</v>
      </c>
      <c r="I7" s="28">
        <v>-648.61443037671529</v>
      </c>
      <c r="J7" s="28">
        <v>-1178.2190076908707</v>
      </c>
      <c r="K7" s="28">
        <v>-1462.9855642600921</v>
      </c>
      <c r="L7" s="28">
        <v>-1530.9596027729904</v>
      </c>
      <c r="M7" t="str">
        <f>'Base data'!$F$35</f>
        <v>Mtonne</v>
      </c>
    </row>
    <row r="8" spans="1:17" x14ac:dyDescent="0.2">
      <c r="A8" t="str">
        <v>EE CO2</v>
      </c>
      <c r="B8" s="28">
        <v>3101.0040000000004</v>
      </c>
      <c r="C8" s="28">
        <v>3271.4527626950508</v>
      </c>
      <c r="D8" s="28">
        <v>3522.7356026370403</v>
      </c>
      <c r="E8" s="28">
        <v>3774.0184425790299</v>
      </c>
      <c r="F8" s="28">
        <v>4635.8825729937744</v>
      </c>
      <c r="G8" s="28">
        <v>2814.3941828170609</v>
      </c>
      <c r="H8" s="28">
        <v>-146.97056019913191</v>
      </c>
      <c r="I8" s="28">
        <v>-1449.9576440829335</v>
      </c>
      <c r="J8" s="28">
        <v>-1742.0444076840761</v>
      </c>
      <c r="K8" s="28">
        <v>-1806.5633747653408</v>
      </c>
      <c r="L8" s="28">
        <v>-1821.9176643554381</v>
      </c>
      <c r="M8" t="str">
        <f>'Base data'!$F$35</f>
        <v>Mtonne</v>
      </c>
    </row>
    <row r="9" spans="1:17" x14ac:dyDescent="0.2">
      <c r="A9" t="str">
        <v>CA CO2</v>
      </c>
      <c r="B9" s="28">
        <v>10471.290000000001</v>
      </c>
      <c r="C9" s="28">
        <v>11375.143539882933</v>
      </c>
      <c r="D9" s="28">
        <v>12689.41821297189</v>
      </c>
      <c r="E9" s="28">
        <v>14003.692886060846</v>
      </c>
      <c r="F9" s="28">
        <v>16564.806271949023</v>
      </c>
      <c r="G9" s="28">
        <v>10654.197970839175</v>
      </c>
      <c r="H9" s="28">
        <v>2741.8824826601917</v>
      </c>
      <c r="I9" s="28">
        <v>-1164.0560289767602</v>
      </c>
      <c r="J9" s="28">
        <v>-2249.5698631596897</v>
      </c>
      <c r="K9" s="28">
        <v>-2405.4347722881571</v>
      </c>
      <c r="L9" s="28">
        <v>-2445.0331456134281</v>
      </c>
      <c r="M9" t="str">
        <f>'Base data'!$F$35</f>
        <v>Mtonne</v>
      </c>
    </row>
    <row r="10" spans="1:17" x14ac:dyDescent="0.2">
      <c r="A10" t="str">
        <v>IA CO2</v>
      </c>
      <c r="B10" s="28">
        <v>5651.3629999999994</v>
      </c>
      <c r="C10" s="28">
        <v>6866.3178324033179</v>
      </c>
      <c r="D10" s="28">
        <v>8347.4830843543768</v>
      </c>
      <c r="E10" s="28">
        <v>9828.648336305434</v>
      </c>
      <c r="F10" s="28">
        <v>13992.392198927802</v>
      </c>
      <c r="G10" s="28">
        <v>11087.2995950362</v>
      </c>
      <c r="H10" s="28">
        <v>3900.5409153124147</v>
      </c>
      <c r="I10" s="28">
        <v>-239.71175781837817</v>
      </c>
      <c r="J10" s="28">
        <v>-1635.950947121285</v>
      </c>
      <c r="K10" s="28">
        <v>-2248.2764806612163</v>
      </c>
      <c r="L10" s="28">
        <v>-2282.8092152407526</v>
      </c>
      <c r="M10" t="str">
        <f>'Base data'!$F$35</f>
        <v>Mtonne</v>
      </c>
    </row>
    <row r="11" spans="1:17" x14ac:dyDescent="0.2">
      <c r="A11" t="str">
        <v>AF CO2</v>
      </c>
      <c r="B11" s="28">
        <v>5496.6130000000003</v>
      </c>
      <c r="C11" s="28">
        <v>6668.3547153508352</v>
      </c>
      <c r="D11" s="28">
        <v>7806.2033343743642</v>
      </c>
      <c r="E11" s="28">
        <v>8944.0519533978895</v>
      </c>
      <c r="F11" s="28">
        <v>13423.099909795947</v>
      </c>
      <c r="G11" s="28">
        <v>10260.150128286828</v>
      </c>
      <c r="H11" s="28">
        <v>828.54575735919161</v>
      </c>
      <c r="I11" s="28">
        <v>-4281.0103099496318</v>
      </c>
      <c r="J11" s="28">
        <v>-6340.5490361734128</v>
      </c>
      <c r="K11" s="28">
        <v>-7638.2343131671214</v>
      </c>
      <c r="L11" s="28">
        <v>-8184.3747239100949</v>
      </c>
      <c r="M11" t="str">
        <f>'Base data'!$F$35</f>
        <v>Mtonne</v>
      </c>
    </row>
    <row r="12" spans="1:17" ht="13.5" thickBot="1" x14ac:dyDescent="0.25">
      <c r="A12" t="str">
        <v>LA CO2</v>
      </c>
      <c r="B12" s="36">
        <v>3017.4769999999999</v>
      </c>
      <c r="C12" s="36">
        <v>3556.4560323346732</v>
      </c>
      <c r="D12" s="36">
        <v>4286.5486599037404</v>
      </c>
      <c r="E12" s="36">
        <v>5016.6412874728076</v>
      </c>
      <c r="F12" s="36">
        <v>6688.4403967870094</v>
      </c>
      <c r="G12" s="36">
        <v>5109.6697252126396</v>
      </c>
      <c r="H12" s="36">
        <v>729.69468993001908</v>
      </c>
      <c r="I12" s="36">
        <v>-1872.4276199668052</v>
      </c>
      <c r="J12" s="36">
        <v>-3256.9917826244287</v>
      </c>
      <c r="K12" s="36">
        <v>-3659.9829061615783</v>
      </c>
      <c r="L12" s="36">
        <v>-4239.6615767013018</v>
      </c>
      <c r="M12" t="str">
        <f>'Base data'!$F$35</f>
        <v>Mtonne</v>
      </c>
    </row>
    <row r="13" spans="1:17" s="2" customFormat="1" ht="13.5" thickTop="1" x14ac:dyDescent="0.2">
      <c r="A13" s="2" t="s">
        <v>778</v>
      </c>
    </row>
    <row r="14" spans="1:17" s="2" customFormat="1" x14ac:dyDescent="0.2">
      <c r="A14" s="2" t="str">
        <f>"Total "&amp;'Base data'!B12</f>
        <v>Total CO2</v>
      </c>
      <c r="B14" s="43">
        <f>E_CO2_G_0</f>
        <v>39152.725999999995</v>
      </c>
      <c r="C14" s="43">
        <f t="shared" ref="C14:L14" si="0">SUM(C5:C12)</f>
        <v>43946.394310791948</v>
      </c>
      <c r="D14" s="43">
        <f t="shared" si="0"/>
        <v>50160.671484537481</v>
      </c>
      <c r="E14" s="43">
        <f t="shared" si="0"/>
        <v>56374.948658282992</v>
      </c>
      <c r="F14" s="43">
        <f t="shared" si="0"/>
        <v>73319.37897731358</v>
      </c>
      <c r="G14" s="43">
        <f t="shared" si="0"/>
        <v>53023.946065713957</v>
      </c>
      <c r="H14" s="43">
        <f t="shared" si="0"/>
        <v>10602.210106009161</v>
      </c>
      <c r="I14" s="43">
        <f t="shared" si="0"/>
        <v>-12435.78435160936</v>
      </c>
      <c r="J14" s="43">
        <f t="shared" si="0"/>
        <v>-20711.972624453207</v>
      </c>
      <c r="K14" s="43">
        <f t="shared" si="0"/>
        <v>-24003.360606594386</v>
      </c>
      <c r="L14" s="43">
        <f t="shared" si="0"/>
        <v>-25343.150979567799</v>
      </c>
      <c r="M14" s="2" t="str">
        <f>'Base data'!$F$35</f>
        <v>Mtonne</v>
      </c>
      <c r="Q14" s="124" t="s">
        <v>780</v>
      </c>
    </row>
    <row r="15" spans="1:17" s="2" customFormat="1" x14ac:dyDescent="0.2">
      <c r="B15" s="44"/>
      <c r="C15" s="44"/>
      <c r="D15" s="44"/>
      <c r="E15" s="44"/>
      <c r="F15" s="44"/>
      <c r="G15" s="44"/>
      <c r="H15" s="44"/>
      <c r="I15" s="44"/>
      <c r="J15" s="44"/>
      <c r="K15" s="44"/>
      <c r="L15" s="44"/>
    </row>
    <row r="16" spans="1:17" s="2" customFormat="1" x14ac:dyDescent="0.2">
      <c r="B16" s="44"/>
      <c r="C16" s="44"/>
      <c r="D16" s="44"/>
      <c r="E16" s="44"/>
      <c r="F16" s="44"/>
      <c r="G16" s="44"/>
      <c r="H16" s="44"/>
      <c r="I16" s="44"/>
      <c r="J16" s="44"/>
      <c r="K16" s="44"/>
      <c r="L16" s="44"/>
    </row>
    <row r="17" spans="2:12" s="2" customFormat="1" x14ac:dyDescent="0.2">
      <c r="B17" s="44"/>
      <c r="C17" s="44"/>
      <c r="D17" s="44"/>
      <c r="E17" s="44"/>
      <c r="F17" s="44"/>
      <c r="G17" s="44"/>
      <c r="H17" s="44"/>
      <c r="I17" s="44"/>
      <c r="J17" s="44"/>
      <c r="K17" s="44"/>
      <c r="L17" s="44"/>
    </row>
    <row r="18" spans="2:12" s="2" customFormat="1" x14ac:dyDescent="0.2">
      <c r="B18" s="44"/>
      <c r="C18" s="44"/>
      <c r="D18" s="44"/>
      <c r="E18" s="44"/>
      <c r="F18" s="44"/>
      <c r="G18" s="44"/>
      <c r="H18" s="44"/>
      <c r="I18" s="44"/>
      <c r="J18" s="44"/>
      <c r="K18" s="44"/>
      <c r="L18" s="44"/>
    </row>
    <row r="19" spans="2:12" s="2" customFormat="1" x14ac:dyDescent="0.2">
      <c r="B19" s="44"/>
      <c r="C19" s="44"/>
      <c r="D19" s="44"/>
      <c r="E19" s="44"/>
      <c r="F19" s="44"/>
      <c r="G19" s="44"/>
      <c r="H19" s="44"/>
      <c r="I19" s="44"/>
      <c r="J19" s="44"/>
      <c r="K19" s="44"/>
      <c r="L19" s="44"/>
    </row>
    <row r="20" spans="2:12" s="2" customFormat="1" x14ac:dyDescent="0.2">
      <c r="B20" s="44"/>
      <c r="C20" s="44"/>
      <c r="D20" s="44"/>
      <c r="E20" s="44"/>
      <c r="F20" s="44"/>
      <c r="G20" s="44"/>
      <c r="H20" s="44"/>
      <c r="I20" s="44"/>
      <c r="J20" s="44"/>
      <c r="K20" s="44"/>
      <c r="L20" s="44"/>
    </row>
    <row r="21" spans="2:12" s="2" customFormat="1" x14ac:dyDescent="0.2">
      <c r="B21" s="44"/>
      <c r="C21" s="44"/>
      <c r="D21" s="44"/>
      <c r="E21" s="44"/>
      <c r="F21" s="44"/>
      <c r="G21" s="44"/>
      <c r="H21" s="44"/>
      <c r="I21" s="44"/>
      <c r="J21" s="44"/>
      <c r="K21" s="44"/>
      <c r="L21" s="44"/>
    </row>
    <row r="22" spans="2:12" s="2" customFormat="1" x14ac:dyDescent="0.2">
      <c r="B22" s="44"/>
      <c r="C22" s="44"/>
      <c r="D22" s="44"/>
      <c r="E22" s="44"/>
      <c r="F22" s="44"/>
      <c r="G22" s="44"/>
      <c r="H22" s="44"/>
      <c r="I22" s="44"/>
      <c r="J22" s="44"/>
      <c r="K22" s="44"/>
      <c r="L22" s="44"/>
    </row>
    <row r="23" spans="2:12" s="2" customFormat="1" x14ac:dyDescent="0.2">
      <c r="B23" s="44"/>
      <c r="C23" s="44"/>
      <c r="D23" s="44"/>
      <c r="E23" s="44"/>
      <c r="F23" s="44"/>
      <c r="G23" s="44"/>
      <c r="H23" s="44"/>
      <c r="I23" s="44"/>
      <c r="J23" s="44"/>
      <c r="K23" s="44"/>
      <c r="L23" s="44"/>
    </row>
    <row r="24" spans="2:12" s="2" customFormat="1" x14ac:dyDescent="0.2">
      <c r="B24" s="44"/>
      <c r="C24" s="44"/>
      <c r="D24" s="44"/>
      <c r="E24" s="44"/>
      <c r="F24" s="44"/>
      <c r="G24" s="44"/>
      <c r="H24" s="44"/>
      <c r="I24" s="44"/>
      <c r="J24" s="44"/>
      <c r="K24" s="44"/>
      <c r="L24" s="44"/>
    </row>
    <row r="25" spans="2:12" s="2" customFormat="1" x14ac:dyDescent="0.2">
      <c r="B25" s="44"/>
      <c r="C25" s="44"/>
      <c r="D25" s="44"/>
      <c r="E25" s="44"/>
      <c r="F25" s="44"/>
      <c r="G25" s="44"/>
      <c r="H25" s="44"/>
      <c r="I25" s="44"/>
      <c r="J25" s="44"/>
      <c r="K25" s="44"/>
      <c r="L25" s="44"/>
    </row>
    <row r="26" spans="2:12" s="2" customFormat="1" x14ac:dyDescent="0.2">
      <c r="B26" s="44"/>
      <c r="C26" s="44"/>
      <c r="D26" s="44"/>
      <c r="E26" s="44"/>
      <c r="F26" s="44"/>
      <c r="G26" s="44"/>
      <c r="H26" s="44"/>
      <c r="I26" s="44"/>
      <c r="J26" s="44"/>
      <c r="K26" s="44"/>
      <c r="L26" s="44"/>
    </row>
    <row r="27" spans="2:12" s="2" customFormat="1" x14ac:dyDescent="0.2">
      <c r="B27" s="44"/>
      <c r="C27" s="44"/>
      <c r="D27" s="44"/>
      <c r="E27" s="44"/>
      <c r="F27" s="44"/>
      <c r="G27" s="44"/>
      <c r="H27" s="44"/>
      <c r="I27" s="44"/>
      <c r="J27" s="44"/>
      <c r="K27" s="44"/>
      <c r="L27" s="44"/>
    </row>
    <row r="28" spans="2:12" s="2" customFormat="1" x14ac:dyDescent="0.2">
      <c r="B28" s="44"/>
      <c r="C28" s="44"/>
      <c r="D28" s="44"/>
      <c r="E28" s="44"/>
      <c r="F28" s="44"/>
      <c r="G28" s="44"/>
      <c r="H28" s="44"/>
      <c r="I28" s="44"/>
      <c r="J28" s="44"/>
      <c r="K28" s="44"/>
      <c r="L28" s="44"/>
    </row>
    <row r="29" spans="2:12" s="2" customFormat="1" x14ac:dyDescent="0.2">
      <c r="B29" s="44"/>
      <c r="C29" s="44"/>
      <c r="D29" s="44"/>
      <c r="E29" s="44"/>
      <c r="F29" s="44"/>
      <c r="G29" s="44"/>
      <c r="H29" s="44"/>
      <c r="I29" s="44"/>
      <c r="J29" s="44"/>
      <c r="K29" s="44"/>
      <c r="L29" s="44"/>
    </row>
    <row r="30" spans="2:12" s="2" customFormat="1" x14ac:dyDescent="0.2">
      <c r="B30" s="44"/>
      <c r="C30" s="44"/>
      <c r="D30" s="44"/>
      <c r="E30" s="44"/>
      <c r="F30" s="44"/>
      <c r="G30" s="44"/>
      <c r="H30" s="44"/>
      <c r="I30" s="44"/>
      <c r="J30" s="44"/>
      <c r="K30" s="44"/>
      <c r="L30" s="44"/>
    </row>
    <row r="31" spans="2:12" s="2" customFormat="1" x14ac:dyDescent="0.2">
      <c r="B31" s="44"/>
      <c r="C31" s="44"/>
      <c r="D31" s="44"/>
      <c r="E31" s="44"/>
      <c r="F31" s="44"/>
      <c r="G31" s="44"/>
      <c r="H31" s="44"/>
      <c r="I31" s="44"/>
      <c r="J31" s="44"/>
      <c r="K31" s="44"/>
      <c r="L31" s="44"/>
    </row>
    <row r="32" spans="2:12" s="2" customFormat="1" x14ac:dyDescent="0.2">
      <c r="B32" s="44"/>
      <c r="C32" s="44"/>
      <c r="D32" s="44"/>
      <c r="E32" s="44"/>
      <c r="F32" s="44"/>
      <c r="G32" s="44"/>
      <c r="H32" s="44"/>
      <c r="I32" s="44"/>
      <c r="J32" s="44"/>
      <c r="K32" s="44"/>
      <c r="L32" s="44"/>
    </row>
    <row r="33" spans="1:13" s="2" customFormat="1" x14ac:dyDescent="0.2">
      <c r="B33" s="44"/>
      <c r="C33" s="44"/>
      <c r="D33" s="44"/>
      <c r="E33" s="44"/>
      <c r="F33" s="44"/>
      <c r="G33" s="44"/>
      <c r="H33" s="44"/>
      <c r="I33" s="44"/>
      <c r="J33" s="44"/>
      <c r="K33" s="44"/>
      <c r="L33" s="44"/>
    </row>
    <row r="36" spans="1:13" x14ac:dyDescent="0.2">
      <c r="A36" t="str">
        <f t="array" ref="A36:A43">R_CODE&amp;" "&amp;'Base data'!$C$12</f>
        <v>EU CH4</v>
      </c>
      <c r="B36" s="27">
        <f t="array" ref="B36:B43" xml:space="preserve"> E_CH4_0</f>
        <v>19.994242558782453</v>
      </c>
      <c r="C36" s="27">
        <f t="array" ref="C36:L43" xml:space="preserve"> E_CH4_0 * er_ch4_a/100</f>
        <v>19.969410004695977</v>
      </c>
      <c r="D36" s="27">
        <v>21.28278055886587</v>
      </c>
      <c r="E36" s="27">
        <v>22.596151113035763</v>
      </c>
      <c r="F36" s="27">
        <v>26.698488420013209</v>
      </c>
      <c r="G36" s="27">
        <v>13.070992676818832</v>
      </c>
      <c r="H36" s="27">
        <v>16.029637124643845</v>
      </c>
      <c r="I36" s="27">
        <v>20.484557934407903</v>
      </c>
      <c r="J36" s="27">
        <v>22.78225739824747</v>
      </c>
      <c r="K36" s="27">
        <v>23.569679717357172</v>
      </c>
      <c r="L36" s="27">
        <v>23.824553560543265</v>
      </c>
      <c r="M36" t="str">
        <f>'Base data'!$F$35</f>
        <v>Mtonne</v>
      </c>
    </row>
    <row r="37" spans="1:13" x14ac:dyDescent="0.2">
      <c r="A37" t="str">
        <v>US CH4</v>
      </c>
      <c r="B37" s="28">
        <v>29.643005823505199</v>
      </c>
      <c r="C37" s="28">
        <v>28.365004171552158</v>
      </c>
      <c r="D37" s="28">
        <v>30.742487180527629</v>
      </c>
      <c r="E37" s="28">
        <v>33.1199701895031</v>
      </c>
      <c r="F37" s="28">
        <v>39.295965512903223</v>
      </c>
      <c r="G37" s="28">
        <v>17.145217539323347</v>
      </c>
      <c r="H37" s="28">
        <v>18.396225153951292</v>
      </c>
      <c r="I37" s="28">
        <v>18.535842846108942</v>
      </c>
      <c r="J37" s="28">
        <v>22.995387068326664</v>
      </c>
      <c r="K37" s="28">
        <v>27.551881096691833</v>
      </c>
      <c r="L37" s="28">
        <v>28.510851835568666</v>
      </c>
      <c r="M37" t="str">
        <f>'Base data'!$F$35</f>
        <v>Mtonne</v>
      </c>
    </row>
    <row r="38" spans="1:13" x14ac:dyDescent="0.2">
      <c r="A38" t="str">
        <v>OT CH4</v>
      </c>
      <c r="B38" s="28">
        <v>15.569057514489527</v>
      </c>
      <c r="C38" s="28">
        <v>15.630170468615585</v>
      </c>
      <c r="D38" s="28">
        <v>16.2379568625404</v>
      </c>
      <c r="E38" s="28">
        <v>16.845743256465219</v>
      </c>
      <c r="F38" s="28">
        <v>20.633097191749538</v>
      </c>
      <c r="G38" s="28">
        <v>11.0396502555807</v>
      </c>
      <c r="H38" s="28">
        <v>6.5961121487213896</v>
      </c>
      <c r="I38" s="28">
        <v>5.2333464353667827</v>
      </c>
      <c r="J38" s="28">
        <v>4.690468925572719</v>
      </c>
      <c r="K38" s="28">
        <v>4.4138850171172805</v>
      </c>
      <c r="L38" s="28">
        <v>4.141878550246247</v>
      </c>
      <c r="M38" t="str">
        <f>'Base data'!$F$35</f>
        <v>Mtonne</v>
      </c>
    </row>
    <row r="39" spans="1:13" x14ac:dyDescent="0.2">
      <c r="A39" t="str">
        <v>EE CH4</v>
      </c>
      <c r="B39" s="28">
        <v>38.738375647742181</v>
      </c>
      <c r="C39" s="28">
        <v>39.860452718641135</v>
      </c>
      <c r="D39" s="28">
        <v>41.700387277983339</v>
      </c>
      <c r="E39" s="28">
        <v>43.540321837325536</v>
      </c>
      <c r="F39" s="28">
        <v>50.420530607976055</v>
      </c>
      <c r="G39" s="28">
        <v>21.705813016562214</v>
      </c>
      <c r="H39" s="28">
        <v>12.216243015445714</v>
      </c>
      <c r="I39" s="28">
        <v>11.650085109539859</v>
      </c>
      <c r="J39" s="28">
        <v>10.572965096082548</v>
      </c>
      <c r="K39" s="28">
        <v>9.9466122604040397</v>
      </c>
      <c r="L39" s="28">
        <v>8.8749297218187859</v>
      </c>
      <c r="M39" t="str">
        <f>'Base data'!$F$35</f>
        <v>Mtonne</v>
      </c>
    </row>
    <row r="40" spans="1:13" x14ac:dyDescent="0.2">
      <c r="A40" t="str">
        <v>CA CH4</v>
      </c>
      <c r="B40" s="28">
        <v>73.281000000000006</v>
      </c>
      <c r="C40" s="28">
        <v>62.107866901038861</v>
      </c>
      <c r="D40" s="28">
        <v>55.818132407840274</v>
      </c>
      <c r="E40" s="28">
        <v>49.528397914641673</v>
      </c>
      <c r="F40" s="28">
        <v>47.775102156085374</v>
      </c>
      <c r="G40" s="28">
        <v>18.291000386132112</v>
      </c>
      <c r="H40" s="28">
        <v>12.633029655838191</v>
      </c>
      <c r="I40" s="28">
        <v>10.257079042866213</v>
      </c>
      <c r="J40" s="28">
        <v>8.59047828492006</v>
      </c>
      <c r="K40" s="28">
        <v>5.3364995825755015</v>
      </c>
      <c r="L40" s="28">
        <v>4.5053293068974662</v>
      </c>
      <c r="M40" t="str">
        <f>'Base data'!$F$35</f>
        <v>Mtonne</v>
      </c>
    </row>
    <row r="41" spans="1:13" x14ac:dyDescent="0.2">
      <c r="A41" t="str">
        <v>IA CH4</v>
      </c>
      <c r="B41" s="28">
        <v>81.960576000000003</v>
      </c>
      <c r="C41" s="28">
        <v>81.664686428398738</v>
      </c>
      <c r="D41" s="28">
        <v>83.277780372281995</v>
      </c>
      <c r="E41" s="28">
        <v>84.890874316165252</v>
      </c>
      <c r="F41" s="28">
        <v>89.693101909803772</v>
      </c>
      <c r="G41" s="28">
        <v>39.21675108981875</v>
      </c>
      <c r="H41" s="28">
        <v>30.688267558457738</v>
      </c>
      <c r="I41" s="28">
        <v>28.820868757160582</v>
      </c>
      <c r="J41" s="28">
        <v>22.562093035950035</v>
      </c>
      <c r="K41" s="28">
        <v>17.305918912309796</v>
      </c>
      <c r="L41" s="28">
        <v>14.247836075670984</v>
      </c>
      <c r="M41" t="str">
        <f>'Base data'!$F$35</f>
        <v>Mtonne</v>
      </c>
    </row>
    <row r="42" spans="1:13" x14ac:dyDescent="0.2">
      <c r="A42" t="str">
        <v>AF CH4</v>
      </c>
      <c r="B42" s="28">
        <v>67.907790545383648</v>
      </c>
      <c r="C42" s="28">
        <v>82.857884299602134</v>
      </c>
      <c r="D42" s="28">
        <v>105.7883035827101</v>
      </c>
      <c r="E42" s="28">
        <v>128.71872286581808</v>
      </c>
      <c r="F42" s="28">
        <v>187.38476168701237</v>
      </c>
      <c r="G42" s="28">
        <v>107.01928007415687</v>
      </c>
      <c r="H42" s="28">
        <v>48.894396298605841</v>
      </c>
      <c r="I42" s="28">
        <v>29.478740220905134</v>
      </c>
      <c r="J42" s="28">
        <v>24.020749533729401</v>
      </c>
      <c r="K42" s="28">
        <v>19.783116222344855</v>
      </c>
      <c r="L42" s="28">
        <v>16.471781951199468</v>
      </c>
      <c r="M42" t="str">
        <f>'Base data'!$F$35</f>
        <v>Mtonne</v>
      </c>
    </row>
    <row r="43" spans="1:13" ht="13.5" thickBot="1" x14ac:dyDescent="0.25">
      <c r="A43" t="str">
        <v>LA CH4</v>
      </c>
      <c r="B43" s="36">
        <v>60.95147103421364</v>
      </c>
      <c r="C43" s="36">
        <v>66.963795283031786</v>
      </c>
      <c r="D43" s="36">
        <v>70.784264781629716</v>
      </c>
      <c r="E43" s="36">
        <v>74.604734280227646</v>
      </c>
      <c r="F43" s="36">
        <v>78.453443130309026</v>
      </c>
      <c r="G43" s="36">
        <v>32.255499961559664</v>
      </c>
      <c r="H43" s="36">
        <v>17.996322420481143</v>
      </c>
      <c r="I43" s="36">
        <v>14.637808230459338</v>
      </c>
      <c r="J43" s="36">
        <v>12.281313766644628</v>
      </c>
      <c r="K43" s="36">
        <v>10.010498758333631</v>
      </c>
      <c r="L43" s="36">
        <v>7.8524799378725971</v>
      </c>
      <c r="M43" t="str">
        <f>'Base data'!$F$35</f>
        <v>Mtonne</v>
      </c>
    </row>
    <row r="44" spans="1:13" s="2" customFormat="1" ht="13.5" thickTop="1" x14ac:dyDescent="0.2">
      <c r="A44" s="2" t="str">
        <f>"Total "&amp;'Base data'!$C$12</f>
        <v>Total CH4</v>
      </c>
      <c r="B44" s="43">
        <f t="shared" ref="B44:L44" si="1">SUM(B36:B43)</f>
        <v>388.04551912411665</v>
      </c>
      <c r="C44" s="43">
        <f t="shared" si="1"/>
        <v>397.41927027557637</v>
      </c>
      <c r="D44" s="43">
        <f t="shared" si="1"/>
        <v>425.63209302437929</v>
      </c>
      <c r="E44" s="43">
        <f t="shared" si="1"/>
        <v>453.84491577318232</v>
      </c>
      <c r="F44" s="43">
        <f t="shared" si="1"/>
        <v>540.35449061585257</v>
      </c>
      <c r="G44" s="43">
        <f t="shared" si="1"/>
        <v>259.7442049999525</v>
      </c>
      <c r="H44" s="43">
        <f t="shared" si="1"/>
        <v>163.45023337614515</v>
      </c>
      <c r="I44" s="43">
        <f t="shared" si="1"/>
        <v>139.09832857681477</v>
      </c>
      <c r="J44" s="43">
        <f t="shared" si="1"/>
        <v>128.49571310947351</v>
      </c>
      <c r="K44" s="43">
        <f t="shared" si="1"/>
        <v>117.9180915671341</v>
      </c>
      <c r="L44" s="43">
        <f t="shared" si="1"/>
        <v>108.42964093981749</v>
      </c>
      <c r="M44" s="2" t="str">
        <f>'Base data'!$F$35</f>
        <v>Mtonne</v>
      </c>
    </row>
    <row r="67" spans="1:13" x14ac:dyDescent="0.2">
      <c r="A67" t="str">
        <f t="array" ref="A67:A74">R_CODE&amp;" "&amp;'Base data'!$D$12</f>
        <v>EU N2O</v>
      </c>
      <c r="B67" s="27">
        <f t="array" ref="B67:B74">E_N2O_0</f>
        <v>1.3595020317441551</v>
      </c>
      <c r="C67" s="27">
        <f t="array" ref="C67:L74" xml:space="preserve"> E_N2O_0 * er_n2o_a/100</f>
        <v>1.4633569897887833</v>
      </c>
      <c r="D67" s="27">
        <v>1.5203621113930392</v>
      </c>
      <c r="E67" s="27">
        <v>1.577367232997295</v>
      </c>
      <c r="F67" s="27">
        <v>1.6688024173808924</v>
      </c>
      <c r="G67" s="27">
        <v>1.2096197463602301</v>
      </c>
      <c r="H67" s="27">
        <v>1.5230801521579769</v>
      </c>
      <c r="I67" s="27">
        <v>1.59276907555734</v>
      </c>
      <c r="J67" s="27">
        <v>1.5384983098921299</v>
      </c>
      <c r="K67" s="27">
        <v>1.4767576850625697</v>
      </c>
      <c r="L67" s="27">
        <v>1.4325034867376263</v>
      </c>
      <c r="M67" t="str">
        <f>'Base data'!$F$35</f>
        <v>Mtonne</v>
      </c>
    </row>
    <row r="68" spans="1:13" x14ac:dyDescent="0.2">
      <c r="A68" t="str">
        <v>US N2O</v>
      </c>
      <c r="B68" s="28">
        <v>1.1991070347669028</v>
      </c>
      <c r="C68" s="28">
        <v>1.2907091124975016</v>
      </c>
      <c r="D68" s="28">
        <v>1.3409887301349324</v>
      </c>
      <c r="E68" s="28">
        <v>1.3912683477723626</v>
      </c>
      <c r="F68" s="28">
        <v>1.471915945392293</v>
      </c>
      <c r="G68" s="28">
        <v>1.0669079658473595</v>
      </c>
      <c r="H68" s="28">
        <v>1.3433860945565497</v>
      </c>
      <c r="I68" s="28">
        <v>1.4048530702154975</v>
      </c>
      <c r="J68" s="28">
        <v>1.3569852072981832</v>
      </c>
      <c r="K68" s="28">
        <v>1.3025287844055675</v>
      </c>
      <c r="L68" s="28">
        <v>1.2634957272343845</v>
      </c>
      <c r="M68" t="str">
        <f>'Base data'!$F$35</f>
        <v>Mtonne</v>
      </c>
    </row>
    <row r="69" spans="1:13" x14ac:dyDescent="0.2">
      <c r="A69" t="str">
        <v>OT N2O</v>
      </c>
      <c r="B69" s="28">
        <v>0.6445379422015326</v>
      </c>
      <c r="C69" s="28">
        <v>0.69377542723833929</v>
      </c>
      <c r="D69" s="28">
        <v>0.72080147274311701</v>
      </c>
      <c r="E69" s="28">
        <v>0.74782751824789473</v>
      </c>
      <c r="F69" s="28">
        <v>0.79117680659858114</v>
      </c>
      <c r="G69" s="28">
        <v>0.57347896800501752</v>
      </c>
      <c r="H69" s="28">
        <v>0.72209009192907392</v>
      </c>
      <c r="I69" s="28">
        <v>0.75512950947554103</v>
      </c>
      <c r="J69" s="28">
        <v>0.72939981815711064</v>
      </c>
      <c r="K69" s="28">
        <v>0.70012867743889617</v>
      </c>
      <c r="L69" s="28">
        <v>0.67914782617415514</v>
      </c>
      <c r="M69" t="str">
        <f>'Base data'!$F$35</f>
        <v>Mtonne</v>
      </c>
    </row>
    <row r="70" spans="1:13" x14ac:dyDescent="0.2">
      <c r="A70" t="str">
        <v>EE N2O</v>
      </c>
      <c r="B70" s="28">
        <v>0.44182528165250629</v>
      </c>
      <c r="C70" s="28">
        <v>0.47557715919123161</v>
      </c>
      <c r="D70" s="28">
        <v>0.49410328369883777</v>
      </c>
      <c r="E70" s="28">
        <v>0.51262940820644398</v>
      </c>
      <c r="F70" s="28">
        <v>0.54234497695877837</v>
      </c>
      <c r="G70" s="28">
        <v>0.39311495874882108</v>
      </c>
      <c r="H70" s="28">
        <v>0.49498662119923931</v>
      </c>
      <c r="I70" s="28">
        <v>0.51763486113565294</v>
      </c>
      <c r="J70" s="28">
        <v>0.49999737640547859</v>
      </c>
      <c r="K70" s="28">
        <v>0.47993225820942442</v>
      </c>
      <c r="L70" s="28">
        <v>0.46555006297714585</v>
      </c>
      <c r="M70" t="str">
        <f>'Base data'!$F$35</f>
        <v>Mtonne</v>
      </c>
    </row>
    <row r="71" spans="1:13" x14ac:dyDescent="0.2">
      <c r="A71" t="str">
        <v>CA N2O</v>
      </c>
      <c r="B71" s="28">
        <v>2.3215690000000002</v>
      </c>
      <c r="C71" s="28">
        <v>2.4989180921402929</v>
      </c>
      <c r="D71" s="28">
        <v>2.5962635319171539</v>
      </c>
      <c r="E71" s="28">
        <v>2.6936089716940148</v>
      </c>
      <c r="F71" s="28">
        <v>2.8497492970614666</v>
      </c>
      <c r="G71" s="28">
        <v>2.0656208224529173</v>
      </c>
      <c r="H71" s="28">
        <v>2.6009050249295043</v>
      </c>
      <c r="I71" s="28">
        <v>2.7199101021045431</v>
      </c>
      <c r="J71" s="28">
        <v>2.6272340161313763</v>
      </c>
      <c r="K71" s="28">
        <v>2.5218019407846053</v>
      </c>
      <c r="L71" s="28">
        <v>2.4462307591665597</v>
      </c>
      <c r="M71" t="str">
        <f>'Base data'!$F$35</f>
        <v>Mtonne</v>
      </c>
    </row>
    <row r="72" spans="1:13" x14ac:dyDescent="0.2">
      <c r="A72" t="str">
        <v>IA N2O</v>
      </c>
      <c r="B72" s="28">
        <v>1.1105659999999999</v>
      </c>
      <c r="C72" s="28">
        <v>1.1954042588938241</v>
      </c>
      <c r="D72" s="28">
        <v>1.24197127269838</v>
      </c>
      <c r="E72" s="28">
        <v>1.2885382865029362</v>
      </c>
      <c r="F72" s="28">
        <v>1.3632309346999225</v>
      </c>
      <c r="G72" s="28">
        <v>0.98812839691960308</v>
      </c>
      <c r="H72" s="28">
        <v>1.2441916177877372</v>
      </c>
      <c r="I72" s="28">
        <v>1.301119924694822</v>
      </c>
      <c r="J72" s="28">
        <v>1.2567865837108256</v>
      </c>
      <c r="K72" s="28">
        <v>1.2063511763679631</v>
      </c>
      <c r="L72" s="28">
        <v>1.1702002866529357</v>
      </c>
      <c r="M72" t="str">
        <f>'Base data'!$F$35</f>
        <v>Mtonne</v>
      </c>
    </row>
    <row r="73" spans="1:13" x14ac:dyDescent="0.2">
      <c r="A73" t="str">
        <v>AF N2O</v>
      </c>
      <c r="B73" s="28">
        <v>1.9485908488980486</v>
      </c>
      <c r="C73" s="28">
        <v>2.0974474273606964</v>
      </c>
      <c r="D73" s="28">
        <v>2.1791535636552233</v>
      </c>
      <c r="E73" s="28">
        <v>2.2608596999497497</v>
      </c>
      <c r="F73" s="28">
        <v>2.3919148652948157</v>
      </c>
      <c r="G73" s="28">
        <v>1.7337627405969906</v>
      </c>
      <c r="H73" s="28">
        <v>2.1830493646454538</v>
      </c>
      <c r="I73" s="28">
        <v>2.2829353488034467</v>
      </c>
      <c r="J73" s="28">
        <v>2.2051483982372555</v>
      </c>
      <c r="K73" s="28">
        <v>2.1166548073937155</v>
      </c>
      <c r="L73" s="28">
        <v>2.0532247250048927</v>
      </c>
      <c r="M73" t="str">
        <f>'Base data'!$F$35</f>
        <v>Mtonne</v>
      </c>
    </row>
    <row r="74" spans="1:13" ht="13.5" thickBot="1" x14ac:dyDescent="0.25">
      <c r="A74" t="str">
        <v>LA N2O</v>
      </c>
      <c r="B74" s="36">
        <v>1.8743015799395168</v>
      </c>
      <c r="C74" s="36">
        <v>2.0174830591888475</v>
      </c>
      <c r="D74" s="36">
        <v>2.0960741807853531</v>
      </c>
      <c r="E74" s="36">
        <v>2.1746653023818587</v>
      </c>
      <c r="F74" s="36">
        <v>2.3007240404716955</v>
      </c>
      <c r="G74" s="36">
        <v>1.667663709792587</v>
      </c>
      <c r="H74" s="36">
        <v>2.0998214558766062</v>
      </c>
      <c r="I74" s="36">
        <v>2.1958993257008501</v>
      </c>
      <c r="J74" s="36">
        <v>2.1210779723996485</v>
      </c>
      <c r="K74" s="36">
        <v>2.0359581653214378</v>
      </c>
      <c r="L74" s="36">
        <v>1.9749463301769306</v>
      </c>
      <c r="M74" t="str">
        <f>'Base data'!$F$35</f>
        <v>Mtonne</v>
      </c>
    </row>
    <row r="75" spans="1:13" s="2" customFormat="1" ht="13.5" thickTop="1" x14ac:dyDescent="0.2">
      <c r="A75" s="2" t="str">
        <f>"Total "&amp;'Base data'!$D$12</f>
        <v>Total N2O</v>
      </c>
      <c r="B75" s="43">
        <f t="shared" ref="B75:L75" si="2">SUM(B67:B74)</f>
        <v>10.899999719202661</v>
      </c>
      <c r="C75" s="43">
        <f t="shared" si="2"/>
        <v>11.732671526299518</v>
      </c>
      <c r="D75" s="43">
        <f t="shared" si="2"/>
        <v>12.189718147026037</v>
      </c>
      <c r="E75" s="43">
        <f t="shared" si="2"/>
        <v>12.646764767752556</v>
      </c>
      <c r="F75" s="43">
        <f t="shared" si="2"/>
        <v>13.379859283858446</v>
      </c>
      <c r="G75" s="43">
        <f t="shared" si="2"/>
        <v>9.6982973087235251</v>
      </c>
      <c r="H75" s="43">
        <f t="shared" si="2"/>
        <v>12.211510423082141</v>
      </c>
      <c r="I75" s="43">
        <f t="shared" si="2"/>
        <v>12.770251217687694</v>
      </c>
      <c r="J75" s="43">
        <f t="shared" si="2"/>
        <v>12.33512768223201</v>
      </c>
      <c r="K75" s="43">
        <f t="shared" si="2"/>
        <v>11.840113494984179</v>
      </c>
      <c r="L75" s="43">
        <f t="shared" si="2"/>
        <v>11.48529920412463</v>
      </c>
      <c r="M75" s="2" t="str">
        <f>'Base data'!$F$35</f>
        <v>Mtonne</v>
      </c>
    </row>
    <row r="98" spans="1:13" x14ac:dyDescent="0.2">
      <c r="A98" t="str">
        <f t="array" ref="A98:A105">R_CODE&amp;" "&amp;GLIN_NAME</f>
        <v>EU Lin</v>
      </c>
      <c r="B98" s="27">
        <f t="array" ref="B98:B105" xml:space="preserve"> E_GLIN_0</f>
        <v>83.163436219332326</v>
      </c>
      <c r="C98" s="27">
        <f t="array" ref="C98:L105" xml:space="preserve"> E_GLIN_0 * er_glin_a/100</f>
        <v>102.39466118128612</v>
      </c>
      <c r="D98" s="27">
        <v>106.34752753776658</v>
      </c>
      <c r="E98" s="27">
        <v>110.30039389424702</v>
      </c>
      <c r="F98" s="27">
        <v>114.09587900504654</v>
      </c>
      <c r="G98" s="27">
        <v>68.064476669945265</v>
      </c>
      <c r="H98" s="27">
        <v>9.0799212176763628</v>
      </c>
      <c r="I98" s="27">
        <v>8.6657704661832824</v>
      </c>
      <c r="J98" s="27">
        <v>8.402987205654167</v>
      </c>
      <c r="K98" s="27">
        <v>7.8032956310117729</v>
      </c>
      <c r="L98" s="27">
        <v>7.19507999628956</v>
      </c>
      <c r="M98" t="str">
        <f>'Base data'!$F$35</f>
        <v>Mtonne</v>
      </c>
    </row>
    <row r="99" spans="1:13" x14ac:dyDescent="0.2">
      <c r="A99" t="str">
        <v>US Lin</v>
      </c>
      <c r="B99" s="28">
        <v>216.49202882076008</v>
      </c>
      <c r="C99" s="28">
        <v>266.55497833310824</v>
      </c>
      <c r="D99" s="28">
        <v>276.84512621630557</v>
      </c>
      <c r="E99" s="28">
        <v>287.13527409950296</v>
      </c>
      <c r="F99" s="28">
        <v>297.0157252851522</v>
      </c>
      <c r="G99" s="28">
        <v>177.18624091045342</v>
      </c>
      <c r="H99" s="28">
        <v>23.636957000707298</v>
      </c>
      <c r="I99" s="28">
        <v>22.558834925617568</v>
      </c>
      <c r="J99" s="28">
        <v>21.874754471533851</v>
      </c>
      <c r="K99" s="28">
        <v>20.313630357823072</v>
      </c>
      <c r="L99" s="28">
        <v>18.730316311320156</v>
      </c>
      <c r="M99" t="str">
        <f>'Base data'!$F$35</f>
        <v>Mtonne</v>
      </c>
    </row>
    <row r="100" spans="1:13" x14ac:dyDescent="0.2">
      <c r="A100" t="str">
        <v>OT Lin</v>
      </c>
      <c r="B100" s="28">
        <v>77.97264727156184</v>
      </c>
      <c r="C100" s="28">
        <v>96.003522241707671</v>
      </c>
      <c r="D100" s="28">
        <v>99.70966364395322</v>
      </c>
      <c r="E100" s="28">
        <v>103.41580504619877</v>
      </c>
      <c r="F100" s="28">
        <v>106.97438842397457</v>
      </c>
      <c r="G100" s="28">
        <v>63.816115259020272</v>
      </c>
      <c r="H100" s="28">
        <v>8.5131823135859044</v>
      </c>
      <c r="I100" s="28">
        <v>8.1248814937610074</v>
      </c>
      <c r="J100" s="28">
        <v>7.8785003025357163</v>
      </c>
      <c r="K100" s="28">
        <v>7.3162395092467412</v>
      </c>
      <c r="L100" s="28">
        <v>6.7459866997528026</v>
      </c>
      <c r="M100" t="str">
        <f>'Base data'!$F$35</f>
        <v>Mtonne</v>
      </c>
    </row>
    <row r="101" spans="1:13" x14ac:dyDescent="0.2">
      <c r="A101" t="str">
        <v>EE Lin</v>
      </c>
      <c r="B101" s="28">
        <v>27.885191768681864</v>
      </c>
      <c r="C101" s="28">
        <v>34.333535180038908</v>
      </c>
      <c r="D101" s="28">
        <v>35.658954635960868</v>
      </c>
      <c r="E101" s="28">
        <v>36.984374091882835</v>
      </c>
      <c r="F101" s="28">
        <v>38.257022685799605</v>
      </c>
      <c r="G101" s="28">
        <v>22.822421377234846</v>
      </c>
      <c r="H101" s="28">
        <v>3.0445512584600305</v>
      </c>
      <c r="I101" s="28">
        <v>2.905684063313474</v>
      </c>
      <c r="J101" s="28">
        <v>2.8175712826663646</v>
      </c>
      <c r="K101" s="28">
        <v>2.616491152729663</v>
      </c>
      <c r="L101" s="28">
        <v>2.4125528550598889</v>
      </c>
      <c r="M101" t="str">
        <f>'Base data'!$F$35</f>
        <v>Mtonne</v>
      </c>
    </row>
    <row r="102" spans="1:13" x14ac:dyDescent="0.2">
      <c r="A102" t="str">
        <v>CA Lin</v>
      </c>
      <c r="B102" s="28">
        <v>86.554115999999993</v>
      </c>
      <c r="C102" s="28">
        <v>106.5694226281321</v>
      </c>
      <c r="D102" s="28">
        <v>110.68345240738468</v>
      </c>
      <c r="E102" s="28">
        <v>114.79748218663728</v>
      </c>
      <c r="F102" s="28">
        <v>118.74771408530485</v>
      </c>
      <c r="G102" s="28">
        <v>70.839552536433587</v>
      </c>
      <c r="H102" s="28">
        <v>9.4501212320388497</v>
      </c>
      <c r="I102" s="28">
        <v>9.0190850241111367</v>
      </c>
      <c r="J102" s="28">
        <v>8.7455877535713711</v>
      </c>
      <c r="K102" s="28">
        <v>8.1214459855601735</v>
      </c>
      <c r="L102" s="28">
        <v>7.4884326206251366</v>
      </c>
      <c r="M102" t="str">
        <f>'Base data'!$F$35</f>
        <v>Mtonne</v>
      </c>
    </row>
    <row r="103" spans="1:13" x14ac:dyDescent="0.2">
      <c r="A103" t="str">
        <v>IA Lin</v>
      </c>
      <c r="B103" s="28">
        <v>66.586636600000006</v>
      </c>
      <c r="C103" s="28">
        <v>81.984540367915614</v>
      </c>
      <c r="D103" s="28">
        <v>85.149489864628976</v>
      </c>
      <c r="E103" s="28">
        <v>88.314439361342352</v>
      </c>
      <c r="F103" s="28">
        <v>91.353378097916192</v>
      </c>
      <c r="G103" s="28">
        <v>54.497322133705495</v>
      </c>
      <c r="H103" s="28">
        <v>7.2700388772235307</v>
      </c>
      <c r="I103" s="28">
        <v>6.938439957783066</v>
      </c>
      <c r="J103" s="28">
        <v>6.7280367533355356</v>
      </c>
      <c r="K103" s="28">
        <v>6.2478804879368681</v>
      </c>
      <c r="L103" s="28">
        <v>5.7608992461219488</v>
      </c>
      <c r="M103" t="str">
        <f>'Base data'!$F$35</f>
        <v>Mtonne</v>
      </c>
    </row>
    <row r="104" spans="1:13" x14ac:dyDescent="0.2">
      <c r="A104" t="str">
        <v>AF Lin</v>
      </c>
      <c r="B104" s="28">
        <v>39.11973074395469</v>
      </c>
      <c r="C104" s="28">
        <v>48.166018110002305</v>
      </c>
      <c r="D104" s="28">
        <v>50.025429824599129</v>
      </c>
      <c r="E104" s="28">
        <v>51.884841539195968</v>
      </c>
      <c r="F104" s="28">
        <v>53.670221777520574</v>
      </c>
      <c r="G104" s="28">
        <v>32.017243654218767</v>
      </c>
      <c r="H104" s="28">
        <v>4.2711567650357516</v>
      </c>
      <c r="I104" s="28">
        <v>4.0763419927951414</v>
      </c>
      <c r="J104" s="28">
        <v>3.9527298518921925</v>
      </c>
      <c r="K104" s="28">
        <v>3.6706374565328099</v>
      </c>
      <c r="L104" s="28">
        <v>3.3845353791505692</v>
      </c>
      <c r="M104" t="str">
        <f>'Base data'!$F$35</f>
        <v>Mtonne</v>
      </c>
    </row>
    <row r="105" spans="1:13" ht="13.5" thickBot="1" x14ac:dyDescent="0.25">
      <c r="A105" t="str">
        <v>LA Lin</v>
      </c>
      <c r="B105" s="36">
        <v>33.442510938201117</v>
      </c>
      <c r="C105" s="36">
        <v>41.175963046275996</v>
      </c>
      <c r="D105" s="36">
        <v>42.765529114892999</v>
      </c>
      <c r="E105" s="36">
        <v>44.355095183510002</v>
      </c>
      <c r="F105" s="36">
        <v>45.881373534959181</v>
      </c>
      <c r="G105" s="36">
        <v>27.370766637567566</v>
      </c>
      <c r="H105" s="36">
        <v>3.6513085370750695</v>
      </c>
      <c r="I105" s="36">
        <v>3.4847661036871154</v>
      </c>
      <c r="J105" s="36">
        <v>3.3790930764033025</v>
      </c>
      <c r="K105" s="36">
        <v>3.1379391155252017</v>
      </c>
      <c r="L105" s="36">
        <v>2.893357374538239</v>
      </c>
      <c r="M105" t="str">
        <f>'Base data'!$F$35</f>
        <v>Mtonne</v>
      </c>
    </row>
    <row r="106" spans="1:13" s="2" customFormat="1" ht="13.5" thickTop="1" x14ac:dyDescent="0.2">
      <c r="A106" s="2" t="str">
        <f>"Total "&amp;'Base data'!$E$12</f>
        <v>Total Lin</v>
      </c>
      <c r="B106" s="43">
        <f t="shared" ref="B106:L106" si="3">SUM(B98:B105)</f>
        <v>631.21629836249201</v>
      </c>
      <c r="C106" s="43">
        <f t="shared" si="3"/>
        <v>777.18264108846699</v>
      </c>
      <c r="D106" s="43">
        <f t="shared" si="3"/>
        <v>807.18517324549191</v>
      </c>
      <c r="E106" s="43">
        <f t="shared" si="3"/>
        <v>837.18770540251705</v>
      </c>
      <c r="F106" s="43">
        <f t="shared" si="3"/>
        <v>865.99570289567373</v>
      </c>
      <c r="G106" s="43">
        <f t="shared" si="3"/>
        <v>516.61413917857919</v>
      </c>
      <c r="H106" s="43">
        <f t="shared" si="3"/>
        <v>68.917237201802806</v>
      </c>
      <c r="I106" s="43">
        <f t="shared" si="3"/>
        <v>65.773804027251799</v>
      </c>
      <c r="J106" s="43">
        <f t="shared" si="3"/>
        <v>63.779260697592498</v>
      </c>
      <c r="K106" s="43">
        <f t="shared" si="3"/>
        <v>59.227559696366299</v>
      </c>
      <c r="L106" s="43">
        <f t="shared" si="3"/>
        <v>54.611160482858303</v>
      </c>
      <c r="M106" s="2" t="str">
        <f>'Base data'!$F$35</f>
        <v>Mtonne</v>
      </c>
    </row>
    <row r="128" spans="1:1" x14ac:dyDescent="0.2">
      <c r="A128" s="59" t="s">
        <v>190</v>
      </c>
    </row>
    <row r="129" spans="1:13" x14ac:dyDescent="0.2">
      <c r="A129" s="1" t="str">
        <f t="array" ref="A129:A136">R_CODE</f>
        <v>EU</v>
      </c>
      <c r="B129" s="27">
        <f t="array" ref="B129:B136" xml:space="preserve"> (SE_0/AREA)</f>
        <v>1.0849637089238828E-6</v>
      </c>
      <c r="C129" s="27">
        <f t="array" ref="C129:L136" xml:space="preserve"> (SE_0/AREA) * pse_a/100</f>
        <v>8.5385866600092218E-7</v>
      </c>
      <c r="D129" s="27">
        <v>7.0109124547898554E-7</v>
      </c>
      <c r="E129" s="27">
        <v>5.4832382495704879E-7</v>
      </c>
      <c r="F129" s="27">
        <v>5.7864121081330711E-7</v>
      </c>
      <c r="G129" s="27">
        <v>4.3078638879207399E-7</v>
      </c>
      <c r="H129" s="27">
        <v>2.8885066831306828E-7</v>
      </c>
      <c r="I129" s="27">
        <v>2.0314420529805817E-7</v>
      </c>
      <c r="J129" s="27">
        <v>1.6823799363843902E-7</v>
      </c>
      <c r="K129" s="27">
        <v>1.551887916255979E-7</v>
      </c>
      <c r="L129" s="27">
        <v>1.5283530466688823E-7</v>
      </c>
      <c r="M129" s="1" t="str">
        <f>'Base data'!$K$35</f>
        <v>Tg/Km2</v>
      </c>
    </row>
    <row r="130" spans="1:13" x14ac:dyDescent="0.2">
      <c r="A130" s="1" t="str">
        <v>US</v>
      </c>
      <c r="B130" s="28">
        <v>4.3346692064690741E-7</v>
      </c>
      <c r="C130" s="28">
        <v>3.6577979631527068E-7</v>
      </c>
      <c r="D130" s="28">
        <v>3.0641814968639571E-7</v>
      </c>
      <c r="E130" s="28">
        <v>2.4705650305752069E-7</v>
      </c>
      <c r="F130" s="28">
        <v>2.4579515522213872E-7</v>
      </c>
      <c r="G130" s="28">
        <v>1.5417433234139862E-7</v>
      </c>
      <c r="H130" s="28">
        <v>9.89690068222501E-8</v>
      </c>
      <c r="I130" s="28">
        <v>6.8475786537072928E-8</v>
      </c>
      <c r="J130" s="28">
        <v>5.4715944472665369E-8</v>
      </c>
      <c r="K130" s="28">
        <v>4.860590950512457E-8</v>
      </c>
      <c r="L130" s="28">
        <v>4.6741931021895766E-8</v>
      </c>
      <c r="M130" s="1" t="str">
        <f>'Base data'!$K$35</f>
        <v>Tg/Km2</v>
      </c>
    </row>
    <row r="131" spans="1:13" x14ac:dyDescent="0.2">
      <c r="A131" s="1" t="str">
        <v>OT</v>
      </c>
      <c r="B131" s="28">
        <v>3.0639487836994608E-7</v>
      </c>
      <c r="C131" s="28">
        <v>2.3127067347172936E-7</v>
      </c>
      <c r="D131" s="28">
        <v>1.8644118304103528E-7</v>
      </c>
      <c r="E131" s="28">
        <v>1.4161169261034116E-7</v>
      </c>
      <c r="F131" s="28">
        <v>1.1674601666252512E-7</v>
      </c>
      <c r="G131" s="28">
        <v>7.9355926349305914E-8</v>
      </c>
      <c r="H131" s="28">
        <v>6.8500513058690985E-8</v>
      </c>
      <c r="I131" s="28">
        <v>5.8979617139751784E-8</v>
      </c>
      <c r="J131" s="28">
        <v>5.2967634686652239E-8</v>
      </c>
      <c r="K131" s="28">
        <v>5.0323089775189702E-8</v>
      </c>
      <c r="L131" s="28">
        <v>4.8714667322877584E-8</v>
      </c>
      <c r="M131" s="1" t="str">
        <f>'Base data'!$K$35</f>
        <v>Tg/Km2</v>
      </c>
    </row>
    <row r="132" spans="1:13" x14ac:dyDescent="0.2">
      <c r="A132" s="1" t="str">
        <v>EE</v>
      </c>
      <c r="B132" s="28">
        <v>3.9999854276911527E-7</v>
      </c>
      <c r="C132" s="28">
        <v>3.1082438281749208E-7</v>
      </c>
      <c r="D132" s="28">
        <v>2.5366434354759699E-7</v>
      </c>
      <c r="E132" s="28">
        <v>1.965043042777018E-7</v>
      </c>
      <c r="F132" s="28">
        <v>1.5405268774140729E-7</v>
      </c>
      <c r="G132" s="28">
        <v>1.2123405392940655E-7</v>
      </c>
      <c r="H132" s="28">
        <v>1.0818872728308592E-7</v>
      </c>
      <c r="I132" s="28">
        <v>9.6517181120640664E-8</v>
      </c>
      <c r="J132" s="28">
        <v>8.7237068071252581E-8</v>
      </c>
      <c r="K132" s="28">
        <v>8.5947370060354897E-8</v>
      </c>
      <c r="L132" s="28">
        <v>8.4590883871859621E-8</v>
      </c>
      <c r="M132" s="1" t="str">
        <f>'Base data'!$K$35</f>
        <v>Tg/Km2</v>
      </c>
    </row>
    <row r="133" spans="1:13" x14ac:dyDescent="0.2">
      <c r="A133" s="1" t="str">
        <v>CA</v>
      </c>
      <c r="B133" s="28">
        <v>1.8282796707304366E-6</v>
      </c>
      <c r="C133" s="28">
        <v>1.0691290027575401E-6</v>
      </c>
      <c r="D133" s="28">
        <v>9.2040063613680311E-7</v>
      </c>
      <c r="E133" s="28">
        <v>7.716722695160661E-7</v>
      </c>
      <c r="F133" s="28">
        <v>7.7216984910789971E-7</v>
      </c>
      <c r="G133" s="28">
        <v>4.9535870722532588E-7</v>
      </c>
      <c r="H133" s="28">
        <v>3.5937424933545276E-7</v>
      </c>
      <c r="I133" s="28">
        <v>2.5216243910431662E-7</v>
      </c>
      <c r="J133" s="28">
        <v>1.9652200223308512E-7</v>
      </c>
      <c r="K133" s="28">
        <v>1.7799360581771255E-7</v>
      </c>
      <c r="L133" s="28">
        <v>1.6440927794604316E-7</v>
      </c>
      <c r="M133" s="1" t="str">
        <f>'Base data'!$K$35</f>
        <v>Tg/Km2</v>
      </c>
    </row>
    <row r="134" spans="1:13" x14ac:dyDescent="0.2">
      <c r="A134" s="1" t="str">
        <v>IA</v>
      </c>
      <c r="B134" s="28">
        <v>2.3094007693335421E-6</v>
      </c>
      <c r="C134" s="28">
        <v>2.712325307884201E-6</v>
      </c>
      <c r="D134" s="28">
        <v>3.0299086733297406E-6</v>
      </c>
      <c r="E134" s="28">
        <v>3.3474920387752806E-6</v>
      </c>
      <c r="F134" s="28">
        <v>3.4038971973416559E-6</v>
      </c>
      <c r="G134" s="28">
        <v>1.2901976701860116E-6</v>
      </c>
      <c r="H134" s="28">
        <v>6.730626584723218E-7</v>
      </c>
      <c r="I134" s="28">
        <v>3.9586573535825417E-7</v>
      </c>
      <c r="J134" s="28">
        <v>2.7077752484488933E-7</v>
      </c>
      <c r="K134" s="28">
        <v>2.0459810459771578E-7</v>
      </c>
      <c r="L134" s="28">
        <v>1.7016237291544098E-7</v>
      </c>
      <c r="M134" s="1" t="str">
        <f>'Base data'!$K$35</f>
        <v>Tg/Km2</v>
      </c>
    </row>
    <row r="135" spans="1:13" x14ac:dyDescent="0.2">
      <c r="A135" s="1" t="str">
        <v>AF</v>
      </c>
      <c r="B135" s="28">
        <v>4.8815789575201288E-7</v>
      </c>
      <c r="C135" s="28">
        <v>3.9986165717032018E-7</v>
      </c>
      <c r="D135" s="28">
        <v>3.4516576464620625E-7</v>
      </c>
      <c r="E135" s="28">
        <v>2.9046987212209249E-7</v>
      </c>
      <c r="F135" s="28">
        <v>3.2204821265985743E-7</v>
      </c>
      <c r="G135" s="28">
        <v>2.0462411410870536E-7</v>
      </c>
      <c r="H135" s="28">
        <v>1.5735435477376961E-7</v>
      </c>
      <c r="I135" s="28">
        <v>1.285203556348714E-7</v>
      </c>
      <c r="J135" s="28">
        <v>1.0377103909093536E-7</v>
      </c>
      <c r="K135" s="28">
        <v>8.8081459989870433E-8</v>
      </c>
      <c r="L135" s="28">
        <v>8.3923278551145577E-8</v>
      </c>
      <c r="M135" s="1" t="str">
        <f>'Base data'!$K$35</f>
        <v>Tg/Km2</v>
      </c>
    </row>
    <row r="136" spans="1:13" x14ac:dyDescent="0.2">
      <c r="A136" s="1" t="str">
        <v>LA</v>
      </c>
      <c r="B136" s="28">
        <v>4.6132264616206479E-7</v>
      </c>
      <c r="C136" s="28">
        <v>4.3710437697194813E-7</v>
      </c>
      <c r="D136" s="28">
        <v>4.3339319307576136E-7</v>
      </c>
      <c r="E136" s="28">
        <v>4.2968200917957448E-7</v>
      </c>
      <c r="F136" s="28">
        <v>4.261960609714454E-7</v>
      </c>
      <c r="G136" s="28">
        <v>2.558034095685304E-7</v>
      </c>
      <c r="H136" s="28">
        <v>1.5480192139698416E-7</v>
      </c>
      <c r="I136" s="28">
        <v>8.7754342640100974E-8</v>
      </c>
      <c r="J136" s="28">
        <v>5.4028356478857795E-8</v>
      </c>
      <c r="K136" s="28">
        <v>4.4708719046723072E-8</v>
      </c>
      <c r="L136" s="28">
        <v>4.0077187333968599E-8</v>
      </c>
      <c r="M136" s="1" t="str">
        <f>'Base data'!$K$35</f>
        <v>Tg/Km2</v>
      </c>
    </row>
    <row r="137" spans="1:13" x14ac:dyDescent="0.2">
      <c r="A137" s="8" t="s">
        <v>136</v>
      </c>
      <c r="B137" s="43">
        <f t="array" ref="B137">SUM(AREA*B129:B136)/AREA_E</f>
        <v>1.8343674895688549E-7</v>
      </c>
      <c r="C137" s="43">
        <f t="array" ref="C137">SUM(AREA*C129:C136)/AREA_E</f>
        <v>1.6076001998332625E-7</v>
      </c>
      <c r="D137" s="43">
        <f t="array" ref="D137">SUM(AREA*D129:D136)/AREA_E</f>
        <v>1.5421552606198382E-7</v>
      </c>
      <c r="E137" s="43">
        <f t="array" ref="E137">SUM(AREA*E129:E136)/AREA_E</f>
        <v>1.4767103214064133E-7</v>
      </c>
      <c r="F137" s="43">
        <f t="array" ref="F137">SUM(AREA*F129:F136)/AREA_E</f>
        <v>1.488521695130019E-7</v>
      </c>
      <c r="G137" s="43">
        <f t="array" ref="G137">SUM(AREA*G129:G136)/AREA_E</f>
        <v>7.69422041268007E-8</v>
      </c>
      <c r="H137" s="43">
        <f t="array" ref="H137">SUM(AREA*H129:H136)/AREA_E</f>
        <v>5.0428434720047865E-8</v>
      </c>
      <c r="I137" s="43">
        <f t="array" ref="I137">SUM(AREA*I129:I136)/AREA_E</f>
        <v>3.5559237128906729E-8</v>
      </c>
      <c r="J137" s="43">
        <f t="array" ref="J137">SUM(AREA*J129:J136)/AREA_E</f>
        <v>2.7481298186416982E-8</v>
      </c>
      <c r="K137" s="43">
        <f t="array" ref="K137">SUM(AREA*K129:K136)/AREA_E</f>
        <v>2.3780257123199114E-8</v>
      </c>
      <c r="L137" s="43">
        <f t="array" ref="L137">SUM(AREA*L129:L136)/AREA_E</f>
        <v>2.2123708451775689E-8</v>
      </c>
      <c r="M137" s="1" t="str">
        <f>'Base data'!$K$35</f>
        <v>Tg/Km2</v>
      </c>
    </row>
    <row r="141" spans="1:13" ht="13.5" thickBot="1" x14ac:dyDescent="0.25">
      <c r="A141" s="2" t="s">
        <v>544</v>
      </c>
      <c r="B141" s="62">
        <f xml:space="preserve"> PEXF_0</f>
        <v>0.85</v>
      </c>
      <c r="C141" s="62">
        <f t="array" ref="C141:L141" xml:space="preserve"> pexf_a</f>
        <v>0.94169999999999998</v>
      </c>
      <c r="D141" s="62">
        <v>0.89269999999999994</v>
      </c>
      <c r="E141" s="62">
        <v>0.84369999999999989</v>
      </c>
      <c r="F141" s="62">
        <v>0.80619999999999992</v>
      </c>
      <c r="G141" s="62">
        <v>0.55649999999999999</v>
      </c>
      <c r="H141" s="62">
        <v>0.46420000000000006</v>
      </c>
      <c r="I141" s="62">
        <v>0.36930000000000002</v>
      </c>
      <c r="J141" s="62">
        <v>0.28809999999999997</v>
      </c>
      <c r="K141" s="62">
        <v>0.24089999999999998</v>
      </c>
      <c r="L141" s="62">
        <v>0.21779999999999999</v>
      </c>
      <c r="M141" t="s">
        <v>42</v>
      </c>
    </row>
    <row r="142" spans="1:13" ht="13.5" thickTop="1" x14ac:dyDescent="0.2"/>
  </sheetData>
  <phoneticPr fontId="0" type="noConversion"/>
  <pageMargins left="0.75" right="0.75" top="1" bottom="1" header="0.5" footer="0.5"/>
  <pageSetup paperSize="9" orientation="portrait" verticalDpi="1200" r:id="rId1"/>
  <headerFooter alignWithMargins="0"/>
  <ignoredErrors>
    <ignoredError sqref="M141 B141:C141" unlockedFormula="1"/>
  </ignoredError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P141"/>
  <sheetViews>
    <sheetView topLeftCell="A10" workbookViewId="0">
      <selection activeCell="B5" sqref="B5"/>
    </sheetView>
  </sheetViews>
  <sheetFormatPr defaultRowHeight="12.75" x14ac:dyDescent="0.2"/>
  <cols>
    <col min="1" max="12" width="10.5703125" customWidth="1"/>
    <col min="13" max="13" width="8.5703125" bestFit="1" customWidth="1"/>
  </cols>
  <sheetData>
    <row r="1" spans="1:16" x14ac:dyDescent="0.2">
      <c r="A1" s="2" t="str">
        <f>MODEL_NAME</f>
        <v>PAGE-ICE Nonlinear Arctic Feedbacks</v>
      </c>
      <c r="B1" t="s">
        <v>37</v>
      </c>
      <c r="C1" s="51" t="str">
        <f>VERSION</f>
        <v>6.22</v>
      </c>
    </row>
    <row r="2" spans="1:16" x14ac:dyDescent="0.2">
      <c r="A2" s="3" t="s">
        <v>777</v>
      </c>
      <c r="C2" s="65">
        <f t="array" ref="C2:K2" xml:space="preserve"> DROP * OCCUR_SCC / ((YP+YP_NOT_1)/2)</f>
        <v>0</v>
      </c>
      <c r="D2" s="65">
        <v>0</v>
      </c>
      <c r="E2" s="65">
        <v>0</v>
      </c>
      <c r="F2" s="65">
        <v>0</v>
      </c>
      <c r="G2" s="65">
        <v>0</v>
      </c>
      <c r="H2" s="65">
        <v>0</v>
      </c>
      <c r="I2" s="65">
        <v>0</v>
      </c>
      <c r="J2" s="65">
        <v>0</v>
      </c>
      <c r="K2" s="65">
        <v>0</v>
      </c>
      <c r="L2" s="65">
        <v>0</v>
      </c>
      <c r="M2" t="str">
        <f>'Base data'!$F$35</f>
        <v>Mtonne</v>
      </c>
      <c r="P2" s="124" t="s">
        <v>779</v>
      </c>
    </row>
    <row r="3" spans="1:16" s="2" customFormat="1" x14ac:dyDescent="0.2">
      <c r="A3" s="2" t="s">
        <v>568</v>
      </c>
    </row>
    <row r="4" spans="1:16" s="2" customFormat="1" x14ac:dyDescent="0.2">
      <c r="A4" s="2" t="s">
        <v>567</v>
      </c>
      <c r="B4" s="2">
        <f>Y_0</f>
        <v>2015</v>
      </c>
      <c r="C4" s="2">
        <f t="array" ref="C4:L4">Y</f>
        <v>2020</v>
      </c>
      <c r="D4" s="2">
        <v>2025</v>
      </c>
      <c r="E4" s="2">
        <v>2030</v>
      </c>
      <c r="F4" s="2">
        <v>2040</v>
      </c>
      <c r="G4" s="2">
        <v>2050</v>
      </c>
      <c r="H4" s="2">
        <v>2060</v>
      </c>
      <c r="I4" s="2">
        <v>2070</v>
      </c>
      <c r="J4" s="2">
        <v>2080</v>
      </c>
      <c r="K4" s="2">
        <v>2090</v>
      </c>
      <c r="L4" s="2">
        <v>2100</v>
      </c>
    </row>
    <row r="5" spans="1:16" x14ac:dyDescent="0.2">
      <c r="A5" t="str">
        <f t="array" ref="A5:A12">R_CODE&amp;" "&amp;'Base data'!$B$12</f>
        <v>EU CO2</v>
      </c>
      <c r="B5" s="27">
        <f t="array" ref="B5:B12" xml:space="preserve"> E_CO2_0</f>
        <v>3315.451</v>
      </c>
      <c r="C5" s="27">
        <f t="array" ref="C5:L12" xml:space="preserve"> E_CO2_0 * er_co2_b/100</f>
        <v>3552.4422472996953</v>
      </c>
      <c r="D5" s="27">
        <v>3813.4224794343213</v>
      </c>
      <c r="E5" s="27">
        <v>4074.4027115689478</v>
      </c>
      <c r="F5" s="27">
        <v>4850.8604549335396</v>
      </c>
      <c r="G5" s="27">
        <v>5817.9291553111489</v>
      </c>
      <c r="H5" s="27">
        <v>7139.0453180373888</v>
      </c>
      <c r="I5" s="27">
        <v>8521.6694635231943</v>
      </c>
      <c r="J5" s="27">
        <v>9518.4080538919006</v>
      </c>
      <c r="K5" s="27">
        <v>9874.5253344775756</v>
      </c>
      <c r="L5" s="27">
        <v>10298.306047976501</v>
      </c>
      <c r="M5" t="str">
        <f>'Base data'!$F$35</f>
        <v>Mtonne</v>
      </c>
    </row>
    <row r="6" spans="1:16" x14ac:dyDescent="0.2">
      <c r="A6" t="str">
        <v>US CO2</v>
      </c>
      <c r="B6" s="28">
        <v>4990.1930000000002</v>
      </c>
      <c r="C6" s="28">
        <v>5320.9839027661328</v>
      </c>
      <c r="D6" s="28">
        <v>6110.2151788697802</v>
      </c>
      <c r="E6" s="28">
        <v>6899.4464549734257</v>
      </c>
      <c r="F6" s="28">
        <v>8585.1683102995958</v>
      </c>
      <c r="G6" s="28">
        <v>10456.538900132791</v>
      </c>
      <c r="H6" s="28">
        <v>12773.780930533923</v>
      </c>
      <c r="I6" s="28">
        <v>14162.486182923198</v>
      </c>
      <c r="J6" s="28">
        <v>15534.400969496081</v>
      </c>
      <c r="K6" s="28">
        <v>15157.338075045618</v>
      </c>
      <c r="L6" s="28">
        <v>14234.398797457454</v>
      </c>
      <c r="M6" t="str">
        <f>'Base data'!$F$35</f>
        <v>Mtonne</v>
      </c>
    </row>
    <row r="7" spans="1:16" x14ac:dyDescent="0.2">
      <c r="A7" t="str">
        <v>OT CO2</v>
      </c>
      <c r="B7" s="28">
        <v>3109.335</v>
      </c>
      <c r="C7" s="28">
        <v>3331.5929009379411</v>
      </c>
      <c r="D7" s="28">
        <v>3576.3484319605132</v>
      </c>
      <c r="E7" s="28">
        <v>3821.1039629830861</v>
      </c>
      <c r="F7" s="28">
        <v>4549.2906372740172</v>
      </c>
      <c r="G7" s="28">
        <v>5456.2383066826778</v>
      </c>
      <c r="H7" s="28">
        <v>6695.2229045037275</v>
      </c>
      <c r="I7" s="28">
        <v>7991.8916374767396</v>
      </c>
      <c r="J7" s="28">
        <v>8926.6646698286204</v>
      </c>
      <c r="K7" s="28">
        <v>9260.6427393672329</v>
      </c>
      <c r="L7" s="28">
        <v>9658.0777202513364</v>
      </c>
      <c r="M7" t="str">
        <f>'Base data'!$F$35</f>
        <v>Mtonne</v>
      </c>
    </row>
    <row r="8" spans="1:16" x14ac:dyDescent="0.2">
      <c r="A8" t="str">
        <v>EE CO2</v>
      </c>
      <c r="B8" s="28">
        <v>3101.0040000000004</v>
      </c>
      <c r="C8" s="28">
        <v>3275.1480194184869</v>
      </c>
      <c r="D8" s="28">
        <v>3531.2450548914644</v>
      </c>
      <c r="E8" s="28">
        <v>3787.3420903644419</v>
      </c>
      <c r="F8" s="28">
        <v>4663.4557012760806</v>
      </c>
      <c r="G8" s="28">
        <v>5730.7335818021338</v>
      </c>
      <c r="H8" s="28">
        <v>6902.0263452262234</v>
      </c>
      <c r="I8" s="28">
        <v>7501.702187597477</v>
      </c>
      <c r="J8" s="28">
        <v>7247.4144284044196</v>
      </c>
      <c r="K8" s="28">
        <v>6453.7497192364881</v>
      </c>
      <c r="L8" s="28">
        <v>5625.8332368050378</v>
      </c>
      <c r="M8" t="str">
        <f>'Base data'!$F$35</f>
        <v>Mtonne</v>
      </c>
    </row>
    <row r="9" spans="1:16" x14ac:dyDescent="0.2">
      <c r="A9" t="str">
        <v>CA CO2</v>
      </c>
      <c r="B9" s="28">
        <v>10471.290000000001</v>
      </c>
      <c r="C9" s="28">
        <v>11375.143539882933</v>
      </c>
      <c r="D9" s="28">
        <v>12689.41821297189</v>
      </c>
      <c r="E9" s="28">
        <v>14003.692886060846</v>
      </c>
      <c r="F9" s="28">
        <v>16564.806271949023</v>
      </c>
      <c r="G9" s="28">
        <v>17807.251431285429</v>
      </c>
      <c r="H9" s="28">
        <v>18919.810341184781</v>
      </c>
      <c r="I9" s="28">
        <v>19318.877517184017</v>
      </c>
      <c r="J9" s="28">
        <v>18197.00785887368</v>
      </c>
      <c r="K9" s="28">
        <v>15372.560205008027</v>
      </c>
      <c r="L9" s="28">
        <v>12261.471202051725</v>
      </c>
      <c r="M9" t="str">
        <f>'Base data'!$F$35</f>
        <v>Mtonne</v>
      </c>
    </row>
    <row r="10" spans="1:16" x14ac:dyDescent="0.2">
      <c r="A10" t="str">
        <v>IA CO2</v>
      </c>
      <c r="B10" s="28">
        <v>5651.3629999999994</v>
      </c>
      <c r="C10" s="28">
        <v>6866.316669645832</v>
      </c>
      <c r="D10" s="28">
        <v>8347.481921596891</v>
      </c>
      <c r="E10" s="28">
        <v>9828.6471735479499</v>
      </c>
      <c r="F10" s="28">
        <v>13992.388710655345</v>
      </c>
      <c r="G10" s="28">
        <v>19235.390118781281</v>
      </c>
      <c r="H10" s="28">
        <v>24970.135620866648</v>
      </c>
      <c r="I10" s="28">
        <v>30690.500138363986</v>
      </c>
      <c r="J10" s="28">
        <v>35686.715572126144</v>
      </c>
      <c r="K10" s="28">
        <v>37114.884081997217</v>
      </c>
      <c r="L10" s="28">
        <v>36221.028217651503</v>
      </c>
      <c r="M10" t="str">
        <f>'Base data'!$F$35</f>
        <v>Mtonne</v>
      </c>
    </row>
    <row r="11" spans="1:16" x14ac:dyDescent="0.2">
      <c r="A11" t="str">
        <v>AF CO2</v>
      </c>
      <c r="B11" s="28">
        <v>5496.6130000000003</v>
      </c>
      <c r="C11" s="28">
        <v>6669.6399884207613</v>
      </c>
      <c r="D11" s="28">
        <v>7808.9867177748329</v>
      </c>
      <c r="E11" s="28">
        <v>8948.3334471289036</v>
      </c>
      <c r="F11" s="28">
        <v>13436.191876175755</v>
      </c>
      <c r="G11" s="28">
        <v>20308.431487987622</v>
      </c>
      <c r="H11" s="28">
        <v>29885.16777203856</v>
      </c>
      <c r="I11" s="28">
        <v>39945.678199767972</v>
      </c>
      <c r="J11" s="28">
        <v>49174.704396020687</v>
      </c>
      <c r="K11" s="28">
        <v>53526.87494667116</v>
      </c>
      <c r="L11" s="28">
        <v>55391.182508464415</v>
      </c>
      <c r="M11" t="str">
        <f>'Base data'!$F$35</f>
        <v>Mtonne</v>
      </c>
    </row>
    <row r="12" spans="1:16" ht="13.5" thickBot="1" x14ac:dyDescent="0.25">
      <c r="A12" t="str">
        <v>LA CO2</v>
      </c>
      <c r="B12" s="36">
        <v>3017.4769999999999</v>
      </c>
      <c r="C12" s="36">
        <v>3556.4544147019938</v>
      </c>
      <c r="D12" s="36">
        <v>4286.5438070057025</v>
      </c>
      <c r="E12" s="36">
        <v>5016.6331993094118</v>
      </c>
      <c r="F12" s="36">
        <v>6688.4209851948626</v>
      </c>
      <c r="G12" s="36">
        <v>8097.3337549376374</v>
      </c>
      <c r="H12" s="36">
        <v>9261.2010559262926</v>
      </c>
      <c r="I12" s="36">
        <v>10189.575009130645</v>
      </c>
      <c r="J12" s="36">
        <v>10577.952439045206</v>
      </c>
      <c r="K12" s="36">
        <v>10268.837392771713</v>
      </c>
      <c r="L12" s="36">
        <v>9871.0129880114673</v>
      </c>
      <c r="M12" t="str">
        <f>'Base data'!$F$35</f>
        <v>Mtonne</v>
      </c>
    </row>
    <row r="13" spans="1:16" s="2" customFormat="1" ht="13.5" thickTop="1" x14ac:dyDescent="0.2">
      <c r="A13" s="2" t="s">
        <v>776</v>
      </c>
      <c r="C13" s="44">
        <f>SUM(C5:C12)</f>
        <v>43947.721683073774</v>
      </c>
      <c r="D13" s="44">
        <f t="shared" ref="D13:L13" si="0">SUM(D5:D12)</f>
        <v>50163.661804505391</v>
      </c>
      <c r="E13" s="44">
        <f t="shared" si="0"/>
        <v>56379.601925937015</v>
      </c>
      <c r="F13" s="44">
        <f t="shared" si="0"/>
        <v>73330.58294775823</v>
      </c>
      <c r="G13" s="44">
        <f t="shared" si="0"/>
        <v>92909.846736920736</v>
      </c>
      <c r="H13" s="44">
        <f t="shared" si="0"/>
        <v>116546.39028831755</v>
      </c>
      <c r="I13" s="44">
        <f t="shared" si="0"/>
        <v>138322.38033596723</v>
      </c>
      <c r="J13" s="44">
        <f t="shared" si="0"/>
        <v>154863.26838768672</v>
      </c>
      <c r="K13" s="44">
        <f t="shared" si="0"/>
        <v>157029.41249457502</v>
      </c>
      <c r="L13" s="44">
        <f t="shared" si="0"/>
        <v>153561.31071866944</v>
      </c>
      <c r="M13" s="2" t="str">
        <f>'Base data'!$F$35</f>
        <v>Mtonne</v>
      </c>
      <c r="P13" s="124" t="s">
        <v>780</v>
      </c>
    </row>
    <row r="14" spans="1:16" s="2" customFormat="1" x14ac:dyDescent="0.2">
      <c r="A14" s="2" t="str">
        <f>"Total "&amp;'Base data'!B12</f>
        <v>Total CO2</v>
      </c>
      <c r="B14" s="43">
        <f>E_CO2_G_0</f>
        <v>39152.725999999995</v>
      </c>
      <c r="C14" s="43">
        <f t="array" ref="C14:L14" xml:space="preserve"> e_co2_g_b_no_scc - er_scc</f>
        <v>43947.721683073774</v>
      </c>
      <c r="D14" s="43">
        <v>50163.661804505391</v>
      </c>
      <c r="E14" s="43">
        <v>56379.601925937015</v>
      </c>
      <c r="F14" s="43">
        <v>73330.58294775823</v>
      </c>
      <c r="G14" s="43">
        <v>92909.846736920736</v>
      </c>
      <c r="H14" s="43">
        <v>116546.39028831755</v>
      </c>
      <c r="I14" s="43">
        <v>138322.38033596723</v>
      </c>
      <c r="J14" s="43">
        <v>154863.26838768672</v>
      </c>
      <c r="K14" s="43">
        <v>157029.41249457502</v>
      </c>
      <c r="L14" s="43">
        <v>153561.31071866944</v>
      </c>
      <c r="P14" s="124" t="s">
        <v>780</v>
      </c>
    </row>
    <row r="15" spans="1:16" s="2" customFormat="1" x14ac:dyDescent="0.2">
      <c r="B15" s="44"/>
      <c r="C15" s="44"/>
      <c r="D15" s="44"/>
      <c r="E15" s="44"/>
      <c r="F15" s="44"/>
      <c r="G15" s="44"/>
      <c r="H15" s="44"/>
      <c r="I15" s="44"/>
      <c r="J15" s="44"/>
      <c r="K15" s="44"/>
      <c r="L15" s="44"/>
    </row>
    <row r="16" spans="1:16" s="2" customFormat="1" x14ac:dyDescent="0.2">
      <c r="B16" s="44"/>
      <c r="C16" s="44"/>
      <c r="D16" s="44"/>
      <c r="E16" s="44"/>
      <c r="F16" s="44"/>
      <c r="G16" s="44"/>
      <c r="H16" s="44"/>
      <c r="I16" s="44"/>
      <c r="J16" s="44"/>
      <c r="K16" s="44"/>
      <c r="L16" s="44"/>
    </row>
    <row r="17" spans="2:12" s="2" customFormat="1" x14ac:dyDescent="0.2">
      <c r="B17" s="44"/>
      <c r="C17" s="44"/>
      <c r="D17" s="44"/>
      <c r="E17" s="44"/>
      <c r="F17" s="44"/>
      <c r="G17" s="44"/>
      <c r="H17" s="44"/>
      <c r="I17" s="44"/>
      <c r="J17" s="44"/>
      <c r="K17" s="44"/>
      <c r="L17" s="44"/>
    </row>
    <row r="18" spans="2:12" s="2" customFormat="1" x14ac:dyDescent="0.2">
      <c r="B18" s="44"/>
      <c r="C18" s="44"/>
      <c r="D18" s="44"/>
      <c r="E18" s="44"/>
      <c r="F18" s="44"/>
      <c r="G18" s="44"/>
      <c r="H18" s="44"/>
      <c r="I18" s="44"/>
      <c r="J18" s="44"/>
      <c r="K18" s="44"/>
      <c r="L18" s="44"/>
    </row>
    <row r="19" spans="2:12" s="2" customFormat="1" x14ac:dyDescent="0.2">
      <c r="B19" s="44"/>
      <c r="C19" s="44"/>
      <c r="D19" s="44"/>
      <c r="E19" s="44"/>
      <c r="F19" s="44"/>
      <c r="G19" s="44"/>
      <c r="H19" s="44"/>
      <c r="I19" s="44"/>
      <c r="J19" s="44"/>
      <c r="K19" s="44"/>
      <c r="L19" s="44"/>
    </row>
    <row r="20" spans="2:12" s="2" customFormat="1" x14ac:dyDescent="0.2">
      <c r="B20" s="44"/>
      <c r="C20" s="44"/>
      <c r="D20" s="44"/>
      <c r="E20" s="44"/>
      <c r="F20" s="44"/>
      <c r="G20" s="44"/>
      <c r="H20" s="44"/>
      <c r="I20" s="44"/>
      <c r="J20" s="44"/>
      <c r="K20" s="44"/>
      <c r="L20" s="44"/>
    </row>
    <row r="21" spans="2:12" s="2" customFormat="1" x14ac:dyDescent="0.2">
      <c r="B21" s="44"/>
      <c r="C21" s="44"/>
      <c r="D21" s="44"/>
      <c r="E21" s="44"/>
      <c r="F21" s="44"/>
      <c r="G21" s="44"/>
      <c r="H21" s="44"/>
      <c r="I21" s="44"/>
      <c r="J21" s="44"/>
      <c r="K21" s="44"/>
      <c r="L21" s="44"/>
    </row>
    <row r="22" spans="2:12" s="2" customFormat="1" x14ac:dyDescent="0.2">
      <c r="B22" s="44"/>
      <c r="C22" s="44"/>
      <c r="D22" s="44"/>
      <c r="E22" s="44"/>
      <c r="F22" s="44"/>
      <c r="G22" s="44"/>
      <c r="H22" s="44"/>
      <c r="I22" s="44"/>
      <c r="J22" s="44"/>
      <c r="K22" s="44"/>
      <c r="L22" s="44"/>
    </row>
    <row r="23" spans="2:12" s="2" customFormat="1" x14ac:dyDescent="0.2">
      <c r="B23" s="44"/>
      <c r="C23" s="44"/>
      <c r="D23" s="44"/>
      <c r="E23" s="44"/>
      <c r="F23" s="44"/>
      <c r="G23" s="44"/>
      <c r="H23" s="44"/>
      <c r="I23" s="44"/>
      <c r="J23" s="44"/>
      <c r="K23" s="44"/>
      <c r="L23" s="44"/>
    </row>
    <row r="24" spans="2:12" s="2" customFormat="1" x14ac:dyDescent="0.2">
      <c r="B24" s="44"/>
      <c r="C24" s="44"/>
      <c r="D24" s="44"/>
      <c r="E24" s="44"/>
      <c r="F24" s="44"/>
      <c r="G24" s="44"/>
      <c r="H24" s="44"/>
      <c r="I24" s="44"/>
      <c r="J24" s="44"/>
      <c r="K24" s="44"/>
      <c r="L24" s="44"/>
    </row>
    <row r="25" spans="2:12" s="2" customFormat="1" x14ac:dyDescent="0.2">
      <c r="B25" s="44"/>
      <c r="C25" s="44"/>
      <c r="D25" s="44"/>
      <c r="E25" s="44"/>
      <c r="F25" s="44"/>
      <c r="G25" s="44"/>
      <c r="H25" s="44"/>
      <c r="I25" s="44"/>
      <c r="J25" s="44"/>
      <c r="K25" s="44"/>
      <c r="L25" s="44"/>
    </row>
    <row r="26" spans="2:12" s="2" customFormat="1" x14ac:dyDescent="0.2">
      <c r="B26" s="44"/>
      <c r="C26" s="44"/>
      <c r="D26" s="44"/>
      <c r="E26" s="44"/>
      <c r="F26" s="44"/>
      <c r="G26" s="44"/>
      <c r="H26" s="44"/>
      <c r="I26" s="44"/>
      <c r="J26" s="44"/>
      <c r="K26" s="44"/>
      <c r="L26" s="44"/>
    </row>
    <row r="27" spans="2:12" s="2" customFormat="1" x14ac:dyDescent="0.2">
      <c r="B27" s="44"/>
      <c r="C27" s="44"/>
      <c r="D27" s="44"/>
      <c r="E27" s="44"/>
      <c r="F27" s="44"/>
      <c r="G27" s="44"/>
      <c r="H27" s="44"/>
      <c r="I27" s="44"/>
      <c r="J27" s="44"/>
      <c r="K27" s="44"/>
      <c r="L27" s="44"/>
    </row>
    <row r="28" spans="2:12" s="2" customFormat="1" x14ac:dyDescent="0.2">
      <c r="B28" s="44"/>
      <c r="C28" s="44"/>
      <c r="D28" s="44"/>
      <c r="E28" s="44"/>
      <c r="F28" s="44"/>
      <c r="G28" s="44"/>
      <c r="H28" s="44"/>
      <c r="I28" s="44"/>
      <c r="J28" s="44"/>
      <c r="K28" s="44"/>
      <c r="L28" s="44"/>
    </row>
    <row r="29" spans="2:12" s="2" customFormat="1" x14ac:dyDescent="0.2">
      <c r="B29" s="44"/>
      <c r="C29" s="44"/>
      <c r="D29" s="44"/>
      <c r="E29" s="44"/>
      <c r="F29" s="44"/>
      <c r="G29" s="44"/>
      <c r="H29" s="44"/>
      <c r="I29" s="44"/>
      <c r="J29" s="44"/>
      <c r="K29" s="44"/>
      <c r="L29" s="44"/>
    </row>
    <row r="30" spans="2:12" s="2" customFormat="1" x14ac:dyDescent="0.2">
      <c r="B30" s="44"/>
      <c r="C30" s="44"/>
      <c r="D30" s="44"/>
      <c r="E30" s="44"/>
      <c r="F30" s="44"/>
      <c r="G30" s="44"/>
      <c r="H30" s="44"/>
      <c r="I30" s="44"/>
      <c r="J30" s="44"/>
      <c r="K30" s="44"/>
      <c r="L30" s="44"/>
    </row>
    <row r="31" spans="2:12" s="2" customFormat="1" x14ac:dyDescent="0.2">
      <c r="B31" s="44"/>
      <c r="C31" s="44"/>
      <c r="D31" s="44"/>
      <c r="E31" s="44"/>
      <c r="F31" s="44"/>
      <c r="G31" s="44"/>
      <c r="H31" s="44"/>
      <c r="I31" s="44"/>
      <c r="J31" s="44"/>
      <c r="K31" s="44"/>
      <c r="L31" s="44"/>
    </row>
    <row r="32" spans="2:12" s="2" customFormat="1" x14ac:dyDescent="0.2">
      <c r="B32" s="44"/>
      <c r="C32" s="44"/>
      <c r="D32" s="44"/>
      <c r="E32" s="44"/>
      <c r="F32" s="44"/>
      <c r="G32" s="44"/>
      <c r="H32" s="44"/>
      <c r="I32" s="44"/>
      <c r="J32" s="44"/>
      <c r="K32" s="44"/>
      <c r="L32" s="44"/>
    </row>
    <row r="33" spans="1:13" s="2" customFormat="1" x14ac:dyDescent="0.2">
      <c r="B33" s="44"/>
      <c r="C33" s="44"/>
      <c r="D33" s="44"/>
      <c r="E33" s="44"/>
      <c r="F33" s="44"/>
      <c r="G33" s="44"/>
      <c r="H33" s="44"/>
      <c r="I33" s="44"/>
      <c r="J33" s="44"/>
      <c r="K33" s="44"/>
      <c r="L33" s="44"/>
    </row>
    <row r="36" spans="1:13" x14ac:dyDescent="0.2">
      <c r="A36" t="str">
        <f t="array" ref="A36:A43">R_CODE&amp;" "&amp;'Base data'!$C$12</f>
        <v>EU CH4</v>
      </c>
      <c r="B36" s="27">
        <f t="array" ref="B36:B43" xml:space="preserve"> E_CH4_0</f>
        <v>19.994242558782453</v>
      </c>
      <c r="C36" s="27">
        <f t="array" ref="C36:L43" xml:space="preserve"> E_CH4_0 * er_ch4_b/100</f>
        <v>19.969410004695977</v>
      </c>
      <c r="D36" s="27">
        <v>21.28278055886587</v>
      </c>
      <c r="E36" s="27">
        <v>22.596151113035763</v>
      </c>
      <c r="F36" s="27">
        <v>26.698488420013209</v>
      </c>
      <c r="G36" s="27">
        <v>30.402556647496326</v>
      </c>
      <c r="H36" s="27">
        <v>31.566073668913944</v>
      </c>
      <c r="I36" s="27">
        <v>33.291713268673</v>
      </c>
      <c r="J36" s="27">
        <v>33.961999657892818</v>
      </c>
      <c r="K36" s="27">
        <v>39.145550582032151</v>
      </c>
      <c r="L36" s="27">
        <v>35.916760275653836</v>
      </c>
      <c r="M36" t="str">
        <f>'Base data'!$F$35</f>
        <v>Mtonne</v>
      </c>
    </row>
    <row r="37" spans="1:13" x14ac:dyDescent="0.2">
      <c r="A37" t="str">
        <v>US CH4</v>
      </c>
      <c r="B37" s="28">
        <v>29.643005823505199</v>
      </c>
      <c r="C37" s="28">
        <v>28.365004171552158</v>
      </c>
      <c r="D37" s="28">
        <v>30.742487180527629</v>
      </c>
      <c r="E37" s="28">
        <v>33.1199701895031</v>
      </c>
      <c r="F37" s="28">
        <v>39.295965512903223</v>
      </c>
      <c r="G37" s="28">
        <v>45.516593414374555</v>
      </c>
      <c r="H37" s="28">
        <v>47.98216250122092</v>
      </c>
      <c r="I37" s="28">
        <v>46.019623334486795</v>
      </c>
      <c r="J37" s="28">
        <v>48.015818021917177</v>
      </c>
      <c r="K37" s="28">
        <v>48.926812377293352</v>
      </c>
      <c r="L37" s="28">
        <v>47.413782860930731</v>
      </c>
      <c r="M37" t="str">
        <f>'Base data'!$F$35</f>
        <v>Mtonne</v>
      </c>
    </row>
    <row r="38" spans="1:13" x14ac:dyDescent="0.2">
      <c r="A38" t="str">
        <v>OT CH4</v>
      </c>
      <c r="B38" s="28">
        <v>15.569057514489527</v>
      </c>
      <c r="C38" s="28">
        <v>15.630170468615585</v>
      </c>
      <c r="D38" s="28">
        <v>16.2379568625404</v>
      </c>
      <c r="E38" s="28">
        <v>16.845743256465219</v>
      </c>
      <c r="F38" s="28">
        <v>20.633097191749538</v>
      </c>
      <c r="G38" s="28">
        <v>24.167776775269989</v>
      </c>
      <c r="H38" s="28">
        <v>25.656563433180406</v>
      </c>
      <c r="I38" s="28">
        <v>23.646432295012183</v>
      </c>
      <c r="J38" s="28">
        <v>21.467883988396839</v>
      </c>
      <c r="K38" s="28">
        <v>21.306772082929754</v>
      </c>
      <c r="L38" s="28">
        <v>29.670446338079344</v>
      </c>
      <c r="M38" t="str">
        <f>'Base data'!$F$35</f>
        <v>Mtonne</v>
      </c>
    </row>
    <row r="39" spans="1:13" x14ac:dyDescent="0.2">
      <c r="A39" t="str">
        <v>EE CH4</v>
      </c>
      <c r="B39" s="28">
        <v>38.738375647742181</v>
      </c>
      <c r="C39" s="28">
        <v>39.860452718641135</v>
      </c>
      <c r="D39" s="28">
        <v>41.700387277983339</v>
      </c>
      <c r="E39" s="28">
        <v>43.540321837325536</v>
      </c>
      <c r="F39" s="28">
        <v>50.420530607976055</v>
      </c>
      <c r="G39" s="28">
        <v>59.371925039301544</v>
      </c>
      <c r="H39" s="28">
        <v>68.073549967374447</v>
      </c>
      <c r="I39" s="28">
        <v>76.744337216781133</v>
      </c>
      <c r="J39" s="28">
        <v>84.908763828826153</v>
      </c>
      <c r="K39" s="28">
        <v>87.502783781672321</v>
      </c>
      <c r="L39" s="28">
        <v>86.456623668427895</v>
      </c>
      <c r="M39" t="str">
        <f>'Base data'!$F$35</f>
        <v>Mtonne</v>
      </c>
    </row>
    <row r="40" spans="1:13" x14ac:dyDescent="0.2">
      <c r="A40" t="str">
        <v>CA CH4</v>
      </c>
      <c r="B40" s="28">
        <v>73.281000000000006</v>
      </c>
      <c r="C40" s="28">
        <v>62.107866901038861</v>
      </c>
      <c r="D40" s="28">
        <v>55.818132407840274</v>
      </c>
      <c r="E40" s="28">
        <v>49.528397914641673</v>
      </c>
      <c r="F40" s="28">
        <v>47.775102156085374</v>
      </c>
      <c r="G40" s="28">
        <v>44.54973798900847</v>
      </c>
      <c r="H40" s="28">
        <v>43.500586260408525</v>
      </c>
      <c r="I40" s="28">
        <v>42.324027482212671</v>
      </c>
      <c r="J40" s="28">
        <v>35.007088935520947</v>
      </c>
      <c r="K40" s="28">
        <v>29.98953541417001</v>
      </c>
      <c r="L40" s="28">
        <v>25.884478765912398</v>
      </c>
      <c r="M40" t="str">
        <f>'Base data'!$F$35</f>
        <v>Mtonne</v>
      </c>
    </row>
    <row r="41" spans="1:13" x14ac:dyDescent="0.2">
      <c r="A41" t="str">
        <v>IA CH4</v>
      </c>
      <c r="B41" s="28">
        <v>81.960576000000003</v>
      </c>
      <c r="C41" s="28">
        <v>81.664686428398738</v>
      </c>
      <c r="D41" s="28">
        <v>83.277780372281995</v>
      </c>
      <c r="E41" s="28">
        <v>84.890874316165252</v>
      </c>
      <c r="F41" s="28">
        <v>89.693101909803772</v>
      </c>
      <c r="G41" s="28">
        <v>94.391192234637401</v>
      </c>
      <c r="H41" s="28">
        <v>74.408450602397536</v>
      </c>
      <c r="I41" s="28">
        <v>62.209498082834529</v>
      </c>
      <c r="J41" s="28">
        <v>48.4386217755982</v>
      </c>
      <c r="K41" s="28">
        <v>42.258667108822173</v>
      </c>
      <c r="L41" s="28">
        <v>37.231890111659879</v>
      </c>
      <c r="M41" t="str">
        <f>'Base data'!$F$35</f>
        <v>Mtonne</v>
      </c>
    </row>
    <row r="42" spans="1:13" x14ac:dyDescent="0.2">
      <c r="A42" t="str">
        <v>AF CH4</v>
      </c>
      <c r="B42" s="28">
        <v>67.907790545383648</v>
      </c>
      <c r="C42" s="28">
        <v>82.857884299602134</v>
      </c>
      <c r="D42" s="28">
        <v>105.7883035827101</v>
      </c>
      <c r="E42" s="28">
        <v>128.71872286581808</v>
      </c>
      <c r="F42" s="28">
        <v>187.38476168701237</v>
      </c>
      <c r="G42" s="28">
        <v>224.3077890907941</v>
      </c>
      <c r="H42" s="28">
        <v>244.97427735935761</v>
      </c>
      <c r="I42" s="28">
        <v>257.16108003401439</v>
      </c>
      <c r="J42" s="28">
        <v>250.01147407232921</v>
      </c>
      <c r="K42" s="28">
        <v>209.88289588081102</v>
      </c>
      <c r="L42" s="28">
        <v>185.68039610774321</v>
      </c>
      <c r="M42" t="str">
        <f>'Base data'!$F$35</f>
        <v>Mtonne</v>
      </c>
    </row>
    <row r="43" spans="1:13" ht="13.5" thickBot="1" x14ac:dyDescent="0.25">
      <c r="A43" t="str">
        <v>LA CH4</v>
      </c>
      <c r="B43" s="36">
        <v>60.95147103421364</v>
      </c>
      <c r="C43" s="36">
        <v>66.963795283031786</v>
      </c>
      <c r="D43" s="36">
        <v>70.784264781629716</v>
      </c>
      <c r="E43" s="36">
        <v>74.604734280227646</v>
      </c>
      <c r="F43" s="36">
        <v>78.453443130309026</v>
      </c>
      <c r="G43" s="36">
        <v>65.521199493781353</v>
      </c>
      <c r="H43" s="36">
        <v>61.611604980377003</v>
      </c>
      <c r="I43" s="36">
        <v>59.477453339721777</v>
      </c>
      <c r="J43" s="36">
        <v>55.134639352451416</v>
      </c>
      <c r="K43" s="36">
        <v>44.489412600658994</v>
      </c>
      <c r="L43" s="36">
        <v>39.606320407572042</v>
      </c>
      <c r="M43" t="str">
        <f>'Base data'!$F$35</f>
        <v>Mtonne</v>
      </c>
    </row>
    <row r="44" spans="1:13" s="2" customFormat="1" ht="13.5" thickTop="1" x14ac:dyDescent="0.2">
      <c r="A44" s="2" t="str">
        <f>"Total "&amp;'Base data'!$C$12</f>
        <v>Total CH4</v>
      </c>
      <c r="B44" s="43">
        <f t="shared" ref="B44:L44" si="1">SUM(B36:B43)</f>
        <v>388.04551912411665</v>
      </c>
      <c r="C44" s="43">
        <f t="shared" si="1"/>
        <v>397.41927027557637</v>
      </c>
      <c r="D44" s="43">
        <f t="shared" si="1"/>
        <v>425.63209302437929</v>
      </c>
      <c r="E44" s="43">
        <f t="shared" si="1"/>
        <v>453.84491577318232</v>
      </c>
      <c r="F44" s="43">
        <f t="shared" si="1"/>
        <v>540.35449061585257</v>
      </c>
      <c r="G44" s="43">
        <f t="shared" si="1"/>
        <v>588.22877068466369</v>
      </c>
      <c r="H44" s="43">
        <f t="shared" si="1"/>
        <v>597.77326877323037</v>
      </c>
      <c r="I44" s="43">
        <f t="shared" si="1"/>
        <v>600.87416505373653</v>
      </c>
      <c r="J44" s="43">
        <f t="shared" si="1"/>
        <v>576.9462896329328</v>
      </c>
      <c r="K44" s="43">
        <f t="shared" si="1"/>
        <v>523.50242982838972</v>
      </c>
      <c r="L44" s="43">
        <f t="shared" si="1"/>
        <v>487.86069853597928</v>
      </c>
      <c r="M44" s="2" t="str">
        <f>'Base data'!$F$35</f>
        <v>Mtonne</v>
      </c>
    </row>
    <row r="67" spans="1:13" x14ac:dyDescent="0.2">
      <c r="A67" t="str">
        <f t="array" ref="A67:A74">R_CODE&amp;" "&amp;'Base data'!$D$12</f>
        <v>EU N2O</v>
      </c>
      <c r="B67" s="27">
        <f t="array" ref="B67:B74" xml:space="preserve"> E_N2O_0</f>
        <v>1.3595020317441551</v>
      </c>
      <c r="C67" s="27">
        <f t="array" ref="C67:L74" xml:space="preserve"> E_N2O_0 * er_n2o_b/100</f>
        <v>1.4633569897887833</v>
      </c>
      <c r="D67" s="27">
        <v>1.5203621113930392</v>
      </c>
      <c r="E67" s="27">
        <v>1.577367232997295</v>
      </c>
      <c r="F67" s="27">
        <v>1.6688024173808924</v>
      </c>
      <c r="G67" s="27">
        <v>1.6427862703786522</v>
      </c>
      <c r="H67" s="27">
        <v>1.6758651417097101</v>
      </c>
      <c r="I67" s="27">
        <v>1.675572270168471</v>
      </c>
      <c r="J67" s="27">
        <v>1.6823296835420189</v>
      </c>
      <c r="K67" s="27">
        <v>1.649360137847782</v>
      </c>
      <c r="L67" s="27">
        <v>1.5871265625705093</v>
      </c>
      <c r="M67" t="str">
        <f>'Base data'!$F$35</f>
        <v>Mtonne</v>
      </c>
    </row>
    <row r="68" spans="1:13" x14ac:dyDescent="0.2">
      <c r="A68" t="str">
        <v>US N2O</v>
      </c>
      <c r="B68" s="28">
        <v>1.1991070347669028</v>
      </c>
      <c r="C68" s="28">
        <v>1.2907091124975016</v>
      </c>
      <c r="D68" s="28">
        <v>1.3409887301349324</v>
      </c>
      <c r="E68" s="28">
        <v>1.3912683477723626</v>
      </c>
      <c r="F68" s="28">
        <v>1.471915945392293</v>
      </c>
      <c r="G68" s="28">
        <v>1.4489692015408744</v>
      </c>
      <c r="H68" s="28">
        <v>1.4781454045836409</v>
      </c>
      <c r="I68" s="28">
        <v>1.4778870862309039</v>
      </c>
      <c r="J68" s="28">
        <v>1.4838472552662187</v>
      </c>
      <c r="K68" s="28">
        <v>1.4547674795454655</v>
      </c>
      <c r="L68" s="28">
        <v>1.3998762648424359</v>
      </c>
      <c r="M68" t="str">
        <f>'Base data'!$F$35</f>
        <v>Mtonne</v>
      </c>
    </row>
    <row r="69" spans="1:13" x14ac:dyDescent="0.2">
      <c r="A69" t="str">
        <v>OT N2O</v>
      </c>
      <c r="B69" s="28">
        <v>0.6445379422015326</v>
      </c>
      <c r="C69" s="28">
        <v>0.69377542723833929</v>
      </c>
      <c r="D69" s="28">
        <v>0.72080147274311701</v>
      </c>
      <c r="E69" s="28">
        <v>0.74782751824789473</v>
      </c>
      <c r="F69" s="28">
        <v>0.79117680659858114</v>
      </c>
      <c r="G69" s="28">
        <v>0.77884258902383896</v>
      </c>
      <c r="H69" s="28">
        <v>0.79452523396311603</v>
      </c>
      <c r="I69" s="28">
        <v>0.79438638399002881</v>
      </c>
      <c r="J69" s="28">
        <v>0.79759006387331954</v>
      </c>
      <c r="K69" s="28">
        <v>0.78195925005995559</v>
      </c>
      <c r="L69" s="28">
        <v>0.75245440224917559</v>
      </c>
      <c r="M69" t="str">
        <f>'Base data'!$F$35</f>
        <v>Mtonne</v>
      </c>
    </row>
    <row r="70" spans="1:13" x14ac:dyDescent="0.2">
      <c r="A70" t="str">
        <v>EE N2O</v>
      </c>
      <c r="B70" s="28">
        <v>0.44182528165250629</v>
      </c>
      <c r="C70" s="28">
        <v>0.47557715919123161</v>
      </c>
      <c r="D70" s="28">
        <v>0.49410328369883777</v>
      </c>
      <c r="E70" s="28">
        <v>0.51262940820644398</v>
      </c>
      <c r="F70" s="28">
        <v>0.54234497695877837</v>
      </c>
      <c r="G70" s="28">
        <v>0.53388997563595497</v>
      </c>
      <c r="H70" s="28">
        <v>0.54464029545992876</v>
      </c>
      <c r="I70" s="28">
        <v>0.54454511498341995</v>
      </c>
      <c r="J70" s="28">
        <v>0.54674121031634126</v>
      </c>
      <c r="K70" s="28">
        <v>0.53602642028868441</v>
      </c>
      <c r="L70" s="28">
        <v>0.51580109786688011</v>
      </c>
      <c r="M70" t="str">
        <f>'Base data'!$F$35</f>
        <v>Mtonne</v>
      </c>
    </row>
    <row r="71" spans="1:13" x14ac:dyDescent="0.2">
      <c r="A71" t="str">
        <v>CA N2O</v>
      </c>
      <c r="B71" s="28">
        <v>2.3215690000000002</v>
      </c>
      <c r="C71" s="28">
        <v>2.4989180921402929</v>
      </c>
      <c r="D71" s="28">
        <v>2.5962635319171539</v>
      </c>
      <c r="E71" s="28">
        <v>2.6936089716940148</v>
      </c>
      <c r="F71" s="28">
        <v>2.8497492970614666</v>
      </c>
      <c r="G71" s="28">
        <v>2.8053225297823055</v>
      </c>
      <c r="H71" s="28">
        <v>2.8618100380346103</v>
      </c>
      <c r="I71" s="28">
        <v>2.8613099126392472</v>
      </c>
      <c r="J71" s="28">
        <v>2.8728492859111561</v>
      </c>
      <c r="K71" s="28">
        <v>2.8165484688173952</v>
      </c>
      <c r="L71" s="28">
        <v>2.710274601070743</v>
      </c>
      <c r="M71" t="str">
        <f>'Base data'!$F$35</f>
        <v>Mtonne</v>
      </c>
    </row>
    <row r="72" spans="1:13" x14ac:dyDescent="0.2">
      <c r="A72" t="str">
        <v>IA N2O</v>
      </c>
      <c r="B72" s="28">
        <v>1.1105659999999999</v>
      </c>
      <c r="C72" s="28">
        <v>1.1954042588938241</v>
      </c>
      <c r="D72" s="28">
        <v>1.24197127269838</v>
      </c>
      <c r="E72" s="28">
        <v>1.2885382865029362</v>
      </c>
      <c r="F72" s="28">
        <v>1.3632309346999225</v>
      </c>
      <c r="G72" s="28">
        <v>1.3419785587291246</v>
      </c>
      <c r="H72" s="28">
        <v>1.3690004159686593</v>
      </c>
      <c r="I72" s="28">
        <v>1.3687611716214843</v>
      </c>
      <c r="J72" s="28">
        <v>1.3742812468882935</v>
      </c>
      <c r="K72" s="28">
        <v>1.347348696860037</v>
      </c>
      <c r="L72" s="28">
        <v>1.2965106023610458</v>
      </c>
      <c r="M72" t="str">
        <f>'Base data'!$F$35</f>
        <v>Mtonne</v>
      </c>
    </row>
    <row r="73" spans="1:13" x14ac:dyDescent="0.2">
      <c r="A73" t="str">
        <v>AF N2O</v>
      </c>
      <c r="B73" s="28">
        <v>1.9485908488980486</v>
      </c>
      <c r="C73" s="28">
        <v>2.0974474273606964</v>
      </c>
      <c r="D73" s="28">
        <v>2.1791535636552233</v>
      </c>
      <c r="E73" s="28">
        <v>2.2608596999497497</v>
      </c>
      <c r="F73" s="28">
        <v>2.3919148652948157</v>
      </c>
      <c r="G73" s="28">
        <v>2.3546256043827789</v>
      </c>
      <c r="H73" s="28">
        <v>2.4020379542450891</v>
      </c>
      <c r="I73" s="28">
        <v>2.4016181778918102</v>
      </c>
      <c r="J73" s="28">
        <v>2.4113036609249052</v>
      </c>
      <c r="K73" s="28">
        <v>2.3640480088316935</v>
      </c>
      <c r="L73" s="28">
        <v>2.2748478660971347</v>
      </c>
      <c r="M73" t="str">
        <f>'Base data'!$F$35</f>
        <v>Mtonne</v>
      </c>
    </row>
    <row r="74" spans="1:13" ht="13.5" thickBot="1" x14ac:dyDescent="0.25">
      <c r="A74" t="str">
        <v>LA N2O</v>
      </c>
      <c r="B74" s="36">
        <v>1.8743015799395168</v>
      </c>
      <c r="C74" s="36">
        <v>2.0174830591888475</v>
      </c>
      <c r="D74" s="36">
        <v>2.0960741807853531</v>
      </c>
      <c r="E74" s="36">
        <v>2.1746653023818587</v>
      </c>
      <c r="F74" s="36">
        <v>2.3007240404716955</v>
      </c>
      <c r="G74" s="36">
        <v>2.2648564181425996</v>
      </c>
      <c r="H74" s="36">
        <v>2.3104611905892258</v>
      </c>
      <c r="I74" s="36">
        <v>2.3100574180463047</v>
      </c>
      <c r="J74" s="36">
        <v>2.3193736458022105</v>
      </c>
      <c r="K74" s="36">
        <v>2.2739195970831236</v>
      </c>
      <c r="L74" s="36">
        <v>2.1881201751301971</v>
      </c>
      <c r="M74" t="str">
        <f>'Base data'!$F$35</f>
        <v>Mtonne</v>
      </c>
    </row>
    <row r="75" spans="1:13" s="2" customFormat="1" ht="13.5" thickTop="1" x14ac:dyDescent="0.2">
      <c r="A75" s="2" t="str">
        <f>"Total "&amp;'Base data'!$D$12</f>
        <v>Total N2O</v>
      </c>
      <c r="B75" s="43">
        <f t="shared" ref="B75:L75" si="2">SUM(B67:B74)</f>
        <v>10.899999719202661</v>
      </c>
      <c r="C75" s="43">
        <f t="shared" si="2"/>
        <v>11.732671526299518</v>
      </c>
      <c r="D75" s="43">
        <f t="shared" si="2"/>
        <v>12.189718147026037</v>
      </c>
      <c r="E75" s="43">
        <f t="shared" si="2"/>
        <v>12.646764767752556</v>
      </c>
      <c r="F75" s="43">
        <f t="shared" si="2"/>
        <v>13.379859283858446</v>
      </c>
      <c r="G75" s="43">
        <f t="shared" si="2"/>
        <v>13.17127114761613</v>
      </c>
      <c r="H75" s="43">
        <f t="shared" si="2"/>
        <v>13.436485674553982</v>
      </c>
      <c r="I75" s="43">
        <f t="shared" si="2"/>
        <v>13.434137535571669</v>
      </c>
      <c r="J75" s="43">
        <f t="shared" si="2"/>
        <v>13.488316052524462</v>
      </c>
      <c r="K75" s="43">
        <f t="shared" si="2"/>
        <v>13.223978059334137</v>
      </c>
      <c r="L75" s="43">
        <f t="shared" si="2"/>
        <v>12.725011572188123</v>
      </c>
      <c r="M75" s="2" t="str">
        <f>'Base data'!$F$35</f>
        <v>Mtonne</v>
      </c>
    </row>
    <row r="98" spans="1:13" x14ac:dyDescent="0.2">
      <c r="A98" t="str">
        <f t="array" ref="A98:A105">R_CODE&amp;" "&amp;GLIN_NAME</f>
        <v>EU Lin</v>
      </c>
      <c r="B98" s="27">
        <f t="array" ref="B98:B105" xml:space="preserve"> E_GLIN_0</f>
        <v>83.163436219332326</v>
      </c>
      <c r="C98" s="27">
        <f t="array" ref="C98:L105" xml:space="preserve"> E_GLIN_0 * er_glin_b/100</f>
        <v>102.39466118128612</v>
      </c>
      <c r="D98" s="27">
        <v>106.34752753776658</v>
      </c>
      <c r="E98" s="27">
        <v>110.30039389424702</v>
      </c>
      <c r="F98" s="27">
        <v>114.09587900504654</v>
      </c>
      <c r="G98" s="27">
        <v>125.38652743312048</v>
      </c>
      <c r="H98" s="27">
        <v>140.57351940389529</v>
      </c>
      <c r="I98" s="27">
        <v>159.11566267491614</v>
      </c>
      <c r="J98" s="27">
        <v>167.15401744600956</v>
      </c>
      <c r="K98" s="27">
        <v>160.48527267564788</v>
      </c>
      <c r="L98" s="27">
        <v>153.07775336329809</v>
      </c>
      <c r="M98" t="str">
        <f>'Base data'!$F$35</f>
        <v>Mtonne</v>
      </c>
    </row>
    <row r="99" spans="1:13" x14ac:dyDescent="0.2">
      <c r="A99" t="str">
        <v>US Lin</v>
      </c>
      <c r="B99" s="28">
        <v>216.49202882076008</v>
      </c>
      <c r="C99" s="28">
        <v>266.55497833310824</v>
      </c>
      <c r="D99" s="28">
        <v>276.84512621630557</v>
      </c>
      <c r="E99" s="28">
        <v>287.13527409950296</v>
      </c>
      <c r="F99" s="28">
        <v>297.0157252851522</v>
      </c>
      <c r="G99" s="28">
        <v>326.40767318938566</v>
      </c>
      <c r="H99" s="28">
        <v>365.94262812759121</v>
      </c>
      <c r="I99" s="28">
        <v>414.21175213109592</v>
      </c>
      <c r="J99" s="28">
        <v>435.13729118873425</v>
      </c>
      <c r="K99" s="28">
        <v>417.77713688707939</v>
      </c>
      <c r="L99" s="28">
        <v>398.49379606611927</v>
      </c>
      <c r="M99" t="str">
        <f>'Base data'!$F$35</f>
        <v>Mtonne</v>
      </c>
    </row>
    <row r="100" spans="1:13" x14ac:dyDescent="0.2">
      <c r="A100" t="str">
        <v>OT Lin</v>
      </c>
      <c r="B100" s="28">
        <v>77.97264727156184</v>
      </c>
      <c r="C100" s="28">
        <v>96.003522241707671</v>
      </c>
      <c r="D100" s="28">
        <v>99.70966364395322</v>
      </c>
      <c r="E100" s="28">
        <v>103.41580504619877</v>
      </c>
      <c r="F100" s="28">
        <v>106.97438842397457</v>
      </c>
      <c r="G100" s="28">
        <v>117.56031160573907</v>
      </c>
      <c r="H100" s="28">
        <v>131.79938134463464</v>
      </c>
      <c r="I100" s="28">
        <v>149.18418484309788</v>
      </c>
      <c r="J100" s="28">
        <v>156.72081187179731</v>
      </c>
      <c r="K100" s="28">
        <v>150.4683082793278</v>
      </c>
      <c r="L100" s="28">
        <v>143.52314202891179</v>
      </c>
      <c r="M100" t="str">
        <f>'Base data'!$F$35</f>
        <v>Mtonne</v>
      </c>
    </row>
    <row r="101" spans="1:13" x14ac:dyDescent="0.2">
      <c r="A101" t="str">
        <v>EE Lin</v>
      </c>
      <c r="B101" s="28">
        <v>27.885191768681864</v>
      </c>
      <c r="C101" s="28">
        <v>34.333535180038908</v>
      </c>
      <c r="D101" s="28">
        <v>35.658954635960868</v>
      </c>
      <c r="E101" s="28">
        <v>36.984374091882835</v>
      </c>
      <c r="F101" s="28">
        <v>38.257022685799605</v>
      </c>
      <c r="G101" s="28">
        <v>42.042843846186187</v>
      </c>
      <c r="H101" s="28">
        <v>47.135132028910924</v>
      </c>
      <c r="I101" s="28">
        <v>53.352422275926898</v>
      </c>
      <c r="J101" s="28">
        <v>56.047730147831935</v>
      </c>
      <c r="K101" s="28">
        <v>53.811660605353097</v>
      </c>
      <c r="L101" s="28">
        <v>51.327875591824878</v>
      </c>
      <c r="M101" t="str">
        <f>'Base data'!$F$35</f>
        <v>Mtonne</v>
      </c>
    </row>
    <row r="102" spans="1:13" x14ac:dyDescent="0.2">
      <c r="A102" t="str">
        <v>CA Lin</v>
      </c>
      <c r="B102" s="28">
        <v>86.554115999999993</v>
      </c>
      <c r="C102" s="28">
        <v>106.5694226281321</v>
      </c>
      <c r="D102" s="28">
        <v>110.68345240738468</v>
      </c>
      <c r="E102" s="28">
        <v>114.79748218663728</v>
      </c>
      <c r="F102" s="28">
        <v>118.74771408530485</v>
      </c>
      <c r="G102" s="28">
        <v>130.49869670681846</v>
      </c>
      <c r="H102" s="28">
        <v>146.3048817863131</v>
      </c>
      <c r="I102" s="28">
        <v>165.60301198064334</v>
      </c>
      <c r="J102" s="28">
        <v>173.96910076840604</v>
      </c>
      <c r="K102" s="28">
        <v>167.02846273481188</v>
      </c>
      <c r="L102" s="28">
        <v>159.31892937519441</v>
      </c>
      <c r="M102" t="str">
        <f>'Base data'!$F$35</f>
        <v>Mtonne</v>
      </c>
    </row>
    <row r="103" spans="1:13" x14ac:dyDescent="0.2">
      <c r="A103" t="str">
        <v>IA Lin</v>
      </c>
      <c r="B103" s="28">
        <v>66.586636600000006</v>
      </c>
      <c r="C103" s="28">
        <v>81.984540367915614</v>
      </c>
      <c r="D103" s="28">
        <v>85.149489864628976</v>
      </c>
      <c r="E103" s="28">
        <v>88.314439361342352</v>
      </c>
      <c r="F103" s="28">
        <v>91.353378097916192</v>
      </c>
      <c r="G103" s="28">
        <v>100.39348439987002</v>
      </c>
      <c r="H103" s="28">
        <v>112.55328396296244</v>
      </c>
      <c r="I103" s="28">
        <v>127.39945930035896</v>
      </c>
      <c r="J103" s="28">
        <v>133.83554506517791</v>
      </c>
      <c r="K103" s="28">
        <v>128.49606770843297</v>
      </c>
      <c r="L103" s="28">
        <v>122.56507424565618</v>
      </c>
      <c r="M103" t="str">
        <f>'Base data'!$F$35</f>
        <v>Mtonne</v>
      </c>
    </row>
    <row r="104" spans="1:13" x14ac:dyDescent="0.2">
      <c r="A104" t="str">
        <v>AF Lin</v>
      </c>
      <c r="B104" s="28">
        <v>39.11973074395469</v>
      </c>
      <c r="C104" s="28">
        <v>48.166018110002305</v>
      </c>
      <c r="D104" s="28">
        <v>50.025429824599129</v>
      </c>
      <c r="E104" s="28">
        <v>51.884841539195968</v>
      </c>
      <c r="F104" s="28">
        <v>53.670221777520574</v>
      </c>
      <c r="G104" s="28">
        <v>58.981295327512164</v>
      </c>
      <c r="H104" s="28">
        <v>66.125192498144045</v>
      </c>
      <c r="I104" s="28">
        <v>74.84733873396236</v>
      </c>
      <c r="J104" s="28">
        <v>78.628547021703341</v>
      </c>
      <c r="K104" s="28">
        <v>75.491597519897397</v>
      </c>
      <c r="L104" s="28">
        <v>72.007131579655194</v>
      </c>
      <c r="M104" t="str">
        <f>'Base data'!$F$35</f>
        <v>Mtonne</v>
      </c>
    </row>
    <row r="105" spans="1:13" ht="13.5" thickBot="1" x14ac:dyDescent="0.25">
      <c r="A105" t="str">
        <v>LA Lin</v>
      </c>
      <c r="B105" s="36">
        <v>33.442510938201117</v>
      </c>
      <c r="C105" s="36">
        <v>41.175963046275996</v>
      </c>
      <c r="D105" s="36">
        <v>42.765529114892999</v>
      </c>
      <c r="E105" s="36">
        <v>44.355095183510002</v>
      </c>
      <c r="F105" s="36">
        <v>45.881373534959181</v>
      </c>
      <c r="G105" s="36">
        <v>50.421681760793064</v>
      </c>
      <c r="H105" s="36">
        <v>56.528826537272899</v>
      </c>
      <c r="I105" s="36">
        <v>63.985178238799371</v>
      </c>
      <c r="J105" s="36">
        <v>67.217641681609123</v>
      </c>
      <c r="K105" s="36">
        <v>64.535939480912319</v>
      </c>
      <c r="L105" s="36">
        <v>61.557153888469394</v>
      </c>
      <c r="M105" t="str">
        <f>'Base data'!$F$35</f>
        <v>Mtonne</v>
      </c>
    </row>
    <row r="106" spans="1:13" s="2" customFormat="1" ht="13.5" thickTop="1" x14ac:dyDescent="0.2">
      <c r="A106" s="2" t="str">
        <f>"Total "&amp;'Base data'!$E$12</f>
        <v>Total Lin</v>
      </c>
      <c r="B106" s="43">
        <f t="shared" ref="B106:L106" si="3">SUM(B98:B105)</f>
        <v>631.21629836249201</v>
      </c>
      <c r="C106" s="43">
        <f t="shared" si="3"/>
        <v>777.18264108846699</v>
      </c>
      <c r="D106" s="43">
        <f t="shared" si="3"/>
        <v>807.18517324549191</v>
      </c>
      <c r="E106" s="43">
        <f t="shared" si="3"/>
        <v>837.18770540251705</v>
      </c>
      <c r="F106" s="43">
        <f t="shared" si="3"/>
        <v>865.99570289567373</v>
      </c>
      <c r="G106" s="43">
        <f t="shared" si="3"/>
        <v>951.69251426942503</v>
      </c>
      <c r="H106" s="43">
        <f t="shared" si="3"/>
        <v>1066.9628456897244</v>
      </c>
      <c r="I106" s="43">
        <f t="shared" si="3"/>
        <v>1207.6990101788008</v>
      </c>
      <c r="J106" s="43">
        <f t="shared" si="3"/>
        <v>1268.7106851912695</v>
      </c>
      <c r="K106" s="43">
        <f t="shared" si="3"/>
        <v>1218.0944458914628</v>
      </c>
      <c r="L106" s="43">
        <f t="shared" si="3"/>
        <v>1161.8708561391293</v>
      </c>
      <c r="M106" s="2" t="str">
        <f>'Base data'!$F$35</f>
        <v>Mtonne</v>
      </c>
    </row>
    <row r="128" spans="1:1" x14ac:dyDescent="0.2">
      <c r="A128" s="59" t="s">
        <v>190</v>
      </c>
    </row>
    <row r="129" spans="1:13" x14ac:dyDescent="0.2">
      <c r="A129" s="1" t="str">
        <f t="array" ref="A129:A136">R_CODE</f>
        <v>EU</v>
      </c>
      <c r="B129" s="27">
        <f t="array" ref="B129:B136" xml:space="preserve"> (SE_0/AREA)</f>
        <v>1.0849637089238828E-6</v>
      </c>
      <c r="C129" s="27">
        <f t="array" ref="C129:L136" xml:space="preserve"> (SE_0/AREA) * pse_b/100</f>
        <v>8.5385866600092218E-7</v>
      </c>
      <c r="D129" s="27">
        <v>7.0109124547898554E-7</v>
      </c>
      <c r="E129" s="27">
        <v>5.4832382495704879E-7</v>
      </c>
      <c r="F129" s="27">
        <v>5.7864121081330711E-7</v>
      </c>
      <c r="G129" s="27">
        <v>6.9505357633410513E-7</v>
      </c>
      <c r="H129" s="27">
        <v>8.9502401803316186E-7</v>
      </c>
      <c r="I129" s="27">
        <v>1.0714668261022633E-6</v>
      </c>
      <c r="J129" s="27">
        <v>1.1664362553059126E-6</v>
      </c>
      <c r="K129" s="27">
        <v>1.0855255934659393E-6</v>
      </c>
      <c r="L129" s="27">
        <v>8.7270257115024155E-7</v>
      </c>
      <c r="M129" s="1" t="str">
        <f>'Base data'!$K$35</f>
        <v>Tg/Km2</v>
      </c>
    </row>
    <row r="130" spans="1:13" x14ac:dyDescent="0.2">
      <c r="A130" s="1" t="str">
        <v>US</v>
      </c>
      <c r="B130" s="28">
        <v>4.3346692064690741E-7</v>
      </c>
      <c r="C130" s="28">
        <v>3.6577979631527068E-7</v>
      </c>
      <c r="D130" s="28">
        <v>3.0641814968639571E-7</v>
      </c>
      <c r="E130" s="28">
        <v>2.4705650305752069E-7</v>
      </c>
      <c r="F130" s="28">
        <v>2.4579515522213872E-7</v>
      </c>
      <c r="G130" s="28">
        <v>2.1320058555096937E-7</v>
      </c>
      <c r="H130" s="28">
        <v>2.1463099013100143E-7</v>
      </c>
      <c r="I130" s="28">
        <v>2.1617369406897063E-7</v>
      </c>
      <c r="J130" s="28">
        <v>2.1684795569524558E-7</v>
      </c>
      <c r="K130" s="28">
        <v>2.0454953484969207E-7</v>
      </c>
      <c r="L130" s="28">
        <v>1.8258217444999232E-7</v>
      </c>
      <c r="M130" s="1" t="str">
        <f>'Base data'!$K$35</f>
        <v>Tg/Km2</v>
      </c>
    </row>
    <row r="131" spans="1:13" x14ac:dyDescent="0.2">
      <c r="A131" s="1" t="str">
        <v>OT</v>
      </c>
      <c r="B131" s="28">
        <v>3.0639487836994608E-7</v>
      </c>
      <c r="C131" s="28">
        <v>2.3127067347172936E-7</v>
      </c>
      <c r="D131" s="28">
        <v>1.8644118304103528E-7</v>
      </c>
      <c r="E131" s="28">
        <v>1.4161169261034116E-7</v>
      </c>
      <c r="F131" s="28">
        <v>1.1674601666252512E-7</v>
      </c>
      <c r="G131" s="28">
        <v>8.9402252374300335E-8</v>
      </c>
      <c r="H131" s="28">
        <v>8.7336392965476834E-8</v>
      </c>
      <c r="I131" s="28">
        <v>8.5907700835957238E-8</v>
      </c>
      <c r="J131" s="28">
        <v>8.516406110793769E-8</v>
      </c>
      <c r="K131" s="28">
        <v>8.552221191778115E-8</v>
      </c>
      <c r="L131" s="28">
        <v>8.3397706139054271E-8</v>
      </c>
      <c r="M131" s="1" t="str">
        <f>'Base data'!$K$35</f>
        <v>Tg/Km2</v>
      </c>
    </row>
    <row r="132" spans="1:13" x14ac:dyDescent="0.2">
      <c r="A132" s="1" t="str">
        <v>EE</v>
      </c>
      <c r="B132" s="28">
        <v>3.9999854276911527E-7</v>
      </c>
      <c r="C132" s="28">
        <v>3.1082438281749208E-7</v>
      </c>
      <c r="D132" s="28">
        <v>2.5366434354759699E-7</v>
      </c>
      <c r="E132" s="28">
        <v>1.965043042777018E-7</v>
      </c>
      <c r="F132" s="28">
        <v>1.5405268774140729E-7</v>
      </c>
      <c r="G132" s="28">
        <v>1.3175580453187015E-7</v>
      </c>
      <c r="H132" s="28">
        <v>1.2259484604081663E-7</v>
      </c>
      <c r="I132" s="28">
        <v>1.1165625265881487E-7</v>
      </c>
      <c r="J132" s="28">
        <v>1.0160260598947022E-7</v>
      </c>
      <c r="K132" s="28">
        <v>9.7890870827971322E-8</v>
      </c>
      <c r="L132" s="28">
        <v>9.2232578290289236E-8</v>
      </c>
      <c r="M132" s="1" t="str">
        <f>'Base data'!$K$35</f>
        <v>Tg/Km2</v>
      </c>
    </row>
    <row r="133" spans="1:13" x14ac:dyDescent="0.2">
      <c r="A133" s="1" t="str">
        <v>CA</v>
      </c>
      <c r="B133" s="28">
        <v>1.8282796707304366E-6</v>
      </c>
      <c r="C133" s="28">
        <v>1.0691290027575401E-6</v>
      </c>
      <c r="D133" s="28">
        <v>9.2040063613680311E-7</v>
      </c>
      <c r="E133" s="28">
        <v>7.716722695160661E-7</v>
      </c>
      <c r="F133" s="28">
        <v>7.7216984910789971E-7</v>
      </c>
      <c r="G133" s="28">
        <v>6.8117119061270523E-7</v>
      </c>
      <c r="H133" s="28">
        <v>5.9640056987296917E-7</v>
      </c>
      <c r="I133" s="28">
        <v>5.1688517182011887E-7</v>
      </c>
      <c r="J133" s="28">
        <v>4.2772013878891594E-7</v>
      </c>
      <c r="K133" s="28">
        <v>3.4724210128523626E-7</v>
      </c>
      <c r="L133" s="28">
        <v>2.8564193960036367E-7</v>
      </c>
      <c r="M133" s="1" t="str">
        <f>'Base data'!$K$35</f>
        <v>Tg/Km2</v>
      </c>
    </row>
    <row r="134" spans="1:13" x14ac:dyDescent="0.2">
      <c r="A134" s="1" t="str">
        <v>IA</v>
      </c>
      <c r="B134" s="28">
        <v>2.3094007693335421E-6</v>
      </c>
      <c r="C134" s="28">
        <v>2.712325307884201E-6</v>
      </c>
      <c r="D134" s="28">
        <v>3.0299086733297406E-6</v>
      </c>
      <c r="E134" s="28">
        <v>3.3474920387752806E-6</v>
      </c>
      <c r="F134" s="28">
        <v>3.4038971973416559E-6</v>
      </c>
      <c r="G134" s="28">
        <v>2.4462709791768732E-6</v>
      </c>
      <c r="H134" s="28">
        <v>2.4377200202243127E-6</v>
      </c>
      <c r="I134" s="28">
        <v>2.0875067195405106E-6</v>
      </c>
      <c r="J134" s="28">
        <v>1.5346442855762807E-6</v>
      </c>
      <c r="K134" s="28">
        <v>9.7840398106140096E-7</v>
      </c>
      <c r="L134" s="28">
        <v>4.9683957998907164E-7</v>
      </c>
      <c r="M134" s="1" t="str">
        <f>'Base data'!$K$35</f>
        <v>Tg/Km2</v>
      </c>
    </row>
    <row r="135" spans="1:13" x14ac:dyDescent="0.2">
      <c r="A135" s="1" t="str">
        <v>AF</v>
      </c>
      <c r="B135" s="28">
        <v>4.8815789575201288E-7</v>
      </c>
      <c r="C135" s="28">
        <v>3.9986165717032018E-7</v>
      </c>
      <c r="D135" s="28">
        <v>3.4516576464620625E-7</v>
      </c>
      <c r="E135" s="28">
        <v>2.9046987212209249E-7</v>
      </c>
      <c r="F135" s="28">
        <v>3.2204821265985743E-7</v>
      </c>
      <c r="G135" s="28">
        <v>3.5765258089433229E-7</v>
      </c>
      <c r="H135" s="28">
        <v>4.8987366069313333E-7</v>
      </c>
      <c r="I135" s="28">
        <v>5.5544630682954877E-7</v>
      </c>
      <c r="J135" s="28">
        <v>5.1724524154057653E-7</v>
      </c>
      <c r="K135" s="28">
        <v>3.9428453041981476E-7</v>
      </c>
      <c r="L135" s="28">
        <v>2.3366529085758355E-7</v>
      </c>
      <c r="M135" s="1" t="str">
        <f>'Base data'!$K$35</f>
        <v>Tg/Km2</v>
      </c>
    </row>
    <row r="136" spans="1:13" x14ac:dyDescent="0.2">
      <c r="A136" s="1" t="str">
        <v>LA</v>
      </c>
      <c r="B136" s="28">
        <v>4.6132264616206479E-7</v>
      </c>
      <c r="C136" s="28">
        <v>4.3710437697194813E-7</v>
      </c>
      <c r="D136" s="28">
        <v>4.3339319307576136E-7</v>
      </c>
      <c r="E136" s="28">
        <v>4.2968200917957448E-7</v>
      </c>
      <c r="F136" s="28">
        <v>4.261960609714454E-7</v>
      </c>
      <c r="G136" s="28">
        <v>3.8661339855163448E-7</v>
      </c>
      <c r="H136" s="28">
        <v>3.9085648793421901E-7</v>
      </c>
      <c r="I136" s="28">
        <v>3.6554566833998939E-7</v>
      </c>
      <c r="J136" s="28">
        <v>3.25502755953753E-7</v>
      </c>
      <c r="K136" s="28">
        <v>2.8448839891069905E-7</v>
      </c>
      <c r="L136" s="28">
        <v>2.3053627066371757E-7</v>
      </c>
      <c r="M136" s="1" t="str">
        <f>'Base data'!$K$35</f>
        <v>Tg/Km2</v>
      </c>
    </row>
    <row r="137" spans="1:13" x14ac:dyDescent="0.2">
      <c r="A137" s="8" t="s">
        <v>136</v>
      </c>
      <c r="B137" s="43">
        <f t="array" ref="B137">SUM(AREA*B129:B136)/AREA_E</f>
        <v>1.8343674895688549E-7</v>
      </c>
      <c r="C137" s="43">
        <f t="array" ref="C137">SUM(AREA*C129:C136)/AREA_E</f>
        <v>1.6076001998332625E-7</v>
      </c>
      <c r="D137" s="43">
        <f t="array" ref="D137">SUM(AREA*D129:D136)/AREA_E</f>
        <v>1.5421552606198382E-7</v>
      </c>
      <c r="E137" s="43">
        <f t="array" ref="E137">SUM(AREA*E129:E136)/AREA_E</f>
        <v>1.4767103214064133E-7</v>
      </c>
      <c r="F137" s="43">
        <f t="array" ref="F137">SUM(AREA*F129:F136)/AREA_E</f>
        <v>1.488521695130019E-7</v>
      </c>
      <c r="G137" s="43">
        <f t="array" ref="G137">SUM(AREA*G129:G136)/AREA_E</f>
        <v>1.2635037585281834E-7</v>
      </c>
      <c r="H137" s="43">
        <f t="array" ref="H137">SUM(AREA*H129:H136)/AREA_E</f>
        <v>1.362580214262067E-7</v>
      </c>
      <c r="I137" s="43">
        <f t="array" ref="I137">SUM(AREA*I129:I136)/AREA_E</f>
        <v>1.3234936850326537E-7</v>
      </c>
      <c r="J137" s="43">
        <f t="array" ref="J137">SUM(AREA*J129:J136)/AREA_E</f>
        <v>1.1463480822519868E-7</v>
      </c>
      <c r="K137" s="43">
        <f t="array" ref="K137">SUM(AREA*K129:K136)/AREA_E</f>
        <v>8.895686670609455E-8</v>
      </c>
      <c r="L137" s="43">
        <f t="array" ref="L137">SUM(AREA*L129:L136)/AREA_E</f>
        <v>6.0357236236370948E-8</v>
      </c>
      <c r="M137" s="1" t="str">
        <f>'Base data'!$K$35</f>
        <v>Tg/Km2</v>
      </c>
    </row>
    <row r="141" spans="1:13" x14ac:dyDescent="0.2">
      <c r="A141" s="2" t="s">
        <v>544</v>
      </c>
      <c r="B141" s="26">
        <f xml:space="preserve"> PEXF_0</f>
        <v>0.85</v>
      </c>
      <c r="C141" s="26">
        <f t="array" ref="C141:L141" xml:space="preserve"> pexf_b</f>
        <v>0.94169999999999998</v>
      </c>
      <c r="D141" s="26">
        <v>0.89269999999999994</v>
      </c>
      <c r="E141" s="26">
        <v>0.84369999999999989</v>
      </c>
      <c r="F141" s="26">
        <v>0.80619999999999992</v>
      </c>
      <c r="G141" s="26">
        <v>0.69009999999999994</v>
      </c>
      <c r="H141" s="26">
        <v>0.65700000000000003</v>
      </c>
      <c r="I141" s="26">
        <v>0.6089</v>
      </c>
      <c r="J141" s="26">
        <v>0.54239999999999999</v>
      </c>
      <c r="K141" s="26">
        <v>0.4405</v>
      </c>
      <c r="L141" s="26">
        <v>0.33140000000000003</v>
      </c>
      <c r="M141" t="s">
        <v>42</v>
      </c>
    </row>
  </sheetData>
  <phoneticPr fontId="21" type="noConversion"/>
  <pageMargins left="0.75" right="0.75" top="1" bottom="1" header="0.5" footer="0.5"/>
  <pageSetup paperSize="9" orientation="portrait" verticalDpi="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P141"/>
  <sheetViews>
    <sheetView workbookViewId="0">
      <selection activeCell="B5" sqref="B5"/>
    </sheetView>
  </sheetViews>
  <sheetFormatPr defaultRowHeight="12.75" x14ac:dyDescent="0.2"/>
  <cols>
    <col min="1" max="1" width="9.85546875" bestFit="1" customWidth="1"/>
    <col min="2" max="12" width="9" bestFit="1" customWidth="1"/>
    <col min="13" max="13" width="8.5703125" bestFit="1" customWidth="1"/>
  </cols>
  <sheetData>
    <row r="1" spans="1:16" x14ac:dyDescent="0.2">
      <c r="A1" s="2" t="str">
        <f>MODEL_NAME</f>
        <v>PAGE-ICE Nonlinear Arctic Feedbacks</v>
      </c>
      <c r="B1" t="s">
        <v>37</v>
      </c>
      <c r="C1" s="51" t="str">
        <f>VERSION</f>
        <v>6.22</v>
      </c>
    </row>
    <row r="3" spans="1:16" s="2" customFormat="1" x14ac:dyDescent="0.2">
      <c r="A3" s="2" t="s">
        <v>568</v>
      </c>
    </row>
    <row r="4" spans="1:16" s="2" customFormat="1" x14ac:dyDescent="0.2">
      <c r="A4" s="2" t="s">
        <v>567</v>
      </c>
      <c r="B4" s="2">
        <f>Y_0</f>
        <v>2015</v>
      </c>
      <c r="C4" s="2">
        <f t="array" ref="C4:L4">Y</f>
        <v>2020</v>
      </c>
      <c r="D4" s="2">
        <v>2025</v>
      </c>
      <c r="E4" s="2">
        <v>2030</v>
      </c>
      <c r="F4" s="2">
        <v>2040</v>
      </c>
      <c r="G4" s="2">
        <v>2050</v>
      </c>
      <c r="H4" s="2">
        <v>2060</v>
      </c>
      <c r="I4" s="2">
        <v>2070</v>
      </c>
      <c r="J4" s="2">
        <v>2080</v>
      </c>
      <c r="K4" s="2">
        <v>2090</v>
      </c>
      <c r="L4" s="2">
        <v>2100</v>
      </c>
    </row>
    <row r="5" spans="1:16" x14ac:dyDescent="0.2">
      <c r="A5" t="str">
        <f t="array" ref="A5:A12">R_CODE&amp;" "&amp;'Base data'!$B$12</f>
        <v>EU CO2</v>
      </c>
      <c r="B5" s="66">
        <f>'Emissions A'!B5-'Emissions B'!B5</f>
        <v>0</v>
      </c>
      <c r="C5" s="66">
        <f>'Emissions A'!C5-'Emissions B'!C5</f>
        <v>1.8837431281631325</v>
      </c>
      <c r="D5" s="66">
        <f>'Emissions A'!D5-'Emissions B'!D5</f>
        <v>4.2813316001138446</v>
      </c>
      <c r="E5" s="66">
        <f>'Emissions A'!E5-'Emissions B'!E5</f>
        <v>6.6789200720645567</v>
      </c>
      <c r="F5" s="66">
        <f>'Emissions A'!F5-'Emissions B'!F5</f>
        <v>15.191321604947916</v>
      </c>
      <c r="G5" s="66">
        <f>'Emissions A'!G5-'Emissions B'!G5</f>
        <v>-2192.6716541956121</v>
      </c>
      <c r="H5" s="66">
        <f>'Emissions A'!H5-'Emissions B'!H5</f>
        <v>-6217.4035403627195</v>
      </c>
      <c r="I5" s="66">
        <f>'Emissions A'!I5-'Emissions B'!I5</f>
        <v>-9213.2801654279137</v>
      </c>
      <c r="J5" s="66">
        <f>'Emissions A'!J5-'Emissions B'!J5</f>
        <v>-10774.730511030712</v>
      </c>
      <c r="K5" s="66">
        <f>'Emissions A'!K5-'Emissions B'!K5</f>
        <v>-11434.491356798004</v>
      </c>
      <c r="L5" s="66">
        <f>'Emissions A'!L5-'Emissions B'!L5</f>
        <v>-11930.752068097625</v>
      </c>
      <c r="M5" t="str">
        <f>'Base data'!$F$35</f>
        <v>Mtonne</v>
      </c>
    </row>
    <row r="6" spans="1:16" x14ac:dyDescent="0.2">
      <c r="A6" t="str">
        <v>US CO2</v>
      </c>
      <c r="B6" s="67">
        <f>'Emissions A'!B6-'Emissions B'!B6</f>
        <v>0</v>
      </c>
      <c r="C6" s="67">
        <f>'Emissions A'!C6-'Emissions B'!C6</f>
        <v>0</v>
      </c>
      <c r="D6" s="67">
        <f>'Emissions A'!D6-'Emissions B'!D6</f>
        <v>0</v>
      </c>
      <c r="E6" s="67">
        <f>'Emissions A'!E6-'Emissions B'!E6</f>
        <v>0</v>
      </c>
      <c r="F6" s="67">
        <f>'Emissions A'!F6-'Emissions B'!F6</f>
        <v>0</v>
      </c>
      <c r="G6" s="67">
        <f>'Emissions A'!G6-'Emissions B'!G6</f>
        <v>-4383.4432908909193</v>
      </c>
      <c r="H6" s="67">
        <f>'Emissions A'!H6-'Emissions B'!H6</f>
        <v>-12011.25074917866</v>
      </c>
      <c r="I6" s="67">
        <f>'Emissions A'!I6-'Emissions B'!I6</f>
        <v>-16250.882041456614</v>
      </c>
      <c r="J6" s="67">
        <f>'Emissions A'!J6-'Emissions B'!J6</f>
        <v>-18586.726092356719</v>
      </c>
      <c r="K6" s="67">
        <f>'Emissions A'!K6-'Emissions B'!K6</f>
        <v>-18379.25524801607</v>
      </c>
      <c r="L6" s="67">
        <f>'Emissions A'!L6-'Emissions B'!L6</f>
        <v>-17440.347828310125</v>
      </c>
      <c r="M6" t="str">
        <f>'Base data'!$F$35</f>
        <v>Mtonne</v>
      </c>
    </row>
    <row r="7" spans="1:16" x14ac:dyDescent="0.2">
      <c r="A7" t="str">
        <v>OT CO2</v>
      </c>
      <c r="B7" s="67">
        <f>'Emissions A'!B7-'Emissions B'!B7</f>
        <v>0</v>
      </c>
      <c r="C7" s="67">
        <f>'Emissions A'!C7-'Emissions B'!C7</f>
        <v>1.7666339932052324</v>
      </c>
      <c r="D7" s="67">
        <f>'Emissions A'!D7-'Emissions B'!D7</f>
        <v>4.015168431335951</v>
      </c>
      <c r="E7" s="67">
        <f>'Emissions A'!E7-'Emissions B'!E7</f>
        <v>6.2637028694653054</v>
      </c>
      <c r="F7" s="67">
        <f>'Emissions A'!F7-'Emissions B'!F7</f>
        <v>14.246902747928289</v>
      </c>
      <c r="G7" s="67">
        <f>'Emissions A'!G7-'Emissions B'!G7</f>
        <v>-2056.3569535180313</v>
      </c>
      <c r="H7" s="67">
        <f>'Emissions A'!H7-'Emissions B'!H7</f>
        <v>-5830.8780425871837</v>
      </c>
      <c r="I7" s="67">
        <f>'Emissions A'!I7-'Emissions B'!I7</f>
        <v>-8640.5060678534555</v>
      </c>
      <c r="J7" s="67">
        <f>'Emissions A'!J7-'Emissions B'!J7</f>
        <v>-10104.88367751949</v>
      </c>
      <c r="K7" s="67">
        <f>'Emissions A'!K7-'Emissions B'!K7</f>
        <v>-10723.628303627325</v>
      </c>
      <c r="L7" s="67">
        <f>'Emissions A'!L7-'Emissions B'!L7</f>
        <v>-11189.037323024328</v>
      </c>
      <c r="M7" t="str">
        <f>'Base data'!$F$35</f>
        <v>Mtonne</v>
      </c>
    </row>
    <row r="8" spans="1:16" x14ac:dyDescent="0.2">
      <c r="A8" t="str">
        <v>EE CO2</v>
      </c>
      <c r="B8" s="67">
        <f>'Emissions A'!B8-'Emissions B'!B8</f>
        <v>0</v>
      </c>
      <c r="C8" s="67">
        <f>'Emissions A'!C8-'Emissions B'!C8</f>
        <v>-3.6952567234361595</v>
      </c>
      <c r="D8" s="67">
        <f>'Emissions A'!D8-'Emissions B'!D8</f>
        <v>-8.5094522544241045</v>
      </c>
      <c r="E8" s="67">
        <f>'Emissions A'!E8-'Emissions B'!E8</f>
        <v>-13.323647785412049</v>
      </c>
      <c r="F8" s="67">
        <f>'Emissions A'!F8-'Emissions B'!F8</f>
        <v>-27.573128282306243</v>
      </c>
      <c r="G8" s="67">
        <f>'Emissions A'!G8-'Emissions B'!G8</f>
        <v>-2916.3393989850729</v>
      </c>
      <c r="H8" s="67">
        <f>'Emissions A'!H8-'Emissions B'!H8</f>
        <v>-7048.9969054253552</v>
      </c>
      <c r="I8" s="67">
        <f>'Emissions A'!I8-'Emissions B'!I8</f>
        <v>-8951.6598316804102</v>
      </c>
      <c r="J8" s="67">
        <f>'Emissions A'!J8-'Emissions B'!J8</f>
        <v>-8989.4588360884954</v>
      </c>
      <c r="K8" s="67">
        <f>'Emissions A'!K8-'Emissions B'!K8</f>
        <v>-8260.3130940018291</v>
      </c>
      <c r="L8" s="67">
        <f>'Emissions A'!L8-'Emissions B'!L8</f>
        <v>-7447.7509011604761</v>
      </c>
      <c r="M8" t="str">
        <f>'Base data'!$F$35</f>
        <v>Mtonne</v>
      </c>
    </row>
    <row r="9" spans="1:16" x14ac:dyDescent="0.2">
      <c r="A9" t="str">
        <v>CA CO2</v>
      </c>
      <c r="B9" s="67">
        <f>'Emissions A'!B9-'Emissions B'!B9</f>
        <v>0</v>
      </c>
      <c r="C9" s="67">
        <f>'Emissions A'!C9-'Emissions B'!C9</f>
        <v>0</v>
      </c>
      <c r="D9" s="67">
        <f>'Emissions A'!D9-'Emissions B'!D9</f>
        <v>0</v>
      </c>
      <c r="E9" s="67">
        <f>'Emissions A'!E9-'Emissions B'!E9</f>
        <v>0</v>
      </c>
      <c r="F9" s="67">
        <f>'Emissions A'!F9-'Emissions B'!F9</f>
        <v>0</v>
      </c>
      <c r="G9" s="67">
        <f>'Emissions A'!G9-'Emissions B'!G9</f>
        <v>-7153.0534604462537</v>
      </c>
      <c r="H9" s="67">
        <f>'Emissions A'!H9-'Emissions B'!H9</f>
        <v>-16177.927858524588</v>
      </c>
      <c r="I9" s="67">
        <f>'Emissions A'!I9-'Emissions B'!I9</f>
        <v>-20482.933546160777</v>
      </c>
      <c r="J9" s="67">
        <f>'Emissions A'!J9-'Emissions B'!J9</f>
        <v>-20446.577722033369</v>
      </c>
      <c r="K9" s="67">
        <f>'Emissions A'!K9-'Emissions B'!K9</f>
        <v>-17777.994977296185</v>
      </c>
      <c r="L9" s="67">
        <f>'Emissions A'!L9-'Emissions B'!L9</f>
        <v>-14706.504347665154</v>
      </c>
      <c r="M9" t="str">
        <f>'Base data'!$F$35</f>
        <v>Mtonne</v>
      </c>
    </row>
    <row r="10" spans="1:16" x14ac:dyDescent="0.2">
      <c r="A10" t="str">
        <v>IA CO2</v>
      </c>
      <c r="B10" s="67">
        <f>'Emissions A'!B10-'Emissions B'!B10</f>
        <v>0</v>
      </c>
      <c r="C10" s="67">
        <f>'Emissions A'!C10-'Emissions B'!C10</f>
        <v>1.1627574858721346E-3</v>
      </c>
      <c r="D10" s="67">
        <f>'Emissions A'!D10-'Emissions B'!D10</f>
        <v>1.1627574858721346E-3</v>
      </c>
      <c r="E10" s="67">
        <f>'Emissions A'!E10-'Emissions B'!E10</f>
        <v>1.1627574840531452E-3</v>
      </c>
      <c r="F10" s="67">
        <f>'Emissions A'!F10-'Emissions B'!F10</f>
        <v>3.4882724576164037E-3</v>
      </c>
      <c r="G10" s="67">
        <f>'Emissions A'!G10-'Emissions B'!G10</f>
        <v>-8148.0905237450806</v>
      </c>
      <c r="H10" s="67">
        <f>'Emissions A'!H10-'Emissions B'!H10</f>
        <v>-21069.594705554235</v>
      </c>
      <c r="I10" s="67">
        <f>'Emissions A'!I10-'Emissions B'!I10</f>
        <v>-30930.211896182365</v>
      </c>
      <c r="J10" s="67">
        <f>'Emissions A'!J10-'Emissions B'!J10</f>
        <v>-37322.666519247432</v>
      </c>
      <c r="K10" s="67">
        <f>'Emissions A'!K10-'Emissions B'!K10</f>
        <v>-39363.160562658435</v>
      </c>
      <c r="L10" s="67">
        <f>'Emissions A'!L10-'Emissions B'!L10</f>
        <v>-38503.837432892258</v>
      </c>
      <c r="M10" t="str">
        <f>'Base data'!$F$35</f>
        <v>Mtonne</v>
      </c>
    </row>
    <row r="11" spans="1:16" x14ac:dyDescent="0.2">
      <c r="A11" t="str">
        <v>AF CO2</v>
      </c>
      <c r="B11" s="67">
        <f>'Emissions A'!B11-'Emissions B'!B11</f>
        <v>0</v>
      </c>
      <c r="C11" s="67">
        <f>'Emissions A'!C11-'Emissions B'!C11</f>
        <v>-1.2852730699260064</v>
      </c>
      <c r="D11" s="67">
        <f>'Emissions A'!D11-'Emissions B'!D11</f>
        <v>-2.7833834004686651</v>
      </c>
      <c r="E11" s="67">
        <f>'Emissions A'!E11-'Emissions B'!E11</f>
        <v>-4.2814937310140522</v>
      </c>
      <c r="F11" s="67">
        <f>'Emissions A'!F11-'Emissions B'!F11</f>
        <v>-13.091966379808582</v>
      </c>
      <c r="G11" s="67">
        <f>'Emissions A'!G11-'Emissions B'!G11</f>
        <v>-10048.281359700793</v>
      </c>
      <c r="H11" s="67">
        <f>'Emissions A'!H11-'Emissions B'!H11</f>
        <v>-29056.622014679368</v>
      </c>
      <c r="I11" s="67">
        <f>'Emissions A'!I11-'Emissions B'!I11</f>
        <v>-44226.688509717605</v>
      </c>
      <c r="J11" s="67">
        <f>'Emissions A'!J11-'Emissions B'!J11</f>
        <v>-55515.253432194098</v>
      </c>
      <c r="K11" s="67">
        <f>'Emissions A'!K11-'Emissions B'!K11</f>
        <v>-61165.109259838282</v>
      </c>
      <c r="L11" s="67">
        <f>'Emissions A'!L11-'Emissions B'!L11</f>
        <v>-63575.557232374507</v>
      </c>
      <c r="M11" t="str">
        <f>'Base data'!$F$35</f>
        <v>Mtonne</v>
      </c>
    </row>
    <row r="12" spans="1:16" ht="13.5" thickBot="1" x14ac:dyDescent="0.25">
      <c r="A12" t="str">
        <v>LA CO2</v>
      </c>
      <c r="B12" s="68">
        <f>'Emissions A'!B12-'Emissions B'!B12</f>
        <v>0</v>
      </c>
      <c r="C12" s="68">
        <f>'Emissions A'!C12-'Emissions B'!C12</f>
        <v>1.617632679426606E-3</v>
      </c>
      <c r="D12" s="68">
        <f>'Emissions A'!D12-'Emissions B'!D12</f>
        <v>4.8528980378250708E-3</v>
      </c>
      <c r="E12" s="68">
        <f>'Emissions A'!E12-'Emissions B'!E12</f>
        <v>8.0881633957687882E-3</v>
      </c>
      <c r="F12" s="68">
        <f>'Emissions A'!F12-'Emissions B'!F12</f>
        <v>1.941159214675281E-2</v>
      </c>
      <c r="G12" s="68">
        <f>'Emissions A'!G12-'Emissions B'!G12</f>
        <v>-2987.6640297249978</v>
      </c>
      <c r="H12" s="68">
        <f>'Emissions A'!H12-'Emissions B'!H12</f>
        <v>-8531.5063659962743</v>
      </c>
      <c r="I12" s="68">
        <f>'Emissions A'!I12-'Emissions B'!I12</f>
        <v>-12062.002629097451</v>
      </c>
      <c r="J12" s="68">
        <f>'Emissions A'!J12-'Emissions B'!J12</f>
        <v>-13834.944221669635</v>
      </c>
      <c r="K12" s="68">
        <f>'Emissions A'!K12-'Emissions B'!K12</f>
        <v>-13928.820298933291</v>
      </c>
      <c r="L12" s="68">
        <f>'Emissions A'!L12-'Emissions B'!L12</f>
        <v>-14110.674564712768</v>
      </c>
      <c r="M12" t="str">
        <f>'Base data'!$F$35</f>
        <v>Mtonne</v>
      </c>
    </row>
    <row r="13" spans="1:16" s="2" customFormat="1" ht="13.5" thickTop="1" x14ac:dyDescent="0.2">
      <c r="A13" s="2" t="s">
        <v>778</v>
      </c>
    </row>
    <row r="14" spans="1:16" s="2" customFormat="1" x14ac:dyDescent="0.2">
      <c r="A14" s="2" t="str">
        <f>"Total "&amp;'Base data'!B12</f>
        <v>Total CO2</v>
      </c>
      <c r="B14" s="70">
        <f>'Emissions A'!B14-'Emissions B'!B14</f>
        <v>0</v>
      </c>
      <c r="C14" s="70">
        <f>'Emissions A'!C14-'Emissions B'!C14</f>
        <v>-1.3273722818266833</v>
      </c>
      <c r="D14" s="70">
        <f>'Emissions A'!D14-'Emissions B'!D14</f>
        <v>-2.9903199679101817</v>
      </c>
      <c r="E14" s="70">
        <f>'Emissions A'!E14-'Emissions B'!E14</f>
        <v>-4.653267654022784</v>
      </c>
      <c r="F14" s="70">
        <f>'Emissions A'!F14-'Emissions B'!F14</f>
        <v>-11.203970444650622</v>
      </c>
      <c r="G14" s="70">
        <f>'Emissions A'!G14-'Emissions B'!G14</f>
        <v>-39885.900671206778</v>
      </c>
      <c r="H14" s="70">
        <f>'Emissions A'!H14-'Emissions B'!H14</f>
        <v>-105944.18018230838</v>
      </c>
      <c r="I14" s="70">
        <f>'Emissions A'!I14-'Emissions B'!I14</f>
        <v>-150758.16468757659</v>
      </c>
      <c r="J14" s="70">
        <f>'Emissions A'!J14-'Emissions B'!J14</f>
        <v>-175575.24101213994</v>
      </c>
      <c r="K14" s="70">
        <f>'Emissions A'!K14-'Emissions B'!K14</f>
        <v>-181032.77310116941</v>
      </c>
      <c r="L14" s="70">
        <f>'Emissions A'!L14-'Emissions B'!L14</f>
        <v>-178904.46169823722</v>
      </c>
      <c r="M14" s="2" t="str">
        <f>'Base data'!$F$35</f>
        <v>Mtonne</v>
      </c>
      <c r="P14" s="124" t="s">
        <v>780</v>
      </c>
    </row>
    <row r="15" spans="1:16" s="2" customFormat="1" x14ac:dyDescent="0.2">
      <c r="B15" s="44"/>
      <c r="C15" s="44"/>
      <c r="D15" s="44"/>
      <c r="E15" s="44"/>
      <c r="F15" s="44"/>
      <c r="G15" s="44"/>
      <c r="H15" s="44"/>
      <c r="I15" s="44"/>
      <c r="J15" s="44"/>
      <c r="K15" s="44"/>
      <c r="L15" s="44"/>
    </row>
    <row r="16" spans="1:16" s="2" customFormat="1" x14ac:dyDescent="0.2">
      <c r="B16" s="44"/>
      <c r="C16" s="44"/>
      <c r="D16" s="44"/>
      <c r="E16" s="44"/>
      <c r="F16" s="44"/>
      <c r="G16" s="44"/>
      <c r="H16" s="44"/>
      <c r="I16" s="44"/>
      <c r="J16" s="44"/>
      <c r="K16" s="44"/>
      <c r="L16" s="44"/>
    </row>
    <row r="17" spans="2:12" s="2" customFormat="1" x14ac:dyDescent="0.2">
      <c r="B17" s="44"/>
      <c r="C17" s="44"/>
      <c r="D17" s="44"/>
      <c r="E17" s="44"/>
      <c r="F17" s="44"/>
      <c r="G17" s="44"/>
      <c r="H17" s="44"/>
      <c r="I17" s="44"/>
      <c r="J17" s="44"/>
      <c r="K17" s="44"/>
      <c r="L17" s="44"/>
    </row>
    <row r="18" spans="2:12" s="2" customFormat="1" x14ac:dyDescent="0.2">
      <c r="B18" s="44"/>
      <c r="C18" s="44"/>
      <c r="D18" s="44"/>
      <c r="E18" s="44"/>
      <c r="F18" s="44"/>
      <c r="G18" s="44"/>
      <c r="H18" s="44"/>
      <c r="I18" s="44"/>
      <c r="J18" s="44"/>
      <c r="K18" s="44"/>
      <c r="L18" s="44"/>
    </row>
    <row r="19" spans="2:12" s="2" customFormat="1" x14ac:dyDescent="0.2">
      <c r="B19" s="44"/>
      <c r="C19" s="44"/>
      <c r="D19" s="44"/>
      <c r="E19" s="44"/>
      <c r="F19" s="44"/>
      <c r="G19" s="44"/>
      <c r="H19" s="44"/>
      <c r="I19" s="44"/>
      <c r="J19" s="44"/>
      <c r="K19" s="44"/>
      <c r="L19" s="44"/>
    </row>
    <row r="20" spans="2:12" s="2" customFormat="1" x14ac:dyDescent="0.2">
      <c r="B20" s="44"/>
      <c r="C20" s="44"/>
      <c r="D20" s="44"/>
      <c r="E20" s="44"/>
      <c r="F20" s="44"/>
      <c r="G20" s="44"/>
      <c r="H20" s="44"/>
      <c r="I20" s="44"/>
      <c r="J20" s="44"/>
      <c r="K20" s="44"/>
      <c r="L20" s="44"/>
    </row>
    <row r="21" spans="2:12" s="2" customFormat="1" x14ac:dyDescent="0.2">
      <c r="B21" s="44"/>
      <c r="C21" s="44"/>
      <c r="D21" s="44"/>
      <c r="E21" s="44"/>
      <c r="F21" s="44"/>
      <c r="G21" s="44"/>
      <c r="H21" s="44"/>
      <c r="I21" s="44"/>
      <c r="J21" s="44"/>
      <c r="K21" s="44"/>
      <c r="L21" s="44"/>
    </row>
    <row r="22" spans="2:12" s="2" customFormat="1" x14ac:dyDescent="0.2">
      <c r="B22" s="44"/>
      <c r="C22" s="44"/>
      <c r="D22" s="44"/>
      <c r="E22" s="44"/>
      <c r="F22" s="44"/>
      <c r="G22" s="44"/>
      <c r="H22" s="44"/>
      <c r="I22" s="44"/>
      <c r="J22" s="44"/>
      <c r="K22" s="44"/>
      <c r="L22" s="44"/>
    </row>
    <row r="23" spans="2:12" s="2" customFormat="1" x14ac:dyDescent="0.2">
      <c r="B23" s="44"/>
      <c r="C23" s="44"/>
      <c r="D23" s="44"/>
      <c r="E23" s="44"/>
      <c r="F23" s="44"/>
      <c r="G23" s="44"/>
      <c r="H23" s="44"/>
      <c r="I23" s="44"/>
      <c r="J23" s="44"/>
      <c r="K23" s="44"/>
      <c r="L23" s="44"/>
    </row>
    <row r="24" spans="2:12" s="2" customFormat="1" x14ac:dyDescent="0.2">
      <c r="B24" s="44"/>
      <c r="C24" s="44"/>
      <c r="D24" s="44"/>
      <c r="E24" s="44"/>
      <c r="F24" s="44"/>
      <c r="G24" s="44"/>
      <c r="H24" s="44"/>
      <c r="I24" s="44"/>
      <c r="J24" s="44"/>
      <c r="K24" s="44"/>
      <c r="L24" s="44"/>
    </row>
    <row r="25" spans="2:12" s="2" customFormat="1" x14ac:dyDescent="0.2">
      <c r="B25" s="44"/>
      <c r="C25" s="44"/>
      <c r="D25" s="44"/>
      <c r="E25" s="44"/>
      <c r="F25" s="44"/>
      <c r="G25" s="44"/>
      <c r="H25" s="44"/>
      <c r="I25" s="44"/>
      <c r="J25" s="44"/>
      <c r="K25" s="44"/>
      <c r="L25" s="44"/>
    </row>
    <row r="26" spans="2:12" s="2" customFormat="1" x14ac:dyDescent="0.2">
      <c r="B26" s="44"/>
      <c r="C26" s="44"/>
      <c r="D26" s="44"/>
      <c r="E26" s="44"/>
      <c r="F26" s="44"/>
      <c r="G26" s="44"/>
      <c r="H26" s="44"/>
      <c r="I26" s="44"/>
      <c r="J26" s="44"/>
      <c r="K26" s="44"/>
      <c r="L26" s="44"/>
    </row>
    <row r="27" spans="2:12" s="2" customFormat="1" x14ac:dyDescent="0.2">
      <c r="B27" s="44"/>
      <c r="C27" s="44"/>
      <c r="D27" s="44"/>
      <c r="E27" s="44"/>
      <c r="F27" s="44"/>
      <c r="G27" s="44"/>
      <c r="H27" s="44"/>
      <c r="I27" s="44"/>
      <c r="J27" s="44"/>
      <c r="K27" s="44"/>
      <c r="L27" s="44"/>
    </row>
    <row r="28" spans="2:12" s="2" customFormat="1" x14ac:dyDescent="0.2">
      <c r="B28" s="44"/>
      <c r="C28" s="44"/>
      <c r="D28" s="44"/>
      <c r="E28" s="44"/>
      <c r="F28" s="44"/>
      <c r="G28" s="44"/>
      <c r="H28" s="44"/>
      <c r="I28" s="44"/>
      <c r="J28" s="44"/>
      <c r="K28" s="44"/>
      <c r="L28" s="44"/>
    </row>
    <row r="29" spans="2:12" s="2" customFormat="1" x14ac:dyDescent="0.2">
      <c r="B29" s="44"/>
      <c r="C29" s="44"/>
      <c r="D29" s="44"/>
      <c r="E29" s="44"/>
      <c r="F29" s="44"/>
      <c r="G29" s="44"/>
      <c r="H29" s="44"/>
      <c r="I29" s="44"/>
      <c r="J29" s="44"/>
      <c r="K29" s="44"/>
      <c r="L29" s="44"/>
    </row>
    <row r="30" spans="2:12" s="2" customFormat="1" x14ac:dyDescent="0.2">
      <c r="B30" s="44"/>
      <c r="C30" s="44"/>
      <c r="D30" s="44"/>
      <c r="E30" s="44"/>
      <c r="F30" s="44"/>
      <c r="G30" s="44"/>
      <c r="H30" s="44"/>
      <c r="I30" s="44"/>
      <c r="J30" s="44"/>
      <c r="K30" s="44"/>
      <c r="L30" s="44"/>
    </row>
    <row r="31" spans="2:12" s="2" customFormat="1" x14ac:dyDescent="0.2">
      <c r="B31" s="44"/>
      <c r="C31" s="44"/>
      <c r="D31" s="44"/>
      <c r="E31" s="44"/>
      <c r="F31" s="44"/>
      <c r="G31" s="44"/>
      <c r="H31" s="44"/>
      <c r="I31" s="44"/>
      <c r="J31" s="44"/>
      <c r="K31" s="44"/>
      <c r="L31" s="44"/>
    </row>
    <row r="32" spans="2:12" s="2" customFormat="1" x14ac:dyDescent="0.2">
      <c r="B32" s="44"/>
      <c r="C32" s="44"/>
      <c r="D32" s="44"/>
      <c r="E32" s="44"/>
      <c r="F32" s="44"/>
      <c r="G32" s="44"/>
      <c r="H32" s="44"/>
      <c r="I32" s="44"/>
      <c r="J32" s="44"/>
      <c r="K32" s="44"/>
      <c r="L32" s="44"/>
    </row>
    <row r="33" spans="1:13" s="2" customFormat="1" x14ac:dyDescent="0.2">
      <c r="B33" s="44"/>
      <c r="C33" s="44"/>
      <c r="D33" s="44"/>
      <c r="E33" s="44"/>
      <c r="F33" s="44"/>
      <c r="G33" s="44"/>
      <c r="H33" s="44"/>
      <c r="I33" s="44"/>
      <c r="J33" s="44"/>
      <c r="K33" s="44"/>
      <c r="L33" s="44"/>
    </row>
    <row r="36" spans="1:13" x14ac:dyDescent="0.2">
      <c r="A36" t="str">
        <f t="array" ref="A36:A43">R_CODE&amp;" "&amp;'Base data'!$C$12</f>
        <v>EU CH4</v>
      </c>
      <c r="B36" s="66">
        <f>'Emissions A'!B36-'Emissions B'!B36</f>
        <v>0</v>
      </c>
      <c r="C36" s="66">
        <f>'Emissions A'!C36-'Emissions B'!C36</f>
        <v>0</v>
      </c>
      <c r="D36" s="66">
        <f>'Emissions A'!D36-'Emissions B'!D36</f>
        <v>0</v>
      </c>
      <c r="E36" s="66">
        <f>'Emissions A'!E36-'Emissions B'!E36</f>
        <v>0</v>
      </c>
      <c r="F36" s="66">
        <f>'Emissions A'!F36-'Emissions B'!F36</f>
        <v>0</v>
      </c>
      <c r="G36" s="66">
        <f>'Emissions A'!G36-'Emissions B'!G36</f>
        <v>-17.331563970677493</v>
      </c>
      <c r="H36" s="66">
        <f>'Emissions A'!H36-'Emissions B'!H36</f>
        <v>-15.536436544270099</v>
      </c>
      <c r="I36" s="66">
        <f>'Emissions A'!I36-'Emissions B'!I36</f>
        <v>-12.807155334265097</v>
      </c>
      <c r="J36" s="66">
        <f>'Emissions A'!J36-'Emissions B'!J36</f>
        <v>-11.179742259645348</v>
      </c>
      <c r="K36" s="66">
        <f>'Emissions A'!K36-'Emissions B'!K36</f>
        <v>-15.575870864674979</v>
      </c>
      <c r="L36" s="66">
        <f>'Emissions A'!L36-'Emissions B'!L36</f>
        <v>-12.092206715110571</v>
      </c>
      <c r="M36" t="str">
        <f>'Base data'!$F$35</f>
        <v>Mtonne</v>
      </c>
    </row>
    <row r="37" spans="1:13" x14ac:dyDescent="0.2">
      <c r="A37" t="str">
        <v>US CH4</v>
      </c>
      <c r="B37" s="67">
        <f>'Emissions A'!B37-'Emissions B'!B37</f>
        <v>0</v>
      </c>
      <c r="C37" s="67">
        <f>'Emissions A'!C37-'Emissions B'!C37</f>
        <v>0</v>
      </c>
      <c r="D37" s="67">
        <f>'Emissions A'!D37-'Emissions B'!D37</f>
        <v>0</v>
      </c>
      <c r="E37" s="67">
        <f>'Emissions A'!E37-'Emissions B'!E37</f>
        <v>0</v>
      </c>
      <c r="F37" s="67">
        <f>'Emissions A'!F37-'Emissions B'!F37</f>
        <v>0</v>
      </c>
      <c r="G37" s="67">
        <f>'Emissions A'!G37-'Emissions B'!G37</f>
        <v>-28.371375875051207</v>
      </c>
      <c r="H37" s="67">
        <f>'Emissions A'!H37-'Emissions B'!H37</f>
        <v>-29.585937347269628</v>
      </c>
      <c r="I37" s="67">
        <f>'Emissions A'!I37-'Emissions B'!I37</f>
        <v>-27.483780488377853</v>
      </c>
      <c r="J37" s="67">
        <f>'Emissions A'!J37-'Emissions B'!J37</f>
        <v>-25.020430953590513</v>
      </c>
      <c r="K37" s="67">
        <f>'Emissions A'!K37-'Emissions B'!K37</f>
        <v>-21.374931280601519</v>
      </c>
      <c r="L37" s="67">
        <f>'Emissions A'!L37-'Emissions B'!L37</f>
        <v>-18.902931025362065</v>
      </c>
      <c r="M37" t="str">
        <f>'Base data'!$F$35</f>
        <v>Mtonne</v>
      </c>
    </row>
    <row r="38" spans="1:13" x14ac:dyDescent="0.2">
      <c r="A38" t="str">
        <v>OT CH4</v>
      </c>
      <c r="B38" s="67">
        <f>'Emissions A'!B38-'Emissions B'!B38</f>
        <v>0</v>
      </c>
      <c r="C38" s="67">
        <f>'Emissions A'!C38-'Emissions B'!C38</f>
        <v>0</v>
      </c>
      <c r="D38" s="67">
        <f>'Emissions A'!D38-'Emissions B'!D38</f>
        <v>0</v>
      </c>
      <c r="E38" s="67">
        <f>'Emissions A'!E38-'Emissions B'!E38</f>
        <v>0</v>
      </c>
      <c r="F38" s="67">
        <f>'Emissions A'!F38-'Emissions B'!F38</f>
        <v>0</v>
      </c>
      <c r="G38" s="67">
        <f>'Emissions A'!G38-'Emissions B'!G38</f>
        <v>-13.128126519689289</v>
      </c>
      <c r="H38" s="67">
        <f>'Emissions A'!H38-'Emissions B'!H38</f>
        <v>-19.060451284459017</v>
      </c>
      <c r="I38" s="67">
        <f>'Emissions A'!I38-'Emissions B'!I38</f>
        <v>-18.413085859645399</v>
      </c>
      <c r="J38" s="67">
        <f>'Emissions A'!J38-'Emissions B'!J38</f>
        <v>-16.777415062824119</v>
      </c>
      <c r="K38" s="67">
        <f>'Emissions A'!K38-'Emissions B'!K38</f>
        <v>-16.892887065812474</v>
      </c>
      <c r="L38" s="67">
        <f>'Emissions A'!L38-'Emissions B'!L38</f>
        <v>-25.528567787833097</v>
      </c>
      <c r="M38" t="str">
        <f>'Base data'!$F$35</f>
        <v>Mtonne</v>
      </c>
    </row>
    <row r="39" spans="1:13" x14ac:dyDescent="0.2">
      <c r="A39" t="str">
        <v>EE CH4</v>
      </c>
      <c r="B39" s="67">
        <f>'Emissions A'!B39-'Emissions B'!B39</f>
        <v>0</v>
      </c>
      <c r="C39" s="67">
        <f>'Emissions A'!C39-'Emissions B'!C39</f>
        <v>0</v>
      </c>
      <c r="D39" s="67">
        <f>'Emissions A'!D39-'Emissions B'!D39</f>
        <v>0</v>
      </c>
      <c r="E39" s="67">
        <f>'Emissions A'!E39-'Emissions B'!E39</f>
        <v>0</v>
      </c>
      <c r="F39" s="67">
        <f>'Emissions A'!F39-'Emissions B'!F39</f>
        <v>0</v>
      </c>
      <c r="G39" s="67">
        <f>'Emissions A'!G39-'Emissions B'!G39</f>
        <v>-37.666112022739327</v>
      </c>
      <c r="H39" s="67">
        <f>'Emissions A'!H39-'Emissions B'!H39</f>
        <v>-55.857306951928734</v>
      </c>
      <c r="I39" s="67">
        <f>'Emissions A'!I39-'Emissions B'!I39</f>
        <v>-65.094252107241275</v>
      </c>
      <c r="J39" s="67">
        <f>'Emissions A'!J39-'Emissions B'!J39</f>
        <v>-74.335798732743598</v>
      </c>
      <c r="K39" s="67">
        <f>'Emissions A'!K39-'Emissions B'!K39</f>
        <v>-77.556171521268283</v>
      </c>
      <c r="L39" s="67">
        <f>'Emissions A'!L39-'Emissions B'!L39</f>
        <v>-77.581693946609107</v>
      </c>
      <c r="M39" t="str">
        <f>'Base data'!$F$35</f>
        <v>Mtonne</v>
      </c>
    </row>
    <row r="40" spans="1:13" x14ac:dyDescent="0.2">
      <c r="A40" t="str">
        <v>CA CH4</v>
      </c>
      <c r="B40" s="67">
        <f>'Emissions A'!B40-'Emissions B'!B40</f>
        <v>0</v>
      </c>
      <c r="C40" s="67">
        <f>'Emissions A'!C40-'Emissions B'!C40</f>
        <v>0</v>
      </c>
      <c r="D40" s="67">
        <f>'Emissions A'!D40-'Emissions B'!D40</f>
        <v>0</v>
      </c>
      <c r="E40" s="67">
        <f>'Emissions A'!E40-'Emissions B'!E40</f>
        <v>0</v>
      </c>
      <c r="F40" s="67">
        <f>'Emissions A'!F40-'Emissions B'!F40</f>
        <v>0</v>
      </c>
      <c r="G40" s="67">
        <f>'Emissions A'!G40-'Emissions B'!G40</f>
        <v>-26.258737602876359</v>
      </c>
      <c r="H40" s="67">
        <f>'Emissions A'!H40-'Emissions B'!H40</f>
        <v>-30.867556604570332</v>
      </c>
      <c r="I40" s="67">
        <f>'Emissions A'!I40-'Emissions B'!I40</f>
        <v>-32.066948439346461</v>
      </c>
      <c r="J40" s="67">
        <f>'Emissions A'!J40-'Emissions B'!J40</f>
        <v>-26.416610650600887</v>
      </c>
      <c r="K40" s="67">
        <f>'Emissions A'!K40-'Emissions B'!K40</f>
        <v>-24.653035831594508</v>
      </c>
      <c r="L40" s="67">
        <f>'Emissions A'!L40-'Emissions B'!L40</f>
        <v>-21.379149459014933</v>
      </c>
      <c r="M40" t="str">
        <f>'Base data'!$F$35</f>
        <v>Mtonne</v>
      </c>
    </row>
    <row r="41" spans="1:13" x14ac:dyDescent="0.2">
      <c r="A41" t="str">
        <v>IA CH4</v>
      </c>
      <c r="B41" s="67">
        <f>'Emissions A'!B41-'Emissions B'!B41</f>
        <v>0</v>
      </c>
      <c r="C41" s="67">
        <f>'Emissions A'!C41-'Emissions B'!C41</f>
        <v>0</v>
      </c>
      <c r="D41" s="67">
        <f>'Emissions A'!D41-'Emissions B'!D41</f>
        <v>0</v>
      </c>
      <c r="E41" s="67">
        <f>'Emissions A'!E41-'Emissions B'!E41</f>
        <v>0</v>
      </c>
      <c r="F41" s="67">
        <f>'Emissions A'!F41-'Emissions B'!F41</f>
        <v>0</v>
      </c>
      <c r="G41" s="67">
        <f>'Emissions A'!G41-'Emissions B'!G41</f>
        <v>-55.174441144818651</v>
      </c>
      <c r="H41" s="67">
        <f>'Emissions A'!H41-'Emissions B'!H41</f>
        <v>-43.720183043939798</v>
      </c>
      <c r="I41" s="67">
        <f>'Emissions A'!I41-'Emissions B'!I41</f>
        <v>-33.388629325673946</v>
      </c>
      <c r="J41" s="67">
        <f>'Emissions A'!J41-'Emissions B'!J41</f>
        <v>-25.876528739648165</v>
      </c>
      <c r="K41" s="67">
        <f>'Emissions A'!K41-'Emissions B'!K41</f>
        <v>-24.952748196512378</v>
      </c>
      <c r="L41" s="67">
        <f>'Emissions A'!L41-'Emissions B'!L41</f>
        <v>-22.984054035988898</v>
      </c>
      <c r="M41" t="str">
        <f>'Base data'!$F$35</f>
        <v>Mtonne</v>
      </c>
    </row>
    <row r="42" spans="1:13" x14ac:dyDescent="0.2">
      <c r="A42" t="str">
        <v>AF CH4</v>
      </c>
      <c r="B42" s="67">
        <f>'Emissions A'!B42-'Emissions B'!B42</f>
        <v>0</v>
      </c>
      <c r="C42" s="67">
        <f>'Emissions A'!C42-'Emissions B'!C42</f>
        <v>0</v>
      </c>
      <c r="D42" s="67">
        <f>'Emissions A'!D42-'Emissions B'!D42</f>
        <v>0</v>
      </c>
      <c r="E42" s="67">
        <f>'Emissions A'!E42-'Emissions B'!E42</f>
        <v>0</v>
      </c>
      <c r="F42" s="67">
        <f>'Emissions A'!F42-'Emissions B'!F42</f>
        <v>0</v>
      </c>
      <c r="G42" s="67">
        <f>'Emissions A'!G42-'Emissions B'!G42</f>
        <v>-117.28850901663724</v>
      </c>
      <c r="H42" s="67">
        <f>'Emissions A'!H42-'Emissions B'!H42</f>
        <v>-196.07988106075177</v>
      </c>
      <c r="I42" s="67">
        <f>'Emissions A'!I42-'Emissions B'!I42</f>
        <v>-227.68233981310925</v>
      </c>
      <c r="J42" s="67">
        <f>'Emissions A'!J42-'Emissions B'!J42</f>
        <v>-225.99072453859981</v>
      </c>
      <c r="K42" s="67">
        <f>'Emissions A'!K42-'Emissions B'!K42</f>
        <v>-190.09977965846616</v>
      </c>
      <c r="L42" s="67">
        <f>'Emissions A'!L42-'Emissions B'!L42</f>
        <v>-169.20861415654375</v>
      </c>
      <c r="M42" t="str">
        <f>'Base data'!$F$35</f>
        <v>Mtonne</v>
      </c>
    </row>
    <row r="43" spans="1:13" ht="13.5" thickBot="1" x14ac:dyDescent="0.25">
      <c r="A43" t="str">
        <v>LA CH4</v>
      </c>
      <c r="B43" s="68">
        <f>'Emissions A'!B43-'Emissions B'!B43</f>
        <v>0</v>
      </c>
      <c r="C43" s="68">
        <f>'Emissions A'!C43-'Emissions B'!C43</f>
        <v>0</v>
      </c>
      <c r="D43" s="68">
        <f>'Emissions A'!D43-'Emissions B'!D43</f>
        <v>0</v>
      </c>
      <c r="E43" s="68">
        <f>'Emissions A'!E43-'Emissions B'!E43</f>
        <v>0</v>
      </c>
      <c r="F43" s="68">
        <f>'Emissions A'!F43-'Emissions B'!F43</f>
        <v>0</v>
      </c>
      <c r="G43" s="68">
        <f>'Emissions A'!G43-'Emissions B'!G43</f>
        <v>-33.265699532221689</v>
      </c>
      <c r="H43" s="68">
        <f>'Emissions A'!H43-'Emissions B'!H43</f>
        <v>-43.61528255989586</v>
      </c>
      <c r="I43" s="68">
        <f>'Emissions A'!I43-'Emissions B'!I43</f>
        <v>-44.839645109262435</v>
      </c>
      <c r="J43" s="68">
        <f>'Emissions A'!J43-'Emissions B'!J43</f>
        <v>-42.853325585806786</v>
      </c>
      <c r="K43" s="68">
        <f>'Emissions A'!K43-'Emissions B'!K43</f>
        <v>-34.478913842325362</v>
      </c>
      <c r="L43" s="68">
        <f>'Emissions A'!L43-'Emissions B'!L43</f>
        <v>-31.753840469699444</v>
      </c>
      <c r="M43" t="str">
        <f>'Base data'!$F$35</f>
        <v>Mtonne</v>
      </c>
    </row>
    <row r="44" spans="1:13" s="2" customFormat="1" ht="13.5" thickTop="1" x14ac:dyDescent="0.2">
      <c r="A44" s="2" t="str">
        <f>"Total "&amp;'Base data'!$C$12</f>
        <v>Total CH4</v>
      </c>
      <c r="B44" s="70">
        <f t="shared" ref="B44:L44" si="0">SUM(B36:B43)</f>
        <v>0</v>
      </c>
      <c r="C44" s="70">
        <f t="shared" si="0"/>
        <v>0</v>
      </c>
      <c r="D44" s="70">
        <f t="shared" si="0"/>
        <v>0</v>
      </c>
      <c r="E44" s="70">
        <f t="shared" si="0"/>
        <v>0</v>
      </c>
      <c r="F44" s="70">
        <f t="shared" si="0"/>
        <v>0</v>
      </c>
      <c r="G44" s="70">
        <f t="shared" si="0"/>
        <v>-328.48456568471124</v>
      </c>
      <c r="H44" s="70">
        <f t="shared" si="0"/>
        <v>-434.32303539708516</v>
      </c>
      <c r="I44" s="70">
        <f t="shared" si="0"/>
        <v>-461.77583647692171</v>
      </c>
      <c r="J44" s="70">
        <f t="shared" si="0"/>
        <v>-448.45057652345923</v>
      </c>
      <c r="K44" s="70">
        <f t="shared" si="0"/>
        <v>-405.58433826125565</v>
      </c>
      <c r="L44" s="70">
        <f t="shared" si="0"/>
        <v>-379.43105759616191</v>
      </c>
      <c r="M44" s="2" t="str">
        <f>'Base data'!$F$35</f>
        <v>Mtonne</v>
      </c>
    </row>
    <row r="67" spans="1:13" x14ac:dyDescent="0.2">
      <c r="A67" t="str">
        <f t="array" ref="A67:A74">R_CODE&amp;" "&amp;'Base data'!$D$12</f>
        <v>EU N2O</v>
      </c>
      <c r="B67" s="66">
        <f>'Emissions A'!B67-'Emissions B'!B67</f>
        <v>0</v>
      </c>
      <c r="C67" s="66">
        <f>'Emissions A'!C67-'Emissions B'!C67</f>
        <v>0</v>
      </c>
      <c r="D67" s="66">
        <f>'Emissions A'!D67-'Emissions B'!D67</f>
        <v>0</v>
      </c>
      <c r="E67" s="66">
        <f>'Emissions A'!E67-'Emissions B'!E67</f>
        <v>0</v>
      </c>
      <c r="F67" s="66">
        <f>'Emissions A'!F67-'Emissions B'!F67</f>
        <v>0</v>
      </c>
      <c r="G67" s="66">
        <f>'Emissions A'!G67-'Emissions B'!G67</f>
        <v>-0.43316652401842215</v>
      </c>
      <c r="H67" s="66">
        <f>'Emissions A'!H67-'Emissions B'!H67</f>
        <v>-0.15278498955173325</v>
      </c>
      <c r="I67" s="66">
        <f>'Emissions A'!I67-'Emissions B'!I67</f>
        <v>-8.2803194611130948E-2</v>
      </c>
      <c r="J67" s="66">
        <f>'Emissions A'!J67-'Emissions B'!J67</f>
        <v>-0.14383137364988907</v>
      </c>
      <c r="K67" s="66">
        <f>'Emissions A'!K67-'Emissions B'!K67</f>
        <v>-0.17260245278521236</v>
      </c>
      <c r="L67" s="66">
        <f>'Emissions A'!L67-'Emissions B'!L67</f>
        <v>-0.15462307583288304</v>
      </c>
      <c r="M67" t="str">
        <f>'Base data'!$F$35</f>
        <v>Mtonne</v>
      </c>
    </row>
    <row r="68" spans="1:13" x14ac:dyDescent="0.2">
      <c r="A68" t="str">
        <v>US N2O</v>
      </c>
      <c r="B68" s="67">
        <f>'Emissions A'!B68-'Emissions B'!B68</f>
        <v>0</v>
      </c>
      <c r="C68" s="67">
        <f>'Emissions A'!C68-'Emissions B'!C68</f>
        <v>0</v>
      </c>
      <c r="D68" s="67">
        <f>'Emissions A'!D68-'Emissions B'!D68</f>
        <v>0</v>
      </c>
      <c r="E68" s="67">
        <f>'Emissions A'!E68-'Emissions B'!E68</f>
        <v>0</v>
      </c>
      <c r="F68" s="67">
        <f>'Emissions A'!F68-'Emissions B'!F68</f>
        <v>0</v>
      </c>
      <c r="G68" s="67">
        <f>'Emissions A'!G68-'Emissions B'!G68</f>
        <v>-0.38206123569351491</v>
      </c>
      <c r="H68" s="67">
        <f>'Emissions A'!H68-'Emissions B'!H68</f>
        <v>-0.13475931002709118</v>
      </c>
      <c r="I68" s="67">
        <f>'Emissions A'!I68-'Emissions B'!I68</f>
        <v>-7.3034016015406378E-2</v>
      </c>
      <c r="J68" s="67">
        <f>'Emissions A'!J68-'Emissions B'!J68</f>
        <v>-0.12686204796803557</v>
      </c>
      <c r="K68" s="67">
        <f>'Emissions A'!K68-'Emissions B'!K68</f>
        <v>-0.15223869513989796</v>
      </c>
      <c r="L68" s="67">
        <f>'Emissions A'!L68-'Emissions B'!L68</f>
        <v>-0.13638053760805136</v>
      </c>
      <c r="M68" t="str">
        <f>'Base data'!$F$35</f>
        <v>Mtonne</v>
      </c>
    </row>
    <row r="69" spans="1:13" x14ac:dyDescent="0.2">
      <c r="A69" t="str">
        <v>OT N2O</v>
      </c>
      <c r="B69" s="67">
        <f>'Emissions A'!B69-'Emissions B'!B69</f>
        <v>0</v>
      </c>
      <c r="C69" s="67">
        <f>'Emissions A'!C69-'Emissions B'!C69</f>
        <v>0</v>
      </c>
      <c r="D69" s="67">
        <f>'Emissions A'!D69-'Emissions B'!D69</f>
        <v>0</v>
      </c>
      <c r="E69" s="67">
        <f>'Emissions A'!E69-'Emissions B'!E69</f>
        <v>0</v>
      </c>
      <c r="F69" s="67">
        <f>'Emissions A'!F69-'Emissions B'!F69</f>
        <v>0</v>
      </c>
      <c r="G69" s="67">
        <f>'Emissions A'!G69-'Emissions B'!G69</f>
        <v>-0.20536362101882144</v>
      </c>
      <c r="H69" s="67">
        <f>'Emissions A'!H69-'Emissions B'!H69</f>
        <v>-7.243514203404211E-2</v>
      </c>
      <c r="I69" s="67">
        <f>'Emissions A'!I69-'Emissions B'!I69</f>
        <v>-3.9256874514487783E-2</v>
      </c>
      <c r="J69" s="67">
        <f>'Emissions A'!J69-'Emissions B'!J69</f>
        <v>-6.8190245716208908E-2</v>
      </c>
      <c r="K69" s="67">
        <f>'Emissions A'!K69-'Emissions B'!K69</f>
        <v>-8.1830572621059416E-2</v>
      </c>
      <c r="L69" s="67">
        <f>'Emissions A'!L69-'Emissions B'!L69</f>
        <v>-7.3306576075020446E-2</v>
      </c>
      <c r="M69" t="str">
        <f>'Base data'!$F$35</f>
        <v>Mtonne</v>
      </c>
    </row>
    <row r="70" spans="1:13" x14ac:dyDescent="0.2">
      <c r="A70" t="str">
        <v>EE N2O</v>
      </c>
      <c r="B70" s="67">
        <f>'Emissions A'!B70-'Emissions B'!B70</f>
        <v>0</v>
      </c>
      <c r="C70" s="67">
        <f>'Emissions A'!C70-'Emissions B'!C70</f>
        <v>0</v>
      </c>
      <c r="D70" s="67">
        <f>'Emissions A'!D70-'Emissions B'!D70</f>
        <v>0</v>
      </c>
      <c r="E70" s="67">
        <f>'Emissions A'!E70-'Emissions B'!E70</f>
        <v>0</v>
      </c>
      <c r="F70" s="67">
        <f>'Emissions A'!F70-'Emissions B'!F70</f>
        <v>0</v>
      </c>
      <c r="G70" s="67">
        <f>'Emissions A'!G70-'Emissions B'!G70</f>
        <v>-0.1407750168871339</v>
      </c>
      <c r="H70" s="67">
        <f>'Emissions A'!H70-'Emissions B'!H70</f>
        <v>-4.9653674260689451E-2</v>
      </c>
      <c r="I70" s="67">
        <f>'Emissions A'!I70-'Emissions B'!I70</f>
        <v>-2.6910253847767018E-2</v>
      </c>
      <c r="J70" s="67">
        <f>'Emissions A'!J70-'Emissions B'!J70</f>
        <v>-4.6743833910862675E-2</v>
      </c>
      <c r="K70" s="67">
        <f>'Emissions A'!K70-'Emissions B'!K70</f>
        <v>-5.609416207925999E-2</v>
      </c>
      <c r="L70" s="67">
        <f>'Emissions A'!L70-'Emissions B'!L70</f>
        <v>-5.0251034889734258E-2</v>
      </c>
      <c r="M70" t="str">
        <f>'Base data'!$F$35</f>
        <v>Mtonne</v>
      </c>
    </row>
    <row r="71" spans="1:13" x14ac:dyDescent="0.2">
      <c r="A71" t="str">
        <v>CA N2O</v>
      </c>
      <c r="B71" s="67">
        <f>'Emissions A'!B71-'Emissions B'!B71</f>
        <v>0</v>
      </c>
      <c r="C71" s="67">
        <f>'Emissions A'!C71-'Emissions B'!C71</f>
        <v>0</v>
      </c>
      <c r="D71" s="67">
        <f>'Emissions A'!D71-'Emissions B'!D71</f>
        <v>0</v>
      </c>
      <c r="E71" s="67">
        <f>'Emissions A'!E71-'Emissions B'!E71</f>
        <v>0</v>
      </c>
      <c r="F71" s="67">
        <f>'Emissions A'!F71-'Emissions B'!F71</f>
        <v>0</v>
      </c>
      <c r="G71" s="67">
        <f>'Emissions A'!G71-'Emissions B'!G71</f>
        <v>-0.73970170732938811</v>
      </c>
      <c r="H71" s="67">
        <f>'Emissions A'!H71-'Emissions B'!H71</f>
        <v>-0.26090501310510605</v>
      </c>
      <c r="I71" s="67">
        <f>'Emissions A'!I71-'Emissions B'!I71</f>
        <v>-0.14139981053470407</v>
      </c>
      <c r="J71" s="67">
        <f>'Emissions A'!J71-'Emissions B'!J71</f>
        <v>-0.24561526977977977</v>
      </c>
      <c r="K71" s="67">
        <f>'Emissions A'!K71-'Emissions B'!K71</f>
        <v>-0.29474652803278989</v>
      </c>
      <c r="L71" s="67">
        <f>'Emissions A'!L71-'Emissions B'!L71</f>
        <v>-0.26404384190418329</v>
      </c>
      <c r="M71" t="str">
        <f>'Base data'!$F$35</f>
        <v>Mtonne</v>
      </c>
    </row>
    <row r="72" spans="1:13" x14ac:dyDescent="0.2">
      <c r="A72" t="str">
        <v>IA N2O</v>
      </c>
      <c r="B72" s="67">
        <f>'Emissions A'!B72-'Emissions B'!B72</f>
        <v>0</v>
      </c>
      <c r="C72" s="67">
        <f>'Emissions A'!C72-'Emissions B'!C72</f>
        <v>0</v>
      </c>
      <c r="D72" s="67">
        <f>'Emissions A'!D72-'Emissions B'!D72</f>
        <v>0</v>
      </c>
      <c r="E72" s="67">
        <f>'Emissions A'!E72-'Emissions B'!E72</f>
        <v>0</v>
      </c>
      <c r="F72" s="67">
        <f>'Emissions A'!F72-'Emissions B'!F72</f>
        <v>0</v>
      </c>
      <c r="G72" s="67">
        <f>'Emissions A'!G72-'Emissions B'!G72</f>
        <v>-0.35385016180952156</v>
      </c>
      <c r="H72" s="67">
        <f>'Emissions A'!H72-'Emissions B'!H72</f>
        <v>-0.12480879818092205</v>
      </c>
      <c r="I72" s="67">
        <f>'Emissions A'!I72-'Emissions B'!I72</f>
        <v>-6.7641246926662291E-2</v>
      </c>
      <c r="J72" s="67">
        <f>'Emissions A'!J72-'Emissions B'!J72</f>
        <v>-0.11749466317746782</v>
      </c>
      <c r="K72" s="67">
        <f>'Emissions A'!K72-'Emissions B'!K72</f>
        <v>-0.14099752049207392</v>
      </c>
      <c r="L72" s="67">
        <f>'Emissions A'!L72-'Emissions B'!L72</f>
        <v>-0.12631031570811002</v>
      </c>
      <c r="M72" t="str">
        <f>'Base data'!$F$35</f>
        <v>Mtonne</v>
      </c>
    </row>
    <row r="73" spans="1:13" x14ac:dyDescent="0.2">
      <c r="A73" t="str">
        <v>AF N2O</v>
      </c>
      <c r="B73" s="67">
        <f>'Emissions A'!B73-'Emissions B'!B73</f>
        <v>0</v>
      </c>
      <c r="C73" s="67">
        <f>'Emissions A'!C73-'Emissions B'!C73</f>
        <v>0</v>
      </c>
      <c r="D73" s="67">
        <f>'Emissions A'!D73-'Emissions B'!D73</f>
        <v>0</v>
      </c>
      <c r="E73" s="67">
        <f>'Emissions A'!E73-'Emissions B'!E73</f>
        <v>0</v>
      </c>
      <c r="F73" s="67">
        <f>'Emissions A'!F73-'Emissions B'!F73</f>
        <v>0</v>
      </c>
      <c r="G73" s="67">
        <f>'Emissions A'!G73-'Emissions B'!G73</f>
        <v>-0.62086286378578825</v>
      </c>
      <c r="H73" s="67">
        <f>'Emissions A'!H73-'Emissions B'!H73</f>
        <v>-0.2189885895996353</v>
      </c>
      <c r="I73" s="67">
        <f>'Emissions A'!I73-'Emissions B'!I73</f>
        <v>-0.11868282908836347</v>
      </c>
      <c r="J73" s="67">
        <f>'Emissions A'!J73-'Emissions B'!J73</f>
        <v>-0.20615526268764972</v>
      </c>
      <c r="K73" s="67">
        <f>'Emissions A'!K73-'Emissions B'!K73</f>
        <v>-0.24739320143797805</v>
      </c>
      <c r="L73" s="67">
        <f>'Emissions A'!L73-'Emissions B'!L73</f>
        <v>-0.22162314109224202</v>
      </c>
      <c r="M73" t="str">
        <f>'Base data'!$F$35</f>
        <v>Mtonne</v>
      </c>
    </row>
    <row r="74" spans="1:13" ht="13.5" thickBot="1" x14ac:dyDescent="0.25">
      <c r="A74" t="str">
        <v>LA N2O</v>
      </c>
      <c r="B74" s="68">
        <f>'Emissions A'!B74-'Emissions B'!B74</f>
        <v>0</v>
      </c>
      <c r="C74" s="68">
        <f>'Emissions A'!C74-'Emissions B'!C74</f>
        <v>0</v>
      </c>
      <c r="D74" s="68">
        <f>'Emissions A'!D74-'Emissions B'!D74</f>
        <v>0</v>
      </c>
      <c r="E74" s="68">
        <f>'Emissions A'!E74-'Emissions B'!E74</f>
        <v>0</v>
      </c>
      <c r="F74" s="68">
        <f>'Emissions A'!F74-'Emissions B'!F74</f>
        <v>0</v>
      </c>
      <c r="G74" s="68">
        <f>'Emissions A'!G74-'Emissions B'!G74</f>
        <v>-0.59719270835001259</v>
      </c>
      <c r="H74" s="68">
        <f>'Emissions A'!H74-'Emissions B'!H74</f>
        <v>-0.21063973471261965</v>
      </c>
      <c r="I74" s="68">
        <f>'Emissions A'!I74-'Emissions B'!I74</f>
        <v>-0.1141580923454546</v>
      </c>
      <c r="J74" s="68">
        <f>'Emissions A'!J74-'Emissions B'!J74</f>
        <v>-0.19829567340256204</v>
      </c>
      <c r="K74" s="68">
        <f>'Emissions A'!K74-'Emissions B'!K74</f>
        <v>-0.23796143176168583</v>
      </c>
      <c r="L74" s="68">
        <f>'Emissions A'!L74-'Emissions B'!L74</f>
        <v>-0.21317384495326652</v>
      </c>
      <c r="M74" t="str">
        <f>'Base data'!$F$35</f>
        <v>Mtonne</v>
      </c>
    </row>
    <row r="75" spans="1:13" s="2" customFormat="1" ht="13.5" thickTop="1" x14ac:dyDescent="0.2">
      <c r="A75" s="2" t="str">
        <f>"Total "&amp;'Base data'!$D$12</f>
        <v>Total N2O</v>
      </c>
      <c r="B75" s="70">
        <f t="shared" ref="B75:L75" si="1">SUM(B67:B74)</f>
        <v>0</v>
      </c>
      <c r="C75" s="70">
        <f t="shared" si="1"/>
        <v>0</v>
      </c>
      <c r="D75" s="70">
        <f t="shared" si="1"/>
        <v>0</v>
      </c>
      <c r="E75" s="70">
        <f t="shared" si="1"/>
        <v>0</v>
      </c>
      <c r="F75" s="70">
        <f t="shared" si="1"/>
        <v>0</v>
      </c>
      <c r="G75" s="70">
        <f t="shared" si="1"/>
        <v>-3.4729738388926035</v>
      </c>
      <c r="H75" s="70">
        <f t="shared" si="1"/>
        <v>-1.2249752514718391</v>
      </c>
      <c r="I75" s="70">
        <f t="shared" si="1"/>
        <v>-0.66388631788397656</v>
      </c>
      <c r="J75" s="70">
        <f t="shared" si="1"/>
        <v>-1.1531883702924555</v>
      </c>
      <c r="K75" s="70">
        <f t="shared" si="1"/>
        <v>-1.3838645643499574</v>
      </c>
      <c r="L75" s="70">
        <f t="shared" si="1"/>
        <v>-1.2397123680634909</v>
      </c>
      <c r="M75" s="2" t="str">
        <f>'Base data'!$F$35</f>
        <v>Mtonne</v>
      </c>
    </row>
    <row r="98" spans="1:13" x14ac:dyDescent="0.2">
      <c r="A98" t="str">
        <f t="array" ref="A98:A105">R_CODE&amp;" "&amp;GLIN_NAME</f>
        <v>EU Lin</v>
      </c>
      <c r="B98" s="66">
        <f>'Emissions A'!B98-'Emissions B'!B98</f>
        <v>0</v>
      </c>
      <c r="C98" s="66">
        <f>'Emissions A'!C98-'Emissions B'!C98</f>
        <v>0</v>
      </c>
      <c r="D98" s="66">
        <f>'Emissions A'!D98-'Emissions B'!D98</f>
        <v>0</v>
      </c>
      <c r="E98" s="66">
        <f>'Emissions A'!E98-'Emissions B'!E98</f>
        <v>0</v>
      </c>
      <c r="F98" s="66">
        <f>'Emissions A'!F98-'Emissions B'!F98</f>
        <v>0</v>
      </c>
      <c r="G98" s="66">
        <f>'Emissions A'!G98-'Emissions B'!G98</f>
        <v>-57.322050763175213</v>
      </c>
      <c r="H98" s="66">
        <f>'Emissions A'!H98-'Emissions B'!H98</f>
        <v>-131.49359818621892</v>
      </c>
      <c r="I98" s="66">
        <f>'Emissions A'!I98-'Emissions B'!I98</f>
        <v>-150.44989220873285</v>
      </c>
      <c r="J98" s="66">
        <f>'Emissions A'!J98-'Emissions B'!J98</f>
        <v>-158.75103024035539</v>
      </c>
      <c r="K98" s="66">
        <f>'Emissions A'!K98-'Emissions B'!K98</f>
        <v>-152.68197704463611</v>
      </c>
      <c r="L98" s="66">
        <f>'Emissions A'!L98-'Emissions B'!L98</f>
        <v>-145.88267336700852</v>
      </c>
      <c r="M98" t="str">
        <f>'Base data'!$F$35</f>
        <v>Mtonne</v>
      </c>
    </row>
    <row r="99" spans="1:13" x14ac:dyDescent="0.2">
      <c r="A99" t="str">
        <v>US Lin</v>
      </c>
      <c r="B99" s="67">
        <f>'Emissions A'!B99-'Emissions B'!B99</f>
        <v>0</v>
      </c>
      <c r="C99" s="67">
        <f>'Emissions A'!C99-'Emissions B'!C99</f>
        <v>0</v>
      </c>
      <c r="D99" s="67">
        <f>'Emissions A'!D99-'Emissions B'!D99</f>
        <v>0</v>
      </c>
      <c r="E99" s="67">
        <f>'Emissions A'!E99-'Emissions B'!E99</f>
        <v>0</v>
      </c>
      <c r="F99" s="67">
        <f>'Emissions A'!F99-'Emissions B'!F99</f>
        <v>0</v>
      </c>
      <c r="G99" s="67">
        <f>'Emissions A'!G99-'Emissions B'!G99</f>
        <v>-149.22143227893224</v>
      </c>
      <c r="H99" s="67">
        <f>'Emissions A'!H99-'Emissions B'!H99</f>
        <v>-342.30567112688391</v>
      </c>
      <c r="I99" s="67">
        <f>'Emissions A'!I99-'Emissions B'!I99</f>
        <v>-391.65291720547833</v>
      </c>
      <c r="J99" s="67">
        <f>'Emissions A'!J99-'Emissions B'!J99</f>
        <v>-413.26253671720042</v>
      </c>
      <c r="K99" s="67">
        <f>'Emissions A'!K99-'Emissions B'!K99</f>
        <v>-397.46350652925634</v>
      </c>
      <c r="L99" s="67">
        <f>'Emissions A'!L99-'Emissions B'!L99</f>
        <v>-379.76347975479911</v>
      </c>
      <c r="M99" t="str">
        <f>'Base data'!$F$35</f>
        <v>Mtonne</v>
      </c>
    </row>
    <row r="100" spans="1:13" x14ac:dyDescent="0.2">
      <c r="A100" t="str">
        <v>OT Lin</v>
      </c>
      <c r="B100" s="67">
        <f>'Emissions A'!B100-'Emissions B'!B100</f>
        <v>0</v>
      </c>
      <c r="C100" s="67">
        <f>'Emissions A'!C100-'Emissions B'!C100</f>
        <v>0</v>
      </c>
      <c r="D100" s="67">
        <f>'Emissions A'!D100-'Emissions B'!D100</f>
        <v>0</v>
      </c>
      <c r="E100" s="67">
        <f>'Emissions A'!E100-'Emissions B'!E100</f>
        <v>0</v>
      </c>
      <c r="F100" s="67">
        <f>'Emissions A'!F100-'Emissions B'!F100</f>
        <v>0</v>
      </c>
      <c r="G100" s="67">
        <f>'Emissions A'!G100-'Emissions B'!G100</f>
        <v>-53.744196346718802</v>
      </c>
      <c r="H100" s="67">
        <f>'Emissions A'!H100-'Emissions B'!H100</f>
        <v>-123.28619903104874</v>
      </c>
      <c r="I100" s="67">
        <f>'Emissions A'!I100-'Emissions B'!I100</f>
        <v>-141.05930334933689</v>
      </c>
      <c r="J100" s="67">
        <f>'Emissions A'!J100-'Emissions B'!J100</f>
        <v>-148.8423115692616</v>
      </c>
      <c r="K100" s="67">
        <f>'Emissions A'!K100-'Emissions B'!K100</f>
        <v>-143.15206877008106</v>
      </c>
      <c r="L100" s="67">
        <f>'Emissions A'!L100-'Emissions B'!L100</f>
        <v>-136.777155329159</v>
      </c>
      <c r="M100" t="str">
        <f>'Base data'!$F$35</f>
        <v>Mtonne</v>
      </c>
    </row>
    <row r="101" spans="1:13" x14ac:dyDescent="0.2">
      <c r="A101" t="str">
        <v>EE Lin</v>
      </c>
      <c r="B101" s="67">
        <f>'Emissions A'!B101-'Emissions B'!B101</f>
        <v>0</v>
      </c>
      <c r="C101" s="67">
        <f>'Emissions A'!C101-'Emissions B'!C101</f>
        <v>0</v>
      </c>
      <c r="D101" s="67">
        <f>'Emissions A'!D101-'Emissions B'!D101</f>
        <v>0</v>
      </c>
      <c r="E101" s="67">
        <f>'Emissions A'!E101-'Emissions B'!E101</f>
        <v>0</v>
      </c>
      <c r="F101" s="67">
        <f>'Emissions A'!F101-'Emissions B'!F101</f>
        <v>0</v>
      </c>
      <c r="G101" s="67">
        <f>'Emissions A'!G101-'Emissions B'!G101</f>
        <v>-19.220422468951341</v>
      </c>
      <c r="H101" s="67">
        <f>'Emissions A'!H101-'Emissions B'!H101</f>
        <v>-44.090580770450892</v>
      </c>
      <c r="I101" s="67">
        <f>'Emissions A'!I101-'Emissions B'!I101</f>
        <v>-50.446738212613425</v>
      </c>
      <c r="J101" s="67">
        <f>'Emissions A'!J101-'Emissions B'!J101</f>
        <v>-53.230158865165571</v>
      </c>
      <c r="K101" s="67">
        <f>'Emissions A'!K101-'Emissions B'!K101</f>
        <v>-51.195169452623432</v>
      </c>
      <c r="L101" s="67">
        <f>'Emissions A'!L101-'Emissions B'!L101</f>
        <v>-48.915322736764992</v>
      </c>
      <c r="M101" t="str">
        <f>'Base data'!$F$35</f>
        <v>Mtonne</v>
      </c>
    </row>
    <row r="102" spans="1:13" x14ac:dyDescent="0.2">
      <c r="A102" t="str">
        <v>CA Lin</v>
      </c>
      <c r="B102" s="67">
        <f>'Emissions A'!B102-'Emissions B'!B102</f>
        <v>0</v>
      </c>
      <c r="C102" s="67">
        <f>'Emissions A'!C102-'Emissions B'!C102</f>
        <v>0</v>
      </c>
      <c r="D102" s="67">
        <f>'Emissions A'!D102-'Emissions B'!D102</f>
        <v>0</v>
      </c>
      <c r="E102" s="67">
        <f>'Emissions A'!E102-'Emissions B'!E102</f>
        <v>0</v>
      </c>
      <c r="F102" s="67">
        <f>'Emissions A'!F102-'Emissions B'!F102</f>
        <v>0</v>
      </c>
      <c r="G102" s="67">
        <f>'Emissions A'!G102-'Emissions B'!G102</f>
        <v>-59.659144170384877</v>
      </c>
      <c r="H102" s="67">
        <f>'Emissions A'!H102-'Emissions B'!H102</f>
        <v>-136.85476055427426</v>
      </c>
      <c r="I102" s="67">
        <f>'Emissions A'!I102-'Emissions B'!I102</f>
        <v>-156.5839269565322</v>
      </c>
      <c r="J102" s="67">
        <f>'Emissions A'!J102-'Emissions B'!J102</f>
        <v>-165.22351301483468</v>
      </c>
      <c r="K102" s="67">
        <f>'Emissions A'!K102-'Emissions B'!K102</f>
        <v>-158.90701674925171</v>
      </c>
      <c r="L102" s="67">
        <f>'Emissions A'!L102-'Emissions B'!L102</f>
        <v>-151.83049675456928</v>
      </c>
      <c r="M102" t="str">
        <f>'Base data'!$F$35</f>
        <v>Mtonne</v>
      </c>
    </row>
    <row r="103" spans="1:13" x14ac:dyDescent="0.2">
      <c r="A103" t="str">
        <v>IA Lin</v>
      </c>
      <c r="B103" s="67">
        <f>'Emissions A'!B103-'Emissions B'!B103</f>
        <v>0</v>
      </c>
      <c r="C103" s="67">
        <f>'Emissions A'!C103-'Emissions B'!C103</f>
        <v>0</v>
      </c>
      <c r="D103" s="67">
        <f>'Emissions A'!D103-'Emissions B'!D103</f>
        <v>0</v>
      </c>
      <c r="E103" s="67">
        <f>'Emissions A'!E103-'Emissions B'!E103</f>
        <v>0</v>
      </c>
      <c r="F103" s="67">
        <f>'Emissions A'!F103-'Emissions B'!F103</f>
        <v>0</v>
      </c>
      <c r="G103" s="67">
        <f>'Emissions A'!G103-'Emissions B'!G103</f>
        <v>-45.896162266164524</v>
      </c>
      <c r="H103" s="67">
        <f>'Emissions A'!H103-'Emissions B'!H103</f>
        <v>-105.28324508573891</v>
      </c>
      <c r="I103" s="67">
        <f>'Emissions A'!I103-'Emissions B'!I103</f>
        <v>-120.4610193425759</v>
      </c>
      <c r="J103" s="67">
        <f>'Emissions A'!J103-'Emissions B'!J103</f>
        <v>-127.10750831184238</v>
      </c>
      <c r="K103" s="67">
        <f>'Emissions A'!K103-'Emissions B'!K103</f>
        <v>-122.24818722049611</v>
      </c>
      <c r="L103" s="67">
        <f>'Emissions A'!L103-'Emissions B'!L103</f>
        <v>-116.80417499953423</v>
      </c>
      <c r="M103" t="str">
        <f>'Base data'!$F$35</f>
        <v>Mtonne</v>
      </c>
    </row>
    <row r="104" spans="1:13" x14ac:dyDescent="0.2">
      <c r="A104" t="str">
        <v>AF Lin</v>
      </c>
      <c r="B104" s="67">
        <f>'Emissions A'!B104-'Emissions B'!B104</f>
        <v>0</v>
      </c>
      <c r="C104" s="67">
        <f>'Emissions A'!C104-'Emissions B'!C104</f>
        <v>0</v>
      </c>
      <c r="D104" s="67">
        <f>'Emissions A'!D104-'Emissions B'!D104</f>
        <v>0</v>
      </c>
      <c r="E104" s="67">
        <f>'Emissions A'!E104-'Emissions B'!E104</f>
        <v>0</v>
      </c>
      <c r="F104" s="67">
        <f>'Emissions A'!F104-'Emissions B'!F104</f>
        <v>0</v>
      </c>
      <c r="G104" s="67">
        <f>'Emissions A'!G104-'Emissions B'!G104</f>
        <v>-26.964051673293397</v>
      </c>
      <c r="H104" s="67">
        <f>'Emissions A'!H104-'Emissions B'!H104</f>
        <v>-61.85403573310829</v>
      </c>
      <c r="I104" s="67">
        <f>'Emissions A'!I104-'Emissions B'!I104</f>
        <v>-70.770996741167224</v>
      </c>
      <c r="J104" s="67">
        <f>'Emissions A'!J104-'Emissions B'!J104</f>
        <v>-74.675817169811154</v>
      </c>
      <c r="K104" s="67">
        <f>'Emissions A'!K104-'Emissions B'!K104</f>
        <v>-71.820960063364581</v>
      </c>
      <c r="L104" s="67">
        <f>'Emissions A'!L104-'Emissions B'!L104</f>
        <v>-68.622596200504631</v>
      </c>
      <c r="M104" t="str">
        <f>'Base data'!$F$35</f>
        <v>Mtonne</v>
      </c>
    </row>
    <row r="105" spans="1:13" ht="13.5" thickBot="1" x14ac:dyDescent="0.25">
      <c r="A105" t="str">
        <v>LA Lin</v>
      </c>
      <c r="B105" s="68">
        <f>'Emissions A'!B105-'Emissions B'!B105</f>
        <v>0</v>
      </c>
      <c r="C105" s="68">
        <f>'Emissions A'!C105-'Emissions B'!C105</f>
        <v>0</v>
      </c>
      <c r="D105" s="68">
        <f>'Emissions A'!D105-'Emissions B'!D105</f>
        <v>0</v>
      </c>
      <c r="E105" s="68">
        <f>'Emissions A'!E105-'Emissions B'!E105</f>
        <v>0</v>
      </c>
      <c r="F105" s="68">
        <f>'Emissions A'!F105-'Emissions B'!F105</f>
        <v>0</v>
      </c>
      <c r="G105" s="68">
        <f>'Emissions A'!G105-'Emissions B'!G105</f>
        <v>-23.050915123225497</v>
      </c>
      <c r="H105" s="68">
        <f>'Emissions A'!H105-'Emissions B'!H105</f>
        <v>-52.877518000197831</v>
      </c>
      <c r="I105" s="68">
        <f>'Emissions A'!I105-'Emissions B'!I105</f>
        <v>-60.500412135112256</v>
      </c>
      <c r="J105" s="68">
        <f>'Emissions A'!J105-'Emissions B'!J105</f>
        <v>-63.838548605205823</v>
      </c>
      <c r="K105" s="68">
        <f>'Emissions A'!K105-'Emissions B'!K105</f>
        <v>-61.398000365387119</v>
      </c>
      <c r="L105" s="68">
        <f>'Emissions A'!L105-'Emissions B'!L105</f>
        <v>-58.663796513931153</v>
      </c>
      <c r="M105" t="str">
        <f>'Base data'!$F$35</f>
        <v>Mtonne</v>
      </c>
    </row>
    <row r="106" spans="1:13" s="2" customFormat="1" ht="13.5" thickTop="1" x14ac:dyDescent="0.2">
      <c r="A106" s="2" t="str">
        <f>"Total "&amp;'Base data'!$E$12</f>
        <v>Total Lin</v>
      </c>
      <c r="B106" s="70">
        <f t="shared" ref="B106:L106" si="2">SUM(B98:B105)</f>
        <v>0</v>
      </c>
      <c r="C106" s="70">
        <f t="shared" si="2"/>
        <v>0</v>
      </c>
      <c r="D106" s="70">
        <f t="shared" si="2"/>
        <v>0</v>
      </c>
      <c r="E106" s="70">
        <f t="shared" si="2"/>
        <v>0</v>
      </c>
      <c r="F106" s="70">
        <f t="shared" si="2"/>
        <v>0</v>
      </c>
      <c r="G106" s="70">
        <f t="shared" si="2"/>
        <v>-435.07837509084584</v>
      </c>
      <c r="H106" s="70">
        <f t="shared" si="2"/>
        <v>-998.04560848792187</v>
      </c>
      <c r="I106" s="70">
        <f t="shared" si="2"/>
        <v>-1141.9252061515492</v>
      </c>
      <c r="J106" s="70">
        <f t="shared" si="2"/>
        <v>-1204.931424493677</v>
      </c>
      <c r="K106" s="70">
        <f t="shared" si="2"/>
        <v>-1158.8668861950964</v>
      </c>
      <c r="L106" s="70">
        <f t="shared" si="2"/>
        <v>-1107.2596956562709</v>
      </c>
      <c r="M106" s="2" t="str">
        <f>'Base data'!$F$35</f>
        <v>Mtonne</v>
      </c>
    </row>
    <row r="128" spans="1:1" x14ac:dyDescent="0.2">
      <c r="A128" s="59" t="s">
        <v>190</v>
      </c>
    </row>
    <row r="129" spans="1:13" x14ac:dyDescent="0.2">
      <c r="A129" s="1" t="str">
        <f t="array" ref="A129:A136">R_CODE</f>
        <v>EU</v>
      </c>
      <c r="B129" s="27">
        <f>'Emissions A'!B129-'Emissions B'!B129</f>
        <v>0</v>
      </c>
      <c r="C129" s="27">
        <f>'Emissions A'!C129-'Emissions B'!C129</f>
        <v>0</v>
      </c>
      <c r="D129" s="27">
        <f>'Emissions A'!D129-'Emissions B'!D129</f>
        <v>0</v>
      </c>
      <c r="E129" s="27">
        <f>'Emissions A'!E129-'Emissions B'!E129</f>
        <v>0</v>
      </c>
      <c r="F129" s="27">
        <f>'Emissions A'!F129-'Emissions B'!F129</f>
        <v>0</v>
      </c>
      <c r="G129" s="27">
        <f>'Emissions A'!G129-'Emissions B'!G129</f>
        <v>-2.6426718754203114E-7</v>
      </c>
      <c r="H129" s="27">
        <f>'Emissions A'!H129-'Emissions B'!H129</f>
        <v>-6.0617334972009363E-7</v>
      </c>
      <c r="I129" s="27">
        <f>'Emissions A'!I129-'Emissions B'!I129</f>
        <v>-8.6832262080420517E-7</v>
      </c>
      <c r="J129" s="27">
        <f>'Emissions A'!J129-'Emissions B'!J129</f>
        <v>-9.9819826166747358E-7</v>
      </c>
      <c r="K129" s="27">
        <f>'Emissions A'!K129-'Emissions B'!K129</f>
        <v>-9.3033680184034138E-7</v>
      </c>
      <c r="L129" s="27">
        <f>'Emissions A'!L129-'Emissions B'!L129</f>
        <v>-7.1986726648335335E-7</v>
      </c>
      <c r="M129" s="1" t="str">
        <f>'Base data'!$K$35</f>
        <v>Tg/Km2</v>
      </c>
    </row>
    <row r="130" spans="1:13" x14ac:dyDescent="0.2">
      <c r="A130" s="1" t="str">
        <v>US</v>
      </c>
      <c r="B130" s="28">
        <f>'Emissions A'!B130-'Emissions B'!B130</f>
        <v>0</v>
      </c>
      <c r="C130" s="28">
        <f>'Emissions A'!C130-'Emissions B'!C130</f>
        <v>0</v>
      </c>
      <c r="D130" s="28">
        <f>'Emissions A'!D130-'Emissions B'!D130</f>
        <v>0</v>
      </c>
      <c r="E130" s="28">
        <f>'Emissions A'!E130-'Emissions B'!E130</f>
        <v>0</v>
      </c>
      <c r="F130" s="28">
        <f>'Emissions A'!F130-'Emissions B'!F130</f>
        <v>0</v>
      </c>
      <c r="G130" s="28">
        <f>'Emissions A'!G130-'Emissions B'!G130</f>
        <v>-5.9026253209570754E-8</v>
      </c>
      <c r="H130" s="28">
        <f>'Emissions A'!H130-'Emissions B'!H130</f>
        <v>-1.1566198330875133E-7</v>
      </c>
      <c r="I130" s="28">
        <f>'Emissions A'!I130-'Emissions B'!I130</f>
        <v>-1.4769790753189768E-7</v>
      </c>
      <c r="J130" s="28">
        <f>'Emissions A'!J130-'Emissions B'!J130</f>
        <v>-1.6213201122258022E-7</v>
      </c>
      <c r="K130" s="28">
        <f>'Emissions A'!K130-'Emissions B'!K130</f>
        <v>-1.559436253445675E-7</v>
      </c>
      <c r="L130" s="28">
        <f>'Emissions A'!L130-'Emissions B'!L130</f>
        <v>-1.3584024342809655E-7</v>
      </c>
      <c r="M130" s="1" t="str">
        <f>'Base data'!$K$35</f>
        <v>Tg/Km2</v>
      </c>
    </row>
    <row r="131" spans="1:13" x14ac:dyDescent="0.2">
      <c r="A131" s="1" t="str">
        <v>OT</v>
      </c>
      <c r="B131" s="28">
        <f>'Emissions A'!B131-'Emissions B'!B131</f>
        <v>0</v>
      </c>
      <c r="C131" s="28">
        <f>'Emissions A'!C131-'Emissions B'!C131</f>
        <v>0</v>
      </c>
      <c r="D131" s="28">
        <f>'Emissions A'!D131-'Emissions B'!D131</f>
        <v>0</v>
      </c>
      <c r="E131" s="28">
        <f>'Emissions A'!E131-'Emissions B'!E131</f>
        <v>0</v>
      </c>
      <c r="F131" s="28">
        <f>'Emissions A'!F131-'Emissions B'!F131</f>
        <v>0</v>
      </c>
      <c r="G131" s="28">
        <f>'Emissions A'!G131-'Emissions B'!G131</f>
        <v>-1.0046326024994421E-8</v>
      </c>
      <c r="H131" s="28">
        <f>'Emissions A'!H131-'Emissions B'!H131</f>
        <v>-1.8835879906785849E-8</v>
      </c>
      <c r="I131" s="28">
        <f>'Emissions A'!I131-'Emissions B'!I131</f>
        <v>-2.6928083696205454E-8</v>
      </c>
      <c r="J131" s="28">
        <f>'Emissions A'!J131-'Emissions B'!J131</f>
        <v>-3.2196426421285451E-8</v>
      </c>
      <c r="K131" s="28">
        <f>'Emissions A'!K131-'Emissions B'!K131</f>
        <v>-3.5199122142591448E-8</v>
      </c>
      <c r="L131" s="28">
        <f>'Emissions A'!L131-'Emissions B'!L131</f>
        <v>-3.4683038816176688E-8</v>
      </c>
      <c r="M131" s="1" t="str">
        <f>'Base data'!$K$35</f>
        <v>Tg/Km2</v>
      </c>
    </row>
    <row r="132" spans="1:13" x14ac:dyDescent="0.2">
      <c r="A132" s="1" t="str">
        <v>EE</v>
      </c>
      <c r="B132" s="28">
        <f>'Emissions A'!B132-'Emissions B'!B132</f>
        <v>0</v>
      </c>
      <c r="C132" s="28">
        <f>'Emissions A'!C132-'Emissions B'!C132</f>
        <v>0</v>
      </c>
      <c r="D132" s="28">
        <f>'Emissions A'!D132-'Emissions B'!D132</f>
        <v>0</v>
      </c>
      <c r="E132" s="28">
        <f>'Emissions A'!E132-'Emissions B'!E132</f>
        <v>0</v>
      </c>
      <c r="F132" s="28">
        <f>'Emissions A'!F132-'Emissions B'!F132</f>
        <v>0</v>
      </c>
      <c r="G132" s="28">
        <f>'Emissions A'!G132-'Emissions B'!G132</f>
        <v>-1.0521750602463605E-8</v>
      </c>
      <c r="H132" s="28">
        <f>'Emissions A'!H132-'Emissions B'!H132</f>
        <v>-1.4406118757730708E-8</v>
      </c>
      <c r="I132" s="28">
        <f>'Emissions A'!I132-'Emissions B'!I132</f>
        <v>-1.5139071538174209E-8</v>
      </c>
      <c r="J132" s="28">
        <f>'Emissions A'!J132-'Emissions B'!J132</f>
        <v>-1.4365537918217635E-8</v>
      </c>
      <c r="K132" s="28">
        <f>'Emissions A'!K132-'Emissions B'!K132</f>
        <v>-1.1943500767616426E-8</v>
      </c>
      <c r="L132" s="28">
        <f>'Emissions A'!L132-'Emissions B'!L132</f>
        <v>-7.6416944184296155E-9</v>
      </c>
      <c r="M132" s="1" t="str">
        <f>'Base data'!$K$35</f>
        <v>Tg/Km2</v>
      </c>
    </row>
    <row r="133" spans="1:13" x14ac:dyDescent="0.2">
      <c r="A133" s="1" t="str">
        <v>CA</v>
      </c>
      <c r="B133" s="28">
        <f>'Emissions A'!B133-'Emissions B'!B133</f>
        <v>0</v>
      </c>
      <c r="C133" s="28">
        <f>'Emissions A'!C133-'Emissions B'!C133</f>
        <v>0</v>
      </c>
      <c r="D133" s="28">
        <f>'Emissions A'!D133-'Emissions B'!D133</f>
        <v>0</v>
      </c>
      <c r="E133" s="28">
        <f>'Emissions A'!E133-'Emissions B'!E133</f>
        <v>0</v>
      </c>
      <c r="F133" s="28">
        <f>'Emissions A'!F133-'Emissions B'!F133</f>
        <v>0</v>
      </c>
      <c r="G133" s="28">
        <f>'Emissions A'!G133-'Emissions B'!G133</f>
        <v>-1.8581248338737935E-7</v>
      </c>
      <c r="H133" s="28">
        <f>'Emissions A'!H133-'Emissions B'!H133</f>
        <v>-2.3702632053751641E-7</v>
      </c>
      <c r="I133" s="28">
        <f>'Emissions A'!I133-'Emissions B'!I133</f>
        <v>-2.6472273271580225E-7</v>
      </c>
      <c r="J133" s="28">
        <f>'Emissions A'!J133-'Emissions B'!J133</f>
        <v>-2.3119813655583082E-7</v>
      </c>
      <c r="K133" s="28">
        <f>'Emissions A'!K133-'Emissions B'!K133</f>
        <v>-1.692484954675237E-7</v>
      </c>
      <c r="L133" s="28">
        <f>'Emissions A'!L133-'Emissions B'!L133</f>
        <v>-1.2123266165432051E-7</v>
      </c>
      <c r="M133" s="1" t="str">
        <f>'Base data'!$K$35</f>
        <v>Tg/Km2</v>
      </c>
    </row>
    <row r="134" spans="1:13" x14ac:dyDescent="0.2">
      <c r="A134" s="1" t="str">
        <v>IA</v>
      </c>
      <c r="B134" s="28">
        <f>'Emissions A'!B134-'Emissions B'!B134</f>
        <v>0</v>
      </c>
      <c r="C134" s="28">
        <f>'Emissions A'!C134-'Emissions B'!C134</f>
        <v>0</v>
      </c>
      <c r="D134" s="28">
        <f>'Emissions A'!D134-'Emissions B'!D134</f>
        <v>0</v>
      </c>
      <c r="E134" s="28">
        <f>'Emissions A'!E134-'Emissions B'!E134</f>
        <v>0</v>
      </c>
      <c r="F134" s="28">
        <f>'Emissions A'!F134-'Emissions B'!F134</f>
        <v>0</v>
      </c>
      <c r="G134" s="28">
        <f>'Emissions A'!G134-'Emissions B'!G134</f>
        <v>-1.1560733089908617E-6</v>
      </c>
      <c r="H134" s="28">
        <f>'Emissions A'!H134-'Emissions B'!H134</f>
        <v>-1.7646573617519908E-6</v>
      </c>
      <c r="I134" s="28">
        <f>'Emissions A'!I134-'Emissions B'!I134</f>
        <v>-1.6916409841822566E-6</v>
      </c>
      <c r="J134" s="28">
        <f>'Emissions A'!J134-'Emissions B'!J134</f>
        <v>-1.2638667607313914E-6</v>
      </c>
      <c r="K134" s="28">
        <f>'Emissions A'!K134-'Emissions B'!K134</f>
        <v>-7.7380587646368515E-7</v>
      </c>
      <c r="L134" s="28">
        <f>'Emissions A'!L134-'Emissions B'!L134</f>
        <v>-3.2667720707363066E-7</v>
      </c>
      <c r="M134" s="1" t="str">
        <f>'Base data'!$K$35</f>
        <v>Tg/Km2</v>
      </c>
    </row>
    <row r="135" spans="1:13" x14ac:dyDescent="0.2">
      <c r="A135" s="1" t="str">
        <v>AF</v>
      </c>
      <c r="B135" s="28">
        <f>'Emissions A'!B135-'Emissions B'!B135</f>
        <v>0</v>
      </c>
      <c r="C135" s="28">
        <f>'Emissions A'!C135-'Emissions B'!C135</f>
        <v>0</v>
      </c>
      <c r="D135" s="28">
        <f>'Emissions A'!D135-'Emissions B'!D135</f>
        <v>0</v>
      </c>
      <c r="E135" s="28">
        <f>'Emissions A'!E135-'Emissions B'!E135</f>
        <v>0</v>
      </c>
      <c r="F135" s="28">
        <f>'Emissions A'!F135-'Emissions B'!F135</f>
        <v>0</v>
      </c>
      <c r="G135" s="28">
        <f>'Emissions A'!G135-'Emissions B'!G135</f>
        <v>-1.5302846678562693E-7</v>
      </c>
      <c r="H135" s="28">
        <f>'Emissions A'!H135-'Emissions B'!H135</f>
        <v>-3.3251930591936372E-7</v>
      </c>
      <c r="I135" s="28">
        <f>'Emissions A'!I135-'Emissions B'!I135</f>
        <v>-4.269259511946774E-7</v>
      </c>
      <c r="J135" s="28">
        <f>'Emissions A'!J135-'Emissions B'!J135</f>
        <v>-4.1347420244964115E-7</v>
      </c>
      <c r="K135" s="28">
        <f>'Emissions A'!K135-'Emissions B'!K135</f>
        <v>-3.0620307042994434E-7</v>
      </c>
      <c r="L135" s="28">
        <f>'Emissions A'!L135-'Emissions B'!L135</f>
        <v>-1.4974201230643797E-7</v>
      </c>
      <c r="M135" s="1" t="str">
        <f>'Base data'!$K$35</f>
        <v>Tg/Km2</v>
      </c>
    </row>
    <row r="136" spans="1:13" x14ac:dyDescent="0.2">
      <c r="A136" s="1" t="str">
        <v>LA</v>
      </c>
      <c r="B136" s="28">
        <f>'Emissions A'!B136-'Emissions B'!B136</f>
        <v>0</v>
      </c>
      <c r="C136" s="28">
        <f>'Emissions A'!C136-'Emissions B'!C136</f>
        <v>0</v>
      </c>
      <c r="D136" s="28">
        <f>'Emissions A'!D136-'Emissions B'!D136</f>
        <v>0</v>
      </c>
      <c r="E136" s="28">
        <f>'Emissions A'!E136-'Emissions B'!E136</f>
        <v>0</v>
      </c>
      <c r="F136" s="28">
        <f>'Emissions A'!F136-'Emissions B'!F136</f>
        <v>0</v>
      </c>
      <c r="G136" s="28">
        <f>'Emissions A'!G136-'Emissions B'!G136</f>
        <v>-1.3080998898310408E-7</v>
      </c>
      <c r="H136" s="28">
        <f>'Emissions A'!H136-'Emissions B'!H136</f>
        <v>-2.3605456653723485E-7</v>
      </c>
      <c r="I136" s="28">
        <f>'Emissions A'!I136-'Emissions B'!I136</f>
        <v>-2.7779132569988839E-7</v>
      </c>
      <c r="J136" s="28">
        <f>'Emissions A'!J136-'Emissions B'!J136</f>
        <v>-2.7147439947489522E-7</v>
      </c>
      <c r="K136" s="28">
        <f>'Emissions A'!K136-'Emissions B'!K136</f>
        <v>-2.3977967986397598E-7</v>
      </c>
      <c r="L136" s="28">
        <f>'Emissions A'!L136-'Emissions B'!L136</f>
        <v>-1.9045908332974896E-7</v>
      </c>
      <c r="M136" s="1" t="str">
        <f>'Base data'!$K$35</f>
        <v>Tg/Km2</v>
      </c>
    </row>
    <row r="137" spans="1:13" x14ac:dyDescent="0.2">
      <c r="A137" s="8" t="s">
        <v>136</v>
      </c>
      <c r="B137" s="43">
        <f>'Emissions A'!B137-'Emissions B'!B137</f>
        <v>0</v>
      </c>
      <c r="C137" s="43">
        <f>'Emissions A'!C137-'Emissions B'!C137</f>
        <v>0</v>
      </c>
      <c r="D137" s="43">
        <f>'Emissions A'!D137-'Emissions B'!D137</f>
        <v>0</v>
      </c>
      <c r="E137" s="43">
        <f>'Emissions A'!E137-'Emissions B'!E137</f>
        <v>0</v>
      </c>
      <c r="F137" s="43">
        <f>'Emissions A'!F137-'Emissions B'!F137</f>
        <v>0</v>
      </c>
      <c r="G137" s="43">
        <f>'Emissions A'!G137-'Emissions B'!G137</f>
        <v>-4.9408171726017641E-8</v>
      </c>
      <c r="H137" s="43">
        <f>'Emissions A'!H137-'Emissions B'!H137</f>
        <v>-8.5829586706158837E-8</v>
      </c>
      <c r="I137" s="43">
        <f>'Emissions A'!I137-'Emissions B'!I137</f>
        <v>-9.6790131374358633E-8</v>
      </c>
      <c r="J137" s="43">
        <f>'Emissions A'!J137-'Emissions B'!J137</f>
        <v>-8.7153510038781691E-8</v>
      </c>
      <c r="K137" s="43">
        <f>'Emissions A'!K137-'Emissions B'!K137</f>
        <v>-6.5176609582895437E-8</v>
      </c>
      <c r="L137" s="43">
        <f>'Emissions A'!L137-'Emissions B'!L137</f>
        <v>-3.8233527784595258E-8</v>
      </c>
      <c r="M137" s="1" t="str">
        <f>'Base data'!$K$35</f>
        <v>Tg/Km2</v>
      </c>
    </row>
    <row r="141" spans="1:13" x14ac:dyDescent="0.2">
      <c r="A141" s="2" t="s">
        <v>544</v>
      </c>
      <c r="B141" s="26">
        <f>'Emissions A'!B141 - 'Emissions B'!B141</f>
        <v>0</v>
      </c>
      <c r="C141" s="26">
        <f>'Emissions A'!C141 - 'Emissions B'!C141</f>
        <v>0</v>
      </c>
      <c r="D141" s="26">
        <f>'Emissions A'!D141 - 'Emissions B'!D141</f>
        <v>0</v>
      </c>
      <c r="E141" s="26">
        <f>'Emissions A'!E141 - 'Emissions B'!E141</f>
        <v>0</v>
      </c>
      <c r="F141" s="26">
        <f>'Emissions A'!F141 - 'Emissions B'!F141</f>
        <v>0</v>
      </c>
      <c r="G141" s="26">
        <f>'Emissions A'!G141 - 'Emissions B'!G141</f>
        <v>-0.13359999999999994</v>
      </c>
      <c r="H141" s="26">
        <f>'Emissions A'!H141 - 'Emissions B'!H141</f>
        <v>-0.19279999999999997</v>
      </c>
      <c r="I141" s="26">
        <f>'Emissions A'!I141 - 'Emissions B'!I141</f>
        <v>-0.23959999999999998</v>
      </c>
      <c r="J141" s="26">
        <f>'Emissions A'!J141 - 'Emissions B'!J141</f>
        <v>-0.25430000000000003</v>
      </c>
      <c r="K141" s="26">
        <f>'Emissions A'!K141 - 'Emissions B'!K141</f>
        <v>-0.19960000000000003</v>
      </c>
      <c r="L141" s="26">
        <f>'Emissions A'!L141 - 'Emissions B'!L141</f>
        <v>-0.11360000000000003</v>
      </c>
      <c r="M141" s="3" t="s">
        <v>42</v>
      </c>
    </row>
  </sheetData>
  <phoneticPr fontId="21" type="noConversion"/>
  <pageMargins left="0.75" right="0.75" top="1" bottom="1" header="0.5" footer="0.5"/>
  <pageSetup paperSize="9" orientation="portrait" verticalDpi="0" r:id="rId1"/>
  <headerFooter alignWithMargins="0"/>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X39"/>
  <sheetViews>
    <sheetView workbookViewId="0">
      <selection activeCell="M39" sqref="M39"/>
    </sheetView>
  </sheetViews>
  <sheetFormatPr defaultRowHeight="12.75" x14ac:dyDescent="0.2"/>
  <cols>
    <col min="1" max="1" width="22.85546875" bestFit="1" customWidth="1"/>
    <col min="2" max="12" width="11.5703125" customWidth="1"/>
    <col min="15" max="15" width="13.42578125" customWidth="1"/>
  </cols>
  <sheetData>
    <row r="1" spans="1:15" x14ac:dyDescent="0.2">
      <c r="A1" s="2" t="str">
        <f>MODEL_NAME</f>
        <v>PAGE-ICE Nonlinear Arctic Feedbacks</v>
      </c>
      <c r="B1" t="s">
        <v>37</v>
      </c>
      <c r="C1" s="51" t="str">
        <f>VERSION</f>
        <v>6.22</v>
      </c>
    </row>
    <row r="2" spans="1:15" x14ac:dyDescent="0.2">
      <c r="A2" s="3"/>
      <c r="B2" s="3"/>
      <c r="C2" s="3"/>
    </row>
    <row r="3" spans="1:15" x14ac:dyDescent="0.2">
      <c r="A3" s="2" t="s">
        <v>390</v>
      </c>
      <c r="B3">
        <f t="array" ref="B3:K3">Y</f>
        <v>2020</v>
      </c>
      <c r="C3">
        <v>2025</v>
      </c>
      <c r="D3">
        <v>2030</v>
      </c>
      <c r="E3">
        <v>2040</v>
      </c>
      <c r="F3">
        <v>2050</v>
      </c>
      <c r="G3">
        <v>2060</v>
      </c>
      <c r="H3">
        <v>2070</v>
      </c>
      <c r="I3">
        <v>2080</v>
      </c>
      <c r="J3">
        <v>2090</v>
      </c>
      <c r="K3">
        <v>2100</v>
      </c>
      <c r="L3" s="2" t="s">
        <v>110</v>
      </c>
    </row>
    <row r="4" spans="1:15" x14ac:dyDescent="0.2">
      <c r="A4" s="2" t="s">
        <v>114</v>
      </c>
      <c r="B4" s="28">
        <f t="array" aca="1" ref="B4:K4" ca="1" xml:space="preserve"> wit_g+pct_g+wact_g</f>
        <v>3187442.7169857984</v>
      </c>
      <c r="C4" s="28">
        <f ca="1"/>
        <v>4542072.1037482256</v>
      </c>
      <c r="D4" s="28">
        <f ca="1"/>
        <v>5837780.7289167354</v>
      </c>
      <c r="E4" s="28">
        <f ca="1"/>
        <v>9042473.9146335199</v>
      </c>
      <c r="F4" s="28">
        <f ca="1"/>
        <v>14367637.811434334</v>
      </c>
      <c r="G4" s="28">
        <f ca="1"/>
        <v>17465694.655719731</v>
      </c>
      <c r="H4" s="28">
        <f ca="1"/>
        <v>16879692.794998627</v>
      </c>
      <c r="I4" s="28">
        <f ca="1"/>
        <v>13470696.395467248</v>
      </c>
      <c r="J4" s="28">
        <f ca="1"/>
        <v>10897319.545898827</v>
      </c>
      <c r="K4" s="28">
        <f ca="1"/>
        <v>8476923.5664997362</v>
      </c>
      <c r="L4" s="1"/>
      <c r="M4" s="4" t="str">
        <f>CURRENCY_NAME</f>
        <v>$M(2015)</v>
      </c>
    </row>
    <row r="5" spans="1:15" x14ac:dyDescent="0.2">
      <c r="A5" s="2" t="s">
        <v>117</v>
      </c>
    </row>
    <row r="6" spans="1:15" ht="13.5" thickBot="1" x14ac:dyDescent="0.25">
      <c r="A6" s="2" t="s">
        <v>114</v>
      </c>
      <c r="B6" s="45">
        <f t="array" ref="B6:K6" ca="1" xml:space="preserve"> widt_g+pcdt_g+wacdt_g</f>
        <v>3027742.8022128018</v>
      </c>
      <c r="C6" s="45">
        <f ca="1"/>
        <v>4098332.6668266756</v>
      </c>
      <c r="D6" s="45">
        <f ca="1"/>
        <v>5003542.0485084346</v>
      </c>
      <c r="E6" s="45">
        <f ca="1"/>
        <v>6993107.8061616411</v>
      </c>
      <c r="F6" s="45">
        <f ca="1"/>
        <v>10025857.181998966</v>
      </c>
      <c r="G6" s="45">
        <f ca="1"/>
        <v>10997024.412925771</v>
      </c>
      <c r="H6" s="45">
        <f ca="1"/>
        <v>9589744.7496547289</v>
      </c>
      <c r="I6" s="45">
        <f ca="1"/>
        <v>6905350.7171101067</v>
      </c>
      <c r="J6" s="45">
        <f ca="1"/>
        <v>5040441.312260827</v>
      </c>
      <c r="K6" s="45">
        <f ca="1"/>
        <v>3537857.4272447946</v>
      </c>
      <c r="L6" s="1"/>
      <c r="M6" s="4" t="str">
        <f>CURRENCY_NAME</f>
        <v>$M(2015)</v>
      </c>
    </row>
    <row r="7" spans="1:15" ht="13.5" thickTop="1" x14ac:dyDescent="0.2">
      <c r="A7" s="2" t="s">
        <v>391</v>
      </c>
    </row>
    <row r="8" spans="1:15" ht="13.5" thickBot="1" x14ac:dyDescent="0.25">
      <c r="A8" s="2" t="s">
        <v>114</v>
      </c>
      <c r="B8" s="45">
        <f t="array" ref="B8:K8" ca="1" xml:space="preserve"> addt_g+pcdat_g+aact_g</f>
        <v>22708071.016596016</v>
      </c>
      <c r="C8" s="45">
        <f ca="1"/>
        <v>20491663.334133379</v>
      </c>
      <c r="D8" s="45">
        <f ca="1"/>
        <v>37526565.363813259</v>
      </c>
      <c r="E8" s="45">
        <f ca="1"/>
        <v>69931078.061616421</v>
      </c>
      <c r="F8" s="45">
        <f ca="1"/>
        <v>100258571.81998965</v>
      </c>
      <c r="G8" s="45">
        <f ca="1"/>
        <v>109970244.12925774</v>
      </c>
      <c r="H8" s="45">
        <f ca="1"/>
        <v>95897447.496547297</v>
      </c>
      <c r="I8" s="45">
        <f ca="1"/>
        <v>69053507.171101063</v>
      </c>
      <c r="J8" s="45">
        <f ca="1"/>
        <v>50404413.122608274</v>
      </c>
      <c r="K8" s="45">
        <f ca="1"/>
        <v>17689287.136223972</v>
      </c>
      <c r="L8" s="79">
        <f ca="1">SUM(B8:K8)</f>
        <v>593930848.65188718</v>
      </c>
      <c r="M8" s="4" t="str">
        <f>CURRENCY_NAME</f>
        <v>$M(2015)</v>
      </c>
    </row>
    <row r="9" spans="1:15" s="4" customFormat="1" ht="13.5" thickTop="1" x14ac:dyDescent="0.2">
      <c r="A9" s="5" t="s">
        <v>596</v>
      </c>
      <c r="B9" s="5"/>
      <c r="L9" s="40">
        <f ca="1">_xll.RiskOutput(,A9,1)+td</f>
        <v>524696467.06684172</v>
      </c>
      <c r="M9" s="4" t="str">
        <f>CURRENCY_NAME</f>
        <v>$M(2015)</v>
      </c>
      <c r="O9"/>
    </row>
    <row r="10" spans="1:15" s="4" customFormat="1" x14ac:dyDescent="0.2">
      <c r="A10" s="5" t="s">
        <v>594</v>
      </c>
      <c r="B10" s="322">
        <f ca="1">_xll.RiskOutput(,A10,1)+B8</f>
        <v>22708071.016596016</v>
      </c>
      <c r="C10" s="322">
        <f ca="1">_xll.RiskOutput(,A10,2)+C8</f>
        <v>20491663.334133379</v>
      </c>
      <c r="D10" s="322">
        <f ca="1">_xll.RiskOutput(,A10,3)+D8</f>
        <v>37526565.363813259</v>
      </c>
      <c r="E10" s="322">
        <f ca="1">_xll.RiskOutput(,A10,4)+E8</f>
        <v>69931078.061616421</v>
      </c>
      <c r="F10" s="322">
        <f ca="1">_xll.RiskOutput(,A10,5)+F8</f>
        <v>100258571.81998965</v>
      </c>
      <c r="G10" s="322">
        <f ca="1">_xll.RiskOutput(,A10,6)+G8</f>
        <v>109970244.12925774</v>
      </c>
      <c r="H10" s="322">
        <f ca="1">_xll.RiskOutput(,A10,7)+H8</f>
        <v>95897447.496547297</v>
      </c>
      <c r="I10" s="322">
        <f ca="1">_xll.RiskOutput(,A10,8)+I8</f>
        <v>69053507.171101063</v>
      </c>
      <c r="J10" s="322">
        <f ca="1">_xll.RiskOutput(,A10,9)+J8</f>
        <v>50404413.122608274</v>
      </c>
      <c r="K10" s="322">
        <f ca="1">_xll.RiskOutput(,A10,10)+K8</f>
        <v>17689287.136223972</v>
      </c>
      <c r="L10" s="40">
        <f ca="1">_xll.RiskOutput(,A10,3)+tpc</f>
        <v>67792131.720927015</v>
      </c>
      <c r="M10" s="4" t="str">
        <f>CURRENCY_NAME</f>
        <v>$M(2015)</v>
      </c>
      <c r="O10"/>
    </row>
    <row r="11" spans="1:15" s="4" customFormat="1" ht="13.5" thickBot="1" x14ac:dyDescent="0.25">
      <c r="A11" s="5" t="s">
        <v>107</v>
      </c>
      <c r="B11" s="5"/>
      <c r="L11" s="40">
        <f ca="1">_xll.RiskOutput(,A11,2)+tac</f>
        <v>1442249.8641182655</v>
      </c>
      <c r="M11" s="4" t="str">
        <f>CURRENCY_NAME</f>
        <v>$M(2015)</v>
      </c>
      <c r="O11"/>
    </row>
    <row r="12" spans="1:15" s="4" customFormat="1" ht="14.25" thickTop="1" thickBot="1" x14ac:dyDescent="0.25">
      <c r="A12" s="5" t="s">
        <v>595</v>
      </c>
      <c r="L12" s="78">
        <f ca="1">_xll.RiskOutput(,A12,4)+MIN(SUM(L9:L11), CIV_VALUE)</f>
        <v>593930848.65188694</v>
      </c>
      <c r="M12" s="4" t="str">
        <f>CURRENCY_NAME</f>
        <v>$M(2015)</v>
      </c>
      <c r="O12"/>
    </row>
    <row r="13" spans="1:15" ht="13.5" thickTop="1" x14ac:dyDescent="0.2"/>
    <row r="14" spans="1:15" x14ac:dyDescent="0.2">
      <c r="A14" s="2" t="s">
        <v>398</v>
      </c>
      <c r="B14">
        <f>'Base data'!C$3</f>
        <v>2020</v>
      </c>
      <c r="C14">
        <f>'Base data'!D$3</f>
        <v>2025</v>
      </c>
      <c r="D14">
        <f>'Base data'!E$3</f>
        <v>2030</v>
      </c>
      <c r="E14">
        <f>'Base data'!F$3</f>
        <v>2040</v>
      </c>
      <c r="F14">
        <f>'Base data'!G$3</f>
        <v>2050</v>
      </c>
      <c r="G14">
        <f>'Base data'!H$3</f>
        <v>2060</v>
      </c>
      <c r="H14">
        <f>'Base data'!I$3</f>
        <v>2070</v>
      </c>
      <c r="I14">
        <f>'Base data'!J$3</f>
        <v>2080</v>
      </c>
      <c r="J14">
        <f>'Base data'!K$3</f>
        <v>2090</v>
      </c>
      <c r="K14">
        <f>'Base data'!L$3</f>
        <v>2100</v>
      </c>
      <c r="L14" s="2" t="s">
        <v>110</v>
      </c>
    </row>
    <row r="15" spans="1:15" x14ac:dyDescent="0.2">
      <c r="A15" s="2" t="s">
        <v>114</v>
      </c>
      <c r="B15" s="28">
        <f t="array" ref="B15:K15" ca="1" xml:space="preserve"> wit_g_b+pct_g_b+wact_g_b</f>
        <v>3548155.5811281707</v>
      </c>
      <c r="C15" s="28">
        <f ca="1"/>
        <v>4834282.0119288638</v>
      </c>
      <c r="D15" s="28">
        <f ca="1"/>
        <v>6049859.4333083648</v>
      </c>
      <c r="E15" s="28">
        <f ca="1"/>
        <v>9856654.9545798805</v>
      </c>
      <c r="F15" s="28">
        <f ca="1"/>
        <v>13426383.86702189</v>
      </c>
      <c r="G15" s="28">
        <f ca="1"/>
        <v>17691827.62163455</v>
      </c>
      <c r="H15" s="28">
        <f ca="1"/>
        <v>22748178.1177531</v>
      </c>
      <c r="I15" s="28">
        <f ca="1"/>
        <v>29346916.126335993</v>
      </c>
      <c r="J15" s="28">
        <f ca="1"/>
        <v>34930401.84408088</v>
      </c>
      <c r="K15" s="28">
        <f ca="1"/>
        <v>38167610.566839479</v>
      </c>
      <c r="L15" s="1"/>
      <c r="M15" s="4" t="str">
        <f>CURRENCY_NAME</f>
        <v>$M(2015)</v>
      </c>
    </row>
    <row r="16" spans="1:15" x14ac:dyDescent="0.2">
      <c r="A16" s="2" t="s">
        <v>117</v>
      </c>
    </row>
    <row r="17" spans="1:13" ht="13.5" thickBot="1" x14ac:dyDescent="0.25">
      <c r="A17" s="2" t="s">
        <v>114</v>
      </c>
      <c r="B17" s="45">
        <f t="array" aca="1" ref="B17:K17" ca="1" xml:space="preserve"> widt_g_b+pcdt_g_b+wacdt_g_b</f>
        <v>3370382.9294384974</v>
      </c>
      <c r="C17" s="45">
        <f ca="1"/>
        <v>4361995.0184830623</v>
      </c>
      <c r="D17" s="45">
        <f ca="1"/>
        <v>5185313.9862176487</v>
      </c>
      <c r="E17" s="45">
        <f ca="1"/>
        <v>7622764.6721730093</v>
      </c>
      <c r="F17" s="45">
        <f ca="1"/>
        <v>9369042.3497680109</v>
      </c>
      <c r="G17" s="45">
        <f ca="1"/>
        <v>11139405.795158297</v>
      </c>
      <c r="H17" s="45">
        <f ca="1"/>
        <v>12923767.293535694</v>
      </c>
      <c r="I17" s="45">
        <f ca="1"/>
        <v>15043821.222646985</v>
      </c>
      <c r="J17" s="45">
        <f ca="1"/>
        <v>16156692.457003197</v>
      </c>
      <c r="K17" s="45">
        <f ca="1"/>
        <v>15929312.499373725</v>
      </c>
      <c r="L17" s="1"/>
      <c r="M17" s="4" t="str">
        <f>CURRENCY_NAME</f>
        <v>$M(2015)</v>
      </c>
    </row>
    <row r="18" spans="1:13" ht="13.5" thickTop="1" x14ac:dyDescent="0.2">
      <c r="A18" s="2" t="s">
        <v>391</v>
      </c>
    </row>
    <row r="19" spans="1:13" ht="13.5" thickBot="1" x14ac:dyDescent="0.25">
      <c r="A19" s="2" t="s">
        <v>114</v>
      </c>
      <c r="B19" s="45">
        <f t="array" ref="B19:K19" ca="1" xml:space="preserve"> addt_g_b+pcdat_g_b+aact_g_b</f>
        <v>25277871.970788736</v>
      </c>
      <c r="C19" s="45">
        <f ca="1"/>
        <v>21809975.092415318</v>
      </c>
      <c r="D19" s="45">
        <f ca="1"/>
        <v>38889854.896632366</v>
      </c>
      <c r="E19" s="45">
        <f ca="1"/>
        <v>76227646.721730098</v>
      </c>
      <c r="F19" s="45">
        <f ca="1"/>
        <v>93690423.497680113</v>
      </c>
      <c r="G19" s="45">
        <f ca="1"/>
        <v>111394057.95158297</v>
      </c>
      <c r="H19" s="45">
        <f ca="1"/>
        <v>129237672.93535693</v>
      </c>
      <c r="I19" s="45">
        <f ca="1"/>
        <v>150438212.22646987</v>
      </c>
      <c r="J19" s="45">
        <f ca="1"/>
        <v>161566924.57003197</v>
      </c>
      <c r="K19" s="45">
        <f ca="1"/>
        <v>79646562.496868625</v>
      </c>
      <c r="L19" s="79">
        <f ca="1">SUM(B19:K19)</f>
        <v>888179202.35955703</v>
      </c>
      <c r="M19" s="4" t="str">
        <f>CURRENCY_NAME</f>
        <v>$M(2015)</v>
      </c>
    </row>
    <row r="20" spans="1:13" s="4" customFormat="1" ht="13.5" thickTop="1" x14ac:dyDescent="0.2">
      <c r="A20" s="5" t="s">
        <v>596</v>
      </c>
      <c r="B20" s="5"/>
      <c r="L20" s="40">
        <f ca="1">_xll.RiskOutput(,$L$14,1)+td_b</f>
        <v>886736952.49543881</v>
      </c>
      <c r="M20" s="4" t="str">
        <f>CURRENCY_NAME</f>
        <v>$M(2015)</v>
      </c>
    </row>
    <row r="21" spans="1:13" s="4" customFormat="1" x14ac:dyDescent="0.2">
      <c r="A21" s="5" t="s">
        <v>594</v>
      </c>
      <c r="B21" s="322">
        <f ca="1">_xll.RiskOutput(,A21,1)+B19</f>
        <v>25277871.970788736</v>
      </c>
      <c r="C21" s="322">
        <f ca="1">_xll.RiskOutput(,A21,2)+C19</f>
        <v>21809975.092415318</v>
      </c>
      <c r="D21" s="322">
        <f ca="1">_xll.RiskOutput(,A21,3)+D19</f>
        <v>38889854.896632366</v>
      </c>
      <c r="E21" s="322">
        <f ca="1">_xll.RiskOutput(,A21,4)+E19</f>
        <v>76227646.721730098</v>
      </c>
      <c r="F21" s="322">
        <f ca="1">_xll.RiskOutput(,A21,5)+F19</f>
        <v>93690423.497680113</v>
      </c>
      <c r="G21" s="322">
        <f ca="1">_xll.RiskOutput(,A21,6)+G19</f>
        <v>111394057.95158297</v>
      </c>
      <c r="H21" s="322">
        <f ca="1">_xll.RiskOutput(,A21,7)+H19</f>
        <v>129237672.93535693</v>
      </c>
      <c r="I21" s="322">
        <f ca="1">_xll.RiskOutput(,A21,8)+I19</f>
        <v>150438212.22646987</v>
      </c>
      <c r="J21" s="322">
        <f ca="1">_xll.RiskOutput(,A21,9)+J19</f>
        <v>161566924.57003197</v>
      </c>
      <c r="K21" s="322">
        <f ca="1">_xll.RiskOutput(,A21,10)+K19</f>
        <v>79646562.496868625</v>
      </c>
      <c r="L21" s="40">
        <f ca="1">_xll.RiskOutput(,$L$14,3)+tpc_b</f>
        <v>0</v>
      </c>
      <c r="M21" s="4" t="str">
        <f>CURRENCY_NAME</f>
        <v>$M(2015)</v>
      </c>
    </row>
    <row r="22" spans="1:13" s="4" customFormat="1" ht="13.5" thickBot="1" x14ac:dyDescent="0.25">
      <c r="A22" s="5" t="s">
        <v>107</v>
      </c>
      <c r="B22" s="5"/>
      <c r="L22" s="40">
        <f ca="1">_xll.RiskOutput(,$L$14,2)+tac_b</f>
        <v>1442249.8641182655</v>
      </c>
      <c r="M22" s="4" t="str">
        <f>CURRENCY_NAME</f>
        <v>$M(2015)</v>
      </c>
    </row>
    <row r="23" spans="1:13" s="4" customFormat="1" ht="14.25" thickTop="1" thickBot="1" x14ac:dyDescent="0.25">
      <c r="A23" s="5" t="s">
        <v>595</v>
      </c>
      <c r="L23" s="78">
        <f ca="1">_xll.RiskOutput(,$L$14,4)+MIN(SUM(L20:L22), CIV_VALUE)</f>
        <v>888179202.35955703</v>
      </c>
      <c r="M23" s="4" t="str">
        <f>CURRENCY_NAME</f>
        <v>$M(2015)</v>
      </c>
    </row>
    <row r="24" spans="1:13" ht="13.5" thickTop="1" x14ac:dyDescent="0.2">
      <c r="M24" s="4"/>
    </row>
    <row r="25" spans="1:13" x14ac:dyDescent="0.2">
      <c r="A25" s="5" t="s">
        <v>127</v>
      </c>
      <c r="B25">
        <f>'Base data'!C$3</f>
        <v>2020</v>
      </c>
      <c r="C25">
        <f>'Base data'!D$3</f>
        <v>2025</v>
      </c>
      <c r="D25">
        <f>'Base data'!E$3</f>
        <v>2030</v>
      </c>
      <c r="E25">
        <f>'Base data'!F$3</f>
        <v>2040</v>
      </c>
      <c r="F25">
        <f>'Base data'!G$3</f>
        <v>2050</v>
      </c>
      <c r="G25">
        <f>'Base data'!H$3</f>
        <v>2060</v>
      </c>
      <c r="H25">
        <f>'Base data'!I$3</f>
        <v>2070</v>
      </c>
      <c r="I25">
        <f>'Base data'!J$3</f>
        <v>2080</v>
      </c>
      <c r="J25">
        <f>'Base data'!K$3</f>
        <v>2090</v>
      </c>
      <c r="K25">
        <f>'Base data'!L$3</f>
        <v>2100</v>
      </c>
      <c r="L25" s="2" t="s">
        <v>110</v>
      </c>
    </row>
    <row r="26" spans="1:13" x14ac:dyDescent="0.2">
      <c r="A26" s="2" t="s">
        <v>114</v>
      </c>
      <c r="B26" s="28">
        <f t="array" aca="1" ref="B26:K26" ca="1" xml:space="preserve"> wit_g_ab+pct_g_ab+wact_g_ab</f>
        <v>-360712.86414237227</v>
      </c>
      <c r="C26" s="28">
        <f ca="1"/>
        <v>-292209.90818063822</v>
      </c>
      <c r="D26" s="28">
        <f ca="1"/>
        <v>-212078.70439162944</v>
      </c>
      <c r="E26" s="28">
        <f ca="1"/>
        <v>-814181.03994636051</v>
      </c>
      <c r="F26" s="28">
        <f ca="1"/>
        <v>941253.9444124432</v>
      </c>
      <c r="G26" s="28">
        <f ca="1"/>
        <v>-226132.96591482032</v>
      </c>
      <c r="H26" s="28">
        <f ca="1"/>
        <v>-5868485.3227544706</v>
      </c>
      <c r="I26" s="28">
        <f ca="1"/>
        <v>-15876219.730868747</v>
      </c>
      <c r="J26" s="28">
        <f ca="1"/>
        <v>-24033082.298182055</v>
      </c>
      <c r="K26" s="28">
        <f ca="1"/>
        <v>-29690687.000339743</v>
      </c>
      <c r="L26" s="1"/>
      <c r="M26" s="4" t="str">
        <f>CURRENCY_NAME</f>
        <v>$M(2015)</v>
      </c>
    </row>
    <row r="27" spans="1:13" x14ac:dyDescent="0.2">
      <c r="A27" s="2" t="s">
        <v>117</v>
      </c>
    </row>
    <row r="28" spans="1:13" ht="13.5" thickBot="1" x14ac:dyDescent="0.25">
      <c r="A28" s="2" t="s">
        <v>114</v>
      </c>
      <c r="B28" s="45">
        <f t="array" ref="B28:K28" ca="1" xml:space="preserve"> widt_g_ab+pcdt_g_ab+wacdt_g_ab</f>
        <v>-342640.12722569564</v>
      </c>
      <c r="C28" s="45">
        <f ca="1"/>
        <v>-263662.35165638663</v>
      </c>
      <c r="D28" s="45">
        <f ca="1"/>
        <v>-181771.93770921417</v>
      </c>
      <c r="E28" s="45">
        <f ca="1"/>
        <v>-629656.86601136811</v>
      </c>
      <c r="F28" s="45">
        <f ca="1"/>
        <v>656814.8322309556</v>
      </c>
      <c r="G28" s="45">
        <f ca="1"/>
        <v>-142381.38223252585</v>
      </c>
      <c r="H28" s="45">
        <f ca="1"/>
        <v>-3334022.5438809646</v>
      </c>
      <c r="I28" s="45">
        <f ca="1"/>
        <v>-8138470.5055368794</v>
      </c>
      <c r="J28" s="45">
        <f ca="1"/>
        <v>-11116251.144742372</v>
      </c>
      <c r="K28" s="45">
        <f ca="1"/>
        <v>-12391455.072128931</v>
      </c>
      <c r="L28" s="1"/>
      <c r="M28" s="4" t="str">
        <f>CURRENCY_NAME</f>
        <v>$M(2015)</v>
      </c>
    </row>
    <row r="29" spans="1:13" ht="13.5" thickTop="1" x14ac:dyDescent="0.2">
      <c r="A29" s="2" t="s">
        <v>391</v>
      </c>
    </row>
    <row r="30" spans="1:13" ht="13.5" thickBot="1" x14ac:dyDescent="0.25">
      <c r="A30" s="2" t="s">
        <v>114</v>
      </c>
      <c r="B30" s="45">
        <f t="array" aca="1" ref="B30:K30" ca="1" xml:space="preserve"> addt_g_ab+pcdat_g_ab+aact_g_ab</f>
        <v>-2569800.9541927204</v>
      </c>
      <c r="C30" s="45">
        <f ca="1"/>
        <v>-1318311.7582819387</v>
      </c>
      <c r="D30" s="45">
        <f ca="1"/>
        <v>-1363289.5328191072</v>
      </c>
      <c r="E30" s="45">
        <f ca="1"/>
        <v>-6296568.6601136774</v>
      </c>
      <c r="F30" s="45">
        <f ca="1"/>
        <v>6568148.3223095341</v>
      </c>
      <c r="G30" s="45">
        <f ca="1"/>
        <v>-1423813.8223252296</v>
      </c>
      <c r="H30" s="45">
        <f ca="1"/>
        <v>-33340225.438809633</v>
      </c>
      <c r="I30" s="45">
        <f ca="1"/>
        <v>-81384705.055368796</v>
      </c>
      <c r="J30" s="45">
        <f ca="1"/>
        <v>-111162511.4474237</v>
      </c>
      <c r="K30" s="45">
        <f ca="1"/>
        <v>-61957275.360644653</v>
      </c>
      <c r="L30" s="79">
        <f ca="1">SUM(B30:K30)</f>
        <v>-294248353.70766991</v>
      </c>
      <c r="M30" s="4" t="str">
        <f>CURRENCY_NAME</f>
        <v>$M(2015)</v>
      </c>
    </row>
    <row r="31" spans="1:13" s="4" customFormat="1" ht="13.5" thickTop="1" x14ac:dyDescent="0.2">
      <c r="A31" s="5" t="s">
        <v>596</v>
      </c>
      <c r="B31" s="5"/>
      <c r="L31" s="40">
        <f ca="1">_xll.RiskOutput(,$L$25,1)+td_ab</f>
        <v>-362040485.42859709</v>
      </c>
      <c r="M31" s="4" t="str">
        <f>CURRENCY_NAME</f>
        <v>$M(2015)</v>
      </c>
    </row>
    <row r="32" spans="1:13" s="4" customFormat="1" x14ac:dyDescent="0.2">
      <c r="A32" s="5" t="s">
        <v>594</v>
      </c>
      <c r="B32" s="5"/>
      <c r="L32" s="40">
        <f ca="1">_xll.RiskOutput(,$L$25,3)+tpc_ab</f>
        <v>67792131.720927015</v>
      </c>
      <c r="M32" s="4" t="str">
        <f>CURRENCY_NAME</f>
        <v>$M(2015)</v>
      </c>
    </row>
    <row r="33" spans="1:24" s="4" customFormat="1" ht="13.5" thickBot="1" x14ac:dyDescent="0.25">
      <c r="A33" s="5" t="s">
        <v>107</v>
      </c>
      <c r="B33" s="5"/>
      <c r="L33" s="40">
        <f ca="1">_xll.RiskOutput(,$L$25,2)+tac_ab</f>
        <v>0</v>
      </c>
      <c r="M33" s="4" t="str">
        <f>CURRENCY_NAME</f>
        <v>$M(2015)</v>
      </c>
    </row>
    <row r="34" spans="1:24" s="4" customFormat="1" ht="14.25" thickTop="1" thickBot="1" x14ac:dyDescent="0.25">
      <c r="A34" s="5" t="s">
        <v>595</v>
      </c>
      <c r="L34" s="78">
        <f ca="1">_xll.RiskOutput(,$L$25,4)+te_a-te_b</f>
        <v>-294248353.70767009</v>
      </c>
      <c r="M34" s="4" t="str">
        <f>CURRENCY_NAME</f>
        <v>$M(2015)</v>
      </c>
      <c r="O34" s="58"/>
      <c r="T34" s="58"/>
      <c r="X34" s="58"/>
    </row>
    <row r="35" spans="1:24" s="4" customFormat="1" ht="13.5" thickTop="1" x14ac:dyDescent="0.2">
      <c r="A35" s="5"/>
      <c r="O35" s="58"/>
      <c r="P35" s="51"/>
      <c r="Q35" s="51"/>
      <c r="R35" s="51"/>
      <c r="T35" s="58"/>
      <c r="X35" s="58"/>
    </row>
    <row r="36" spans="1:24" x14ac:dyDescent="0.2">
      <c r="J36" s="4" t="s">
        <v>596</v>
      </c>
      <c r="K36" s="4"/>
      <c r="L36" s="222">
        <f ca="1" xml:space="preserve"> _xll.RiskOutput() + L31/10^6</f>
        <v>-362.04048542859709</v>
      </c>
      <c r="M36" s="3" t="s">
        <v>493</v>
      </c>
    </row>
    <row r="37" spans="1:24" x14ac:dyDescent="0.2">
      <c r="J37" t="s">
        <v>594</v>
      </c>
      <c r="L37" s="222">
        <f ca="1" xml:space="preserve"> _xll.RiskOutput() + L32/10^6</f>
        <v>67.792131720927017</v>
      </c>
      <c r="M37" s="3" t="s">
        <v>493</v>
      </c>
    </row>
    <row r="38" spans="1:24" x14ac:dyDescent="0.2">
      <c r="J38" s="3" t="s">
        <v>107</v>
      </c>
      <c r="L38" s="222">
        <f ca="1" xml:space="preserve"> _xll.RiskOutput() + L33/10^6</f>
        <v>0</v>
      </c>
      <c r="M38" s="3" t="s">
        <v>493</v>
      </c>
    </row>
    <row r="39" spans="1:24" x14ac:dyDescent="0.2">
      <c r="J39" s="3" t="s">
        <v>595</v>
      </c>
      <c r="L39" s="222">
        <f ca="1" xml:space="preserve"> _xll.RiskOutput() + L34/10^6</f>
        <v>-294.24835370767011</v>
      </c>
      <c r="M39" s="3" t="s">
        <v>493</v>
      </c>
    </row>
  </sheetData>
  <phoneticPr fontId="0" type="noConversion"/>
  <conditionalFormatting sqref="L9 B10:L10 L11:L12 L20 B21:L21 L22:L23 L31:L34 L36:L39">
    <cfRule type="expression" dxfId="10" priority="1" stopIfTrue="1">
      <formula>RiskIsOutput</formula>
    </cfRule>
  </conditionalFormatting>
  <pageMargins left="0.75" right="0.75" top="1" bottom="1" header="0.5" footer="0.5"/>
  <pageSetup paperSize="9" orientation="portrait" horizontalDpi="360" verticalDpi="36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AP254"/>
  <sheetViews>
    <sheetView workbookViewId="0">
      <selection activeCell="D12" sqref="D12"/>
    </sheetView>
  </sheetViews>
  <sheetFormatPr defaultRowHeight="12.75" x14ac:dyDescent="0.2"/>
  <cols>
    <col min="1" max="1" width="33.5703125" customWidth="1"/>
    <col min="2" max="2" width="8.5703125" bestFit="1" customWidth="1"/>
    <col min="3" max="3" width="9.42578125" bestFit="1" customWidth="1"/>
    <col min="4" max="4" width="10" bestFit="1" customWidth="1"/>
    <col min="5" max="13" width="10.85546875" bestFit="1" customWidth="1"/>
    <col min="14" max="14" width="11.5703125" bestFit="1" customWidth="1"/>
    <col min="15" max="24" width="2.140625" customWidth="1"/>
    <col min="26" max="26" width="27.5703125" customWidth="1"/>
  </cols>
  <sheetData>
    <row r="1" spans="1:9" x14ac:dyDescent="0.2">
      <c r="A1" s="2" t="str">
        <f>MODEL_NAME</f>
        <v>PAGE-ICE Nonlinear Arctic Feedbacks</v>
      </c>
      <c r="B1" t="s">
        <v>37</v>
      </c>
      <c r="C1" s="51" t="str">
        <f>VERSION</f>
        <v>6.22</v>
      </c>
    </row>
    <row r="2" spans="1:9" x14ac:dyDescent="0.2">
      <c r="A2" s="2"/>
      <c r="C2" s="51"/>
    </row>
    <row r="3" spans="1:9" x14ac:dyDescent="0.2">
      <c r="A3" s="58" t="s">
        <v>549</v>
      </c>
      <c r="B3" s="14">
        <f xml:space="preserve"> IF(EXPERIMENT = EXPERIMENT_LANDPERM, 1, 0) + IF(EXPERIMENT = EXPERIMENT_BOTHFEED, 1, 0) + IF(EXPERIMENT = EXPERIMENT_SCC_LANDPERM, 1, 0) + IF(EXPERIMENT = EXPERIMENT_SCC_BOTHFEED, 1, 0) + IF(EXPERIMENT = EXPERIMENT_TWOSCEN_BOTHFEED, 1, 0)</f>
        <v>1</v>
      </c>
    </row>
    <row r="4" spans="1:9" s="3" customFormat="1" x14ac:dyDescent="0.2">
      <c r="A4" s="58" t="s">
        <v>907</v>
      </c>
      <c r="B4" s="14">
        <f>IF(EXPERIMENT = EXPERIMENT_SAF, 1, 0) + IF(EXPERIMENT = EXPERIMENT_BOTHFEED, 1, 0) + IF(EXPERIMENT = EXPERIMENT_SCC_SAF, 1, 0) + IF(EXPERIMENT = EXPERIMENT_SCC_BOTHFEED, 1, 0) + IF(EXPERIMENT = EXPERIMENT_TWOSCEN_BOTHFEED, 1, 0)</f>
        <v>1</v>
      </c>
    </row>
    <row r="5" spans="1:9" s="3" customFormat="1" x14ac:dyDescent="0.2"/>
    <row r="6" spans="1:9" s="3" customFormat="1" x14ac:dyDescent="0.2">
      <c r="A6" s="2"/>
      <c r="B6"/>
      <c r="C6"/>
      <c r="D6" t="str">
        <f>'Base data'!B$12</f>
        <v>CO2</v>
      </c>
      <c r="E6" t="str">
        <f>'Base data'!C$12</f>
        <v>CH4</v>
      </c>
      <c r="F6" t="str">
        <f>'Base data'!D$12</f>
        <v>N2O</v>
      </c>
      <c r="G6" t="str">
        <f>GLIN_NAME</f>
        <v>Lin</v>
      </c>
      <c r="H6"/>
      <c r="I6"/>
    </row>
    <row r="7" spans="1:9" s="3" customFormat="1" x14ac:dyDescent="0.2">
      <c r="A7" t="s">
        <v>59</v>
      </c>
      <c r="B7" s="3">
        <f>Y_0</f>
        <v>2015</v>
      </c>
      <c r="C7" t="s">
        <v>54</v>
      </c>
      <c r="D7" s="11">
        <f t="array" ref="D7:G7">C_0-PIC</f>
        <v>122859.58333333337</v>
      </c>
      <c r="E7" s="11">
        <v>1103</v>
      </c>
      <c r="F7" s="11">
        <v>54</v>
      </c>
      <c r="G7" s="11">
        <v>0.11</v>
      </c>
      <c r="H7" t="str">
        <f>'Base data'!$F$13</f>
        <v>ppb</v>
      </c>
      <c r="I7"/>
    </row>
    <row r="8" spans="1:9" s="3" customFormat="1" ht="13.5" thickBot="1" x14ac:dyDescent="0.25">
      <c r="A8" t="s">
        <v>60</v>
      </c>
      <c r="B8" s="3">
        <f>Y_0</f>
        <v>2015</v>
      </c>
      <c r="C8" t="s">
        <v>55</v>
      </c>
      <c r="D8" s="15">
        <f t="array" ref="D8:G8">EXC*DEN</f>
        <v>958304.75000000023</v>
      </c>
      <c r="E8" s="15">
        <v>3066.3399999999997</v>
      </c>
      <c r="F8" s="15">
        <v>421.2</v>
      </c>
      <c r="G8" s="15">
        <v>11000</v>
      </c>
      <c r="H8" t="str">
        <f>'Base data'!$F$20</f>
        <v>Mtonnes</v>
      </c>
      <c r="I8"/>
    </row>
    <row r="9" spans="1:9" s="3" customFormat="1" ht="14.25" thickTop="1" thickBot="1" x14ac:dyDescent="0.25">
      <c r="A9" s="3" t="s">
        <v>623</v>
      </c>
      <c r="C9"/>
      <c r="D9" s="15">
        <f ca="1">RE_CO2_0/(1+RT_G_0*(CCF/100))</f>
        <v>958304.75000000023</v>
      </c>
      <c r="E9"/>
      <c r="F9"/>
      <c r="G9"/>
      <c r="H9" s="3" t="s">
        <v>49</v>
      </c>
      <c r="I9"/>
    </row>
    <row r="10" spans="1:9" s="3" customFormat="1" ht="13.5" thickTop="1" x14ac:dyDescent="0.2"/>
    <row r="11" spans="1:9" s="3" customFormat="1" x14ac:dyDescent="0.2">
      <c r="A11" s="3" t="s">
        <v>754</v>
      </c>
    </row>
    <row r="12" spans="1:9" s="3" customFormat="1" x14ac:dyDescent="0.2">
      <c r="A12" s="103" t="s">
        <v>600</v>
      </c>
      <c r="B12" s="103"/>
      <c r="D12" s="203">
        <f ca="1" xml:space="preserve"> _xll.RiskOutput() + 100 * MAX((1- PERCENT_CO2_OCEAN_LONG/100 - PERCENT_CO2_OCEAN_SHORT/100 - PERCENT_CO2_LAND/100), 0)</f>
        <v>23.41802168612297</v>
      </c>
      <c r="E12" s="3" t="s">
        <v>38</v>
      </c>
    </row>
    <row r="13" spans="1:9" s="3" customFormat="1" x14ac:dyDescent="0.2">
      <c r="A13" s="103" t="s">
        <v>624</v>
      </c>
      <c r="B13" s="103"/>
      <c r="D13" s="103">
        <f ca="1" xml:space="preserve"> TOTAL_CE_CO2_0 / TOTAL_E_CO2_0</f>
        <v>51.973066672631845</v>
      </c>
      <c r="E13" s="3" t="s">
        <v>457</v>
      </c>
      <c r="G13" s="171" t="s">
        <v>626</v>
      </c>
    </row>
    <row r="14" spans="1:9" s="3" customFormat="1" x14ac:dyDescent="0.2">
      <c r="A14" s="103" t="s">
        <v>625</v>
      </c>
      <c r="B14" s="103"/>
      <c r="D14" s="103">
        <f ca="1" xml:space="preserve"> RE_CO2_NO_CCF_0 / ( TOTAL_E_CO2_0 * TIME_CO2_HIST * ( (PERCENT_CO2_STAY/100) + (PERCENT_CO2_OCEAN_LONG/100) / (1 + TIME_CO2_HIST/TIME_CO2_OCEAN_LONG) + (PERCENT_CO2_OCEAN_SHORT/100) / (1 + TIME_CO2_HIST/TIME_CO2_OCEAN_SHORT) + (PERCENT_CO2_LAND/100) / (1 + TIME_CO2_HIST/TIME_CO2_LAND) ) )</f>
        <v>0.82536875005357979</v>
      </c>
      <c r="G14" s="171" t="s">
        <v>626</v>
      </c>
    </row>
    <row r="15" spans="1:9" s="3" customFormat="1" x14ac:dyDescent="0.2">
      <c r="G15" s="171"/>
    </row>
    <row r="16" spans="1:9" s="3" customFormat="1" x14ac:dyDescent="0.2">
      <c r="A16" s="3" t="s">
        <v>820</v>
      </c>
    </row>
    <row r="17" spans="1:26" s="3" customFormat="1" x14ac:dyDescent="0.2">
      <c r="A17" s="103" t="s">
        <v>620</v>
      </c>
      <c r="B17" s="103"/>
      <c r="D17" s="115">
        <f ca="1" xml:space="preserve"> PERM_SIB_CE_C_CO2_0 + PERM_SIB_CE_C_CH4_0</f>
        <v>3939.6145803199997</v>
      </c>
      <c r="E17" s="3" t="s">
        <v>452</v>
      </c>
      <c r="G17" s="124" t="s">
        <v>858</v>
      </c>
    </row>
    <row r="18" spans="1:26" s="3" customFormat="1" x14ac:dyDescent="0.2">
      <c r="A18" s="103" t="s">
        <v>621</v>
      </c>
      <c r="B18" s="103"/>
      <c r="D18" s="115">
        <f ca="1" xml:space="preserve"> PERM_SIB_CE_C_CO2_0 * 44/12</f>
        <v>13801.527427361667</v>
      </c>
      <c r="E18" s="3" t="s">
        <v>455</v>
      </c>
      <c r="G18" s="124" t="s">
        <v>859</v>
      </c>
    </row>
    <row r="19" spans="1:26" x14ac:dyDescent="0.2">
      <c r="A19" s="103" t="s">
        <v>622</v>
      </c>
      <c r="B19" s="86"/>
      <c r="D19" s="115">
        <f ca="1" xml:space="preserve"> PERM_SIB_CE_C_CH4_0 * 16/12</f>
        <v>234.08219411333332</v>
      </c>
      <c r="E19" s="3" t="s">
        <v>456</v>
      </c>
      <c r="G19" s="124" t="s">
        <v>860</v>
      </c>
    </row>
    <row r="20" spans="1:26" x14ac:dyDescent="0.2">
      <c r="A20" s="3"/>
      <c r="D20" s="59"/>
      <c r="E20" s="3"/>
    </row>
    <row r="21" spans="1:26" x14ac:dyDescent="0.2">
      <c r="A21" s="3" t="s">
        <v>821</v>
      </c>
      <c r="D21" s="59"/>
      <c r="E21" s="3"/>
    </row>
    <row r="22" spans="1:26" x14ac:dyDescent="0.2">
      <c r="A22" s="103" t="s">
        <v>620</v>
      </c>
      <c r="B22" s="86"/>
      <c r="D22" s="115">
        <f ca="1" xml:space="preserve"> PERM_JUL_CE_C_CO2_0 * (1 + PERM_JUL_CH4_CO2_C_RATIO/100)</f>
        <v>21266.736749633299</v>
      </c>
      <c r="E22" s="3" t="s">
        <v>452</v>
      </c>
      <c r="G22" s="171" t="s">
        <v>857</v>
      </c>
    </row>
    <row r="23" spans="1:26" x14ac:dyDescent="0.2">
      <c r="A23" s="103" t="s">
        <v>621</v>
      </c>
      <c r="B23" s="86"/>
      <c r="D23" s="115">
        <f ca="1" xml:space="preserve"> PERM_JUL_CE_C_CO2_0 * 44/12</f>
        <v>73483.655155751461</v>
      </c>
      <c r="E23" s="3" t="s">
        <v>455</v>
      </c>
      <c r="G23" s="124" t="s">
        <v>860</v>
      </c>
    </row>
    <row r="24" spans="1:26" x14ac:dyDescent="0.2">
      <c r="A24" s="103" t="s">
        <v>622</v>
      </c>
      <c r="B24" s="86"/>
      <c r="D24" s="115">
        <f ca="1" xml:space="preserve"> PERM_JUL_CE_C_CO2_0 * (PERM_JUL_CH4_CO2_C_RATIO/100) * (16/12)</f>
        <v>1634.31985196508</v>
      </c>
      <c r="E24" s="3" t="s">
        <v>456</v>
      </c>
      <c r="G24" s="171" t="s">
        <v>857</v>
      </c>
    </row>
    <row r="26" spans="1:26" x14ac:dyDescent="0.2">
      <c r="A26" s="3" t="s">
        <v>822</v>
      </c>
      <c r="B26" s="3"/>
    </row>
    <row r="27" spans="1:26" x14ac:dyDescent="0.2">
      <c r="A27" s="103" t="s">
        <v>927</v>
      </c>
      <c r="B27" s="103"/>
      <c r="D27" s="202">
        <f ca="1" xml:space="preserve"> ((ALB_SAF_QUADR_MEAN_T2_COEFF*(RT_G_0^3)/3 + ALB_SAF_QUADR_MEAN_T1_COEFF*(RT_G_0^2)/2 + ALB_SAF_QUADR_MEAN_T0_COEFF*RT_G_0) + (ALB_SAF_QUADR_STD*RT_G_0) * ALB_EMULATOR_RAND)</f>
        <v>0.39419192471773762</v>
      </c>
      <c r="E27" s="3" t="s">
        <v>42</v>
      </c>
      <c r="F27" s="6"/>
      <c r="G27" s="171" t="s">
        <v>902</v>
      </c>
      <c r="H27" s="6"/>
      <c r="I27" s="6"/>
      <c r="J27" s="6"/>
      <c r="K27" s="6"/>
      <c r="Z27" s="124"/>
    </row>
    <row r="28" spans="1:26" x14ac:dyDescent="0.2">
      <c r="A28" s="103" t="s">
        <v>905</v>
      </c>
      <c r="B28" s="103"/>
      <c r="D28" s="202">
        <f ca="1" xml:space="preserve"> (ALB_SAF_QUADR_MEAN_T2_COEFF*(RT_G_0^2)/2 + ALB_SAF_QUADR_MEAN_T1_COEFF*RT_G_0 + ALB_SAF_QUADR_MEAN_T0_COEFF) + ALB_SAF_QUADR_STD * ALB_EMULATOR_RAND</f>
        <v>0.35551305882859996</v>
      </c>
      <c r="E28" s="3" t="s">
        <v>538</v>
      </c>
      <c r="F28" s="6"/>
      <c r="G28" s="171" t="s">
        <v>902</v>
      </c>
      <c r="H28" s="6"/>
      <c r="I28" s="6"/>
      <c r="J28" s="6"/>
      <c r="K28" s="6"/>
      <c r="Z28" s="124"/>
    </row>
    <row r="29" spans="1:26" x14ac:dyDescent="0.2">
      <c r="A29" s="103" t="s">
        <v>930</v>
      </c>
      <c r="B29" s="103"/>
      <c r="D29" s="202">
        <f ca="1" xml:space="preserve"> IF( ECS &lt;= ALB_T_SWITCH, (ALB_SAF_QUADR_MEAN_T2_COEFF*(ECS^3)/3 + ALB_SAF_QUADR_MEAN_T1_COEFF*(ECS^2)/2 + ALB_SAF_QUADR_MEAN_T0_COEFF*ECS) + (ALB_SAF_QUADR_STD*ECS) * ALB_EMULATOR_RAND, 0 ) + IF( ECS &gt; ALB_T_SWITCH, (ALB_SAF_QUADR_MEAN_T2_COEFF*( ALB_T_SWITCH^3)/3 + ALB_SAF_QUADR_MEAN_T1_COEFF*( ALB_T_SWITCH^2)/2 + ALB_SAF_QUADR_MEAN_T0_COEFF*ALB_T_SWITCH + ALB_SAF_LIN_MEAN*(ECS - ALB_T_SWITCH)) + (ALB_SAF_QUADR_STD*ALB_T_SWITCH + ALB_SAF_LIN_STD*(ECS - ALB_T_SWITCH)) * ALB_EMULATOR_RAND, 0 )</f>
        <v>0.9811823507605284</v>
      </c>
      <c r="E29" s="3" t="s">
        <v>42</v>
      </c>
      <c r="G29" s="171" t="s">
        <v>902</v>
      </c>
      <c r="Z29" s="124"/>
    </row>
    <row r="30" spans="1:26" x14ac:dyDescent="0.2">
      <c r="A30" s="103" t="s">
        <v>903</v>
      </c>
      <c r="B30" s="103"/>
      <c r="D30" s="202">
        <f ca="1">ALB_FSAF_ECS / ECS</f>
        <v>0.34959047149395317</v>
      </c>
      <c r="E30" s="3" t="s">
        <v>538</v>
      </c>
      <c r="G30" s="171" t="s">
        <v>902</v>
      </c>
      <c r="O30" s="1"/>
      <c r="Z30" s="124"/>
    </row>
    <row r="31" spans="1:26" x14ac:dyDescent="0.2">
      <c r="A31" s="103" t="s">
        <v>937</v>
      </c>
      <c r="B31" s="103"/>
      <c r="D31" s="202">
        <f ca="1" xml:space="preserve"> (ALB_SAF_QUADR_MEAN_T2_COEFF*(ALB_T_SWITCH^3)/3 + ALB_SAF_QUADR_MEAN_T1_COEFF*(ALB_T_SWITCH^2)/2 + ALB_SAF_QUADR_MEAN_T0_COEFF*ALB_T_SWITCH) + (ALB_SAF_QUADR_STD*ALB_T_SWITCH) * ALB_EMULATOR_RAND</f>
        <v>2.6647781839215652</v>
      </c>
      <c r="E31" s="3" t="s">
        <v>42</v>
      </c>
      <c r="G31" s="171" t="s">
        <v>938</v>
      </c>
      <c r="O31" s="1"/>
      <c r="Z31" s="124"/>
    </row>
    <row r="32" spans="1:26" x14ac:dyDescent="0.2">
      <c r="A32" s="3"/>
      <c r="B32" s="3"/>
      <c r="D32" s="6"/>
      <c r="E32" s="3"/>
      <c r="G32" s="171"/>
      <c r="O32" s="1"/>
      <c r="Z32" s="124"/>
    </row>
    <row r="33" spans="1:39" x14ac:dyDescent="0.2">
      <c r="O33" s="1"/>
    </row>
    <row r="34" spans="1:39" x14ac:dyDescent="0.2">
      <c r="C34">
        <f>Y_0</f>
        <v>2015</v>
      </c>
      <c r="D34">
        <f t="array" ref="D34:M34">Y</f>
        <v>2020</v>
      </c>
      <c r="E34">
        <v>2025</v>
      </c>
      <c r="F34">
        <v>2030</v>
      </c>
      <c r="G34">
        <v>2040</v>
      </c>
      <c r="H34">
        <v>2050</v>
      </c>
      <c r="I34">
        <v>2060</v>
      </c>
      <c r="J34">
        <v>2070</v>
      </c>
      <c r="K34">
        <v>2080</v>
      </c>
      <c r="L34">
        <v>2090</v>
      </c>
      <c r="M34">
        <v>2100</v>
      </c>
      <c r="O34" s="1"/>
    </row>
    <row r="35" spans="1:39" x14ac:dyDescent="0.2">
      <c r="A35" s="4" t="s">
        <v>57</v>
      </c>
      <c r="B35" s="4"/>
      <c r="C35" s="4"/>
      <c r="D35" s="14">
        <f>Y_1-Y_0</f>
        <v>5</v>
      </c>
      <c r="E35" s="14">
        <f t="array" ref="E35:M35">Y_NOT_1-Y</f>
        <v>5</v>
      </c>
      <c r="F35" s="14">
        <v>5</v>
      </c>
      <c r="G35" s="14">
        <v>10</v>
      </c>
      <c r="H35" s="14">
        <v>10</v>
      </c>
      <c r="I35" s="14">
        <v>10</v>
      </c>
      <c r="J35" s="14">
        <v>10</v>
      </c>
      <c r="K35" s="14">
        <v>10</v>
      </c>
      <c r="L35" s="14">
        <v>10</v>
      </c>
      <c r="M35" s="14">
        <v>10</v>
      </c>
      <c r="N35" s="4" t="s">
        <v>39</v>
      </c>
      <c r="O35" s="1"/>
    </row>
    <row r="36" spans="1:39" x14ac:dyDescent="0.2">
      <c r="A36" s="4"/>
      <c r="B36" s="4"/>
      <c r="C36" s="4"/>
      <c r="D36" s="4"/>
      <c r="E36" s="4"/>
      <c r="F36" s="4"/>
      <c r="G36" s="4"/>
      <c r="H36" s="4"/>
      <c r="I36" s="4"/>
      <c r="J36" s="4"/>
      <c r="K36" s="4"/>
      <c r="L36" s="4"/>
      <c r="M36" s="4"/>
      <c r="N36" s="4"/>
      <c r="O36" s="1"/>
    </row>
    <row r="37" spans="1:39" x14ac:dyDescent="0.2">
      <c r="A37" s="3" t="s">
        <v>823</v>
      </c>
      <c r="O37" s="1"/>
    </row>
    <row r="38" spans="1:39" x14ac:dyDescent="0.2">
      <c r="A38" s="116" t="s">
        <v>506</v>
      </c>
      <c r="B38" s="116"/>
      <c r="C38" s="113">
        <f ca="1" xml:space="preserve"> RT_G_0 * PERM_SIB_AF</f>
        <v>2.0570871038496863</v>
      </c>
      <c r="D38" s="113">
        <f t="array" ref="D38:M38" ca="1" xml:space="preserve"> rt_g * PERM_SIB_AF</f>
        <v>2.3517653285020685</v>
      </c>
      <c r="E38" s="113">
        <f ca="1"/>
        <v>2.689043362951983</v>
      </c>
      <c r="F38" s="113">
        <f ca="1"/>
        <v>3.0310815927642953</v>
      </c>
      <c r="G38" s="113">
        <f ca="1"/>
        <v>3.8050991116514958</v>
      </c>
      <c r="H38" s="113">
        <f ca="1"/>
        <v>4.6964447554757127</v>
      </c>
      <c r="I38" s="113">
        <f ca="1"/>
        <v>4.9620629064697077</v>
      </c>
      <c r="J38" s="113">
        <f ca="1"/>
        <v>5.09552843128776</v>
      </c>
      <c r="K38" s="113">
        <f ca="1"/>
        <v>4.8515731078886022</v>
      </c>
      <c r="L38" s="113">
        <f ca="1"/>
        <v>4.6840659968500926</v>
      </c>
      <c r="M38" s="113">
        <f ca="1"/>
        <v>4.4691444891364815</v>
      </c>
      <c r="N38" s="4" t="s">
        <v>41</v>
      </c>
      <c r="O38" s="1"/>
      <c r="P38" s="1"/>
      <c r="Q38" s="1"/>
      <c r="R38" s="1"/>
      <c r="S38" s="1"/>
      <c r="T38" s="1"/>
      <c r="U38" s="1"/>
      <c r="V38" s="1"/>
      <c r="W38" s="1"/>
      <c r="X38" s="1"/>
      <c r="Z38" s="124" t="s">
        <v>832</v>
      </c>
    </row>
    <row r="39" spans="1:39" x14ac:dyDescent="0.2">
      <c r="A39" s="103" t="s">
        <v>742</v>
      </c>
      <c r="B39" s="103" t="s">
        <v>826</v>
      </c>
      <c r="C39" s="113">
        <f ca="1" xml:space="preserve"> IF(1 + PERM_SIB_SENS_SLOPE_VS_T_CO2 * (PERM_SIB_TEMP_0 - 0.5*PERM_SIB_LIMIT_T) /PERM_SIB_LIMIT_T &lt;=0, 0.000001, 1 + PERM_SIB_SENS_SLOPE_VS_T_CO2 * (PERM_SIB_TEMP_0 - 0.5*PERM_SIB_LIMIT_T) /PERM_SIB_LIMIT_T)</f>
        <v>0.43158071262698483</v>
      </c>
      <c r="D39" s="113">
        <f t="array" ref="D39:M39" ca="1" xml:space="preserve"> IF(1 + PERM_SIB_SENS_SLOPE_VS_T_CO2 * (perm_sib_temp - 0.5*PERM_SIB_LIMIT_T) /PERM_SIB_LIMIT_T &lt;= 0, 0.000001, 1 + PERM_SIB_SENS_SLOPE_VS_T_CO2 * (perm_sib_temp - 0.5*PERM_SIB_LIMIT_T) /PERM_SIB_LIMIT_T)</f>
        <v>0.45009682871713896</v>
      </c>
      <c r="E39" s="113">
        <f ca="1"/>
        <v>0.47128970527902492</v>
      </c>
      <c r="F39" s="113">
        <f ca="1"/>
        <v>0.49278168887552776</v>
      </c>
      <c r="G39" s="113">
        <f ca="1"/>
        <v>0.54141710553189926</v>
      </c>
      <c r="H39" s="113">
        <f ca="1"/>
        <v>0.59742483883819186</v>
      </c>
      <c r="I39" s="113">
        <f ca="1"/>
        <v>0.61411496422923051</v>
      </c>
      <c r="J39" s="113">
        <f ca="1"/>
        <v>0.62250127493976781</v>
      </c>
      <c r="K39" s="113">
        <f ca="1"/>
        <v>0.60717233404432669</v>
      </c>
      <c r="L39" s="113">
        <f ca="1"/>
        <v>0.59664701912642193</v>
      </c>
      <c r="M39" s="113">
        <f ca="1"/>
        <v>0.58314241900949582</v>
      </c>
      <c r="N39" s="4" t="s">
        <v>504</v>
      </c>
      <c r="X39" s="1"/>
      <c r="Z39" s="124" t="s">
        <v>836</v>
      </c>
    </row>
    <row r="40" spans="1:39" x14ac:dyDescent="0.2">
      <c r="A40" s="103" t="s">
        <v>741</v>
      </c>
      <c r="B40" s="103" t="s">
        <v>826</v>
      </c>
      <c r="C40" s="113">
        <f ca="1">IF(1 + PERM_SIB_LAG_SLOPE_VS_T_CO2 * (PERM_SIB_TEMP_0 - 0.5*PERM_SIB_LIMIT_T) /PERM_SIB_LIMIT_T &lt;=0, 0.000001, 1 + PERM_SIB_LAG_SLOPE_VS_T_CO2 * (PERM_SIB_TEMP_0 - 0.5*PERM_SIB_LIMIT_T) /PERM_SIB_LIMIT_T)</f>
        <v>0.6622068315773173</v>
      </c>
      <c r="D40" s="113">
        <f t="array" ref="D40:M40" ca="1" xml:space="preserve"> IF(1 + PERM_SIB_LAG_SLOPE_VS_T_CO2 * (perm_sib_temp - 0.5*PERM_SIB_LIMIT_T) /PERM_SIB_LIMIT_T &lt;= 0, 0.000001, 1 + PERM_SIB_LAG_SLOPE_VS_T_CO2 * (perm_sib_temp - 0.5*PERM_SIB_LIMIT_T) /PERM_SIB_LIMIT_T)</f>
        <v>0.6732103595361969</v>
      </c>
      <c r="E40" s="113">
        <f ca="1"/>
        <v>0.68580459952920481</v>
      </c>
      <c r="F40" s="113">
        <f ca="1"/>
        <v>0.69857658914324983</v>
      </c>
      <c r="G40" s="113">
        <f ca="1"/>
        <v>0.72747904170751687</v>
      </c>
      <c r="H40" s="113">
        <f ca="1"/>
        <v>0.76076262322907406</v>
      </c>
      <c r="I40" s="113">
        <f ca="1"/>
        <v>0.77068102406882444</v>
      </c>
      <c r="J40" s="113">
        <f ca="1"/>
        <v>0.77566473684778658</v>
      </c>
      <c r="K40" s="113">
        <f ca="1"/>
        <v>0.76655524385791007</v>
      </c>
      <c r="L40" s="113">
        <f ca="1"/>
        <v>0.76030039017200335</v>
      </c>
      <c r="M40" s="113">
        <f ca="1"/>
        <v>0.75227504380689258</v>
      </c>
      <c r="N40" s="4" t="s">
        <v>504</v>
      </c>
      <c r="X40" s="1"/>
      <c r="Z40" s="124" t="s">
        <v>836</v>
      </c>
    </row>
    <row r="41" spans="1:39" x14ac:dyDescent="0.2">
      <c r="A41" s="103" t="s">
        <v>743</v>
      </c>
      <c r="B41" s="103" t="s">
        <v>826</v>
      </c>
      <c r="C41" s="113">
        <f ca="1" xml:space="preserve"> IF(1 + PERM_SIB_POW_SLOPE_VS_T_CO2 * (PERM_SIB_TEMP_0 - 0.5*PERM_SIB_LIMIT_T) /PERM_SIB_LIMIT_T &lt;=0, 0.000001, 1 + PERM_SIB_POW_SLOPE_VS_T_CO2 * (PERM_SIB_TEMP_0 - 0.5*PERM_SIB_LIMIT_T) /PERM_SIB_LIMIT_T)</f>
        <v>1.013584473194411</v>
      </c>
      <c r="D41" s="113">
        <f t="array" ref="D41:M41" ca="1" xml:space="preserve"> IF(1 + PERM_SIB_POW_SLOPE_VS_T_CO2 * (perm_sib_temp - 0.5*PERM_SIB_LIMIT_T) /PERM_SIB_LIMIT_T &lt;= 0, 0.000001, 1 + PERM_SIB_POW_SLOPE_VS_T_CO2 * (perm_sib_temp - 0.5*PERM_SIB_LIMIT_T) /PERM_SIB_LIMIT_T)</f>
        <v>1.0131419623784008</v>
      </c>
      <c r="E41" s="113">
        <f ca="1"/>
        <v>1.0126354805084807</v>
      </c>
      <c r="F41" s="113">
        <f ca="1"/>
        <v>1.012121850373918</v>
      </c>
      <c r="G41" s="113">
        <f ca="1"/>
        <v>1.0109595278972812</v>
      </c>
      <c r="H41" s="113">
        <f ca="1"/>
        <v>1.0096210167512305</v>
      </c>
      <c r="I41" s="113">
        <f ca="1"/>
        <v>1.0092221447107799</v>
      </c>
      <c r="J41" s="113">
        <f ca="1"/>
        <v>1.0090217229172587</v>
      </c>
      <c r="K41" s="113">
        <f ca="1"/>
        <v>1.0093880644389464</v>
      </c>
      <c r="L41" s="113">
        <f ca="1"/>
        <v>1.009639605619095</v>
      </c>
      <c r="M41" s="113">
        <f ca="1"/>
        <v>1.0099623477961548</v>
      </c>
      <c r="N41" s="4" t="s">
        <v>504</v>
      </c>
      <c r="X41" s="1"/>
      <c r="Z41" s="124" t="s">
        <v>836</v>
      </c>
    </row>
    <row r="42" spans="1:39" x14ac:dyDescent="0.2">
      <c r="A42" s="118" t="s">
        <v>744</v>
      </c>
      <c r="B42" s="116"/>
      <c r="C42" s="115">
        <f ca="1" xml:space="preserve"> (PERM_SIB_SENS_C_CO2 * PERM_SIB_SENS_C_CO2_CORRECT_0) * PERM_SIB_TEMP_0</f>
        <v>28356.073401382724</v>
      </c>
      <c r="D42" s="115">
        <f t="array" ref="D42:M42" ca="1" xml:space="preserve"> IF((PERM_SIB_SENS_C_CO2 * perm_sib_sens_c_co2_correct) * perm_sib_temp &lt; PERM_SIB_LIMIT_C, (PERM_SIB_SENS_C_CO2 * perm_sib_sens_c_co2_correct) * perm_sib_temp, PERM_SIB_LIMIT_C)</f>
        <v>33808.921646139177</v>
      </c>
      <c r="E42" s="115">
        <f ca="1"/>
        <v>40477.82247973606</v>
      </c>
      <c r="F42" s="115">
        <f ca="1"/>
        <v>47707.160824285311</v>
      </c>
      <c r="G42" s="115">
        <f ca="1"/>
        <v>65800.520443416739</v>
      </c>
      <c r="H42" s="115">
        <f ca="1"/>
        <v>89615.653414056927</v>
      </c>
      <c r="I42" s="115">
        <f ca="1"/>
        <v>97329.23913097792</v>
      </c>
      <c r="J42" s="115">
        <f ca="1"/>
        <v>101311.99255474003</v>
      </c>
      <c r="K42" s="115">
        <f ca="1"/>
        <v>94086.201920971173</v>
      </c>
      <c r="L42" s="115">
        <f ca="1"/>
        <v>89263.079027745669</v>
      </c>
      <c r="M42" s="115">
        <f ca="1"/>
        <v>83239.681998140455</v>
      </c>
      <c r="N42" s="58" t="s">
        <v>498</v>
      </c>
      <c r="O42" s="1"/>
      <c r="X42" s="1"/>
      <c r="Z42" s="124" t="s">
        <v>831</v>
      </c>
    </row>
    <row r="43" spans="1:39" x14ac:dyDescent="0.2">
      <c r="A43" s="113" t="s">
        <v>745</v>
      </c>
      <c r="B43" s="116"/>
      <c r="C43" s="115">
        <f ca="1" xml:space="preserve"> PERM_SIB_CE_C_CO2_0</f>
        <v>3764.0529347349998</v>
      </c>
      <c r="D43" s="115">
        <f ca="1" xml:space="preserve"> IF(perm_sib_equilib_c_co2_1 &lt;  PERM_SIB_CE_C_CO2_0, PERM_SIB_CE_C_CO2_0, IF( ((perm_sib_equilib_c_co2_1 - PERM_SIB_CE_C_CO2_0)/PERM_SIB_LIMIT_C)^(1-(1+PERM_SIB_POW_C_CO2)*perm_sib_pow_c_co2_correct_1) &lt; (1-(1+PERM_SIB_POW_C_CO2)*perm_sib_pow_c_co2_correct_1) * YP_1 / (PERM_SIB_LAG_C_CO2*perm_sib_lag_c_co2_correct_1), perm_sib_equilib_c_co2_1, ( perm_sib_equilib_c_co2_1 - PERM_SIB_LIMIT_C * ( ( ((perm_sib_equilib_c_co2_1 - PERM_SIB_CE_C_CO2_0)/PERM_SIB_LIMIT_C)^(1-(1+PERM_SIB_POW_C_CO2)*perm_sib_pow_c_co2_correct_1) - (1-(1+PERM_SIB_POW_C_CO2)*perm_sib_pow_c_co2_correct_1) * YP_1 / (PERM_SIB_LAG_C_CO2*perm_sib_lag_c_co2_correct_1) )^( 1/(1-(1+PERM_SIB_POW_C_CO2)*perm_sib_pow_c_co2_correct_1) ) ) ) ) )</f>
        <v>5325.638821896162</v>
      </c>
      <c r="E43" s="115">
        <f t="array" ref="E43:M43" ca="1" xml:space="preserve"> IF(perm_sib_equilib_c_co2_not_1 &lt;  perm_sib_ce_c_co2, perm_sib_ce_c_co2, IF( ((perm_sib_equilib_c_co2_not_1 - perm_sib_ce_c_co2)/PERM_SIB_LIMIT_C)^(1-(1+PERM_SIB_POW_C_CO2)*perm_sib_pow_c_co2_correct_not_1) &lt; (1-(1+PERM_SIB_POW_C_CO2)*perm_sib_pow_c_co2_correct_not_1) * YP_NOT_1 / (PERM_SIB_LAG_C_CO2*perm_sib_lag_c_co2_correct_not_1), perm_sib_equilib_c_co2_not_1, ( perm_sib_equilib_c_co2_not_1 - PERM_SIB_LIMIT_C * ( ( ((perm_sib_equilib_c_co2_not_1 - perm_sib_ce_c_co2)/PERM_SIB_LIMIT_C)^(1-(1+PERM_SIB_POW_C_CO2)*perm_sib_pow_c_co2_correct_not_1) - (1-(1+PERM_SIB_POW_C_CO2)*perm_sib_pow_c_co2_correct_not_1) * YP_NOT_1 / (PERM_SIB_LAG_C_CO2*perm_sib_lag_c_co2_correct_not_1) )^( 1/(1-(1+PERM_SIB_POW_C_CO2)*perm_sib_pow_c_co2_correct_not_1) ) ) ) ) )</f>
        <v>7200.0616941826665</v>
      </c>
      <c r="F43" s="115">
        <f ca="1"/>
        <v>9406.8968385747212</v>
      </c>
      <c r="G43" s="115">
        <f ca="1"/>
        <v>15644.829501331042</v>
      </c>
      <c r="H43" s="115">
        <f ca="1"/>
        <v>24079.426519155983</v>
      </c>
      <c r="I43" s="115">
        <f ca="1"/>
        <v>32319.984157889732</v>
      </c>
      <c r="J43" s="115">
        <f ca="1"/>
        <v>39924.056107874741</v>
      </c>
      <c r="K43" s="115">
        <f ca="1"/>
        <v>45597.501120723486</v>
      </c>
      <c r="L43" s="115">
        <f ca="1"/>
        <v>49958.947075094336</v>
      </c>
      <c r="M43" s="115">
        <f ca="1"/>
        <v>53089.112043785208</v>
      </c>
      <c r="N43" s="58" t="s">
        <v>498</v>
      </c>
      <c r="O43" s="1"/>
      <c r="P43" s="1"/>
      <c r="Q43" s="1"/>
      <c r="R43" s="1"/>
      <c r="S43" s="1"/>
      <c r="T43" s="1"/>
      <c r="U43" s="1"/>
      <c r="V43" s="1"/>
      <c r="W43" s="1"/>
      <c r="X43" s="1"/>
      <c r="Z43" s="124" t="s">
        <v>839</v>
      </c>
    </row>
    <row r="44" spans="1:39" s="4" customFormat="1" x14ac:dyDescent="0.2">
      <c r="A44" s="113" t="s">
        <v>746</v>
      </c>
      <c r="B44" s="115"/>
      <c r="C44" s="115">
        <f ca="1" xml:space="preserve"> PERM_SIB_CE_CO2_0</f>
        <v>13801.527427361667</v>
      </c>
      <c r="D44" s="115">
        <f t="array" ref="D44:M44" ca="1" xml:space="preserve"> perm_sib_ce_c_co2 * (44/12)</f>
        <v>19527.342346952591</v>
      </c>
      <c r="E44" s="115">
        <f ca="1"/>
        <v>26400.226212003108</v>
      </c>
      <c r="F44" s="115">
        <f ca="1"/>
        <v>34491.955074773978</v>
      </c>
      <c r="G44" s="115">
        <f ca="1"/>
        <v>57364.374838213815</v>
      </c>
      <c r="H44" s="115">
        <f ca="1"/>
        <v>88291.230570238593</v>
      </c>
      <c r="I44" s="115">
        <f ca="1"/>
        <v>118506.60857892901</v>
      </c>
      <c r="J44" s="115">
        <f ca="1"/>
        <v>146388.20572887405</v>
      </c>
      <c r="K44" s="115">
        <f ca="1"/>
        <v>167190.83744265279</v>
      </c>
      <c r="L44" s="115">
        <f ca="1"/>
        <v>183182.80594201255</v>
      </c>
      <c r="M44" s="115">
        <f ca="1"/>
        <v>194660.0774938791</v>
      </c>
      <c r="N44" s="3" t="s">
        <v>455</v>
      </c>
      <c r="O44" s="1"/>
      <c r="P44" s="1"/>
      <c r="Q44" s="1"/>
      <c r="R44" s="1"/>
      <c r="S44" s="1"/>
      <c r="T44" s="1"/>
      <c r="U44" s="1"/>
      <c r="V44" s="1"/>
      <c r="W44" s="1"/>
      <c r="X44" s="1"/>
      <c r="Z44" s="171"/>
    </row>
    <row r="45" spans="1:39" s="4" customFormat="1" x14ac:dyDescent="0.2">
      <c r="A45" s="113" t="s">
        <v>605</v>
      </c>
      <c r="B45" s="115"/>
      <c r="C45" s="115">
        <f ca="1" xml:space="preserve"> (44/12) * (PERM_SIB_LIMIT_C / (PERM_SIB_LAG_C_CO2 * PERM_SIB_LAG_C_CO2_CORRECT_0)) * ( IF(PERM_SIB_EQUILIB_C_CO2_0 &gt;PERM_SIB_CE_C_CO2_0, ((PERM_SIB_EQUILIB_C_CO2_0 - PERM_SIB_CE_C_CO2_0)/PERM_SIB_LIMIT_C)^((1 + PERM_SIB_POW_C_CO2)*PERM_SIB_POW_C_CO2_CORRECT_0), 0) )</f>
        <v>931.24302934228342</v>
      </c>
      <c r="D45" s="115">
        <f t="array" ref="D45:M45" ca="1" xml:space="preserve"> (44/12) * (PERM_SIB_LIMIT_C / (PERM_SIB_LAG_C_CO2 * perm_sib_lag_c_co2_correct)) * ( IF(perm_sib_equilib_c_co2 &gt; perm_sib_ce_c_co2, ((perm_sib_equilib_c_co2 - perm_sib_ce_c_co2)/PERM_SIB_LIMIT_C)^((1 + PERM_SIB_POW_C_CO2)*perm_sib_pow_c_co2_correct), 0) )</f>
        <v>1106.7155901668407</v>
      </c>
      <c r="E45" s="115">
        <f ca="1"/>
        <v>1327.2374176363198</v>
      </c>
      <c r="F45" s="115">
        <f ca="1"/>
        <v>1561.4134765329793</v>
      </c>
      <c r="G45" s="115">
        <f ca="1"/>
        <v>2121.6966297598433</v>
      </c>
      <c r="H45" s="115">
        <f ca="1"/>
        <v>2862.02465997127</v>
      </c>
      <c r="I45" s="115">
        <f ca="1"/>
        <v>2799.3726417178977</v>
      </c>
      <c r="J45" s="115">
        <f ca="1"/>
        <v>2587.4715932058502</v>
      </c>
      <c r="K45" s="115">
        <f ca="1"/>
        <v>1938.1099086184192</v>
      </c>
      <c r="L45" s="115">
        <f ca="1"/>
        <v>1495.1005671239479</v>
      </c>
      <c r="M45" s="115">
        <f ca="1"/>
        <v>1077.4631258500303</v>
      </c>
      <c r="N45" s="58" t="s">
        <v>585</v>
      </c>
      <c r="X45" s="1"/>
      <c r="Z45" s="124" t="s">
        <v>837</v>
      </c>
      <c r="AM45"/>
    </row>
    <row r="46" spans="1:39" s="4" customFormat="1" x14ac:dyDescent="0.2">
      <c r="A46" s="57"/>
      <c r="B46" s="59"/>
      <c r="C46" s="59"/>
      <c r="D46" s="59"/>
      <c r="E46" s="59"/>
      <c r="F46" s="59"/>
      <c r="G46" s="59"/>
      <c r="H46" s="59"/>
      <c r="I46" s="59"/>
      <c r="J46" s="59"/>
      <c r="K46" s="59"/>
      <c r="L46" s="59"/>
      <c r="M46" s="59"/>
      <c r="X46" s="1"/>
      <c r="Z46" s="124"/>
      <c r="AM46"/>
    </row>
    <row r="47" spans="1:39" s="4" customFormat="1" x14ac:dyDescent="0.2">
      <c r="A47" s="103" t="s">
        <v>748</v>
      </c>
      <c r="B47" s="103" t="s">
        <v>828</v>
      </c>
      <c r="C47" s="113">
        <f ca="1" xml:space="preserve"> (PERM_SIB_TEMP_0 /(0.5*PERM_SIB_LIMIT_T))^PERM_SIB_SENS_SLOPE_VS_T_CH4</f>
        <v>1.1095028061887351</v>
      </c>
      <c r="D47" s="113">
        <f t="array" ref="D47:M47" ca="1" xml:space="preserve"> (perm_sib_temp/(0.5*PERM_SIB_LIMIT_T))^PERM_SIB_SENS_SLOPE_VS_T_CH4</f>
        <v>1.1003856607431828</v>
      </c>
      <c r="E47" s="113">
        <f ca="1"/>
        <v>1.0913337506781096</v>
      </c>
      <c r="F47" s="113">
        <f ca="1"/>
        <v>1.0833096904181048</v>
      </c>
      <c r="G47" s="113">
        <f ca="1"/>
        <v>1.0682309017226375</v>
      </c>
      <c r="H47" s="113">
        <f ca="1"/>
        <v>1.054463586524917</v>
      </c>
      <c r="I47" s="113">
        <f ca="1"/>
        <v>1.0508941203762607</v>
      </c>
      <c r="J47" s="113">
        <f ca="1"/>
        <v>1.0491763902427156</v>
      </c>
      <c r="K47" s="113">
        <f ca="1"/>
        <v>1.0523536788803711</v>
      </c>
      <c r="L47" s="113">
        <f ca="1"/>
        <v>1.0546351276736692</v>
      </c>
      <c r="M47" s="113">
        <f ca="1"/>
        <v>1.0576926371570738</v>
      </c>
      <c r="N47" s="4" t="s">
        <v>504</v>
      </c>
      <c r="X47" s="1"/>
      <c r="Z47" s="124" t="s">
        <v>863</v>
      </c>
    </row>
    <row r="48" spans="1:39" s="4" customFormat="1" x14ac:dyDescent="0.2">
      <c r="A48" s="103" t="s">
        <v>844</v>
      </c>
      <c r="B48" s="103" t="s">
        <v>828</v>
      </c>
      <c r="C48" s="113">
        <f ca="1" xml:space="preserve"> (PERM_SIB_TEMP_0 /(0.5*PERM_SIB_LIMIT_T))^PERM_SIB_LAG_SLOPE_VS_T_CH4</f>
        <v>76.837793898184557</v>
      </c>
      <c r="D48" s="113">
        <f t="array" ref="D48:M48" ca="1" xml:space="preserve"> (perm_sib_temp/(0.5*PERM_SIB_LIMIT_T))^PERM_SIB_LAG_SLOPE_VS_T_CH4</f>
        <v>54.431241486244822</v>
      </c>
      <c r="E48" s="113">
        <f ca="1"/>
        <v>38.544337805662622</v>
      </c>
      <c r="F48" s="113">
        <f ca="1"/>
        <v>28.317154141812651</v>
      </c>
      <c r="G48" s="113">
        <f ca="1"/>
        <v>15.765196114798069</v>
      </c>
      <c r="H48" s="113">
        <f ca="1"/>
        <v>9.1688719487408772</v>
      </c>
      <c r="I48" s="113">
        <f ca="1"/>
        <v>7.9576723160844107</v>
      </c>
      <c r="J48" s="113">
        <f ca="1"/>
        <v>7.4319295493646642</v>
      </c>
      <c r="K48" s="113">
        <f ca="1"/>
        <v>8.4327824080648917</v>
      </c>
      <c r="L48" s="113">
        <f ca="1"/>
        <v>9.2314018615602418</v>
      </c>
      <c r="M48" s="113">
        <f ca="1"/>
        <v>10.418340953876264</v>
      </c>
      <c r="N48" s="4" t="s">
        <v>504</v>
      </c>
      <c r="X48" s="1"/>
      <c r="Z48" s="124" t="s">
        <v>863</v>
      </c>
    </row>
    <row r="49" spans="1:39" s="4" customFormat="1" x14ac:dyDescent="0.2">
      <c r="A49" s="103" t="s">
        <v>845</v>
      </c>
      <c r="B49" s="103" t="s">
        <v>826</v>
      </c>
      <c r="C49" s="113">
        <f ca="1" xml:space="preserve"> IF(1 + PERM_SIB_POW_SLOPE_VS_T_CH4*(PERM_SIB_TEMP_0 - 0.5*PERM_SIB_LIMIT_T)/PERM_SIB_LIMIT_T &lt;=0, 0.000001, 1 + PERM_SIB_POW_SLOPE_VS_T_CH4*(PERM_SIB_TEMP_0 - 0.5*PERM_SIB_LIMIT_T)/PERM_SIB_LIMIT_T)</f>
        <v>0.43000822688944507</v>
      </c>
      <c r="D49" s="113">
        <f t="array" ref="D49:M49" ca="1" xml:space="preserve"> IF(1 + PERM_SIB_POW_SLOPE_VS_T_CH4 * (perm_sib_temp - 0.5*PERM_SIB_LIMIT_T) /PERM_SIB_LIMIT_T &lt;= 0, 0.000001, 1 + PERM_SIB_POW_SLOPE_VS_T_CH4 * (perm_sib_temp - 0.5*PERM_SIB_LIMIT_T) /PERM_SIB_LIMIT_T)</f>
        <v>0.44857556630912576</v>
      </c>
      <c r="E49" s="113">
        <f ca="1"/>
        <v>0.46982707124072276</v>
      </c>
      <c r="F49" s="113">
        <f ca="1"/>
        <v>0.49137851066222615</v>
      </c>
      <c r="G49" s="113">
        <f ca="1"/>
        <v>0.54014847324399184</v>
      </c>
      <c r="H49" s="113">
        <f ca="1"/>
        <v>0.59631114739021096</v>
      </c>
      <c r="I49" s="113">
        <f ca="1"/>
        <v>0.61304744465598748</v>
      </c>
      <c r="J49" s="113">
        <f ca="1"/>
        <v>0.62145695541317325</v>
      </c>
      <c r="K49" s="113">
        <f ca="1"/>
        <v>0.60608560824921653</v>
      </c>
      <c r="L49" s="113">
        <f ca="1"/>
        <v>0.59553117590345683</v>
      </c>
      <c r="M49" s="113">
        <f ca="1"/>
        <v>0.58198921640843282</v>
      </c>
      <c r="N49" s="4" t="s">
        <v>504</v>
      </c>
      <c r="X49" s="1"/>
      <c r="Z49" s="124" t="s">
        <v>862</v>
      </c>
    </row>
    <row r="50" spans="1:39" s="4" customFormat="1" x14ac:dyDescent="0.2">
      <c r="A50" s="118" t="s">
        <v>747</v>
      </c>
      <c r="B50" s="115"/>
      <c r="C50" s="115">
        <f ca="1" xml:space="preserve"> (PERM_SIB_SENS_C_CH4 * PERM_SIB_SENS_C_CH4_CORRECT_0) * PERM_SIB_TEMP_0</f>
        <v>5236.2393192664204</v>
      </c>
      <c r="D50" s="115">
        <f t="array" ref="D50:M50" ca="1" xml:space="preserve"> IF((PERM_SIB_SENS_C_CH4 * perm_sib_sens_c_ch4_correct) * perm_sib_temp &lt; PERM_SIB_LIMIT_C, (PERM_SIB_SENS_C_CH4 * perm_sib_sens_c_ch4_correct) * perm_sib_temp, PERM_SIB_LIMIT_C)</f>
        <v>5937.1402307926146</v>
      </c>
      <c r="E50" s="115">
        <f ca="1"/>
        <v>6732.7702225453677</v>
      </c>
      <c r="F50" s="115">
        <f ca="1"/>
        <v>7533.3588619644233</v>
      </c>
      <c r="G50" s="115">
        <f ca="1"/>
        <v>9325.4438478355805</v>
      </c>
      <c r="H50" s="115">
        <f ca="1"/>
        <v>11361.592431780471</v>
      </c>
      <c r="I50" s="115">
        <f ca="1"/>
        <v>11963.537876860681</v>
      </c>
      <c r="J50" s="115">
        <f ca="1"/>
        <v>12265.242498572215</v>
      </c>
      <c r="K50" s="115">
        <f ca="1"/>
        <v>11713.392730612661</v>
      </c>
      <c r="L50" s="115">
        <f ca="1"/>
        <v>11333.489305087895</v>
      </c>
      <c r="M50" s="115">
        <f ca="1"/>
        <v>10844.81824734898</v>
      </c>
      <c r="N50" s="58" t="s">
        <v>498</v>
      </c>
      <c r="X50" s="1"/>
      <c r="Z50" s="124" t="s">
        <v>751</v>
      </c>
    </row>
    <row r="51" spans="1:39" x14ac:dyDescent="0.2">
      <c r="A51" s="113" t="s">
        <v>749</v>
      </c>
      <c r="B51" s="86"/>
      <c r="C51" s="115">
        <f ca="1">PERM_SIB_CE_C_CH4_0</f>
        <v>175.56164558499998</v>
      </c>
      <c r="D51" s="115">
        <f ca="1" xml:space="preserve"> IF(perm_sib_equilib_c_ch4_1 &lt;  PERM_SIB_CE_C_CH4_0, PERM_SIB_CE_C_CH4_0, IF( ((perm_sib_equilib_c_ch4_1 - PERM_SIB_CE_C_CH4_0)/PERM_SIB_LIMIT_C)^(1-(1+PERM_SIB_POW_C_CH4)*perm_sib_pow_c_ch4_correct_1) &lt; (1-(1+PERM_SIB_POW_C_CH4)*perm_sib_pow_c_ch4_correct_1) * YP_1 / (PERM_SIB_LAG_C_CH4*perm_sib_lag_c_ch4_correct_1), perm_sib_equilib_c_ch4_1, ( perm_sib_equilib_c_ch4_1 - PERM_SIB_LIMIT_C * ( ( ((perm_sib_equilib_c_ch4_1 - PERM_SIB_CE_C_CH4_0)/PERM_SIB_LIMIT_C)^(1-(1+PERM_SIB_POW_C_CH4)*perm_sib_pow_c_ch4_correct_1) - (1-(1+PERM_SIB_POW_C_CH4)*perm_sib_pow_c_ch4_correct_1) * YP_1 / (PERM_SIB_LAG_C_CH4*perm_sib_lag_c_ch4_correct_1) )^( 1/(1-(1+PERM_SIB_POW_C_CH4)*perm_sib_pow_c_ch4_correct_1) ) ) ) ) )</f>
        <v>194.65920657677998</v>
      </c>
      <c r="E51" s="115">
        <f t="array" ref="E51:M51" ca="1" xml:space="preserve"> IF(perm_sib_equilib_c_ch4_not_1 &lt;  perm_sib_ce_c_ch4, perm_sib_ce_c_ch4, IF( ((perm_sib_equilib_c_ch4_not_1 - perm_sib_ce_c_ch4)/PERM_SIB_LIMIT_C)^(1-(1+PERM_SIB_POW_C_CH4)*perm_sib_pow_c_ch4_correct_not_1) &lt; (1-(1+PERM_SIB_POW_C_CH4)*perm_sib_pow_c_ch4_correct_not_1) * YP_NOT_1 / (PERM_SIB_LAG_C_CH4*perm_sib_lag_c_ch4_correct_not_1), perm_sib_equilib_c_ch4_not_1, ( perm_sib_equilib_c_ch4_not_1 - PERM_SIB_LIMIT_C * ( ( ((perm_sib_equilib_c_ch4_not_1 - perm_sib_ce_c_ch4)/PERM_SIB_LIMIT_C)^(1-(1+PERM_SIB_POW_C_CH4)*perm_sib_pow_c_ch4_correct_not_1) - (1-(1+PERM_SIB_POW_C_CH4)*perm_sib_pow_c_ch4_correct_not_1) * YP_NOT_1 / (PERM_SIB_LAG_C_CH4*perm_sib_lag_c_ch4_correct_not_1) )^( 1/(1-(1+PERM_SIB_POW_C_CH4)*perm_sib_pow_c_ch4_correct_not_1) ) ) ) ) )</f>
        <v>220.37485661221581</v>
      </c>
      <c r="F51" s="115">
        <f ca="1"/>
        <v>253.62513054079136</v>
      </c>
      <c r="G51" s="115">
        <f ca="1"/>
        <v>359.39438349492229</v>
      </c>
      <c r="H51" s="115">
        <f ca="1"/>
        <v>516.37193809211385</v>
      </c>
      <c r="I51" s="115">
        <f ca="1"/>
        <v>688.02450028401654</v>
      </c>
      <c r="J51" s="115">
        <f ca="1"/>
        <v>865.96548348950091</v>
      </c>
      <c r="K51" s="115">
        <f ca="1"/>
        <v>1026.8502636820849</v>
      </c>
      <c r="L51" s="115">
        <f ca="1"/>
        <v>1175.9205331150351</v>
      </c>
      <c r="M51" s="115">
        <f ca="1"/>
        <v>1310.876501290657</v>
      </c>
      <c r="N51" s="58" t="s">
        <v>498</v>
      </c>
      <c r="O51" s="1"/>
      <c r="P51" s="1"/>
      <c r="Q51" s="1"/>
      <c r="R51" s="1"/>
      <c r="S51" s="1"/>
      <c r="T51" s="1"/>
      <c r="U51" s="1"/>
      <c r="V51" s="1"/>
      <c r="W51" s="1"/>
      <c r="X51" s="1"/>
      <c r="Z51" s="124" t="s">
        <v>864</v>
      </c>
    </row>
    <row r="52" spans="1:39" s="4" customFormat="1" x14ac:dyDescent="0.2">
      <c r="A52" s="113" t="s">
        <v>750</v>
      </c>
      <c r="B52" s="115"/>
      <c r="C52" s="115">
        <f ca="1">PERM_SIB_CE_CH4_0</f>
        <v>234.08219411333332</v>
      </c>
      <c r="D52" s="115">
        <f t="array" ref="D52:M52" ca="1" xml:space="preserve"> perm_sib_ce_c_ch4 * (16/12)</f>
        <v>259.54560876903997</v>
      </c>
      <c r="E52" s="115">
        <f ca="1"/>
        <v>293.83314214962104</v>
      </c>
      <c r="F52" s="115">
        <f ca="1"/>
        <v>338.16684072105511</v>
      </c>
      <c r="G52" s="115">
        <f ca="1"/>
        <v>479.19251132656302</v>
      </c>
      <c r="H52" s="115">
        <f ca="1"/>
        <v>688.4959174561518</v>
      </c>
      <c r="I52" s="115">
        <f ca="1"/>
        <v>917.36600037868868</v>
      </c>
      <c r="J52" s="115">
        <f ca="1"/>
        <v>1154.6206446526678</v>
      </c>
      <c r="K52" s="115">
        <f ca="1"/>
        <v>1369.1336849094464</v>
      </c>
      <c r="L52" s="115">
        <f ca="1"/>
        <v>1567.89404415338</v>
      </c>
      <c r="M52" s="115">
        <f ca="1"/>
        <v>1747.8353350542093</v>
      </c>
      <c r="N52" s="3" t="s">
        <v>456</v>
      </c>
      <c r="O52" s="1"/>
      <c r="P52" s="1"/>
      <c r="Q52" s="1"/>
      <c r="R52" s="1"/>
      <c r="S52" s="1"/>
      <c r="T52" s="1"/>
      <c r="U52" s="1"/>
      <c r="V52" s="1"/>
      <c r="W52" s="1"/>
      <c r="X52" s="1"/>
      <c r="AM52"/>
    </row>
    <row r="53" spans="1:39" s="4" customFormat="1" x14ac:dyDescent="0.2">
      <c r="A53" s="57"/>
      <c r="B53" s="59"/>
      <c r="C53" s="59"/>
      <c r="D53" s="59"/>
      <c r="E53" s="59"/>
      <c r="F53" s="59"/>
      <c r="G53" s="59"/>
      <c r="H53" s="59"/>
      <c r="I53" s="59"/>
      <c r="J53" s="59"/>
      <c r="K53" s="59"/>
      <c r="L53" s="59"/>
      <c r="M53" s="59"/>
      <c r="N53" s="3"/>
      <c r="O53" s="1"/>
      <c r="P53" s="1"/>
      <c r="Q53" s="1"/>
      <c r="R53" s="1"/>
      <c r="S53" s="1"/>
      <c r="T53" s="1"/>
      <c r="U53" s="1"/>
      <c r="V53" s="1"/>
      <c r="W53" s="1"/>
      <c r="X53" s="1"/>
      <c r="AM53"/>
    </row>
    <row r="54" spans="1:39" s="4" customFormat="1" x14ac:dyDescent="0.2">
      <c r="A54" s="3" t="s">
        <v>824</v>
      </c>
      <c r="B54"/>
      <c r="C54"/>
      <c r="D54"/>
      <c r="E54"/>
      <c r="F54"/>
      <c r="G54"/>
      <c r="H54" s="1"/>
      <c r="I54" s="1"/>
      <c r="J54" s="1"/>
      <c r="K54" s="1"/>
      <c r="L54" s="1"/>
      <c r="M54" s="1"/>
      <c r="N54"/>
      <c r="X54" s="1"/>
      <c r="AM54"/>
    </row>
    <row r="55" spans="1:39" s="4" customFormat="1" x14ac:dyDescent="0.2">
      <c r="A55" s="116" t="s">
        <v>506</v>
      </c>
      <c r="B55" s="116"/>
      <c r="C55" s="113">
        <f ca="1" xml:space="preserve"> RT_G_0 * PERM_JUL_AF</f>
        <v>2.1232650355365545</v>
      </c>
      <c r="D55" s="113">
        <f t="array" ref="D55:M55" ca="1" xml:space="preserve"> rt_g * PERM_JUL_AF</f>
        <v>2.4274232648927523</v>
      </c>
      <c r="E55" s="113">
        <f ca="1"/>
        <v>2.7755517697391499</v>
      </c>
      <c r="F55" s="113">
        <f ca="1"/>
        <v>3.1285936087639525</v>
      </c>
      <c r="G55" s="113">
        <f ca="1"/>
        <v>3.9275118128936484</v>
      </c>
      <c r="H55" s="113">
        <f ca="1"/>
        <v>4.8475326698461743</v>
      </c>
      <c r="I55" s="113">
        <f ca="1"/>
        <v>5.1216959426380635</v>
      </c>
      <c r="J55" s="113">
        <f ca="1"/>
        <v>5.2594551467891062</v>
      </c>
      <c r="K55" s="113">
        <f ca="1"/>
        <v>5.0076516099154951</v>
      </c>
      <c r="L55" s="113">
        <f ca="1"/>
        <v>4.8347556778928746</v>
      </c>
      <c r="M55" s="113">
        <f ca="1"/>
        <v>4.6129199948733692</v>
      </c>
      <c r="N55" s="4" t="s">
        <v>41</v>
      </c>
      <c r="X55" s="1"/>
      <c r="Z55" s="124" t="s">
        <v>833</v>
      </c>
      <c r="AM55"/>
    </row>
    <row r="56" spans="1:39" s="4" customFormat="1" x14ac:dyDescent="0.2">
      <c r="A56" s="103" t="s">
        <v>742</v>
      </c>
      <c r="B56" s="103" t="s">
        <v>828</v>
      </c>
      <c r="C56" s="113">
        <f ca="1" xml:space="preserve"> (PERM_JUL_TEMP_0 /(0.5*PERM_JUL_LIMIT_T))^PERM_JUL_SENS_SLOPE_VS_T_CO2</f>
        <v>1.1992880267448305</v>
      </c>
      <c r="D56" s="113">
        <f t="array" ref="D56:M56" ca="1" xml:space="preserve"> (perm_jul_temp/(0.5*PERM_JUL_LIMIT_T))^PERM_JUL_SENS_SLOPE_VS_T_CO2</f>
        <v>1.1798801431168555</v>
      </c>
      <c r="E56" s="113">
        <f ca="1"/>
        <v>1.1607659694150487</v>
      </c>
      <c r="F56" s="113">
        <f ca="1"/>
        <v>1.1439512465601667</v>
      </c>
      <c r="G56" s="113">
        <f ca="1"/>
        <v>1.1126811855833647</v>
      </c>
      <c r="H56" s="113">
        <f ca="1"/>
        <v>1.0845049752905431</v>
      </c>
      <c r="I56" s="113">
        <f ca="1"/>
        <v>1.0772580143615742</v>
      </c>
      <c r="J56" s="113">
        <f ca="1"/>
        <v>1.0737791270159507</v>
      </c>
      <c r="K56" s="113">
        <f ca="1"/>
        <v>1.0802184021153001</v>
      </c>
      <c r="L56" s="113">
        <f ca="1"/>
        <v>1.0848538540089514</v>
      </c>
      <c r="M56" s="113">
        <f ca="1"/>
        <v>1.0910814910006787</v>
      </c>
      <c r="N56" s="4" t="s">
        <v>504</v>
      </c>
      <c r="X56" s="1"/>
      <c r="Z56" s="171" t="s">
        <v>838</v>
      </c>
      <c r="AM56"/>
    </row>
    <row r="57" spans="1:39" s="4" customFormat="1" x14ac:dyDescent="0.2">
      <c r="A57" s="103" t="s">
        <v>741</v>
      </c>
      <c r="B57" s="103" t="s">
        <v>828</v>
      </c>
      <c r="C57" s="113">
        <f ca="1" xml:space="preserve"> (PERM_JUL_TEMP_0 /(0.5*PERM_JUL_LIMIT_T))^PERM_JUL_LAG_SLOPE_VS_T_CO2</f>
        <v>2.6557828629413311</v>
      </c>
      <c r="D57" s="113">
        <f t="array" ref="D57:M57" ca="1" xml:space="preserve"> (perm_jul_temp/(0.5*PERM_JUL_LIMIT_T))^PERM_JUL_LAG_SLOPE_VS_T_CO2</f>
        <v>2.4328164310699889</v>
      </c>
      <c r="E57" s="113">
        <f ca="1"/>
        <v>2.22835902930156</v>
      </c>
      <c r="F57" s="113">
        <f ca="1"/>
        <v>2.0602725750614463</v>
      </c>
      <c r="G57" s="113">
        <f ca="1"/>
        <v>1.7751304535496155</v>
      </c>
      <c r="H57" s="113">
        <f ca="1"/>
        <v>1.5465362150439206</v>
      </c>
      <c r="I57" s="113">
        <f ca="1"/>
        <v>1.4917974905294407</v>
      </c>
      <c r="J57" s="113">
        <f ca="1"/>
        <v>1.4660864441600445</v>
      </c>
      <c r="K57" s="113">
        <f ca="1"/>
        <v>1.5139644562296832</v>
      </c>
      <c r="L57" s="113">
        <f ca="1"/>
        <v>1.5492120871360535</v>
      </c>
      <c r="M57" s="113">
        <f ca="1"/>
        <v>1.5976152652328248</v>
      </c>
      <c r="N57" s="4" t="s">
        <v>504</v>
      </c>
      <c r="X57" s="1"/>
      <c r="Z57" s="171" t="s">
        <v>838</v>
      </c>
      <c r="AM57"/>
    </row>
    <row r="58" spans="1:39" s="4" customFormat="1" x14ac:dyDescent="0.2">
      <c r="A58" s="103" t="s">
        <v>743</v>
      </c>
      <c r="B58" s="103" t="s">
        <v>826</v>
      </c>
      <c r="C58" s="113">
        <f ca="1" xml:space="preserve"> IF(1 + PERM_JUL_POW_SLOPE_VS_T_CO2*(PERM_JUL_TEMP_0 - 0.5*PERM_JUL_LIMIT_T)/PERM_JUL_LIMIT_T &lt;=0, 0.000001, 1 + PERM_JUL_POW_SLOPE_VS_T_CO2*(PERM_JUL_TEMP_0 - 0.5*PERM_JUL_LIMIT_T)/PERM_JUL_LIMIT_T)</f>
        <v>0.37277209981034576</v>
      </c>
      <c r="D58" s="113">
        <f t="array" ref="D58:M58" ca="1" xml:space="preserve"> IF(1 + PERM_JUL_POW_SLOPE_VS_T_CO2 * (perm_jul_temp - 0.5*PERM_JUL_LIMIT_T) /PERM_JUL_LIMIT_T &lt;= 0, 0.000001, 1 + PERM_JUL_POW_SLOPE_VS_T_CO2 * (perm_jul_temp - 0.5*PERM_JUL_LIMIT_T) /PERM_JUL_LIMIT_T)</f>
        <v>0.39887376550696674</v>
      </c>
      <c r="E58" s="113">
        <f ca="1"/>
        <v>0.42874878770248226</v>
      </c>
      <c r="F58" s="113">
        <f ca="1"/>
        <v>0.45904545295678334</v>
      </c>
      <c r="G58" s="113">
        <f ca="1"/>
        <v>0.52760547820179193</v>
      </c>
      <c r="H58" s="113">
        <f ca="1"/>
        <v>0.6065580578933667</v>
      </c>
      <c r="I58" s="113">
        <f ca="1"/>
        <v>0.63008567412079053</v>
      </c>
      <c r="J58" s="113">
        <f ca="1"/>
        <v>0.64190762844040261</v>
      </c>
      <c r="K58" s="113">
        <f ca="1"/>
        <v>0.6202988370076884</v>
      </c>
      <c r="L58" s="113">
        <f ca="1"/>
        <v>0.60546158658210436</v>
      </c>
      <c r="M58" s="113">
        <f ca="1"/>
        <v>0.58642451877035129</v>
      </c>
      <c r="N58" s="4" t="s">
        <v>504</v>
      </c>
      <c r="X58" s="1"/>
      <c r="Z58" s="124" t="s">
        <v>836</v>
      </c>
      <c r="AM58"/>
    </row>
    <row r="59" spans="1:39" s="4" customFormat="1" x14ac:dyDescent="0.2">
      <c r="A59" s="118" t="s">
        <v>744</v>
      </c>
      <c r="B59" s="116"/>
      <c r="C59" s="115">
        <f ca="1" xml:space="preserve"> (PERM_JUL_SENS_C_CO2 * PERM_JUL_SENS_C_CO2_CORRECT_0) * PERM_JUL_TEMP_0</f>
        <v>157540.50553142099</v>
      </c>
      <c r="D59" s="115">
        <f t="array" ref="D59:M59" ca="1" xml:space="preserve"> IF((PERM_JUL_SENS_C_CO2 * perm_jul_sens_c_co2_correct) * perm_jul_temp &lt; PERM_JUL_LIMIT_C, (PERM_JUL_SENS_C_CO2 * perm_jul_sens_c_co2_correct) * perm_jul_temp, PERM_JUL_LIMIT_C)</f>
        <v>177193.55888370427</v>
      </c>
      <c r="E59" s="115">
        <f ca="1"/>
        <v>199323.51087432768</v>
      </c>
      <c r="F59" s="115">
        <f ca="1"/>
        <v>221422.21880647304</v>
      </c>
      <c r="G59" s="115">
        <f ca="1"/>
        <v>270366.43420403835</v>
      </c>
      <c r="H59" s="115">
        <f ca="1"/>
        <v>325249.63820234907</v>
      </c>
      <c r="I59" s="115">
        <f ca="1"/>
        <v>341348.54405961186</v>
      </c>
      <c r="J59" s="115">
        <f ca="1"/>
        <v>349397.86108140834</v>
      </c>
      <c r="K59" s="115">
        <f ca="1"/>
        <v>334664.93190454185</v>
      </c>
      <c r="L59" s="115">
        <f ca="1"/>
        <v>324496.70930746256</v>
      </c>
      <c r="M59" s="115">
        <f ca="1"/>
        <v>311384.96535415703</v>
      </c>
      <c r="N59" s="58" t="s">
        <v>498</v>
      </c>
      <c r="X59" s="1"/>
      <c r="Z59" s="124" t="s">
        <v>833</v>
      </c>
      <c r="AM59"/>
    </row>
    <row r="60" spans="1:39" s="4" customFormat="1" x14ac:dyDescent="0.2">
      <c r="A60" s="113" t="s">
        <v>745</v>
      </c>
      <c r="B60" s="116"/>
      <c r="C60" s="115">
        <f ca="1" xml:space="preserve"> PERM_JUL_CE_C_CO2_0</f>
        <v>20040.996860659488</v>
      </c>
      <c r="D60" s="115">
        <f ca="1" xml:space="preserve"> IF(perm_jul_equilib_c_co2_1 &lt;  PERM_JUL_CE_C_CO2_0, PERM_JUL_CE_C_CO2_0, IF( ((perm_jul_equilib_c_co2_1 - PERM_JUL_CE_C_CO2_0)/PERM_JUL_LIMIT_C)^(1-(1+PERM_JUL_POW_C_CO2)*perm_jul_pow_c_co2_correct_1) &lt; (1-(1+PERM_JUL_POW_C_CO2)*perm_jul_pow_c_co2_correct_1) * YP_1 / (PERM_JUL_LAG_C_CO2*perm_jul_lag_c_co2_correct_1), perm_jul_equilib_c_co2_1, ( perm_jul_equilib_c_co2_1 - PERM_JUL_LIMIT_C * ( ( ((perm_jul_equilib_c_co2_1 - PERM_JUL_CE_C_CO2_0)/PERM_JUL_LIMIT_C)^(1-(1+PERM_JUL_POW_C_CO2)*perm_jul_pow_c_co2_correct_1) - (1-(1+PERM_JUL_POW_C_CO2)*perm_jul_pow_c_co2_correct_1) * YP_1 / (PERM_JUL_LAG_C_CO2*perm_jul_lag_c_co2_correct_1) )^( 1/(1-(1+PERM_JUL_POW_C_CO2)*perm_jul_pow_c_co2_correct_1) ) ) ) ) )</f>
        <v>21174.322287560004</v>
      </c>
      <c r="E60" s="115">
        <f t="array" ref="E60:M60" ca="1" xml:space="preserve"> IF(perm_jul_equilib_c_co2_not_1 &lt;  perm_jul_ce_c_co2, perm_jul_ce_c_co2, IF( ((perm_jul_equilib_c_co2_not_1 - perm_jul_ce_c_co2)/PERM_JUL_LIMIT_C)^(1-(1+PERM_JUL_POW_C_CO2)*perm_jul_pow_c_co2_correct_not_1) &lt; (1-(1+PERM_JUL_POW_C_CO2)*perm_jul_pow_c_co2_correct_not_1) * YP_NOT_1 / (PERM_JUL_LAG_C_CO2*perm_jul_lag_c_co2_correct_not_1), perm_jul_equilib_c_co2_not_1, ( perm_jul_equilib_c_co2_not_1 - PERM_JUL_LIMIT_C * ( ( ((perm_jul_equilib_c_co2_not_1 - perm_jul_ce_c_co2)/PERM_JUL_LIMIT_C)^(1-(1+PERM_JUL_POW_C_CO2)*perm_jul_pow_c_co2_correct_not_1) - (1-(1+PERM_JUL_POW_C_CO2)*perm_jul_pow_c_co2_correct_not_1) * YP_NOT_1 / (PERM_JUL_LAG_C_CO2*perm_jul_lag_c_co2_correct_not_1) )^( 1/(1-(1+PERM_JUL_POW_C_CO2)*perm_jul_pow_c_co2_correct_not_1) ) ) ) ) )</f>
        <v>22425.20175499015</v>
      </c>
      <c r="F60" s="115">
        <f ca="1"/>
        <v>23793.321481867402</v>
      </c>
      <c r="G60" s="115">
        <f ca="1"/>
        <v>27069.139500113437</v>
      </c>
      <c r="H60" s="115">
        <f ca="1"/>
        <v>30986.968322579865</v>
      </c>
      <c r="I60" s="115">
        <f ca="1"/>
        <v>35070.747559463489</v>
      </c>
      <c r="J60" s="115">
        <f ca="1"/>
        <v>39212.981749267899</v>
      </c>
      <c r="K60" s="115">
        <f ca="1"/>
        <v>43110.001270568115</v>
      </c>
      <c r="L60" s="115">
        <f ca="1"/>
        <v>46831.365351549815</v>
      </c>
      <c r="M60" s="115">
        <f ca="1"/>
        <v>50348.066887672991</v>
      </c>
      <c r="N60" s="58" t="s">
        <v>498</v>
      </c>
      <c r="X60" s="1"/>
      <c r="Z60" s="124" t="s">
        <v>839</v>
      </c>
      <c r="AM60"/>
    </row>
    <row r="61" spans="1:39" s="4" customFormat="1" x14ac:dyDescent="0.2">
      <c r="A61" s="113" t="s">
        <v>746</v>
      </c>
      <c r="B61" s="115"/>
      <c r="C61" s="115">
        <f ca="1" xml:space="preserve"> PERM_JUL_CE_CO2_0</f>
        <v>73483.655155751461</v>
      </c>
      <c r="D61" s="115">
        <f t="array" ref="D61:M61" ca="1" xml:space="preserve"> perm_jul_ce_c_co2 * (44/12)</f>
        <v>77639.181721053348</v>
      </c>
      <c r="E61" s="115">
        <f ca="1"/>
        <v>82225.739768297208</v>
      </c>
      <c r="F61" s="115">
        <f ca="1"/>
        <v>87242.178766847137</v>
      </c>
      <c r="G61" s="115">
        <f ca="1"/>
        <v>99253.511500415931</v>
      </c>
      <c r="H61" s="115">
        <f ca="1"/>
        <v>113618.8838494595</v>
      </c>
      <c r="I61" s="115">
        <f ca="1"/>
        <v>128592.74105136612</v>
      </c>
      <c r="J61" s="115">
        <f ca="1"/>
        <v>143780.93308064895</v>
      </c>
      <c r="K61" s="115">
        <f ca="1"/>
        <v>158070.00465874973</v>
      </c>
      <c r="L61" s="115">
        <f ca="1"/>
        <v>171715.00628901599</v>
      </c>
      <c r="M61" s="115">
        <f ca="1"/>
        <v>184609.57858813429</v>
      </c>
      <c r="N61" s="3" t="s">
        <v>455</v>
      </c>
      <c r="X61" s="1"/>
      <c r="Z61" s="124" t="s">
        <v>833</v>
      </c>
      <c r="AM61"/>
    </row>
    <row r="62" spans="1:39" s="4" customFormat="1" x14ac:dyDescent="0.2">
      <c r="A62" s="113" t="s">
        <v>605</v>
      </c>
      <c r="B62" s="115"/>
      <c r="C62" s="115">
        <f ca="1" xml:space="preserve"> (44/12) * (PERM_JUL_LIMIT_C / (PERM_JUL_LAG_C_CO2 * PERM_JUL_LAG_C_CO2_CORRECT_0)) * ( IF(PERM_JUL_EQUILIB_C_CO2_0 &gt;PERM_JUL_CE_C_CO2_0, ((PERM_JUL_EQUILIB_C_CO2_0 - PERM_JUL_CE_C_CO2_0)/PERM_JUL_LIMIT_C)^((1 + PERM_JUL_POW_C_CO2)*PERM_JUL_POW_C_CO2_CORRECT_0), 0) )</f>
        <v>752.52724936290758</v>
      </c>
      <c r="D62" s="115">
        <f t="array" ref="D62:M62" ca="1" xml:space="preserve"> (44/12) * (PERM_JUL_LIMIT_C / (PERM_JUL_LAG_C_CO2 * perm_jul_lag_c_co2_correct)) * ( IF(perm_jul_equilib_c_co2 &gt; perm_jul_ce_c_co2, ((perm_jul_equilib_c_co2 - perm_jul_ce_c_co2)/PERM_JUL_LIMIT_C)^((1 + PERM_JUL_POW_C_CO2)*perm_jul_pow_c_co2_correct), 0) )</f>
        <v>829.35768658945756</v>
      </c>
      <c r="E62" s="115">
        <f ca="1"/>
        <v>915.29328176030583</v>
      </c>
      <c r="F62" s="115">
        <f ca="1"/>
        <v>1000.9740006379578</v>
      </c>
      <c r="G62" s="115">
        <f ca="1"/>
        <v>1194.9660103027036</v>
      </c>
      <c r="H62" s="115">
        <f ca="1"/>
        <v>1428.1556336273145</v>
      </c>
      <c r="I62" s="115">
        <f ca="1"/>
        <v>1488.2983851314075</v>
      </c>
      <c r="J62" s="115">
        <f ca="1"/>
        <v>1509.4152495188575</v>
      </c>
      <c r="K62" s="115">
        <f ca="1"/>
        <v>1420.3487679839041</v>
      </c>
      <c r="L62" s="115">
        <f ca="1"/>
        <v>1356.500947881301</v>
      </c>
      <c r="M62" s="115">
        <f ca="1"/>
        <v>1282.0969508468527</v>
      </c>
      <c r="N62" s="58" t="s">
        <v>585</v>
      </c>
      <c r="X62" s="1"/>
      <c r="Z62" s="124" t="s">
        <v>833</v>
      </c>
      <c r="AM62"/>
    </row>
    <row r="63" spans="1:39" s="4" customFormat="1" x14ac:dyDescent="0.2">
      <c r="A63"/>
      <c r="B63"/>
      <c r="C63"/>
      <c r="D63"/>
      <c r="E63"/>
      <c r="F63"/>
      <c r="G63"/>
      <c r="H63" s="1"/>
      <c r="I63" s="1"/>
      <c r="J63" s="1"/>
      <c r="K63" s="1"/>
      <c r="L63" s="1"/>
      <c r="M63" s="1"/>
      <c r="N63"/>
      <c r="X63" s="1"/>
      <c r="AM63"/>
    </row>
    <row r="64" spans="1:39" s="4" customFormat="1" x14ac:dyDescent="0.2">
      <c r="A64" s="113" t="s">
        <v>750</v>
      </c>
      <c r="B64" s="86"/>
      <c r="C64" s="115">
        <f ca="1" xml:space="preserve"> PERM_JUL_CE_CH4_0</f>
        <v>1634.31985196508</v>
      </c>
      <c r="D64" s="115">
        <f t="array" ref="D64:M64" ca="1" xml:space="preserve"> perm_jul_ce_c_co2 * (PERM_JUL_CH4_CO2_C_RATIO/100) * (16/12)</f>
        <v>1726.7412148742383</v>
      </c>
      <c r="E64" s="115">
        <f ca="1"/>
        <v>1828.7489722852299</v>
      </c>
      <c r="F64" s="115">
        <f ca="1"/>
        <v>1940.3175357178054</v>
      </c>
      <c r="G64" s="115">
        <f ca="1"/>
        <v>2207.4566633703716</v>
      </c>
      <c r="H64" s="115">
        <f ca="1"/>
        <v>2526.951021144906</v>
      </c>
      <c r="I64" s="115">
        <f ca="1"/>
        <v>2859.978441102402</v>
      </c>
      <c r="J64" s="115">
        <f ca="1"/>
        <v>3197.7727940956329</v>
      </c>
      <c r="K64" s="115">
        <f ca="1"/>
        <v>3515.5701777007725</v>
      </c>
      <c r="L64" s="115">
        <f ca="1"/>
        <v>3819.0430656126982</v>
      </c>
      <c r="M64" s="115">
        <f ca="1"/>
        <v>4105.8259623858812</v>
      </c>
      <c r="N64" s="3" t="s">
        <v>456</v>
      </c>
      <c r="X64" s="1"/>
      <c r="Z64" s="124" t="s">
        <v>858</v>
      </c>
      <c r="AM64"/>
    </row>
    <row r="65" spans="1:39" s="4" customFormat="1" x14ac:dyDescent="0.2">
      <c r="A65"/>
      <c r="B65"/>
      <c r="C65"/>
      <c r="D65"/>
      <c r="E65"/>
      <c r="F65"/>
      <c r="G65"/>
      <c r="H65" s="1"/>
      <c r="I65" s="1"/>
      <c r="J65" s="1"/>
      <c r="K65" s="1"/>
      <c r="L65" s="1"/>
      <c r="M65" s="1"/>
      <c r="N65"/>
      <c r="X65" s="1"/>
      <c r="AM65"/>
    </row>
    <row r="66" spans="1:39" x14ac:dyDescent="0.2">
      <c r="A66" s="57" t="s">
        <v>895</v>
      </c>
      <c r="X66" s="1"/>
    </row>
    <row r="67" spans="1:39" x14ac:dyDescent="0.2">
      <c r="A67" s="113" t="s">
        <v>841</v>
      </c>
      <c r="B67" s="115" t="s">
        <v>840</v>
      </c>
      <c r="C67" s="115">
        <f ca="1" xml:space="preserve"> IF(switch_perm = 1, 1, 0) * 0.5 *(PERM_SIB_CE_CO2_0 + PERM_JUL_CE_CO2_0) * (1 + PERM_INITIAL_C_STOCK_UNCERTAINTY/100)</f>
        <v>43642.591291556564</v>
      </c>
      <c r="D67" s="115">
        <f t="array" ref="D67:M67" ca="1" xml:space="preserve"> IF(switch_perm = 1, 1, 0) * 0.5 *(perm_sib_ce_co2 + perm_jul_ce_co2) * (1 + PERM_INITIAL_C_STOCK_UNCERTAINTY/100)</f>
        <v>48583.262034002968</v>
      </c>
      <c r="E67" s="115">
        <f ca="1"/>
        <v>54312.982990150158</v>
      </c>
      <c r="F67" s="115">
        <f ca="1"/>
        <v>60867.066920810554</v>
      </c>
      <c r="G67" s="115">
        <f ca="1"/>
        <v>78308.94316931488</v>
      </c>
      <c r="H67" s="115">
        <f ca="1"/>
        <v>100955.05720984904</v>
      </c>
      <c r="I67" s="115">
        <f ca="1"/>
        <v>123549.67481514756</v>
      </c>
      <c r="J67" s="115">
        <f ca="1"/>
        <v>145084.56940476148</v>
      </c>
      <c r="K67" s="115">
        <f ca="1"/>
        <v>162630.42105070126</v>
      </c>
      <c r="L67" s="115">
        <f ca="1"/>
        <v>177448.90611551428</v>
      </c>
      <c r="M67" s="115">
        <f ca="1"/>
        <v>189634.82804100669</v>
      </c>
      <c r="N67" s="3" t="s">
        <v>455</v>
      </c>
      <c r="O67" s="1"/>
      <c r="P67" s="1"/>
      <c r="Q67" s="1"/>
      <c r="R67" s="1"/>
      <c r="S67" s="1"/>
      <c r="T67" s="1"/>
      <c r="U67" s="1"/>
      <c r="V67" s="1"/>
      <c r="W67" s="1"/>
      <c r="X67" s="1"/>
      <c r="Z67" s="124" t="s">
        <v>833</v>
      </c>
    </row>
    <row r="68" spans="1:39" x14ac:dyDescent="0.2">
      <c r="A68" s="113" t="s">
        <v>605</v>
      </c>
      <c r="B68" s="115" t="s">
        <v>840</v>
      </c>
      <c r="C68" s="115">
        <f ca="1" xml:space="preserve"> IF(switch_perm = 1, 1, 0) * 0.5 *(PERM_SIB_E_CO2_0 + PERM_JUL_E_CO2_0) * (1 + PERM_INITIAL_C_STOCK_UNCERTAINTY/100)</f>
        <v>841.8851393525955</v>
      </c>
      <c r="D68" s="115">
        <f t="array" ref="D68:M68" ca="1" xml:space="preserve"> IF(switch_perm = 1, 1, 0) * 0.5 *(perm_sib_e_co2 + perm_jul_e_co2) * (1 + PERM_INITIAL_C_STOCK_UNCERTAINTY/100)</f>
        <v>968.03663837814906</v>
      </c>
      <c r="E68" s="115">
        <f ca="1"/>
        <v>1121.2653496983128</v>
      </c>
      <c r="F68" s="115">
        <f ca="1"/>
        <v>1281.1937385854685</v>
      </c>
      <c r="G68" s="115">
        <f ca="1"/>
        <v>1658.3313200312734</v>
      </c>
      <c r="H68" s="115">
        <f ca="1"/>
        <v>2145.0901467992921</v>
      </c>
      <c r="I68" s="115">
        <f ca="1"/>
        <v>2143.8355134246526</v>
      </c>
      <c r="J68" s="115">
        <f ca="1"/>
        <v>2048.443421362354</v>
      </c>
      <c r="K68" s="115">
        <f ca="1"/>
        <v>1679.2293383011615</v>
      </c>
      <c r="L68" s="115">
        <f ca="1"/>
        <v>1425.8007575026245</v>
      </c>
      <c r="M68" s="115">
        <f ca="1"/>
        <v>1179.7800383484414</v>
      </c>
      <c r="N68" s="58" t="s">
        <v>585</v>
      </c>
      <c r="O68" s="1"/>
      <c r="P68" s="1"/>
      <c r="Q68" s="1"/>
      <c r="R68" s="1"/>
      <c r="S68" s="1"/>
      <c r="T68" s="1"/>
      <c r="U68" s="1"/>
      <c r="V68" s="1"/>
      <c r="W68" s="1"/>
      <c r="X68" s="1"/>
      <c r="Z68" s="124" t="s">
        <v>833</v>
      </c>
    </row>
    <row r="69" spans="1:39" x14ac:dyDescent="0.2">
      <c r="X69" s="1"/>
    </row>
    <row r="70" spans="1:39" x14ac:dyDescent="0.2">
      <c r="A70" s="113" t="s">
        <v>861</v>
      </c>
      <c r="B70" s="115" t="s">
        <v>840</v>
      </c>
      <c r="C70" s="115">
        <f ca="1" xml:space="preserve"> IF(switch_perm = 1, 1, 0) * 0.5 *(PERM_SIB_CE_CH4_0 + PERM_JUL_CE_CH4_0) * (1 + PERM_INITIAL_C_STOCK_UNCERTAINTY/100)</f>
        <v>934.20102303920669</v>
      </c>
      <c r="D70" s="115">
        <f t="array" ref="D70:M70" ca="1" xml:space="preserve"> IF(switch_perm = 1, 1, 0) * 0.5 *(perm_sib_ce_ch4 + perm_jul_ce_ch4) * (1 + PERM_INITIAL_C_STOCK_UNCERTAINTY/100)</f>
        <v>993.14341182163912</v>
      </c>
      <c r="E70" s="115">
        <f ca="1"/>
        <v>1061.2910572174255</v>
      </c>
      <c r="F70" s="115">
        <f ca="1"/>
        <v>1139.2421882194303</v>
      </c>
      <c r="G70" s="115">
        <f ca="1"/>
        <v>1343.3245873484673</v>
      </c>
      <c r="H70" s="115">
        <f ca="1"/>
        <v>1607.7234693005289</v>
      </c>
      <c r="I70" s="115">
        <f ca="1"/>
        <v>1888.6722207405453</v>
      </c>
      <c r="J70" s="115">
        <f ca="1"/>
        <v>2176.1967193741502</v>
      </c>
      <c r="K70" s="115">
        <f ca="1"/>
        <v>2442.3519313051092</v>
      </c>
      <c r="L70" s="115">
        <f ca="1"/>
        <v>2693.4685548830394</v>
      </c>
      <c r="M70" s="115">
        <f ca="1"/>
        <v>2926.8306487200452</v>
      </c>
      <c r="N70" s="3" t="s">
        <v>456</v>
      </c>
      <c r="X70" s="1"/>
      <c r="Z70" s="124" t="s">
        <v>858</v>
      </c>
    </row>
    <row r="71" spans="1:39" x14ac:dyDescent="0.2">
      <c r="X71" s="1"/>
    </row>
    <row r="72" spans="1:39" x14ac:dyDescent="0.2">
      <c r="A72" s="57" t="s">
        <v>754</v>
      </c>
      <c r="X72" s="1"/>
    </row>
    <row r="73" spans="1:39" s="4" customFormat="1" x14ac:dyDescent="0.2">
      <c r="A73" s="113" t="s">
        <v>601</v>
      </c>
      <c r="B73" s="115"/>
      <c r="C73" s="115">
        <f ca="1" xml:space="preserve"> ANTHR_CE_CO2_0</f>
        <v>2035000</v>
      </c>
      <c r="D73" s="115">
        <f ca="1" xml:space="preserve"> ANTHR_CE_CO2_0 + 0.5*(E_CO2_G_0 + e_co2_g)*YP_1</f>
        <v>2258283.4937113435</v>
      </c>
      <c r="E73" s="115">
        <f t="array" ref="E73:M73" ca="1" xml:space="preserve"> anthr_ce_co2 + 0.5*(e_co2_g + e_co2_g_not_1)*YP_NOT_1</f>
        <v>2493551.158199667</v>
      </c>
      <c r="F73" s="115">
        <f ca="1"/>
        <v>2759890.2085567182</v>
      </c>
      <c r="G73" s="115">
        <f ca="1"/>
        <v>3408361.8467347007</v>
      </c>
      <c r="H73" s="115">
        <f ca="1"/>
        <v>4040078.4719498386</v>
      </c>
      <c r="I73" s="115">
        <f ca="1"/>
        <v>4358209.2528084544</v>
      </c>
      <c r="J73" s="115">
        <f ca="1"/>
        <v>4349041.3815804534</v>
      </c>
      <c r="K73" s="115">
        <f ca="1"/>
        <v>4183302.5967001407</v>
      </c>
      <c r="L73" s="115">
        <f ca="1"/>
        <v>3959725.9305449026</v>
      </c>
      <c r="M73" s="115">
        <f ca="1"/>
        <v>3712993.3726140917</v>
      </c>
      <c r="N73" s="3" t="s">
        <v>455</v>
      </c>
      <c r="X73" s="1"/>
      <c r="Z73" s="171" t="s">
        <v>626</v>
      </c>
      <c r="AM73"/>
    </row>
    <row r="74" spans="1:39" s="4" customFormat="1" x14ac:dyDescent="0.2">
      <c r="A74"/>
      <c r="B74"/>
      <c r="C74"/>
      <c r="D74"/>
      <c r="E74"/>
      <c r="F74"/>
      <c r="G74"/>
      <c r="H74" s="1"/>
      <c r="I74" s="1"/>
      <c r="J74" s="1"/>
      <c r="K74" s="1"/>
      <c r="L74" s="1"/>
      <c r="M74" s="1"/>
      <c r="N74"/>
      <c r="X74" s="1"/>
      <c r="AM74"/>
    </row>
    <row r="75" spans="1:39" s="4" customFormat="1" x14ac:dyDescent="0.2">
      <c r="A75" s="113" t="s">
        <v>602</v>
      </c>
      <c r="B75" s="116"/>
      <c r="C75" s="115">
        <f ca="1" xml:space="preserve"> ANTHR_CE_CO2_0 + PERM_TOT_CE_CO2_0</f>
        <v>2078642.5912915566</v>
      </c>
      <c r="D75" s="115">
        <f t="array" ref="D75:M75" ca="1" xml:space="preserve"> anthr_ce_co2 + perm_tot_ce_co2</f>
        <v>2306866.7557453467</v>
      </c>
      <c r="E75" s="115">
        <f ca="1"/>
        <v>2547864.1411898173</v>
      </c>
      <c r="F75" s="115">
        <f ca="1"/>
        <v>2820757.2754775286</v>
      </c>
      <c r="G75" s="115">
        <f ca="1"/>
        <v>3486670.7899040156</v>
      </c>
      <c r="H75" s="115">
        <f ca="1"/>
        <v>4141033.5291596875</v>
      </c>
      <c r="I75" s="115">
        <f ca="1"/>
        <v>4481758.9276236016</v>
      </c>
      <c r="J75" s="115">
        <f ca="1"/>
        <v>4494125.9509852147</v>
      </c>
      <c r="K75" s="115">
        <f ca="1"/>
        <v>4345933.0177508416</v>
      </c>
      <c r="L75" s="115">
        <f ca="1"/>
        <v>4137174.8366604168</v>
      </c>
      <c r="M75" s="115">
        <f ca="1"/>
        <v>3902628.2006550985</v>
      </c>
      <c r="N75" s="3" t="s">
        <v>455</v>
      </c>
      <c r="O75" s="1"/>
      <c r="P75" s="1"/>
      <c r="Q75" s="1"/>
      <c r="R75" s="1"/>
      <c r="S75" s="1"/>
      <c r="T75" s="1"/>
      <c r="U75" s="1"/>
      <c r="V75" s="1"/>
      <c r="W75" s="1"/>
      <c r="X75" s="1"/>
      <c r="Z75" s="124" t="s">
        <v>833</v>
      </c>
      <c r="AM75"/>
    </row>
    <row r="76" spans="1:39" s="4" customFormat="1" x14ac:dyDescent="0.2">
      <c r="A76" s="113" t="s">
        <v>606</v>
      </c>
      <c r="B76" s="115"/>
      <c r="C76" s="115">
        <f ca="1" xml:space="preserve"> E_CO2_G_0 + PERM_TOT_E_CO2_0</f>
        <v>39994.611139352593</v>
      </c>
      <c r="D76" s="115">
        <f t="array" ref="D76:M76" ca="1" xml:space="preserve"> e_co2_g + perm_tot_e_co2</f>
        <v>44914.430949170099</v>
      </c>
      <c r="E76" s="115">
        <f ca="1"/>
        <v>51281.936834235792</v>
      </c>
      <c r="F76" s="115">
        <f ca="1"/>
        <v>57656.142396868461</v>
      </c>
      <c r="G76" s="115">
        <f ca="1"/>
        <v>74977.710297344849</v>
      </c>
      <c r="H76" s="115">
        <f ca="1"/>
        <v>55169.036212513252</v>
      </c>
      <c r="I76" s="115">
        <f ca="1"/>
        <v>12746.045619433813</v>
      </c>
      <c r="J76" s="115">
        <f ca="1"/>
        <v>-10387.340930247006</v>
      </c>
      <c r="K76" s="115">
        <f ca="1"/>
        <v>-19032.743286152046</v>
      </c>
      <c r="L76" s="115">
        <f ca="1"/>
        <v>-22577.559849091762</v>
      </c>
      <c r="M76" s="115">
        <f ca="1"/>
        <v>-24163.370941219357</v>
      </c>
      <c r="N76" s="58" t="s">
        <v>585</v>
      </c>
      <c r="O76" s="1"/>
      <c r="P76" s="1"/>
      <c r="Q76" s="1"/>
      <c r="R76" s="1"/>
      <c r="S76" s="1"/>
      <c r="T76" s="1"/>
      <c r="U76" s="1"/>
      <c r="V76" s="1"/>
      <c r="W76" s="1"/>
      <c r="X76" s="1"/>
      <c r="Z76" s="124" t="s">
        <v>833</v>
      </c>
      <c r="AM76"/>
    </row>
    <row r="78" spans="1:39" s="4" customFormat="1" x14ac:dyDescent="0.2">
      <c r="A78" s="113" t="s">
        <v>610</v>
      </c>
      <c r="B78" s="115"/>
      <c r="C78" s="115">
        <f ca="1" xml:space="preserve"> CORRECT_RE_CO2_0 * TOTAL_E_CO2_0 * TIME_CO2_HIST * (PERCENT_CO2_STAY/100)</f>
        <v>401770.50159946072</v>
      </c>
      <c r="D78" s="115">
        <f t="array" aca="1" ref="D78:M78" ca="1" xml:space="preserve"> CORRECT_RE_CO2_0 * TOTAL_E_CO2_0 * TIME_CO2_HIST * (PERCENT_CO2_STAY/100)</f>
        <v>401770.50159946072</v>
      </c>
      <c r="E78" s="115">
        <f ca="1"/>
        <v>401770.50159946072</v>
      </c>
      <c r="F78" s="115">
        <f ca="1"/>
        <v>401770.50159946072</v>
      </c>
      <c r="G78" s="115">
        <f ca="1"/>
        <v>401770.50159946072</v>
      </c>
      <c r="H78" s="115">
        <f ca="1"/>
        <v>401770.50159946072</v>
      </c>
      <c r="I78" s="115">
        <f ca="1"/>
        <v>401770.50159946072</v>
      </c>
      <c r="J78" s="115">
        <f ca="1"/>
        <v>401770.50159946072</v>
      </c>
      <c r="K78" s="115">
        <f ca="1"/>
        <v>401770.50159946072</v>
      </c>
      <c r="L78" s="115">
        <f ca="1"/>
        <v>401770.50159946072</v>
      </c>
      <c r="M78" s="115">
        <f ca="1"/>
        <v>401770.50159946072</v>
      </c>
      <c r="N78" s="3" t="s">
        <v>455</v>
      </c>
      <c r="Z78" s="171" t="s">
        <v>627</v>
      </c>
      <c r="AM78"/>
    </row>
    <row r="79" spans="1:39" s="4" customFormat="1" x14ac:dyDescent="0.2">
      <c r="A79" s="113" t="s">
        <v>618</v>
      </c>
      <c r="B79" s="115"/>
      <c r="C79" s="115">
        <f ca="1" xml:space="preserve"> CORRECT_RE_CO2_0 * TOTAL_E_CO2_0 * (TIME_CO2_HIST / (1 + TIME_CO2_HIST/TIME_CO2_OCEAN_LONG)) * (PERCENT_CO2_OCEAN_LONG/100)</f>
        <v>337946.21049821156</v>
      </c>
      <c r="D79" s="115">
        <f t="array" aca="1" ref="D79:M79" ca="1" xml:space="preserve"> CORRECT_RE_CO2_0 * TOTAL_E_CO2_0 * (TIME_CO2_HIST / (1 + TIME_CO2_HIST/TIME_CO2_OCEAN_LONG)) * (PERCENT_CO2_OCEAN_LONG/100)* EXP(-(Y-Y_0)/TIME_CO2_OCEAN_LONG)</f>
        <v>332582.81468811649</v>
      </c>
      <c r="E79" s="115">
        <f ca="1"/>
        <v>327304.53897619719</v>
      </c>
      <c r="F79" s="115">
        <f ca="1"/>
        <v>322110.03245877812</v>
      </c>
      <c r="G79" s="115">
        <f ca="1"/>
        <v>311967.03025047306</v>
      </c>
      <c r="H79" s="115">
        <f ca="1"/>
        <v>302143.42353883217</v>
      </c>
      <c r="I79" s="115">
        <f ca="1"/>
        <v>292629.15480033384</v>
      </c>
      <c r="J79" s="115">
        <f ca="1"/>
        <v>283414.48321529373</v>
      </c>
      <c r="K79" s="115">
        <f ca="1"/>
        <v>274489.97469509963</v>
      </c>
      <c r="L79" s="115">
        <f ca="1"/>
        <v>265846.49222348083</v>
      </c>
      <c r="M79" s="115">
        <f ca="1"/>
        <v>257475.18650192436</v>
      </c>
      <c r="N79" s="3" t="s">
        <v>455</v>
      </c>
      <c r="Z79" s="171" t="s">
        <v>627</v>
      </c>
      <c r="AM79"/>
    </row>
    <row r="80" spans="1:39" s="4" customFormat="1" x14ac:dyDescent="0.2">
      <c r="A80" s="113" t="s">
        <v>616</v>
      </c>
      <c r="B80" s="115"/>
      <c r="C80" s="115">
        <f ca="1" xml:space="preserve"> CORRECT_RE_CO2_0 * TOTAL_E_CO2_0 * (TIME_CO2_HIST / (1 + TIME_CO2_HIST/TIME_CO2_OCEAN_SHORT)) * (PERCENT_CO2_OCEAN_SHORT/100)</f>
        <v>183560.26159338013</v>
      </c>
      <c r="D80" s="115">
        <f t="array" aca="1" ref="D80:M80" ca="1" xml:space="preserve"> CORRECT_RE_CO2_0 * TOTAL_E_CO2_0 * (TIME_CO2_HIST / (1 + TIME_CO2_HIST/TIME_CO2_OCEAN_SHORT)) * (PERCENT_CO2_OCEAN_SHORT/100) * EXP(-(Y-Y_0)/TIME_CO2_OCEAN_SHORT)</f>
        <v>159041.8642390719</v>
      </c>
      <c r="E80" s="115">
        <f ca="1"/>
        <v>137798.42304142579</v>
      </c>
      <c r="F80" s="115">
        <f ca="1"/>
        <v>119392.49758893893</v>
      </c>
      <c r="G80" s="115">
        <f ca="1"/>
        <v>89627.775357922786</v>
      </c>
      <c r="H80" s="115">
        <f ca="1"/>
        <v>67283.441404064375</v>
      </c>
      <c r="I80" s="115">
        <f ca="1"/>
        <v>50509.582203682228</v>
      </c>
      <c r="J80" s="115">
        <f ca="1"/>
        <v>37917.470348602306</v>
      </c>
      <c r="K80" s="115">
        <f ca="1"/>
        <v>28464.590180916657</v>
      </c>
      <c r="L80" s="115">
        <f ca="1"/>
        <v>21368.32670319219</v>
      </c>
      <c r="M80" s="115">
        <f ca="1"/>
        <v>16041.171968127457</v>
      </c>
      <c r="N80" s="3" t="s">
        <v>455</v>
      </c>
      <c r="Z80" s="171" t="s">
        <v>627</v>
      </c>
      <c r="AM80"/>
    </row>
    <row r="81" spans="1:39" s="4" customFormat="1" x14ac:dyDescent="0.2">
      <c r="A81" s="113" t="s">
        <v>607</v>
      </c>
      <c r="B81" s="115"/>
      <c r="C81" s="115">
        <f ca="1" xml:space="preserve"> CORRECT_RE_CO2_0 * TOTAL_E_CO2_0 * (TIME_CO2_HIST / (1 + TIME_CO2_HIST/TIME_CO2_LAND)) * (PERCENT_CO2_LAND/100)</f>
        <v>35027.776308947454</v>
      </c>
      <c r="D81" s="115">
        <f t="array" aca="1" ref="D81:M81" ca="1" xml:space="preserve"> CORRECT_RE_CO2_0 * TOTAL_E_CO2_0 * (TIME_CO2_HIST / (1 + TIME_CO2_HIST/TIME_CO2_LAND)) * (PERCENT_CO2_LAND/100) * EXP(-(Y-Y_0)/TIME_CO2_LAND)</f>
        <v>10824.356466116675</v>
      </c>
      <c r="E81" s="115">
        <f ca="1"/>
        <v>3344.9652033901143</v>
      </c>
      <c r="F81" s="115">
        <f ca="1"/>
        <v>1033.6681212333299</v>
      </c>
      <c r="G81" s="115">
        <f ca="1"/>
        <v>98.709774405402953</v>
      </c>
      <c r="H81" s="115">
        <f ca="1"/>
        <v>9.4262552583510661</v>
      </c>
      <c r="I81" s="115">
        <f ca="1"/>
        <v>0.90015693715056966</v>
      </c>
      <c r="J81" s="115">
        <f ca="1"/>
        <v>8.5960170745687736E-2</v>
      </c>
      <c r="K81" s="115">
        <f ca="1"/>
        <v>8.2087363321533685E-3</v>
      </c>
      <c r="L81" s="115">
        <f ca="1"/>
        <v>7.8389039465926228E-4</v>
      </c>
      <c r="M81" s="115">
        <f ca="1"/>
        <v>7.4857338081641219E-5</v>
      </c>
      <c r="N81" s="3" t="s">
        <v>455</v>
      </c>
      <c r="Z81" s="171" t="s">
        <v>627</v>
      </c>
      <c r="AM81"/>
    </row>
    <row r="82" spans="1:39" s="4" customFormat="1" x14ac:dyDescent="0.2">
      <c r="A82" s="113" t="s">
        <v>608</v>
      </c>
      <c r="B82" s="115"/>
      <c r="C82" s="206">
        <v>0</v>
      </c>
      <c r="D82" s="115">
        <f ca="1" xml:space="preserve"> 0.5*(TOTAL_E_CO2_0 + total_e_co2_1) * YP_1 * (PERCENT_CO2_STAY/100)</f>
        <v>49710.044724423809</v>
      </c>
      <c r="E82" s="115">
        <f t="array" ref="E82:M82" ca="1" xml:space="preserve"> asymp_comp_co2_proj + 0.5*(total_e_co2 + total_e_co2_not_1) * YP_NOT_1 * (PERCENT_CO2_STAY/100)</f>
        <v>106028.26039637532</v>
      </c>
      <c r="F82" s="115">
        <f ca="1"/>
        <v>169806.11794333986</v>
      </c>
      <c r="G82" s="115">
        <f ca="1"/>
        <v>325107.23987869616</v>
      </c>
      <c r="H82" s="115">
        <f ca="1"/>
        <v>477496.20648600644</v>
      </c>
      <c r="I82" s="115">
        <f ca="1"/>
        <v>557018.04944377404</v>
      </c>
      <c r="J82" s="115">
        <f ca="1"/>
        <v>559779.85932190088</v>
      </c>
      <c r="K82" s="115">
        <f ca="1"/>
        <v>525331.85081254097</v>
      </c>
      <c r="L82" s="115">
        <f ca="1"/>
        <v>476610.30175317643</v>
      </c>
      <c r="M82" s="115">
        <f ca="1"/>
        <v>421881.29520932247</v>
      </c>
      <c r="N82" s="3" t="s">
        <v>455</v>
      </c>
      <c r="Z82" s="171" t="s">
        <v>628</v>
      </c>
      <c r="AM82"/>
    </row>
    <row r="83" spans="1:39" s="4" customFormat="1" x14ac:dyDescent="0.2">
      <c r="A83" s="113" t="s">
        <v>619</v>
      </c>
      <c r="B83" s="115"/>
      <c r="C83" s="206">
        <v>0</v>
      </c>
      <c r="D83" s="115">
        <f ca="1" xml:space="preserve"> 0.5 * (TOTAL_E_CO2_0 + total_e_co2_1) * TIME_CO2_OCEAN_LONG * (1 - EXP(-YP_1/TIME_CO2_OCEAN_LONG)) * (PERCENT_CO2_OCEAN_LONG/100)</f>
        <v>48378.401479416119</v>
      </c>
      <c r="E83" s="115">
        <f t="array" ref="E83:M83" ca="1" xml:space="preserve"> ocean_long_comp_co2_proj * EXP(-YP_NOT_1/TIME_CO2_OCEAN_LONG) + 0.5*(total_e_co2 + total_e_co2_not_1) * TIME_CO2_OCEAN_LONG * (1 - EXP(-YP_NOT_1/TIME_CO2_OCEAN_LONG)) * (PERCENT_CO2_OCEAN_LONG/100)</f>
        <v>102420.16046635169</v>
      </c>
      <c r="F83" s="115">
        <f ca="1"/>
        <v>162864.05784561863</v>
      </c>
      <c r="G83" s="115">
        <f ca="1"/>
        <v>307677.12858602317</v>
      </c>
      <c r="H83" s="115">
        <f ca="1"/>
        <v>445118.49068132346</v>
      </c>
      <c r="I83" s="115">
        <f ca="1"/>
        <v>507879.51573828061</v>
      </c>
      <c r="J83" s="115">
        <f ca="1"/>
        <v>494553.26975697203</v>
      </c>
      <c r="K83" s="115">
        <f ca="1"/>
        <v>445720.98393138964</v>
      </c>
      <c r="L83" s="115">
        <f ca="1"/>
        <v>384645.44246948941</v>
      </c>
      <c r="M83" s="115">
        <f ca="1"/>
        <v>319692.98919257772</v>
      </c>
      <c r="N83" s="3" t="s">
        <v>455</v>
      </c>
      <c r="Z83" s="171" t="s">
        <v>628</v>
      </c>
      <c r="AM83"/>
    </row>
    <row r="84" spans="1:39" s="4" customFormat="1" x14ac:dyDescent="0.2">
      <c r="A84" s="113" t="s">
        <v>617</v>
      </c>
      <c r="B84" s="115"/>
      <c r="C84" s="206">
        <v>0</v>
      </c>
      <c r="D84" s="115">
        <f ca="1" xml:space="preserve"> 0.5 * (TOTAL_E_CO2_0 + total_e_co2_1) * TIME_CO2_OCEAN_SHORT * (1 - EXP(-YP_1/TIME_CO2_OCEAN_SHORT)) * (PERCENT_CO2_OCEAN_SHORT/100)</f>
        <v>52691.502523715943</v>
      </c>
      <c r="E84" s="115">
        <f t="array" ref="E84:M84" ca="1" xml:space="preserve"> ocean_short_comp_co2_proj * EXP(-YP_NOT_1/TIME_CO2_OCEAN_SHORT) + 0.5*(total_e_co2 + total_e_co2_not_1) * TIME_CO2_OCEAN_SHORT * (1 - EXP(-YP_NOT_1/TIME_CO2_OCEAN_SHORT)) * (PERCENT_CO2_OCEAN_SHORT/100)</f>
        <v>105349.437379718</v>
      </c>
      <c r="F84" s="115">
        <f ca="1"/>
        <v>158880.82782038755</v>
      </c>
      <c r="G84" s="115">
        <f ca="1"/>
        <v>272893.25303661881</v>
      </c>
      <c r="H84" s="115">
        <f ca="1"/>
        <v>355601.55350504222</v>
      </c>
      <c r="I84" s="115">
        <f ca="1"/>
        <v>345611.44016066584</v>
      </c>
      <c r="J84" s="115">
        <f ca="1"/>
        <v>262181.95131731604</v>
      </c>
      <c r="K84" s="115">
        <f ca="1"/>
        <v>162744.1352920167</v>
      </c>
      <c r="L84" s="115">
        <f ca="1"/>
        <v>73977.128684344934</v>
      </c>
      <c r="M84" s="115">
        <f ca="1"/>
        <v>1397.3742452056176</v>
      </c>
      <c r="N84" s="3" t="s">
        <v>455</v>
      </c>
      <c r="Z84" s="171" t="s">
        <v>628</v>
      </c>
      <c r="AM84"/>
    </row>
    <row r="85" spans="1:39" s="4" customFormat="1" x14ac:dyDescent="0.2">
      <c r="A85" s="113" t="s">
        <v>609</v>
      </c>
      <c r="B85" s="115"/>
      <c r="C85" s="206">
        <v>0</v>
      </c>
      <c r="D85" s="115">
        <f ca="1" xml:space="preserve"> 0.5 * (TOTAL_E_CO2_0 + total_e_co2_1) * TIME_CO2_LAND * (1 - EXP(-YP_1/TIME_CO2_LAND)) * (PERCENT_CO2_LAND/100)</f>
        <v>33678.043484721369</v>
      </c>
      <c r="E85" s="115">
        <f t="array" ref="E85:M85" ca="1" xml:space="preserve"> land_comp_co2_proj * EXP(-YP_NOT_1/TIME_CO2_LAND) + 0.5*(total_e_co2 + total_e_co2_not_1) * TIME_CO2_LAND * (1 - EXP(-YP_NOT_1/TIME_CO2_LAND)) * (PERCENT_CO2_LAND/100)</f>
        <v>48562.270478400125</v>
      </c>
      <c r="F85" s="115">
        <f ca="1"/>
        <v>58215.65590247052</v>
      </c>
      <c r="G85" s="115">
        <f ca="1"/>
        <v>74423.604791046091</v>
      </c>
      <c r="H85" s="115">
        <f ca="1"/>
        <v>74680.056182784348</v>
      </c>
      <c r="I85" s="115">
        <f ca="1"/>
        <v>42393.478600628281</v>
      </c>
      <c r="J85" s="115">
        <f ca="1"/>
        <v>5273.0045016167805</v>
      </c>
      <c r="K85" s="115">
        <f ca="1"/>
        <v>-14771.546973868997</v>
      </c>
      <c r="L85" s="115">
        <f ca="1"/>
        <v>-23014.931854408638</v>
      </c>
      <c r="M85" s="115">
        <f ca="1"/>
        <v>-26465.98478577795</v>
      </c>
      <c r="N85" s="3" t="s">
        <v>455</v>
      </c>
      <c r="Z85" s="171" t="s">
        <v>628</v>
      </c>
      <c r="AM85"/>
    </row>
    <row r="86" spans="1:39" s="4" customFormat="1" x14ac:dyDescent="0.2">
      <c r="A86"/>
      <c r="B86"/>
      <c r="C86" s="1"/>
      <c r="D86" s="1"/>
      <c r="E86" s="1"/>
      <c r="F86" s="1"/>
      <c r="G86" s="1"/>
      <c r="H86" s="1"/>
      <c r="I86" s="1"/>
      <c r="J86" s="1"/>
      <c r="K86" s="1"/>
      <c r="L86" s="1"/>
      <c r="M86" s="1"/>
      <c r="N86"/>
      <c r="AM86"/>
    </row>
    <row r="87" spans="1:39" s="4" customFormat="1" x14ac:dyDescent="0.2">
      <c r="A87" s="58" t="s">
        <v>165</v>
      </c>
      <c r="C87" s="104">
        <f ca="1">RE_CO2_NO_CCF_0</f>
        <v>958304.75000000023</v>
      </c>
      <c r="D87" s="104">
        <f t="shared" ref="D87:M87" ca="1" si="0">SUM(D78:D85)</f>
        <v>1088677.5292050429</v>
      </c>
      <c r="E87" s="104">
        <f t="shared" ca="1" si="0"/>
        <v>1232578.5575413192</v>
      </c>
      <c r="F87" s="104">
        <f t="shared" ca="1" si="0"/>
        <v>1394073.3592802277</v>
      </c>
      <c r="G87" s="104">
        <f t="shared" ca="1" si="0"/>
        <v>1783565.2432746459</v>
      </c>
      <c r="H87" s="104">
        <f t="shared" ca="1" si="0"/>
        <v>2124103.0996527723</v>
      </c>
      <c r="I87" s="104">
        <f t="shared" ca="1" si="0"/>
        <v>2197812.6227037627</v>
      </c>
      <c r="J87" s="104">
        <f t="shared" ca="1" si="0"/>
        <v>2044890.6260213333</v>
      </c>
      <c r="K87" s="104">
        <f t="shared" ca="1" si="0"/>
        <v>1823750.4977462916</v>
      </c>
      <c r="L87" s="104">
        <f t="shared" ca="1" si="0"/>
        <v>1601203.2623626261</v>
      </c>
      <c r="M87" s="104">
        <f t="shared" ca="1" si="0"/>
        <v>1391792.5340056978</v>
      </c>
      <c r="N87" s="4" t="str">
        <f>'Base data'!$F$35</f>
        <v>Mtonne</v>
      </c>
    </row>
    <row r="88" spans="1:39" s="4" customFormat="1" x14ac:dyDescent="0.2">
      <c r="A88" s="58" t="s">
        <v>164</v>
      </c>
      <c r="C88" s="104">
        <f ca="1">PIC_CO2+EXC_CO2*(RE_CO2_NO_CCF_0/RE_CO2_0)</f>
        <v>400859.58333333337</v>
      </c>
      <c r="D88" s="28">
        <f t="array" ref="D88:M88" ca="1">PIC_CO2+EXC_CO2*(re_co2_no_ccff/RE_CO2_0)</f>
        <v>417574.04220577475</v>
      </c>
      <c r="E88" s="28">
        <f ca="1"/>
        <v>436022.89199247683</v>
      </c>
      <c r="F88" s="28">
        <f ca="1"/>
        <v>456727.35375387536</v>
      </c>
      <c r="G88" s="28">
        <f ca="1"/>
        <v>506662.21067623666</v>
      </c>
      <c r="H88" s="28">
        <f ca="1"/>
        <v>550320.91021189396</v>
      </c>
      <c r="I88" s="28">
        <f ca="1"/>
        <v>559770.84906458505</v>
      </c>
      <c r="J88" s="28">
        <f ca="1"/>
        <v>540165.46487452998</v>
      </c>
      <c r="K88" s="28">
        <f ca="1"/>
        <v>511814.16637772974</v>
      </c>
      <c r="L88" s="28">
        <f ca="1"/>
        <v>483282.46953367005</v>
      </c>
      <c r="M88" s="28">
        <f ca="1"/>
        <v>456434.94025714078</v>
      </c>
      <c r="N88" s="4" t="str">
        <f>'Base data'!$F$13</f>
        <v>ppb</v>
      </c>
    </row>
    <row r="89" spans="1:39" s="4" customFormat="1" x14ac:dyDescent="0.2">
      <c r="A89" s="58" t="s">
        <v>418</v>
      </c>
      <c r="B89" s="58" t="s">
        <v>419</v>
      </c>
      <c r="C89" s="202">
        <f ca="1">IF(CCF*(RT_G_0)&lt;CCFFMAX,CCF*(RT_G_0),CCFFMAX)</f>
        <v>0</v>
      </c>
      <c r="D89" s="26">
        <f t="array" ref="D89:M89" ca="1">IF(CCF*(rt_g)&lt;CCFFMAX,CCF*(rt_g),CCFFMAX)</f>
        <v>0</v>
      </c>
      <c r="E89" s="26">
        <f ca="1"/>
        <v>0</v>
      </c>
      <c r="F89" s="26">
        <f ca="1"/>
        <v>0</v>
      </c>
      <c r="G89" s="26">
        <f ca="1"/>
        <v>0</v>
      </c>
      <c r="H89" s="26">
        <f ca="1"/>
        <v>0</v>
      </c>
      <c r="I89" s="26">
        <f ca="1"/>
        <v>0</v>
      </c>
      <c r="J89" s="26">
        <f ca="1"/>
        <v>0</v>
      </c>
      <c r="K89" s="26">
        <f ca="1"/>
        <v>0</v>
      </c>
      <c r="L89" s="26">
        <f ca="1"/>
        <v>0</v>
      </c>
      <c r="M89" s="26">
        <f ca="1"/>
        <v>0</v>
      </c>
      <c r="N89" s="58" t="s">
        <v>38</v>
      </c>
    </row>
    <row r="90" spans="1:39" s="4" customFormat="1" x14ac:dyDescent="0.2">
      <c r="A90" s="58" t="s">
        <v>162</v>
      </c>
      <c r="B90" s="58" t="s">
        <v>163</v>
      </c>
      <c r="C90" s="104">
        <f ca="1">(C_CO2_NO_CCFF_0-PIC_CO2)*GAIN_0/100</f>
        <v>0</v>
      </c>
      <c r="D90" s="28">
        <f t="array" ref="D90:M90" ca="1">(c_co2_no_ccff-PIC_CO2)*gain/100</f>
        <v>0</v>
      </c>
      <c r="E90" s="28">
        <f ca="1"/>
        <v>0</v>
      </c>
      <c r="F90" s="28">
        <f ca="1"/>
        <v>0</v>
      </c>
      <c r="G90" s="28">
        <f ca="1"/>
        <v>0</v>
      </c>
      <c r="H90" s="28">
        <f ca="1"/>
        <v>0</v>
      </c>
      <c r="I90" s="28">
        <f ca="1"/>
        <v>0</v>
      </c>
      <c r="J90" s="28">
        <f ca="1"/>
        <v>0</v>
      </c>
      <c r="K90" s="28">
        <f ca="1"/>
        <v>0</v>
      </c>
      <c r="L90" s="28">
        <f ca="1"/>
        <v>0</v>
      </c>
      <c r="M90" s="28">
        <f ca="1"/>
        <v>0</v>
      </c>
      <c r="N90" s="4" t="str">
        <f>'Base data'!$F$13</f>
        <v>ppb</v>
      </c>
      <c r="Z90" s="124"/>
      <c r="AA90"/>
      <c r="AB90"/>
    </row>
    <row r="91" spans="1:39" s="4" customFormat="1" ht="15.75" x14ac:dyDescent="0.3">
      <c r="A91" s="58" t="s">
        <v>62</v>
      </c>
      <c r="B91" s="4" t="s">
        <v>63</v>
      </c>
      <c r="C91" s="28">
        <f>C_CO2_0</f>
        <v>400859.58333333337</v>
      </c>
      <c r="D91" s="28">
        <f t="array" ref="D91:M91" ca="1">c_co2_no_ccff+ccff</f>
        <v>417574.04220577475</v>
      </c>
      <c r="E91" s="28">
        <f ca="1"/>
        <v>436022.89199247683</v>
      </c>
      <c r="F91" s="28">
        <f ca="1"/>
        <v>456727.35375387536</v>
      </c>
      <c r="G91" s="28">
        <f ca="1"/>
        <v>506662.21067623666</v>
      </c>
      <c r="H91" s="28">
        <f ca="1"/>
        <v>550320.91021189396</v>
      </c>
      <c r="I91" s="28">
        <f ca="1"/>
        <v>559770.84906458505</v>
      </c>
      <c r="J91" s="28">
        <f ca="1"/>
        <v>540165.46487452998</v>
      </c>
      <c r="K91" s="28">
        <f ca="1"/>
        <v>511814.16637772974</v>
      </c>
      <c r="L91" s="28">
        <f ca="1"/>
        <v>483282.46953367005</v>
      </c>
      <c r="M91" s="28">
        <f ca="1"/>
        <v>456434.94025714078</v>
      </c>
      <c r="N91" s="4" t="str">
        <f>'Base data'!$F$13</f>
        <v>ppb</v>
      </c>
      <c r="O91" s="58"/>
      <c r="P91" s="58"/>
      <c r="Q91" s="58"/>
      <c r="R91" s="58"/>
      <c r="S91" s="58"/>
      <c r="T91" s="58"/>
      <c r="U91" s="58"/>
      <c r="V91" s="58"/>
      <c r="W91" s="58"/>
      <c r="X91" s="58"/>
      <c r="Z91" s="3"/>
      <c r="AA91"/>
      <c r="AB91" s="3"/>
    </row>
    <row r="92" spans="1:39" s="4" customFormat="1" ht="16.5" thickBot="1" x14ac:dyDescent="0.35">
      <c r="A92" s="6" t="s">
        <v>64</v>
      </c>
      <c r="B92" s="6" t="s">
        <v>65</v>
      </c>
      <c r="C92" s="35">
        <f>F_CO2_0</f>
        <v>1.68</v>
      </c>
      <c r="D92" s="35">
        <f t="array" ref="D92:M92" ca="1">F_CO2_0+FSLOPE_CO2*LN(c_co2/C_CO2_0)</f>
        <v>1.9046787148897844</v>
      </c>
      <c r="E92" s="35">
        <f ca="1"/>
        <v>2.1424595074418322</v>
      </c>
      <c r="F92" s="35">
        <f ca="1"/>
        <v>2.3976147716298435</v>
      </c>
      <c r="G92" s="35">
        <f ca="1"/>
        <v>2.9682833187541453</v>
      </c>
      <c r="H92" s="35">
        <f ca="1"/>
        <v>3.4228970979848201</v>
      </c>
      <c r="I92" s="35">
        <f ca="1"/>
        <v>3.5165396618406133</v>
      </c>
      <c r="J92" s="35">
        <f ca="1"/>
        <v>3.3204537012803184</v>
      </c>
      <c r="K92" s="35">
        <f ca="1"/>
        <v>3.0239272172063121</v>
      </c>
      <c r="L92" s="35">
        <f ca="1"/>
        <v>2.7084455831555418</v>
      </c>
      <c r="M92" s="35">
        <f ca="1"/>
        <v>2.3940923434753749</v>
      </c>
      <c r="N92" s="6" t="str">
        <f>'Base data'!$F$21</f>
        <v>W/m2</v>
      </c>
      <c r="O92" s="6"/>
      <c r="P92" s="6"/>
      <c r="Q92" s="6"/>
      <c r="R92" s="6"/>
      <c r="S92" s="6"/>
      <c r="T92" s="6"/>
      <c r="U92" s="6"/>
      <c r="V92" s="6"/>
      <c r="W92" s="6"/>
      <c r="X92" s="6"/>
      <c r="Z92" s="3"/>
      <c r="AB92" s="3"/>
      <c r="AM92" s="59"/>
    </row>
    <row r="93" spans="1:39" s="4" customFormat="1" ht="13.5" thickTop="1" x14ac:dyDescent="0.2">
      <c r="A93" s="6"/>
      <c r="B93" s="6"/>
      <c r="C93" s="6"/>
      <c r="D93" s="6"/>
      <c r="E93" s="6"/>
      <c r="F93" s="6"/>
      <c r="G93" s="6"/>
      <c r="H93" s="6"/>
      <c r="I93" s="6"/>
      <c r="J93" s="6"/>
      <c r="K93" s="6"/>
      <c r="L93" s="6"/>
      <c r="M93" s="6"/>
      <c r="N93" s="6"/>
      <c r="O93" s="6"/>
      <c r="P93" s="6"/>
      <c r="Q93" s="6"/>
      <c r="R93" s="6"/>
      <c r="S93" s="6"/>
      <c r="T93" s="6"/>
      <c r="U93" s="6"/>
      <c r="V93" s="6"/>
      <c r="W93" s="6"/>
      <c r="X93" s="6"/>
      <c r="Z93"/>
      <c r="AA93"/>
      <c r="AB93"/>
    </row>
    <row r="94" spans="1:39" s="6" customFormat="1" ht="15.75" x14ac:dyDescent="0.3">
      <c r="A94" s="4" t="s">
        <v>61</v>
      </c>
      <c r="B94" s="58" t="s">
        <v>170</v>
      </c>
      <c r="C94" s="27">
        <f>STIM_CH4*RT_G_0</f>
        <v>0</v>
      </c>
      <c r="D94" s="27">
        <f t="array" ref="D94:M94" ca="1">STIM_CH4*rt_g</f>
        <v>0</v>
      </c>
      <c r="E94" s="27">
        <f ca="1"/>
        <v>0</v>
      </c>
      <c r="F94" s="27">
        <f ca="1"/>
        <v>0</v>
      </c>
      <c r="G94" s="27">
        <f ca="1"/>
        <v>0</v>
      </c>
      <c r="H94" s="27">
        <f ca="1"/>
        <v>0</v>
      </c>
      <c r="I94" s="27">
        <f ca="1"/>
        <v>0</v>
      </c>
      <c r="J94" s="27">
        <f ca="1"/>
        <v>0</v>
      </c>
      <c r="K94" s="27">
        <f ca="1"/>
        <v>0</v>
      </c>
      <c r="L94" s="27">
        <f ca="1"/>
        <v>0</v>
      </c>
      <c r="M94" s="27">
        <f ca="1"/>
        <v>0</v>
      </c>
      <c r="N94" s="4" t="s">
        <v>566</v>
      </c>
      <c r="O94" s="4"/>
      <c r="P94" s="4"/>
      <c r="Q94" s="4"/>
      <c r="R94" s="4"/>
      <c r="S94" s="4"/>
      <c r="T94" s="4"/>
      <c r="U94" s="4"/>
      <c r="V94" s="4"/>
      <c r="W94" s="4"/>
      <c r="X94" s="4"/>
      <c r="Z94" s="57"/>
      <c r="AA94"/>
      <c r="AB94"/>
    </row>
    <row r="95" spans="1:39" s="6" customFormat="1" ht="15.75" x14ac:dyDescent="0.3">
      <c r="A95" s="58" t="s">
        <v>447</v>
      </c>
      <c r="B95" s="4" t="s">
        <v>56</v>
      </c>
      <c r="C95" s="28">
        <f>(E_CH4_G_0)*AIR_CH4/100</f>
        <v>388.04551912411659</v>
      </c>
      <c r="D95" s="28">
        <f t="array" ref="D95:M95">(e_ch4_g)*AIR_CH4/100</f>
        <v>397.41927027557637</v>
      </c>
      <c r="E95" s="28">
        <v>425.63209302437929</v>
      </c>
      <c r="F95" s="28">
        <v>453.84491577318227</v>
      </c>
      <c r="G95" s="28">
        <v>540.35449061585257</v>
      </c>
      <c r="H95" s="28">
        <v>259.7442049999525</v>
      </c>
      <c r="I95" s="28">
        <v>163.45023337614515</v>
      </c>
      <c r="J95" s="28">
        <v>139.09832857681477</v>
      </c>
      <c r="K95" s="28">
        <v>128.49571310947351</v>
      </c>
      <c r="L95" s="28">
        <v>117.91809156713411</v>
      </c>
      <c r="M95" s="28">
        <v>108.42964093981749</v>
      </c>
      <c r="N95" s="4" t="s">
        <v>566</v>
      </c>
      <c r="O95" s="4"/>
      <c r="P95" s="4"/>
      <c r="Q95" s="4"/>
      <c r="R95" s="4"/>
      <c r="S95" s="4"/>
      <c r="T95" s="4"/>
      <c r="U95" s="4"/>
      <c r="V95" s="4"/>
      <c r="W95" s="4"/>
      <c r="X95" s="4"/>
    </row>
    <row r="96" spans="1:39" s="6" customFormat="1" x14ac:dyDescent="0.2">
      <c r="A96" s="118" t="s">
        <v>446</v>
      </c>
      <c r="B96" s="116"/>
      <c r="C96" s="104"/>
      <c r="D96" s="104">
        <f ca="1">(NTE_CH4_0+nte_ch4)*(AIR_CH4/100)*YP_1/2</f>
        <v>0</v>
      </c>
      <c r="E96" s="104">
        <f t="array" ref="E96:M96" ca="1">(nte_ch4+nte_ch4_not_1)*(AIR_CH4/100)*YP_NOT_1/2</f>
        <v>0</v>
      </c>
      <c r="F96" s="104">
        <f ca="1"/>
        <v>0</v>
      </c>
      <c r="G96" s="104">
        <f ca="1"/>
        <v>0</v>
      </c>
      <c r="H96" s="104">
        <f ca="1"/>
        <v>0</v>
      </c>
      <c r="I96" s="104">
        <f ca="1"/>
        <v>0</v>
      </c>
      <c r="J96" s="104">
        <f ca="1"/>
        <v>0</v>
      </c>
      <c r="K96" s="104">
        <f ca="1"/>
        <v>0</v>
      </c>
      <c r="L96" s="104">
        <f ca="1"/>
        <v>0</v>
      </c>
      <c r="M96" s="104">
        <f ca="1"/>
        <v>0</v>
      </c>
      <c r="N96" s="4" t="str">
        <f>'Base data'!$G$35</f>
        <v>Mtonne</v>
      </c>
      <c r="O96" s="4"/>
      <c r="P96" s="4"/>
      <c r="Q96" s="4"/>
      <c r="R96" s="4"/>
      <c r="S96" s="4"/>
      <c r="T96" s="4"/>
      <c r="U96" s="4"/>
      <c r="V96" s="4"/>
      <c r="W96" s="4"/>
      <c r="X96" s="4"/>
      <c r="AM96" s="4"/>
    </row>
    <row r="97" spans="1:30" s="4" customFormat="1" x14ac:dyDescent="0.2">
      <c r="A97" s="118" t="s">
        <v>444</v>
      </c>
      <c r="B97" s="116"/>
      <c r="C97" s="116"/>
      <c r="D97" s="104">
        <f>(TEA_CH4_0+tea_ch4)*YP_1/2</f>
        <v>1963.6619734992325</v>
      </c>
      <c r="E97" s="104">
        <f t="array" ref="E97:M97">(tea_ch4+tea_ch4_not_1)*YP_NOT_1/2</f>
        <v>2057.6284082498892</v>
      </c>
      <c r="F97" s="104">
        <v>2198.6925219939039</v>
      </c>
      <c r="G97" s="104">
        <v>4970.9970319451741</v>
      </c>
      <c r="H97" s="104">
        <v>4000.4934780790254</v>
      </c>
      <c r="I97" s="104">
        <v>2115.972191880488</v>
      </c>
      <c r="J97" s="104">
        <v>1512.7428097647996</v>
      </c>
      <c r="K97" s="104">
        <v>1337.9702084314413</v>
      </c>
      <c r="L97" s="104">
        <v>1232.0690233830383</v>
      </c>
      <c r="M97" s="104">
        <v>1131.7386625347581</v>
      </c>
      <c r="N97" s="4" t="str">
        <f>'Base data'!$G$35</f>
        <v>Mtonne</v>
      </c>
    </row>
    <row r="98" spans="1:30" s="4" customFormat="1" x14ac:dyDescent="0.2">
      <c r="A98" s="118" t="s">
        <v>445</v>
      </c>
      <c r="B98" s="118"/>
      <c r="C98" s="116"/>
      <c r="D98" s="115">
        <f ca="1" xml:space="preserve"> (perm_tot_ce_ch4_1 - PERM_TOT_CE_CH4_0) * (AIR_CH4/100)</f>
        <v>58.942388782432431</v>
      </c>
      <c r="E98" s="115">
        <f t="array" ref="E98:M98" ca="1" xml:space="preserve"> (perm_tot_ce_ch4_not_1 - perm_tot_ce_ch4) * (AIR_CH4/100)</f>
        <v>68.147645395786412</v>
      </c>
      <c r="F98" s="115">
        <f ca="1"/>
        <v>77.951131002004786</v>
      </c>
      <c r="G98" s="115">
        <f ca="1"/>
        <v>204.08239912903696</v>
      </c>
      <c r="H98" s="115">
        <f ca="1"/>
        <v>264.39888195206163</v>
      </c>
      <c r="I98" s="115">
        <f ca="1"/>
        <v>280.94875144001639</v>
      </c>
      <c r="J98" s="115">
        <f ca="1"/>
        <v>287.52449863360494</v>
      </c>
      <c r="K98" s="115">
        <f ca="1"/>
        <v>266.15521193095901</v>
      </c>
      <c r="L98" s="115">
        <f ca="1"/>
        <v>251.11662357793011</v>
      </c>
      <c r="M98" s="115">
        <f ca="1"/>
        <v>233.36209383700589</v>
      </c>
      <c r="N98" s="3" t="s">
        <v>264</v>
      </c>
      <c r="Z98" s="124" t="s">
        <v>863</v>
      </c>
    </row>
    <row r="99" spans="1:30" s="4" customFormat="1" ht="15.75" x14ac:dyDescent="0.3">
      <c r="A99" s="113" t="s">
        <v>448</v>
      </c>
      <c r="B99" s="116" t="s">
        <v>58</v>
      </c>
      <c r="C99" s="115"/>
      <c r="D99" s="104">
        <f t="array" ref="D99:M99" ca="1">natur_teay_ch4+anthr_teay_ch4+perm_teay_ch4</f>
        <v>2022.6043622816651</v>
      </c>
      <c r="E99" s="104">
        <f ca="1"/>
        <v>2125.7760536456753</v>
      </c>
      <c r="F99" s="104">
        <f ca="1"/>
        <v>2276.6436529959087</v>
      </c>
      <c r="G99" s="104">
        <f ca="1"/>
        <v>5175.0794310742112</v>
      </c>
      <c r="H99" s="104">
        <f ca="1"/>
        <v>4264.8923600310873</v>
      </c>
      <c r="I99" s="104">
        <f ca="1"/>
        <v>2396.9209433205042</v>
      </c>
      <c r="J99" s="104">
        <f ca="1"/>
        <v>1800.2673083984046</v>
      </c>
      <c r="K99" s="104">
        <f ca="1"/>
        <v>1604.1254203624003</v>
      </c>
      <c r="L99" s="104">
        <f ca="1"/>
        <v>1483.1856469609684</v>
      </c>
      <c r="M99" s="104">
        <f ca="1"/>
        <v>1365.100756371764</v>
      </c>
      <c r="N99" s="3" t="s">
        <v>264</v>
      </c>
    </row>
    <row r="100" spans="1:30" s="4" customFormat="1" x14ac:dyDescent="0.2">
      <c r="A100" s="6" t="s">
        <v>66</v>
      </c>
      <c r="B100" s="6"/>
      <c r="C100" s="6"/>
      <c r="D100" s="26">
        <f t="array" ref="D100:M100">EXP(-(YP/RES_CH4))</f>
        <v>0.62114515761545153</v>
      </c>
      <c r="E100" s="26">
        <v>0.62114515761545153</v>
      </c>
      <c r="F100" s="26">
        <v>0.62114515761545153</v>
      </c>
      <c r="G100" s="26">
        <v>0.38582130682912413</v>
      </c>
      <c r="H100" s="26">
        <v>0.38582130682912413</v>
      </c>
      <c r="I100" s="26">
        <v>0.38582130682912413</v>
      </c>
      <c r="J100" s="26">
        <v>0.38582130682912413</v>
      </c>
      <c r="K100" s="26">
        <v>0.38582130682912413</v>
      </c>
      <c r="L100" s="26">
        <v>0.38582130682912413</v>
      </c>
      <c r="M100" s="26">
        <v>0.38582130682912413</v>
      </c>
      <c r="N100" s="6"/>
      <c r="O100" s="6"/>
      <c r="P100" s="6"/>
      <c r="Q100" s="6"/>
      <c r="R100" s="6"/>
      <c r="S100" s="6"/>
      <c r="T100" s="6"/>
      <c r="U100" s="6"/>
      <c r="V100" s="6"/>
      <c r="W100" s="6"/>
      <c r="X100" s="6"/>
    </row>
    <row r="101" spans="1:30" s="4" customFormat="1" x14ac:dyDescent="0.2">
      <c r="A101" s="4" t="s">
        <v>67</v>
      </c>
      <c r="D101" s="28">
        <f>RE_CH4_0*EXPF_CH4</f>
        <v>1904.6422426025633</v>
      </c>
      <c r="E101" s="28">
        <f t="array" ref="E101:M101" ca="1">re_ch4*EXPF_CH4_NOT_1</f>
        <v>2182.5901049960416</v>
      </c>
      <c r="F101" s="28">
        <f ca="1"/>
        <v>2406.2214691695431</v>
      </c>
      <c r="G101" s="28">
        <f ca="1"/>
        <v>1627.2045102567984</v>
      </c>
      <c r="H101" s="28">
        <f ca="1"/>
        <v>1915.4288633989361</v>
      </c>
      <c r="I101" s="28">
        <f ca="1"/>
        <v>1800.1670521148028</v>
      </c>
      <c r="J101" s="28">
        <f ca="1"/>
        <v>1290.9240297785745</v>
      </c>
      <c r="K101" s="28">
        <f ca="1"/>
        <v>945.99300274848497</v>
      </c>
      <c r="L101" s="28">
        <f ca="1"/>
        <v>764.1089278586328</v>
      </c>
      <c r="M101" s="28">
        <f ca="1"/>
        <v>663.84298359019067</v>
      </c>
      <c r="N101" s="4" t="str">
        <f>'Base data'!$G$35</f>
        <v>Mtonne</v>
      </c>
    </row>
    <row r="102" spans="1:30" s="6" customFormat="1" x14ac:dyDescent="0.2">
      <c r="A102" s="4" t="s">
        <v>68</v>
      </c>
      <c r="B102" s="4"/>
      <c r="C102" s="4"/>
      <c r="D102" s="14">
        <f t="array" ref="D102:M102" ca="1">teay_ch4*RES_CH4*(1-EXPF_CH4)/YP</f>
        <v>1609.1742594448929</v>
      </c>
      <c r="E102" s="14">
        <f ca="1"/>
        <v>1691.2571586724378</v>
      </c>
      <c r="F102" s="14">
        <f ca="1"/>
        <v>1811.2866918752502</v>
      </c>
      <c r="G102" s="14">
        <f ca="1"/>
        <v>3337.3446981342713</v>
      </c>
      <c r="H102" s="14">
        <f ca="1"/>
        <v>2750.376317008263</v>
      </c>
      <c r="I102" s="14">
        <f ca="1"/>
        <v>1545.744661232615</v>
      </c>
      <c r="J102" s="14">
        <f ca="1"/>
        <v>1160.9701139719014</v>
      </c>
      <c r="K102" s="14">
        <f ca="1"/>
        <v>1034.480637078379</v>
      </c>
      <c r="L102" s="14">
        <f ca="1"/>
        <v>956.48807349930212</v>
      </c>
      <c r="M102" s="14">
        <f ca="1"/>
        <v>880.33658852473343</v>
      </c>
      <c r="N102" s="4" t="str">
        <f>'Base data'!$G$35</f>
        <v>Mtonne</v>
      </c>
      <c r="O102" s="4"/>
      <c r="P102" s="4"/>
      <c r="Q102" s="4"/>
      <c r="R102" s="4"/>
      <c r="S102" s="4"/>
      <c r="T102" s="4"/>
      <c r="U102" s="4"/>
      <c r="V102" s="4"/>
      <c r="W102" s="4"/>
      <c r="X102" s="4"/>
    </row>
    <row r="103" spans="1:30" s="4" customFormat="1" ht="15.75" x14ac:dyDescent="0.3">
      <c r="A103" s="4" t="s">
        <v>52</v>
      </c>
      <c r="B103" s="4" t="s">
        <v>53</v>
      </c>
      <c r="C103" s="14">
        <f>RE_CH4_0</f>
        <v>3066.3399999999997</v>
      </c>
      <c r="D103" s="14">
        <f t="shared" ref="D103:M103" ca="1" si="1">SUM(D101:D102)</f>
        <v>3513.8165020474562</v>
      </c>
      <c r="E103" s="14">
        <f t="shared" ca="1" si="1"/>
        <v>3873.8472636684792</v>
      </c>
      <c r="F103" s="14">
        <f t="shared" ca="1" si="1"/>
        <v>4217.5081610447933</v>
      </c>
      <c r="G103" s="14">
        <f t="shared" ca="1" si="1"/>
        <v>4964.5492083910694</v>
      </c>
      <c r="H103" s="14">
        <f t="shared" ca="1" si="1"/>
        <v>4665.8051804071993</v>
      </c>
      <c r="I103" s="14">
        <f t="shared" ca="1" si="1"/>
        <v>3345.9117133474178</v>
      </c>
      <c r="J103" s="14">
        <f t="shared" ca="1" si="1"/>
        <v>2451.8941437504759</v>
      </c>
      <c r="K103" s="14">
        <f t="shared" ca="1" si="1"/>
        <v>1980.473639826864</v>
      </c>
      <c r="L103" s="14">
        <f t="shared" ca="1" si="1"/>
        <v>1720.5970013579349</v>
      </c>
      <c r="M103" s="14">
        <f t="shared" ca="1" si="1"/>
        <v>1544.1795721149242</v>
      </c>
      <c r="N103" s="4" t="str">
        <f>'Base data'!$G$35</f>
        <v>Mtonne</v>
      </c>
      <c r="AC103"/>
      <c r="AD103"/>
    </row>
    <row r="104" spans="1:30" s="4" customFormat="1" ht="15.75" x14ac:dyDescent="0.3">
      <c r="A104" s="4" t="s">
        <v>69</v>
      </c>
      <c r="B104" s="4" t="s">
        <v>70</v>
      </c>
      <c r="C104" s="14">
        <f>C_CH4_0</f>
        <v>1803</v>
      </c>
      <c r="D104" s="14">
        <f t="array" ref="D104:M104" ca="1">PIC_CH4+EXC_CH4*(re_ch4/RE_CH4_0)</f>
        <v>1963.9627705206678</v>
      </c>
      <c r="E104" s="14">
        <f ca="1"/>
        <v>2093.4702387296688</v>
      </c>
      <c r="F104" s="14">
        <f ca="1"/>
        <v>2217.0892665628753</v>
      </c>
      <c r="G104" s="14">
        <f ca="1"/>
        <v>2485.8090677665718</v>
      </c>
      <c r="H104" s="14">
        <f ca="1"/>
        <v>2378.3471871968341</v>
      </c>
      <c r="I104" s="14">
        <f ca="1"/>
        <v>1903.5653645134598</v>
      </c>
      <c r="J104" s="14">
        <f ca="1"/>
        <v>1581.9763107016101</v>
      </c>
      <c r="K104" s="14">
        <f ca="1"/>
        <v>1412.4005898657786</v>
      </c>
      <c r="L104" s="14">
        <f ca="1"/>
        <v>1318.9197846611278</v>
      </c>
      <c r="M104" s="14">
        <f ca="1"/>
        <v>1255.4602777391815</v>
      </c>
      <c r="N104" s="4" t="str">
        <f>'Base data'!$F$19</f>
        <v>ppb</v>
      </c>
    </row>
    <row r="105" spans="1:30" s="4" customFormat="1" ht="13.5" thickBot="1" x14ac:dyDescent="0.25">
      <c r="A105" s="6" t="s">
        <v>157</v>
      </c>
      <c r="B105" s="6"/>
      <c r="C105" s="35">
        <f>F_CH4_0</f>
        <v>0.48</v>
      </c>
      <c r="D105" s="35">
        <f t="array" ref="D105:M105" ca="1">F_CH4_0+FSLOPE_CH4*(SQRT(c_ch4)-SQRT(C_CH4_0))</f>
        <v>0.5467753950054699</v>
      </c>
      <c r="E105" s="35">
        <f ca="1"/>
        <v>0.59853750430282993</v>
      </c>
      <c r="F105" s="35">
        <f ca="1"/>
        <v>0.64647227627973769</v>
      </c>
      <c r="G105" s="35">
        <f ca="1"/>
        <v>0.7462610842939208</v>
      </c>
      <c r="H105" s="35">
        <f ca="1"/>
        <v>0.70703592808018123</v>
      </c>
      <c r="I105" s="35">
        <f ca="1"/>
        <v>0.52205233123008477</v>
      </c>
      <c r="J105" s="35">
        <f ca="1"/>
        <v>0.38324345931814352</v>
      </c>
      <c r="K105" s="35">
        <f ca="1"/>
        <v>0.30432615235624871</v>
      </c>
      <c r="L105" s="35">
        <f ca="1"/>
        <v>0.25878675867937884</v>
      </c>
      <c r="M105" s="35">
        <f ca="1"/>
        <v>0.22694618682115336</v>
      </c>
      <c r="N105" s="6" t="str">
        <f>'Base data'!$F$21</f>
        <v>W/m2</v>
      </c>
      <c r="O105" s="6"/>
      <c r="P105" s="6"/>
      <c r="Q105" s="6"/>
      <c r="R105" s="6"/>
      <c r="S105" s="6"/>
      <c r="T105" s="6"/>
      <c r="U105" s="6"/>
      <c r="V105" s="6"/>
      <c r="W105" s="6"/>
      <c r="X105" s="6"/>
    </row>
    <row r="106" spans="1:30" s="4" customFormat="1" ht="13.5" thickTop="1"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row>
    <row r="107" spans="1:30" s="6" customFormat="1" ht="15.75" x14ac:dyDescent="0.3">
      <c r="A107" s="4" t="s">
        <v>146</v>
      </c>
      <c r="B107" s="58" t="s">
        <v>171</v>
      </c>
      <c r="C107" s="27">
        <f>STIM_N2O*RT_G_0</f>
        <v>0</v>
      </c>
      <c r="D107" s="27">
        <f t="array" ref="D107:M107" ca="1">STIM_N2O*rt_g</f>
        <v>0</v>
      </c>
      <c r="E107" s="27">
        <f ca="1"/>
        <v>0</v>
      </c>
      <c r="F107" s="27">
        <f ca="1"/>
        <v>0</v>
      </c>
      <c r="G107" s="27">
        <f ca="1"/>
        <v>0</v>
      </c>
      <c r="H107" s="27">
        <f ca="1"/>
        <v>0</v>
      </c>
      <c r="I107" s="27">
        <f ca="1"/>
        <v>0</v>
      </c>
      <c r="J107" s="27">
        <f ca="1"/>
        <v>0</v>
      </c>
      <c r="K107" s="27">
        <f ca="1"/>
        <v>0</v>
      </c>
      <c r="L107" s="27">
        <f ca="1"/>
        <v>0</v>
      </c>
      <c r="M107" s="27">
        <f ca="1"/>
        <v>0</v>
      </c>
      <c r="N107" s="4" t="s">
        <v>566</v>
      </c>
      <c r="O107" s="4"/>
      <c r="P107" s="4"/>
      <c r="Q107" s="4"/>
      <c r="R107" s="4"/>
      <c r="S107" s="4"/>
      <c r="T107" s="4"/>
      <c r="U107" s="4"/>
      <c r="V107" s="4"/>
      <c r="W107" s="4"/>
      <c r="X107" s="4"/>
    </row>
    <row r="108" spans="1:30" s="6" customFormat="1" ht="15.75" x14ac:dyDescent="0.3">
      <c r="A108" s="4" t="s">
        <v>147</v>
      </c>
      <c r="B108" s="58" t="s">
        <v>118</v>
      </c>
      <c r="C108" s="28">
        <f>(E_N2O_G_0+NTE_N2O_0)*AIR_N2O/100</f>
        <v>10.899999719202661</v>
      </c>
      <c r="D108" s="28">
        <f t="array" ref="D108:M108" ca="1">(e_n2o_g+nte_n2o)*AIR_N2O/100</f>
        <v>11.732671526299519</v>
      </c>
      <c r="E108" s="28">
        <f ca="1"/>
        <v>12.189718147026037</v>
      </c>
      <c r="F108" s="28">
        <f ca="1"/>
        <v>12.646764767752556</v>
      </c>
      <c r="G108" s="28">
        <f ca="1"/>
        <v>13.379859283858446</v>
      </c>
      <c r="H108" s="28">
        <f ca="1"/>
        <v>9.6982973087235251</v>
      </c>
      <c r="I108" s="28">
        <f ca="1"/>
        <v>12.211510423082141</v>
      </c>
      <c r="J108" s="28">
        <f ca="1"/>
        <v>12.770251217687694</v>
      </c>
      <c r="K108" s="28">
        <f ca="1"/>
        <v>12.33512768223201</v>
      </c>
      <c r="L108" s="28">
        <f ca="1"/>
        <v>11.840113494984177</v>
      </c>
      <c r="M108" s="28">
        <f ca="1"/>
        <v>11.485299204124631</v>
      </c>
      <c r="N108" s="4" t="s">
        <v>566</v>
      </c>
      <c r="O108" s="4"/>
      <c r="P108" s="4"/>
      <c r="Q108" s="4"/>
      <c r="R108" s="4"/>
      <c r="S108" s="4"/>
      <c r="T108" s="4"/>
      <c r="U108" s="4"/>
      <c r="V108" s="4"/>
      <c r="W108" s="4"/>
      <c r="X108" s="4"/>
    </row>
    <row r="109" spans="1:30" s="4" customFormat="1" ht="15.75" x14ac:dyDescent="0.3">
      <c r="A109" s="4" t="s">
        <v>148</v>
      </c>
      <c r="B109" s="58" t="s">
        <v>119</v>
      </c>
      <c r="D109" s="28">
        <f ca="1">(TEA_N2O_0+tea_n2o)*YP_1/2</f>
        <v>56.581678113755451</v>
      </c>
      <c r="E109" s="28">
        <f t="array" ref="E109:M109" ca="1">(tea_n2o+tea_n2o_not_1)*YP_NOT_1/2</f>
        <v>59.805974183313886</v>
      </c>
      <c r="F109" s="28">
        <f ca="1"/>
        <v>62.091207286946485</v>
      </c>
      <c r="G109" s="28">
        <f ca="1"/>
        <v>130.13312025805502</v>
      </c>
      <c r="H109" s="28">
        <f ca="1"/>
        <v>115.39078296290984</v>
      </c>
      <c r="I109" s="28">
        <f ca="1"/>
        <v>109.54903865902833</v>
      </c>
      <c r="J109" s="28">
        <f ca="1"/>
        <v>124.90880820384916</v>
      </c>
      <c r="K109" s="28">
        <f ca="1"/>
        <v>125.52689449959851</v>
      </c>
      <c r="L109" s="28">
        <f ca="1"/>
        <v>120.87620588608092</v>
      </c>
      <c r="M109" s="28">
        <f ca="1"/>
        <v>116.62706349554405</v>
      </c>
      <c r="N109" s="4" t="str">
        <f>'Base data'!$G$35</f>
        <v>Mtonne</v>
      </c>
    </row>
    <row r="110" spans="1:30" s="4" customFormat="1" x14ac:dyDescent="0.2">
      <c r="A110" s="6" t="s">
        <v>149</v>
      </c>
      <c r="B110" s="6"/>
      <c r="C110" s="6"/>
      <c r="D110" s="26">
        <f t="array" ref="D110:M110">EXP(-(YP/RES_N2O))</f>
        <v>0.95708827622606829</v>
      </c>
      <c r="E110" s="26">
        <v>0.95708827622606829</v>
      </c>
      <c r="F110" s="26">
        <v>0.95708827622606829</v>
      </c>
      <c r="G110" s="26">
        <v>0.91601796848938666</v>
      </c>
      <c r="H110" s="26">
        <v>0.91601796848938666</v>
      </c>
      <c r="I110" s="26">
        <v>0.91601796848938666</v>
      </c>
      <c r="J110" s="26">
        <v>0.91601796848938666</v>
      </c>
      <c r="K110" s="26">
        <v>0.91601796848938666</v>
      </c>
      <c r="L110" s="26">
        <v>0.91601796848938666</v>
      </c>
      <c r="M110" s="26">
        <v>0.91601796848938666</v>
      </c>
      <c r="N110" s="6"/>
      <c r="O110" s="6"/>
      <c r="P110" s="6"/>
      <c r="Q110" s="6"/>
      <c r="R110" s="6"/>
      <c r="S110" s="6"/>
      <c r="T110" s="6"/>
      <c r="U110" s="6"/>
      <c r="V110" s="6"/>
      <c r="W110" s="6"/>
      <c r="X110" s="6"/>
    </row>
    <row r="111" spans="1:30" s="4" customFormat="1" x14ac:dyDescent="0.2">
      <c r="A111" s="4" t="s">
        <v>150</v>
      </c>
      <c r="D111" s="28">
        <f>RE_N2O_0*EXPF_N2O</f>
        <v>403.12558194641997</v>
      </c>
      <c r="E111" s="28">
        <f t="array" ref="E111:M111" ca="1">re_n2o*EXPF_N2O_NOT_1</f>
        <v>438.81002238621699</v>
      </c>
      <c r="F111" s="28">
        <f ca="1"/>
        <v>475.98242254012348</v>
      </c>
      <c r="G111" s="28">
        <f ca="1"/>
        <v>491.65585518495345</v>
      </c>
      <c r="H111" s="28">
        <f ca="1"/>
        <v>564.49119489598877</v>
      </c>
      <c r="I111" s="28">
        <f ca="1"/>
        <v>618.28077519714236</v>
      </c>
      <c r="J111" s="28">
        <f ca="1"/>
        <v>662.42983910566159</v>
      </c>
      <c r="K111" s="28">
        <f ca="1"/>
        <v>716.34155718332715</v>
      </c>
      <c r="L111" s="28">
        <f ca="1"/>
        <v>766.26771587752603</v>
      </c>
      <c r="M111" s="28">
        <f ca="1"/>
        <v>807.92236149621215</v>
      </c>
      <c r="N111" s="4" t="str">
        <f>'Base data'!$G$35</f>
        <v>Mtonne</v>
      </c>
    </row>
    <row r="112" spans="1:30" s="6" customFormat="1" x14ac:dyDescent="0.2">
      <c r="A112" s="4" t="s">
        <v>151</v>
      </c>
      <c r="B112" s="4"/>
      <c r="C112" s="4"/>
      <c r="D112" s="14">
        <f t="array" ref="D112:M112" ca="1">teay_n2o*RES_N2O*(1-EXPF_N2O)/YP</f>
        <v>55.358795394932201</v>
      </c>
      <c r="E112" s="14">
        <f ca="1"/>
        <v>58.513405727423859</v>
      </c>
      <c r="F112" s="14">
        <f ca="1"/>
        <v>60.749248778232335</v>
      </c>
      <c r="G112" s="14">
        <f ca="1"/>
        <v>124.58881938938509</v>
      </c>
      <c r="H112" s="14">
        <f ca="1"/>
        <v>110.47457702741001</v>
      </c>
      <c r="I112" s="14">
        <f ca="1"/>
        <v>104.88171930946706</v>
      </c>
      <c r="J112" s="14">
        <f ca="1"/>
        <v>119.58708831842853</v>
      </c>
      <c r="K112" s="14">
        <f ca="1"/>
        <v>120.17884114595979</v>
      </c>
      <c r="L112" s="14">
        <f ca="1"/>
        <v>115.72629438033387</v>
      </c>
      <c r="M112" s="14">
        <f ca="1"/>
        <v>111.65818602479314</v>
      </c>
      <c r="N112" s="4" t="str">
        <f>'Base data'!$G$35</f>
        <v>Mtonne</v>
      </c>
      <c r="O112" s="4"/>
      <c r="P112" s="4"/>
      <c r="Q112" s="4"/>
      <c r="R112" s="4"/>
      <c r="S112" s="4"/>
      <c r="T112" s="4"/>
      <c r="U112" s="4"/>
      <c r="V112" s="4"/>
      <c r="W112" s="4"/>
      <c r="X112" s="4"/>
    </row>
    <row r="113" spans="1:24" s="4" customFormat="1" ht="15.75" x14ac:dyDescent="0.3">
      <c r="A113" s="4" t="s">
        <v>152</v>
      </c>
      <c r="B113" s="58" t="s">
        <v>120</v>
      </c>
      <c r="C113" s="14">
        <f>RE_N2O_0</f>
        <v>421.2</v>
      </c>
      <c r="D113" s="14">
        <f t="shared" ref="D113:M113" ca="1" si="2">SUM(D111:D112)</f>
        <v>458.48437734135217</v>
      </c>
      <c r="E113" s="14">
        <f t="shared" ca="1" si="2"/>
        <v>497.32342811364083</v>
      </c>
      <c r="F113" s="14">
        <f t="shared" ca="1" si="2"/>
        <v>536.73167131835578</v>
      </c>
      <c r="G113" s="14">
        <f t="shared" ca="1" si="2"/>
        <v>616.24467457433855</v>
      </c>
      <c r="H113" s="14">
        <f t="shared" ca="1" si="2"/>
        <v>674.96577192339873</v>
      </c>
      <c r="I113" s="14">
        <f t="shared" ca="1" si="2"/>
        <v>723.16249450660939</v>
      </c>
      <c r="J113" s="14">
        <f t="shared" ca="1" si="2"/>
        <v>782.01692742409011</v>
      </c>
      <c r="K113" s="14">
        <f t="shared" ca="1" si="2"/>
        <v>836.52039832928699</v>
      </c>
      <c r="L113" s="14">
        <f t="shared" ca="1" si="2"/>
        <v>881.99401025785994</v>
      </c>
      <c r="M113" s="14">
        <f t="shared" ca="1" si="2"/>
        <v>919.58054752100531</v>
      </c>
      <c r="N113" s="4" t="str">
        <f>'Base data'!$G$35</f>
        <v>Mtonne</v>
      </c>
    </row>
    <row r="114" spans="1:24" s="4" customFormat="1" ht="15.75" x14ac:dyDescent="0.3">
      <c r="A114" s="4" t="s">
        <v>153</v>
      </c>
      <c r="B114" s="58" t="s">
        <v>121</v>
      </c>
      <c r="C114" s="14">
        <f>C_N2O_0</f>
        <v>324</v>
      </c>
      <c r="D114" s="14">
        <f t="array" ref="D114:M114" ca="1">PIC_N2O+EXC_N2O*(re_n2o/RE_N2O_0)</f>
        <v>328.78004837709642</v>
      </c>
      <c r="E114" s="14">
        <f ca="1"/>
        <v>333.75941386072316</v>
      </c>
      <c r="F114" s="14">
        <f ca="1"/>
        <v>338.81175273312255</v>
      </c>
      <c r="G114" s="14">
        <f ca="1"/>
        <v>349.00572750953057</v>
      </c>
      <c r="H114" s="14">
        <f ca="1"/>
        <v>356.53407332351264</v>
      </c>
      <c r="I114" s="14">
        <f ca="1"/>
        <v>362.71314032136019</v>
      </c>
      <c r="J114" s="14">
        <f ca="1"/>
        <v>370.25858043898592</v>
      </c>
      <c r="K114" s="14">
        <f ca="1"/>
        <v>377.24620491401117</v>
      </c>
      <c r="L114" s="14">
        <f ca="1"/>
        <v>383.07615516126407</v>
      </c>
      <c r="M114" s="14">
        <f ca="1"/>
        <v>387.89494198987245</v>
      </c>
      <c r="N114" s="4" t="str">
        <f>'Base data'!$F$19</f>
        <v>ppb</v>
      </c>
    </row>
    <row r="115" spans="1:24" s="4" customFormat="1" x14ac:dyDescent="0.2">
      <c r="A115" s="6" t="s">
        <v>158</v>
      </c>
      <c r="B115" s="6"/>
      <c r="C115" s="26">
        <f>F_N2O_0</f>
        <v>0.17</v>
      </c>
      <c r="D115" s="26">
        <f t="array" ref="D115:M115" ca="1">F_N2O_0+FSLOPE_N2O*(SQRT(c_n2o)-SQRT(C_N2O_0))</f>
        <v>0.18587515648995537</v>
      </c>
      <c r="E115" s="26">
        <f ca="1"/>
        <v>0.20229002634104362</v>
      </c>
      <c r="F115" s="26">
        <f ca="1"/>
        <v>0.21882078027099428</v>
      </c>
      <c r="G115" s="26">
        <f ca="1"/>
        <v>0.25180339819022479</v>
      </c>
      <c r="H115" s="26">
        <f ca="1"/>
        <v>0.27585318497438904</v>
      </c>
      <c r="I115" s="26">
        <f ca="1"/>
        <v>0.29540351374272333</v>
      </c>
      <c r="J115" s="26">
        <f ca="1"/>
        <v>0.31905252394167005</v>
      </c>
      <c r="K115" s="26">
        <f ca="1"/>
        <v>0.34073922839123316</v>
      </c>
      <c r="L115" s="26">
        <f ca="1"/>
        <v>0.35867976410625274</v>
      </c>
      <c r="M115" s="26">
        <f ca="1"/>
        <v>0.37340584002286065</v>
      </c>
      <c r="N115" s="6" t="str">
        <f>'Base data'!$F$21</f>
        <v>W/m2</v>
      </c>
      <c r="O115" s="6"/>
      <c r="P115" s="6"/>
      <c r="Q115" s="6"/>
      <c r="R115" s="6"/>
      <c r="S115" s="6"/>
      <c r="T115" s="6"/>
      <c r="U115" s="6"/>
      <c r="V115" s="6"/>
      <c r="W115" s="6"/>
      <c r="X115" s="6"/>
    </row>
    <row r="116" spans="1:24" s="4" customFormat="1" x14ac:dyDescent="0.2">
      <c r="A116" s="6" t="s">
        <v>155</v>
      </c>
      <c r="B116" s="6"/>
      <c r="C116" s="26">
        <v>0</v>
      </c>
      <c r="D116" s="26">
        <f t="array" ref="D116:M116" ca="1">-(0.47*LN(1+0.00002*(c_ch4*C_N2O_0)^0.75+0.0000000000000053*c_ch4*(c_ch4*C_N2O_0)^1.52)-0.47*LN(1+0.00002*(C_CH4_0*C_N2O_0)^0.75+0.0000000000000053*C_CH4_0*(C_CH4_0*C_N2O_0)^1.52))</f>
        <v>-9.5543680271135689E-3</v>
      </c>
      <c r="E116" s="26">
        <f ca="1"/>
        <v>-1.7012066652256047E-2</v>
      </c>
      <c r="F116" s="26">
        <f ca="1"/>
        <v>-2.395746517717709E-2</v>
      </c>
      <c r="G116" s="26">
        <f ca="1"/>
        <v>-3.8534840916606694E-2</v>
      </c>
      <c r="H116" s="26">
        <f ca="1"/>
        <v>-3.2785709153414971E-2</v>
      </c>
      <c r="I116" s="26">
        <f ca="1"/>
        <v>-6.008102259772774E-3</v>
      </c>
      <c r="J116" s="26">
        <f ca="1"/>
        <v>1.3705391551621399E-2</v>
      </c>
      <c r="K116" s="26">
        <f ca="1"/>
        <v>2.4754031217255917E-2</v>
      </c>
      <c r="L116" s="26">
        <f ca="1"/>
        <v>3.1072557434312309E-2</v>
      </c>
      <c r="M116" s="26">
        <f ca="1"/>
        <v>3.5464052540940622E-2</v>
      </c>
      <c r="N116" s="6" t="str">
        <f>'Base data'!$F$21</f>
        <v>W/m2</v>
      </c>
      <c r="O116" s="6"/>
      <c r="P116" s="6"/>
      <c r="Q116" s="6"/>
      <c r="R116" s="6"/>
      <c r="S116" s="6"/>
      <c r="T116" s="6"/>
      <c r="U116" s="6"/>
      <c r="V116" s="6"/>
      <c r="W116" s="6"/>
      <c r="X116" s="6"/>
    </row>
    <row r="117" spans="1:24" s="6" customFormat="1" x14ac:dyDescent="0.2">
      <c r="A117" s="6" t="s">
        <v>156</v>
      </c>
      <c r="C117" s="26">
        <v>0</v>
      </c>
      <c r="D117" s="26">
        <f t="array" ref="D117:M117" ca="1">-(0.47*LN(1+0.00002*(C_CH4_0*c_n2o)^0.75+0.0000000000000053*C_CH4_0*(C_CH4_0*c_n2o)^1.52)-0.47*LN(1+0.00002*(C_CH4_0*C_N2O_0)^0.75+0.0000000000000053*C_CH4_0*(C_CH4_0*C_N2O_0)^1.52))</f>
        <v>-1.574630106260938E-3</v>
      </c>
      <c r="E117" s="26">
        <f ca="1"/>
        <v>-3.2037735184293759E-3</v>
      </c>
      <c r="F117" s="26">
        <f ca="1"/>
        <v>-4.8453781805592733E-3</v>
      </c>
      <c r="G117" s="26">
        <f ca="1"/>
        <v>-8.1234452638840327E-3</v>
      </c>
      <c r="H117" s="26">
        <f ca="1"/>
        <v>-1.0515788643269991E-2</v>
      </c>
      <c r="I117" s="26">
        <f ca="1"/>
        <v>-1.246174085216431E-2</v>
      </c>
      <c r="J117" s="26">
        <f ca="1"/>
        <v>-1.4816973542631812E-2</v>
      </c>
      <c r="K117" s="26">
        <f ca="1"/>
        <v>-1.697794362660382E-2</v>
      </c>
      <c r="L117" s="26">
        <f ca="1"/>
        <v>-1.8766400272180045E-2</v>
      </c>
      <c r="M117" s="26">
        <f ca="1"/>
        <v>-2.0234897276432545E-2</v>
      </c>
      <c r="N117" s="6" t="str">
        <f>'Base data'!$F$21</f>
        <v>W/m2</v>
      </c>
    </row>
    <row r="118" spans="1:24" s="6" customFormat="1" ht="15.75" x14ac:dyDescent="0.3">
      <c r="A118" s="6" t="s">
        <v>71</v>
      </c>
      <c r="B118" s="6" t="s">
        <v>72</v>
      </c>
      <c r="C118" s="26">
        <f>F_CH4_0</f>
        <v>0.48</v>
      </c>
      <c r="D118" s="26">
        <f t="array" ref="D118:M118" ca="1">f_ch4_no_over+over_ch4</f>
        <v>0.53722102697835639</v>
      </c>
      <c r="E118" s="26">
        <f ca="1"/>
        <v>0.58152543765057385</v>
      </c>
      <c r="F118" s="26">
        <f ca="1"/>
        <v>0.62251481110256057</v>
      </c>
      <c r="G118" s="26">
        <f ca="1"/>
        <v>0.70772624337731416</v>
      </c>
      <c r="H118" s="26">
        <f ca="1"/>
        <v>0.67425021892676629</v>
      </c>
      <c r="I118" s="26">
        <f ca="1"/>
        <v>0.51604422897031199</v>
      </c>
      <c r="J118" s="26">
        <f ca="1"/>
        <v>0.39694885086976495</v>
      </c>
      <c r="K118" s="26">
        <f ca="1"/>
        <v>0.32908018357350466</v>
      </c>
      <c r="L118" s="26">
        <f ca="1"/>
        <v>0.28985931611369115</v>
      </c>
      <c r="M118" s="26">
        <f ca="1"/>
        <v>0.26241023936209396</v>
      </c>
      <c r="N118" s="6" t="str">
        <f>'Base data'!$F$21</f>
        <v>W/m2</v>
      </c>
    </row>
    <row r="119" spans="1:24" s="6" customFormat="1" ht="16.5" thickBot="1" x14ac:dyDescent="0.35">
      <c r="A119" s="6" t="s">
        <v>154</v>
      </c>
      <c r="B119" s="57" t="s">
        <v>122</v>
      </c>
      <c r="C119" s="35">
        <f>F_N2O_0</f>
        <v>0.17</v>
      </c>
      <c r="D119" s="35">
        <f t="array" ref="D119:M119" ca="1">f_n2o_no_over+over_n2o</f>
        <v>0.18430052638369443</v>
      </c>
      <c r="E119" s="35">
        <f ca="1"/>
        <v>0.19908625282261425</v>
      </c>
      <c r="F119" s="35">
        <f ca="1"/>
        <v>0.213975402090435</v>
      </c>
      <c r="G119" s="35">
        <f ca="1"/>
        <v>0.24367995292634076</v>
      </c>
      <c r="H119" s="35">
        <f ca="1"/>
        <v>0.26533739633111908</v>
      </c>
      <c r="I119" s="35">
        <f ca="1"/>
        <v>0.282941772890559</v>
      </c>
      <c r="J119" s="35">
        <f ca="1"/>
        <v>0.30423555039903827</v>
      </c>
      <c r="K119" s="35">
        <f ca="1"/>
        <v>0.32376128476462934</v>
      </c>
      <c r="L119" s="35">
        <f ca="1"/>
        <v>0.33991336383407267</v>
      </c>
      <c r="M119" s="35">
        <f ca="1"/>
        <v>0.35317094274642813</v>
      </c>
    </row>
    <row r="120" spans="1:24" s="6" customFormat="1" ht="13.5" thickTop="1" x14ac:dyDescent="0.2"/>
    <row r="121" spans="1:24" s="6" customFormat="1" ht="15.75" x14ac:dyDescent="0.3">
      <c r="A121" s="4" t="str">
        <f>"Natural emissions of "&amp;GLIN_NAME</f>
        <v>Natural emissions of Lin</v>
      </c>
      <c r="B121" s="58" t="s">
        <v>172</v>
      </c>
      <c r="C121" s="27">
        <f>STIM_GLIN*RT_G_0</f>
        <v>0</v>
      </c>
      <c r="D121" s="27">
        <f t="array" ref="D121:M121" ca="1">STIM_GLIN*rt_g</f>
        <v>0</v>
      </c>
      <c r="E121" s="27">
        <f ca="1"/>
        <v>0</v>
      </c>
      <c r="F121" s="27">
        <f ca="1"/>
        <v>0</v>
      </c>
      <c r="G121" s="27">
        <f ca="1"/>
        <v>0</v>
      </c>
      <c r="H121" s="27">
        <f ca="1"/>
        <v>0</v>
      </c>
      <c r="I121" s="27">
        <f ca="1"/>
        <v>0</v>
      </c>
      <c r="J121" s="27">
        <f ca="1"/>
        <v>0</v>
      </c>
      <c r="K121" s="27">
        <f ca="1"/>
        <v>0</v>
      </c>
      <c r="L121" s="27">
        <f ca="1"/>
        <v>0</v>
      </c>
      <c r="M121" s="27">
        <f ca="1"/>
        <v>0</v>
      </c>
      <c r="N121" s="4" t="s">
        <v>566</v>
      </c>
      <c r="O121" s="4"/>
      <c r="P121" s="4"/>
      <c r="Q121" s="4"/>
      <c r="R121" s="4"/>
      <c r="S121" s="4"/>
      <c r="T121" s="4"/>
      <c r="U121" s="4"/>
      <c r="V121" s="4"/>
      <c r="W121" s="4"/>
      <c r="X121" s="4"/>
    </row>
    <row r="122" spans="1:24" s="6" customFormat="1" ht="15.75" x14ac:dyDescent="0.3">
      <c r="A122" s="4" t="str">
        <f>"Total emissions to air of "&amp;GLIN_NAME</f>
        <v>Total emissions to air of Lin</v>
      </c>
      <c r="B122" s="58" t="s">
        <v>173</v>
      </c>
      <c r="C122" s="28">
        <f>(E_GLIN_G_0+NTE_GLIN_0)*AIR_GLIN/100</f>
        <v>631.21629836249201</v>
      </c>
      <c r="D122" s="28">
        <f t="array" ref="D122:M122" ca="1">(e_glin_g+nte_glin)*AIR_GLIN/100</f>
        <v>777.18264108846711</v>
      </c>
      <c r="E122" s="28">
        <f ca="1"/>
        <v>807.18517324549191</v>
      </c>
      <c r="F122" s="28">
        <f ca="1"/>
        <v>837.18770540251705</v>
      </c>
      <c r="G122" s="28">
        <f ca="1"/>
        <v>865.99570289567373</v>
      </c>
      <c r="H122" s="28">
        <f ca="1"/>
        <v>516.61413917857919</v>
      </c>
      <c r="I122" s="28">
        <f ca="1"/>
        <v>68.917237201802806</v>
      </c>
      <c r="J122" s="28">
        <f ca="1"/>
        <v>65.773804027251799</v>
      </c>
      <c r="K122" s="28">
        <f ca="1"/>
        <v>63.779260697592498</v>
      </c>
      <c r="L122" s="28">
        <f ca="1"/>
        <v>59.227559696366299</v>
      </c>
      <c r="M122" s="28">
        <f ca="1"/>
        <v>54.611160482858303</v>
      </c>
      <c r="N122" s="4" t="s">
        <v>566</v>
      </c>
      <c r="O122" s="4"/>
      <c r="P122" s="4"/>
      <c r="Q122" s="4"/>
      <c r="R122" s="4"/>
      <c r="S122" s="4"/>
      <c r="T122" s="4"/>
      <c r="U122" s="4"/>
      <c r="V122" s="4"/>
      <c r="W122" s="4"/>
      <c r="X122" s="4"/>
    </row>
    <row r="123" spans="1:24" s="4" customFormat="1" ht="15.75" x14ac:dyDescent="0.3">
      <c r="A123" s="4" t="str">
        <f>"Total this period of "&amp;GLIN_NAME</f>
        <v>Total this period of Lin</v>
      </c>
      <c r="B123" s="58" t="s">
        <v>174</v>
      </c>
      <c r="D123" s="28">
        <f ca="1">(TEA_GLIN_0+tea_glin)*YP_1/2</f>
        <v>3520.9973486273975</v>
      </c>
      <c r="E123" s="28">
        <f t="array" ref="E123:M123" ca="1">(tea_glin+tea_glin_not_1)*YP_NOT_1/2</f>
        <v>3960.919535834897</v>
      </c>
      <c r="F123" s="28">
        <f ca="1"/>
        <v>4110.9321966200223</v>
      </c>
      <c r="G123" s="28">
        <f ca="1"/>
        <v>8515.9170414909549</v>
      </c>
      <c r="H123" s="28">
        <f ca="1"/>
        <v>6913.0492103712641</v>
      </c>
      <c r="I123" s="28">
        <f ca="1"/>
        <v>2927.6568819019099</v>
      </c>
      <c r="J123" s="28">
        <f ca="1"/>
        <v>673.455206145273</v>
      </c>
      <c r="K123" s="28">
        <f ca="1"/>
        <v>647.76532362422142</v>
      </c>
      <c r="L123" s="28">
        <f ca="1"/>
        <v>615.03410196979405</v>
      </c>
      <c r="M123" s="28">
        <f ca="1"/>
        <v>569.19360089612292</v>
      </c>
      <c r="N123" s="4" t="str">
        <f>'Base data'!$G$35</f>
        <v>Mtonne</v>
      </c>
    </row>
    <row r="124" spans="1:24" s="4" customFormat="1" x14ac:dyDescent="0.2">
      <c r="A124" s="6" t="str">
        <f>"Exponential factor for "&amp;GLIN_NAME</f>
        <v>Exponential factor for Lin</v>
      </c>
      <c r="B124" s="6"/>
      <c r="C124" s="6"/>
      <c r="D124" s="26">
        <f t="array" ref="D124:M124">EXP(-(YP/RES_GLIN))</f>
        <v>0.99501247919268232</v>
      </c>
      <c r="E124" s="26">
        <v>0.99501247919268232</v>
      </c>
      <c r="F124" s="26">
        <v>0.99501247919268232</v>
      </c>
      <c r="G124" s="26">
        <v>0.99004983374916811</v>
      </c>
      <c r="H124" s="26">
        <v>0.99004983374916811</v>
      </c>
      <c r="I124" s="26">
        <v>0.99004983374916811</v>
      </c>
      <c r="J124" s="26">
        <v>0.99004983374916811</v>
      </c>
      <c r="K124" s="26">
        <v>0.99004983374916811</v>
      </c>
      <c r="L124" s="26">
        <v>0.99004983374916811</v>
      </c>
      <c r="M124" s="26">
        <v>0.99004983374916811</v>
      </c>
      <c r="N124" s="6"/>
      <c r="O124" s="6"/>
      <c r="P124" s="6"/>
      <c r="Q124" s="6"/>
      <c r="R124" s="6"/>
      <c r="S124" s="6"/>
      <c r="T124" s="6"/>
      <c r="U124" s="6"/>
      <c r="V124" s="6"/>
      <c r="W124" s="6"/>
      <c r="X124" s="6"/>
    </row>
    <row r="125" spans="1:24" s="4" customFormat="1" x14ac:dyDescent="0.2">
      <c r="A125" s="4" t="str">
        <f>"Remaining emissions factor for "&amp;GLIN_NAME</f>
        <v>Remaining emissions factor for Lin</v>
      </c>
      <c r="D125" s="28">
        <f>RE_GLIN_0*EXPF_GLIN</f>
        <v>10945.137271119505</v>
      </c>
      <c r="E125" s="28">
        <f t="array" ref="E125:M125" ca="1">re_glin*EXPF_GLIN_NOT_1</f>
        <v>14385.240460999152</v>
      </c>
      <c r="F125" s="28">
        <f ca="1"/>
        <v>18244.821632209179</v>
      </c>
      <c r="G125" s="28">
        <f ca="1"/>
        <v>22123.152229497158</v>
      </c>
      <c r="H125" s="28">
        <f ca="1"/>
        <v>30292.189695821588</v>
      </c>
      <c r="I125" s="28">
        <f ca="1"/>
        <v>36800.933064012599</v>
      </c>
      <c r="J125" s="28">
        <f ca="1"/>
        <v>39318.839428234882</v>
      </c>
      <c r="K125" s="28">
        <f ca="1"/>
        <v>39591.041967785699</v>
      </c>
      <c r="L125" s="28">
        <f ca="1"/>
        <v>39835.228531367924</v>
      </c>
      <c r="M125" s="28">
        <f ca="1"/>
        <v>40044.741346446892</v>
      </c>
      <c r="N125" s="4" t="str">
        <f>'Base data'!$G$35</f>
        <v>Mtonne</v>
      </c>
    </row>
    <row r="126" spans="1:24" s="6" customFormat="1" x14ac:dyDescent="0.2">
      <c r="A126" s="4" t="str">
        <f>"Total this period factor for "&amp;GLIN_NAME</f>
        <v>Total this period factor for Lin</v>
      </c>
      <c r="B126" s="4"/>
      <c r="C126" s="4"/>
      <c r="D126" s="28">
        <f t="array" ref="D126:M126" ca="1">teay_glin*RES_GLIN*(1-EXPF_GLIN)/YP</f>
        <v>3512.2095077579056</v>
      </c>
      <c r="E126" s="28">
        <f ca="1"/>
        <v>3951.0337202175274</v>
      </c>
      <c r="F126" s="28">
        <f ca="1"/>
        <v>4100.6719736229079</v>
      </c>
      <c r="G126" s="28">
        <f ca="1"/>
        <v>8473.4790341127482</v>
      </c>
      <c r="H126" s="28">
        <f ca="1"/>
        <v>6878.5988943376233</v>
      </c>
      <c r="I126" s="28">
        <f ca="1"/>
        <v>2913.0672700316122</v>
      </c>
      <c r="J126" s="28">
        <f ca="1"/>
        <v>670.09912636337299</v>
      </c>
      <c r="K126" s="28">
        <f ca="1"/>
        <v>644.53726615849268</v>
      </c>
      <c r="L126" s="28">
        <f ca="1"/>
        <v>611.96915645305467</v>
      </c>
      <c r="M126" s="28">
        <f ca="1"/>
        <v>566.35709578260798</v>
      </c>
      <c r="N126" s="4" t="str">
        <f>'Base data'!$G$35</f>
        <v>Mtonne</v>
      </c>
      <c r="O126" s="4"/>
      <c r="P126" s="4"/>
      <c r="Q126" s="4"/>
      <c r="R126" s="4"/>
      <c r="S126" s="4"/>
      <c r="T126" s="4"/>
      <c r="U126" s="4"/>
      <c r="V126" s="4"/>
      <c r="W126" s="4"/>
      <c r="X126" s="4"/>
    </row>
    <row r="127" spans="1:24" s="4" customFormat="1" ht="15.75" x14ac:dyDescent="0.3">
      <c r="A127" s="4" t="str">
        <f>"Remaining emissions of "&amp;GLIN_NAME</f>
        <v>Remaining emissions of Lin</v>
      </c>
      <c r="B127" s="58" t="s">
        <v>175</v>
      </c>
      <c r="C127" s="28">
        <f>RE_GLIN_0</f>
        <v>11000</v>
      </c>
      <c r="D127" s="28">
        <f t="shared" ref="D127:M127" ca="1" si="3">SUM(D125:D126)</f>
        <v>14457.346778877411</v>
      </c>
      <c r="E127" s="28">
        <f t="shared" ca="1" si="3"/>
        <v>18336.274181216679</v>
      </c>
      <c r="F127" s="28">
        <f t="shared" ca="1" si="3"/>
        <v>22345.493605832089</v>
      </c>
      <c r="G127" s="28">
        <f t="shared" ca="1" si="3"/>
        <v>30596.631263609906</v>
      </c>
      <c r="H127" s="28">
        <f t="shared" ca="1" si="3"/>
        <v>37170.788590159209</v>
      </c>
      <c r="I127" s="28">
        <f t="shared" ca="1" si="3"/>
        <v>39714.000334044213</v>
      </c>
      <c r="J127" s="28">
        <f t="shared" ca="1" si="3"/>
        <v>39988.938554598251</v>
      </c>
      <c r="K127" s="28">
        <f t="shared" ca="1" si="3"/>
        <v>40235.57923394419</v>
      </c>
      <c r="L127" s="28">
        <f t="shared" ca="1" si="3"/>
        <v>40447.197687820975</v>
      </c>
      <c r="M127" s="28">
        <f t="shared" ca="1" si="3"/>
        <v>40611.098442229501</v>
      </c>
      <c r="N127" s="4" t="str">
        <f>'Base data'!$G$35</f>
        <v>Mtonne</v>
      </c>
    </row>
    <row r="128" spans="1:24" s="4" customFormat="1" ht="15.75" x14ac:dyDescent="0.3">
      <c r="A128" s="4" t="str">
        <f>"Concentration of "&amp;GLIN_NAME</f>
        <v>Concentration of Lin</v>
      </c>
      <c r="B128" s="58" t="s">
        <v>176</v>
      </c>
      <c r="C128" s="28">
        <f>C_GLIN_0</f>
        <v>0.11</v>
      </c>
      <c r="D128" s="28">
        <f t="array" ref="D128:M128" ca="1">PIC_GLIN+EXC_GLIN*(re_glin/RE_GLIN_0)</f>
        <v>0.14457346778877411</v>
      </c>
      <c r="E128" s="28">
        <f ca="1"/>
        <v>0.18336274181216677</v>
      </c>
      <c r="F128" s="28">
        <f ca="1"/>
        <v>0.2234549360583209</v>
      </c>
      <c r="G128" s="28">
        <f ca="1"/>
        <v>0.30596631263609902</v>
      </c>
      <c r="H128" s="28">
        <f ca="1"/>
        <v>0.37170788590159209</v>
      </c>
      <c r="I128" s="28">
        <f ca="1"/>
        <v>0.39714000334044214</v>
      </c>
      <c r="J128" s="28">
        <f ca="1"/>
        <v>0.39988938554598252</v>
      </c>
      <c r="K128" s="28">
        <f ca="1"/>
        <v>0.40235579233944191</v>
      </c>
      <c r="L128" s="28">
        <f ca="1"/>
        <v>0.40447197687820974</v>
      </c>
      <c r="M128" s="28">
        <f ca="1"/>
        <v>0.40611098442229498</v>
      </c>
      <c r="N128" s="4" t="str">
        <f>'Base data'!$F$19</f>
        <v>ppb</v>
      </c>
    </row>
    <row r="129" spans="1:25" s="4" customFormat="1" ht="15.75" x14ac:dyDescent="0.3">
      <c r="A129" s="6" t="str">
        <f>"Forcing from "&amp;GLIN_NAME</f>
        <v>Forcing from Lin</v>
      </c>
      <c r="B129" s="57" t="s">
        <v>177</v>
      </c>
      <c r="C129" s="28">
        <f>F_GLIN_0</f>
        <v>2.1999999999999999E-2</v>
      </c>
      <c r="D129" s="28">
        <f t="array" ref="D129:M129" ca="1">F_GLIN_0+FSLOPE_GLIN*(c_glin-C_GLIN_0)</f>
        <v>2.891469355775482E-2</v>
      </c>
      <c r="E129" s="28">
        <f ca="1"/>
        <v>3.6672548362433353E-2</v>
      </c>
      <c r="F129" s="28">
        <f ca="1"/>
        <v>4.4690987211664181E-2</v>
      </c>
      <c r="G129" s="28">
        <f ca="1"/>
        <v>6.1193262527219808E-2</v>
      </c>
      <c r="H129" s="28">
        <f ca="1"/>
        <v>7.4341577180318419E-2</v>
      </c>
      <c r="I129" s="28">
        <f ca="1"/>
        <v>7.942800066808843E-2</v>
      </c>
      <c r="J129" s="28">
        <f ca="1"/>
        <v>7.9977877109196516E-2</v>
      </c>
      <c r="K129" s="28">
        <f ca="1"/>
        <v>8.0471158467888382E-2</v>
      </c>
      <c r="L129" s="28">
        <f ca="1"/>
        <v>8.0894395375641942E-2</v>
      </c>
      <c r="M129" s="28">
        <f ca="1"/>
        <v>8.1222196884459003E-2</v>
      </c>
      <c r="N129" s="6" t="str">
        <f>'Base data'!$F$21</f>
        <v>W/m2</v>
      </c>
      <c r="O129" s="6"/>
      <c r="P129" s="6"/>
      <c r="Q129" s="6"/>
      <c r="R129" s="6"/>
      <c r="S129" s="6"/>
      <c r="T129" s="6"/>
      <c r="U129" s="6"/>
      <c r="V129" s="6"/>
      <c r="W129" s="6"/>
      <c r="X129" s="6"/>
      <c r="Y129" s="6"/>
    </row>
    <row r="130" spans="1:25" s="4" customFormat="1" x14ac:dyDescent="0.2">
      <c r="A130" s="6"/>
      <c r="B130" s="57"/>
      <c r="C130" s="1"/>
      <c r="D130" s="1"/>
      <c r="E130" s="1"/>
      <c r="F130" s="1"/>
      <c r="G130" s="1"/>
      <c r="H130" s="1"/>
      <c r="I130" s="1"/>
      <c r="J130" s="1"/>
      <c r="K130" s="1"/>
      <c r="L130" s="1"/>
      <c r="M130" s="1"/>
      <c r="N130" s="6"/>
      <c r="O130" s="6"/>
      <c r="P130" s="6"/>
      <c r="Q130" s="6"/>
      <c r="R130" s="6"/>
      <c r="S130" s="6"/>
      <c r="T130" s="6"/>
      <c r="U130" s="6"/>
      <c r="V130" s="6"/>
      <c r="W130" s="6"/>
      <c r="X130" s="6"/>
      <c r="Y130" s="1"/>
    </row>
    <row r="131" spans="1:25" s="6" customFormat="1" ht="13.5" thickBot="1" x14ac:dyDescent="0.25">
      <c r="A131" s="4" t="s">
        <v>123</v>
      </c>
      <c r="B131" s="4" t="s">
        <v>73</v>
      </c>
      <c r="C131" s="35">
        <f>F_CO2_0+F_CH4_0+F_N2O_0+F_GLIN_0+EXF_0</f>
        <v>3.202</v>
      </c>
      <c r="D131" s="35">
        <f t="array" ref="D131:M131" ca="1">f_co2+f_ch4+f_n2o+f_glin+exf_a</f>
        <v>3.5968149618095895</v>
      </c>
      <c r="E131" s="35">
        <f ca="1"/>
        <v>3.8524437462774537</v>
      </c>
      <c r="F131" s="35">
        <f ca="1"/>
        <v>4.1224959720345034</v>
      </c>
      <c r="G131" s="35">
        <f ca="1"/>
        <v>4.7870827775850193</v>
      </c>
      <c r="H131" s="35">
        <f ca="1"/>
        <v>4.9933262904230231</v>
      </c>
      <c r="I131" s="35">
        <f ca="1"/>
        <v>4.8591536643695727</v>
      </c>
      <c r="J131" s="35">
        <f ca="1"/>
        <v>4.4709159796583178</v>
      </c>
      <c r="K131" s="35">
        <f ca="1"/>
        <v>4.045339844012334</v>
      </c>
      <c r="L131" s="35">
        <f ca="1"/>
        <v>3.6600126584789474</v>
      </c>
      <c r="M131" s="35">
        <f ca="1"/>
        <v>3.3086957224683555</v>
      </c>
      <c r="N131" s="6" t="str">
        <f>'Base data'!$F$21</f>
        <v>W/m2</v>
      </c>
    </row>
    <row r="132" spans="1:25" s="6" customFormat="1" ht="13.5" thickTop="1" x14ac:dyDescent="0.2">
      <c r="A132" s="4"/>
      <c r="B132" s="4"/>
      <c r="O132"/>
      <c r="P132"/>
      <c r="Q132"/>
      <c r="R132"/>
      <c r="S132"/>
      <c r="T132"/>
      <c r="U132"/>
      <c r="V132"/>
      <c r="W132"/>
      <c r="X132"/>
      <c r="Y132"/>
    </row>
    <row r="133" spans="1:25" s="1" customFormat="1" x14ac:dyDescent="0.2">
      <c r="A133" s="57" t="s">
        <v>191</v>
      </c>
      <c r="B133" s="1" t="str">
        <f t="array" ref="B133:B140">R_CODE</f>
        <v>EU</v>
      </c>
      <c r="C133" s="26">
        <f t="array" aca="1" ref="C133:C140" ca="1">D*SFX_0/SFX_G_0</f>
        <v>-2.7601688340912287</v>
      </c>
      <c r="D133" s="26">
        <f t="array" aca="1" ref="D133:M140" ca="1">FSD_0*sfx/SFX_0</f>
        <v>-2.1722330979642024</v>
      </c>
      <c r="E133" s="26">
        <f ca="1"/>
        <v>-1.7835898009387341</v>
      </c>
      <c r="F133" s="26">
        <f ca="1"/>
        <v>-1.3949465039132658</v>
      </c>
      <c r="G133" s="26">
        <f ca="1"/>
        <v>-1.4720745247708122</v>
      </c>
      <c r="H133" s="26">
        <f ca="1"/>
        <v>-1.0959289741349392</v>
      </c>
      <c r="I133" s="26">
        <f ca="1"/>
        <v>-0.73484173325477375</v>
      </c>
      <c r="J133" s="26">
        <f ca="1"/>
        <v>-0.51680281992664145</v>
      </c>
      <c r="K133" s="26">
        <f ca="1"/>
        <v>-0.42800073673564315</v>
      </c>
      <c r="L133" s="26">
        <f ca="1"/>
        <v>-0.39480331233392851</v>
      </c>
      <c r="M133" s="26">
        <f ca="1"/>
        <v>-0.38881599561407837</v>
      </c>
      <c r="N133" s="6" t="str">
        <f>'Base data'!$F$21</f>
        <v>W/m2</v>
      </c>
      <c r="O133" s="6"/>
      <c r="P133" s="6"/>
      <c r="Q133" s="6"/>
      <c r="R133" s="6"/>
      <c r="S133" s="6"/>
      <c r="T133" s="6"/>
      <c r="U133" s="6"/>
      <c r="V133" s="6"/>
      <c r="W133" s="6"/>
      <c r="X133" s="6"/>
      <c r="Y133" s="6"/>
    </row>
    <row r="134" spans="1:25" s="1" customFormat="1" x14ac:dyDescent="0.2">
      <c r="A134" s="6"/>
      <c r="B134" s="1" t="str">
        <v>US</v>
      </c>
      <c r="C134" s="26">
        <f ca="1"/>
        <v>-1.1027482994484452</v>
      </c>
      <c r="D134" s="26">
        <f ca="1"/>
        <v>-0.93055093513775655</v>
      </c>
      <c r="E134" s="26">
        <f ca="1"/>
        <v>-0.77953374846349488</v>
      </c>
      <c r="F134" s="26">
        <f ca="1"/>
        <v>-0.62851656178923299</v>
      </c>
      <c r="G134" s="26">
        <f ca="1"/>
        <v>-0.62530766829764994</v>
      </c>
      <c r="H134" s="26">
        <f ca="1"/>
        <v>-0.39222250813128967</v>
      </c>
      <c r="I134" s="26">
        <f ca="1"/>
        <v>-0.25177908341531602</v>
      </c>
      <c r="J134" s="26">
        <f ca="1"/>
        <v>-0.17420373634153724</v>
      </c>
      <c r="K134" s="26">
        <f ca="1"/>
        <v>-0.13919842978997979</v>
      </c>
      <c r="L134" s="26">
        <f ca="1"/>
        <v>-0.1236543816767568</v>
      </c>
      <c r="M134" s="26">
        <f ca="1"/>
        <v>-0.11891238406475579</v>
      </c>
      <c r="N134" s="6" t="str">
        <f>'Base data'!$F$21</f>
        <v>W/m2</v>
      </c>
      <c r="O134" s="6"/>
      <c r="P134" s="6"/>
      <c r="Q134" s="6"/>
      <c r="R134" s="6"/>
      <c r="S134" s="6"/>
      <c r="T134" s="6"/>
      <c r="U134" s="6"/>
      <c r="V134" s="6"/>
      <c r="W134" s="6"/>
      <c r="X134" s="6"/>
      <c r="Y134" s="6"/>
    </row>
    <row r="135" spans="1:25" s="6" customFormat="1" x14ac:dyDescent="0.2">
      <c r="B135" s="1" t="str">
        <v>OT</v>
      </c>
      <c r="C135" s="26">
        <f ca="1"/>
        <v>-0.7794745457806177</v>
      </c>
      <c r="D135" s="26">
        <f ca="1"/>
        <v>-0.58835710347316383</v>
      </c>
      <c r="E135" s="26">
        <f ca="1"/>
        <v>-0.47431000556818331</v>
      </c>
      <c r="F135" s="26">
        <f ca="1"/>
        <v>-0.36026290766320279</v>
      </c>
      <c r="G135" s="26">
        <f ca="1"/>
        <v>-0.29700414313010376</v>
      </c>
      <c r="H135" s="26">
        <f ca="1"/>
        <v>-0.20188302420460028</v>
      </c>
      <c r="I135" s="26">
        <f ca="1"/>
        <v>-0.17426664109474169</v>
      </c>
      <c r="J135" s="26">
        <f ca="1"/>
        <v>-0.15004529620372467</v>
      </c>
      <c r="K135" s="26">
        <f ca="1"/>
        <v>-0.13475069559942662</v>
      </c>
      <c r="L135" s="26">
        <f ca="1"/>
        <v>-0.12802292177166116</v>
      </c>
      <c r="M135" s="26">
        <f ca="1"/>
        <v>-0.12393106368607798</v>
      </c>
      <c r="N135" s="6" t="str">
        <f>'Base data'!$F$21</f>
        <v>W/m2</v>
      </c>
    </row>
    <row r="136" spans="1:25" s="6" customFormat="1" x14ac:dyDescent="0.2">
      <c r="B136" s="1" t="str">
        <v>EE</v>
      </c>
      <c r="C136" s="26">
        <f ca="1"/>
        <v>-1.0176040934385544</v>
      </c>
      <c r="D136" s="26">
        <f ca="1"/>
        <v>-0.79074329147784617</v>
      </c>
      <c r="E136" s="26">
        <f ca="1"/>
        <v>-0.64532703685981829</v>
      </c>
      <c r="F136" s="26">
        <f ca="1"/>
        <v>-0.49991078224179025</v>
      </c>
      <c r="G136" s="26">
        <f ca="1"/>
        <v>-0.39191304189664061</v>
      </c>
      <c r="H136" s="26">
        <f ca="1"/>
        <v>-0.3084217974612084</v>
      </c>
      <c r="I136" s="26">
        <f ca="1"/>
        <v>-0.27523423206749786</v>
      </c>
      <c r="J136" s="26">
        <f ca="1"/>
        <v>-0.24554159101576054</v>
      </c>
      <c r="K136" s="26">
        <f ca="1"/>
        <v>-0.22193280244054622</v>
      </c>
      <c r="L136" s="26">
        <f ca="1"/>
        <v>-0.21865178554957573</v>
      </c>
      <c r="M136" s="26">
        <f ca="1"/>
        <v>-0.21520085823231694</v>
      </c>
      <c r="N136" s="6" t="str">
        <f>'Base data'!$F$21</f>
        <v>W/m2</v>
      </c>
    </row>
    <row r="137" spans="1:25" s="6" customFormat="1" x14ac:dyDescent="0.2">
      <c r="B137" s="1" t="str">
        <v>CA</v>
      </c>
      <c r="C137" s="26">
        <f ca="1"/>
        <v>-4.6511791368191835</v>
      </c>
      <c r="D137" s="26">
        <f ca="1"/>
        <v>-2.7198850328010629</v>
      </c>
      <c r="E137" s="26">
        <f ca="1"/>
        <v>-2.3415171676684854</v>
      </c>
      <c r="F137" s="26">
        <f ca="1"/>
        <v>-1.9631493025359084</v>
      </c>
      <c r="G137" s="26">
        <f ca="1"/>
        <v>-1.964415154721159</v>
      </c>
      <c r="H137" s="26">
        <f ca="1"/>
        <v>-1.2602022114962641</v>
      </c>
      <c r="I137" s="26">
        <f ca="1"/>
        <v>-0.91425509870232702</v>
      </c>
      <c r="J137" s="26">
        <f ca="1"/>
        <v>-0.64150616266648952</v>
      </c>
      <c r="K137" s="26">
        <f ca="1"/>
        <v>-0.49995580618542484</v>
      </c>
      <c r="L137" s="26">
        <f ca="1"/>
        <v>-0.45281920437030648</v>
      </c>
      <c r="M137" s="26">
        <f ca="1"/>
        <v>-0.41826040934789233</v>
      </c>
      <c r="N137" s="6" t="str">
        <f>'Base data'!$F$21</f>
        <v>W/m2</v>
      </c>
    </row>
    <row r="138" spans="1:25" s="6" customFormat="1" x14ac:dyDescent="0.2">
      <c r="B138" s="1" t="str">
        <v>IA</v>
      </c>
      <c r="C138" s="26">
        <f ca="1"/>
        <v>-5.8751605943235754</v>
      </c>
      <c r="D138" s="26">
        <f ca="1"/>
        <v>-6.9002084780921393</v>
      </c>
      <c r="E138" s="26">
        <f ca="1"/>
        <v>-7.7081467531870915</v>
      </c>
      <c r="F138" s="26">
        <f ca="1"/>
        <v>-8.5160850282820455</v>
      </c>
      <c r="G138" s="26">
        <f ca="1"/>
        <v>-8.6595808516688955</v>
      </c>
      <c r="H138" s="26">
        <f ca="1"/>
        <v>-3.2822880339441678</v>
      </c>
      <c r="I138" s="26">
        <f ca="1"/>
        <v>-1.7122845289899238</v>
      </c>
      <c r="J138" s="26">
        <f ca="1"/>
        <v>-1.007090150788736</v>
      </c>
      <c r="K138" s="26">
        <f ca="1"/>
        <v>-0.68886330381550243</v>
      </c>
      <c r="L138" s="26">
        <f ca="1"/>
        <v>-0.52050156809841419</v>
      </c>
      <c r="M138" s="26">
        <f ca="1"/>
        <v>-0.43289639514491857</v>
      </c>
      <c r="N138" s="6" t="str">
        <f>'Base data'!$F$21</f>
        <v>W/m2</v>
      </c>
    </row>
    <row r="139" spans="1:25" s="6" customFormat="1" x14ac:dyDescent="0.2">
      <c r="B139" s="1" t="str">
        <v>AF</v>
      </c>
      <c r="C139" s="26">
        <f ca="1"/>
        <v>-1.2418832066804086</v>
      </c>
      <c r="D139" s="26">
        <f ca="1"/>
        <v>-1.0172558538057239</v>
      </c>
      <c r="E139" s="26">
        <f ca="1"/>
        <v>-0.87810843656390514</v>
      </c>
      <c r="F139" s="26">
        <f ca="1"/>
        <v>-0.7389610193220868</v>
      </c>
      <c r="G139" s="26">
        <f ca="1"/>
        <v>-0.81929693348009058</v>
      </c>
      <c r="H139" s="26">
        <f ca="1"/>
        <v>-0.52056773680160029</v>
      </c>
      <c r="I139" s="26">
        <f ca="1"/>
        <v>-0.40031254721494464</v>
      </c>
      <c r="J139" s="26">
        <f ca="1"/>
        <v>-0.32695829109485935</v>
      </c>
      <c r="K139" s="26">
        <f ca="1"/>
        <v>-0.26399554715443202</v>
      </c>
      <c r="L139" s="26">
        <f ca="1"/>
        <v>-0.22408095194855068</v>
      </c>
      <c r="M139" s="26">
        <f ca="1"/>
        <v>-0.21350245727701123</v>
      </c>
      <c r="N139" s="6" t="str">
        <f>'Base data'!$F$21</f>
        <v>W/m2</v>
      </c>
    </row>
    <row r="140" spans="1:25" s="6" customFormat="1" x14ac:dyDescent="0.2">
      <c r="B140" s="1" t="str">
        <v>LA</v>
      </c>
      <c r="C140" s="26">
        <f ca="1"/>
        <v>-1.1736138083917782</v>
      </c>
      <c r="D140" s="26">
        <f ca="1"/>
        <v>-1.1120020592757702</v>
      </c>
      <c r="E140" s="26">
        <f ca="1"/>
        <v>-1.1025607350696398</v>
      </c>
      <c r="F140" s="26">
        <f ca="1"/>
        <v>-1.0931194108635094</v>
      </c>
      <c r="G140" s="26">
        <f ca="1"/>
        <v>-1.0842510906402667</v>
      </c>
      <c r="H140" s="26">
        <f ca="1"/>
        <v>-0.65076886253240229</v>
      </c>
      <c r="I140" s="26">
        <f ca="1"/>
        <v>-0.39381910692772509</v>
      </c>
      <c r="J140" s="26">
        <f ca="1"/>
        <v>-0.22324875903140717</v>
      </c>
      <c r="K140" s="26">
        <f ca="1"/>
        <v>-0.13744919252462889</v>
      </c>
      <c r="L140" s="26">
        <f ca="1"/>
        <v>-0.11373985314891623</v>
      </c>
      <c r="M140" s="26">
        <f ca="1"/>
        <v>-0.1019571461491313</v>
      </c>
      <c r="N140" s="6" t="str">
        <f>'Base data'!$F$21</f>
        <v>W/m2</v>
      </c>
    </row>
    <row r="141" spans="1:25" s="6" customFormat="1" x14ac:dyDescent="0.2">
      <c r="B141" s="6" t="s">
        <v>136</v>
      </c>
      <c r="C141" s="256">
        <f t="array" aca="1" ref="C141" ca="1">SUM(AREA*C133:C140)/AREA_E</f>
        <v>-0.46666666666666673</v>
      </c>
      <c r="D141" s="256">
        <f t="array" aca="1" ref="D141" ca="1">SUM(AREA*D133:D140)/AREA_E</f>
        <v>-0.40897662592416761</v>
      </c>
      <c r="E141" s="256">
        <f t="array" aca="1" ref="E141" ca="1">SUM(AREA*E133:E140)/AREA_E</f>
        <v>-0.39232730575980423</v>
      </c>
      <c r="F141" s="256">
        <f t="array" aca="1" ref="F141" ca="1">SUM(AREA*F133:F140)/AREA_E</f>
        <v>-0.37567798559544074</v>
      </c>
      <c r="G141" s="256">
        <f t="array" aca="1" ref="G141" ca="1">SUM(AREA*G133:G140)/AREA_E</f>
        <v>-0.37868282210486054</v>
      </c>
      <c r="H141" s="256">
        <f t="array" aca="1" ref="H141" ca="1">SUM(AREA*H133:H140)/AREA_E</f>
        <v>-0.19574246779896692</v>
      </c>
      <c r="I141" s="256">
        <f t="array" aca="1" ref="I141" ca="1">SUM(AREA*I133:I140)/AREA_E</f>
        <v>-0.12829092136578119</v>
      </c>
      <c r="J141" s="256">
        <f t="array" aca="1" ref="J141" ca="1">SUM(AREA*J133:J140)/AREA_E</f>
        <v>-9.0463392719943803E-2</v>
      </c>
      <c r="K141" s="256">
        <f t="array" aca="1" ref="K141" ca="1">SUM(AREA*K133:K140)/AREA_E</f>
        <v>-6.9912958517064597E-2</v>
      </c>
      <c r="L141" s="256">
        <f t="array" aca="1" ref="L141" ca="1">SUM(AREA*L133:L140)/AREA_E</f>
        <v>-6.0497437875809204E-2</v>
      </c>
      <c r="M141" s="256">
        <f t="array" aca="1" ref="M141" ca="1">SUM(AREA*M133:M140)/AREA_E</f>
        <v>-5.6283145750265912E-2</v>
      </c>
      <c r="N141" s="6" t="s">
        <v>42</v>
      </c>
      <c r="Y141"/>
    </row>
    <row r="142" spans="1:25" s="6" customFormat="1" x14ac:dyDescent="0.2">
      <c r="A142" s="57" t="s">
        <v>192</v>
      </c>
      <c r="B142" s="1" t="str">
        <f t="array" ref="B142:B149">R_CODE</f>
        <v>EU</v>
      </c>
      <c r="C142" s="26">
        <f t="array" aca="1" ref="C142:C149" ca="1" xml:space="preserve"> IF(SFX_0 &gt;0, (IND/LN(2))*LN((NF_0+SFX_0)/NF_0), 0)</f>
        <v>-0.943681383854728</v>
      </c>
      <c r="D142" s="26">
        <f t="array" aca="1" ref="D142:M149" ca="1" xml:space="preserve"> IF(sfx&gt;0, (IND/LN(2))*LN((NF_0+sfx)/NF_0), 0)</f>
        <v>-0.86852391140298468</v>
      </c>
      <c r="E142" s="26">
        <f ca="1"/>
        <v>-0.80767744432412858</v>
      </c>
      <c r="F142" s="26">
        <f ca="1"/>
        <v>-0.7333516793708974</v>
      </c>
      <c r="G142" s="26">
        <f ca="1"/>
        <v>-0.74946523395727582</v>
      </c>
      <c r="H142" s="26">
        <f ca="1"/>
        <v>-0.66237932218745577</v>
      </c>
      <c r="I142" s="26">
        <f ca="1"/>
        <v>-0.55018991542093143</v>
      </c>
      <c r="J142" s="26">
        <f ca="1"/>
        <v>-0.4583217309280519</v>
      </c>
      <c r="K142" s="26">
        <f ca="1"/>
        <v>-0.41229455913642576</v>
      </c>
      <c r="L142" s="26">
        <f ca="1"/>
        <v>-0.39333191203533313</v>
      </c>
      <c r="M142" s="26">
        <f ca="1"/>
        <v>-0.38979523226502405</v>
      </c>
      <c r="N142" s="6" t="str">
        <f>'Base data'!$F$21</f>
        <v>W/m2</v>
      </c>
      <c r="Y142"/>
    </row>
    <row r="143" spans="1:25" s="6" customFormat="1" x14ac:dyDescent="0.2">
      <c r="B143" s="1" t="str">
        <v>US</v>
      </c>
      <c r="C143" s="26">
        <f ca="1"/>
        <v>-0.66417637173865984</v>
      </c>
      <c r="D143" s="26">
        <f ca="1"/>
        <v>-0.61557357969377813</v>
      </c>
      <c r="E143" s="26">
        <f ca="1"/>
        <v>-0.56627885177296267</v>
      </c>
      <c r="F143" s="26">
        <f ca="1"/>
        <v>-0.50850639949489185</v>
      </c>
      <c r="G143" s="26">
        <f ca="1"/>
        <v>-0.50716451591448464</v>
      </c>
      <c r="H143" s="26">
        <f ca="1"/>
        <v>-0.39181199721847726</v>
      </c>
      <c r="I143" s="26">
        <f ca="1"/>
        <v>-0.29664409062033953</v>
      </c>
      <c r="J143" s="26">
        <f ca="1"/>
        <v>-0.22964827802137508</v>
      </c>
      <c r="K143" s="26">
        <f ca="1"/>
        <v>-0.1944177883710165</v>
      </c>
      <c r="L143" s="26">
        <f ca="1"/>
        <v>-0.17750811548574413</v>
      </c>
      <c r="M143" s="26">
        <f ca="1"/>
        <v>-0.1721757356432575</v>
      </c>
      <c r="N143" s="6" t="str">
        <f>'Base data'!$F$21</f>
        <v>W/m2</v>
      </c>
      <c r="Y143"/>
    </row>
    <row r="144" spans="1:25" s="6" customFormat="1" x14ac:dyDescent="0.2">
      <c r="B144" s="1" t="str">
        <v>OT</v>
      </c>
      <c r="C144" s="26">
        <f ca="1"/>
        <v>-0.56625803970930511</v>
      </c>
      <c r="D144" s="26">
        <f ca="1"/>
        <v>-0.49131446388143823</v>
      </c>
      <c r="E144" s="26">
        <f ca="1"/>
        <v>-0.43708026652893572</v>
      </c>
      <c r="F144" s="26">
        <f ca="1"/>
        <v>-0.37239825434964619</v>
      </c>
      <c r="G144" s="26">
        <f ca="1"/>
        <v>-0.33031848339934844</v>
      </c>
      <c r="H144" s="26">
        <f ca="1"/>
        <v>-0.25510978659760697</v>
      </c>
      <c r="I144" s="26">
        <f ca="1"/>
        <v>-0.22970838179483768</v>
      </c>
      <c r="J144" s="26">
        <f ca="1"/>
        <v>-0.20573379517365434</v>
      </c>
      <c r="K144" s="26">
        <f ca="1"/>
        <v>-0.18966542427036379</v>
      </c>
      <c r="L144" s="26">
        <f ca="1"/>
        <v>-0.18234689488922573</v>
      </c>
      <c r="M144" s="26">
        <f ca="1"/>
        <v>-0.17781665190846815</v>
      </c>
      <c r="N144" s="6" t="str">
        <f>'Base data'!$F$21</f>
        <v>W/m2</v>
      </c>
      <c r="Y144"/>
    </row>
    <row r="145" spans="1:41" s="6" customFormat="1" x14ac:dyDescent="0.2">
      <c r="B145" s="1" t="str">
        <v>EE</v>
      </c>
      <c r="C145" s="26">
        <f ca="1"/>
        <v>-0.64102020652827651</v>
      </c>
      <c r="D145" s="26">
        <f ca="1"/>
        <v>-0.5701964391701233</v>
      </c>
      <c r="E145" s="26">
        <f ca="1"/>
        <v>-0.51545004297855967</v>
      </c>
      <c r="F145" s="26">
        <f ca="1"/>
        <v>-0.4500374682509124</v>
      </c>
      <c r="G145" s="26">
        <f ca="1"/>
        <v>-0.39162928140658926</v>
      </c>
      <c r="H145" s="26">
        <f ca="1"/>
        <v>-0.33831294615556196</v>
      </c>
      <c r="I145" s="26">
        <f ca="1"/>
        <v>-0.31452849018637841</v>
      </c>
      <c r="J145" s="26">
        <f ca="1"/>
        <v>-0.29172364993861816</v>
      </c>
      <c r="K145" s="26">
        <f ca="1"/>
        <v>-0.27242005948988812</v>
      </c>
      <c r="L145" s="26">
        <f ca="1"/>
        <v>-0.26964755900557724</v>
      </c>
      <c r="M145" s="26">
        <f ca="1"/>
        <v>-0.26670663128031902</v>
      </c>
      <c r="N145" s="6" t="str">
        <f>'Base data'!$F$21</f>
        <v>W/m2</v>
      </c>
      <c r="Y145"/>
    </row>
    <row r="146" spans="1:41" s="6" customFormat="1" x14ac:dyDescent="0.2">
      <c r="B146" s="1" t="str">
        <v>CA</v>
      </c>
      <c r="C146" s="26">
        <f ca="1"/>
        <v>-1.1109452260333408</v>
      </c>
      <c r="D146" s="26">
        <f ca="1"/>
        <v>-0.93903422775551004</v>
      </c>
      <c r="E146" s="26">
        <f ca="1"/>
        <v>-0.89193659660673452</v>
      </c>
      <c r="F146" s="26">
        <f ca="1"/>
        <v>-0.83716074368127302</v>
      </c>
      <c r="G146" s="26">
        <f ca="1"/>
        <v>-0.8373596930308107</v>
      </c>
      <c r="H146" s="26">
        <f ca="1"/>
        <v>-0.70320592720404684</v>
      </c>
      <c r="I146" s="26">
        <f ca="1"/>
        <v>-0.61058873039128592</v>
      </c>
      <c r="J146" s="26">
        <f ca="1"/>
        <v>-0.51388434369241631</v>
      </c>
      <c r="K146" s="26">
        <f ca="1"/>
        <v>-0.45005982227798891</v>
      </c>
      <c r="L146" s="26">
        <f ca="1"/>
        <v>-0.42580442239208971</v>
      </c>
      <c r="M146" s="26">
        <f ca="1"/>
        <v>-0.40684066400945301</v>
      </c>
      <c r="N146" s="6" t="str">
        <f>'Base data'!$F$21</f>
        <v>W/m2</v>
      </c>
      <c r="Y146"/>
    </row>
    <row r="147" spans="1:41" s="6" customFormat="1" x14ac:dyDescent="0.2">
      <c r="B147" s="1" t="str">
        <v>IA</v>
      </c>
      <c r="C147" s="26">
        <f ca="1"/>
        <v>-1.1869898966877381</v>
      </c>
      <c r="D147" s="26">
        <f ca="1"/>
        <v>-1.2396515545256011</v>
      </c>
      <c r="E147" s="26">
        <f ca="1"/>
        <v>-1.2760362954459696</v>
      </c>
      <c r="F147" s="26">
        <f ca="1"/>
        <v>-1.3088691571012274</v>
      </c>
      <c r="G147" s="26">
        <f ca="1"/>
        <v>-1.3143798100722757</v>
      </c>
      <c r="H147" s="26">
        <f ca="1"/>
        <v>-0.99874077181950294</v>
      </c>
      <c r="I147" s="26">
        <f ca="1"/>
        <v>-0.79521331013285301</v>
      </c>
      <c r="J147" s="26">
        <f ca="1"/>
        <v>-0.63804705913344761</v>
      </c>
      <c r="K147" s="26">
        <f ca="1"/>
        <v>-0.53279411781839059</v>
      </c>
      <c r="L147" s="26">
        <f ca="1"/>
        <v>-0.46010879604785887</v>
      </c>
      <c r="M147" s="26">
        <f ca="1"/>
        <v>-0.41500277220882625</v>
      </c>
      <c r="N147" s="6" t="str">
        <f>'Base data'!$F$21</f>
        <v>W/m2</v>
      </c>
      <c r="Y147"/>
    </row>
    <row r="148" spans="1:41" s="6" customFormat="1" x14ac:dyDescent="0.2">
      <c r="B148" s="1" t="str">
        <v>AF</v>
      </c>
      <c r="C148" s="26">
        <f ca="1"/>
        <v>-0.69889084361910825</v>
      </c>
      <c r="D148" s="26">
        <f ca="1"/>
        <v>-0.64092215015551535</v>
      </c>
      <c r="E148" s="26">
        <f ca="1"/>
        <v>-0.59926081928300845</v>
      </c>
      <c r="F148" s="26">
        <f ca="1"/>
        <v>-0.5517054334538849</v>
      </c>
      <c r="G148" s="26">
        <f ca="1"/>
        <v>-0.57997432627319168</v>
      </c>
      <c r="H148" s="26">
        <f ca="1"/>
        <v>-0.46014067950521531</v>
      </c>
      <c r="I148" s="26">
        <f ca="1"/>
        <v>-0.39655368917226064</v>
      </c>
      <c r="J148" s="26">
        <f ca="1"/>
        <v>-0.35090069398151968</v>
      </c>
      <c r="K148" s="26">
        <f ca="1"/>
        <v>-0.30607752783303055</v>
      </c>
      <c r="L148" s="26">
        <f ca="1"/>
        <v>-0.27422298147932128</v>
      </c>
      <c r="M148" s="26">
        <f ca="1"/>
        <v>-0.26524974155034309</v>
      </c>
      <c r="N148" s="6" t="str">
        <f>'Base data'!$F$21</f>
        <v>W/m2</v>
      </c>
      <c r="Y148"/>
    </row>
    <row r="149" spans="1:41" s="6" customFormat="1" x14ac:dyDescent="0.2">
      <c r="B149" s="1" t="str">
        <v>LA</v>
      </c>
      <c r="C149" s="26">
        <f ca="1"/>
        <v>-0.68230432149774078</v>
      </c>
      <c r="D149" s="26">
        <f ca="1"/>
        <v>-0.66659970991302964</v>
      </c>
      <c r="E149" s="26">
        <f ca="1"/>
        <v>-0.66412707228450751</v>
      </c>
      <c r="F149" s="26">
        <f ca="1"/>
        <v>-0.66163613792935472</v>
      </c>
      <c r="G149" s="26">
        <f ca="1"/>
        <v>-0.65927947291275912</v>
      </c>
      <c r="H149" s="26">
        <f ca="1"/>
        <v>-0.51766747077139219</v>
      </c>
      <c r="I149" s="26">
        <f ca="1"/>
        <v>-0.39275309249209334</v>
      </c>
      <c r="J149" s="26">
        <f ca="1"/>
        <v>-0.27352567500934682</v>
      </c>
      <c r="K149" s="26">
        <f ca="1"/>
        <v>-0.19255674038414353</v>
      </c>
      <c r="L149" s="26">
        <f ca="1"/>
        <v>-0.16626125321554089</v>
      </c>
      <c r="M149" s="26">
        <f ca="1"/>
        <v>-0.1523873598458953</v>
      </c>
      <c r="N149" s="6" t="str">
        <f>'Base data'!$F$21</f>
        <v>W/m2</v>
      </c>
      <c r="Y149"/>
    </row>
    <row r="150" spans="1:41" s="6" customFormat="1" x14ac:dyDescent="0.2">
      <c r="B150" s="6" t="s">
        <v>136</v>
      </c>
      <c r="C150" s="256">
        <f t="array" aca="1" ref="C150" ca="1">SUM(AREA*C142:C149)/AREA_E</f>
        <v>-0.19130023945872143</v>
      </c>
      <c r="D150" s="256">
        <f t="array" aca="1" ref="D150" ca="1">SUM(AREA*D142:D149)/AREA_E</f>
        <v>-0.17731499366384107</v>
      </c>
      <c r="E150" s="256">
        <f t="array" aca="1" ref="E150" ca="1">SUM(AREA*E142:E149)/AREA_E</f>
        <v>-0.1684958509062284</v>
      </c>
      <c r="F150" s="256">
        <f t="array" aca="1" ref="F150" ca="1">SUM(AREA*F142:F149)/AREA_E</f>
        <v>-0.15795519299453345</v>
      </c>
      <c r="G150" s="256">
        <f t="array" aca="1" ref="G150" ca="1">SUM(AREA*G142:G149)/AREA_E</f>
        <v>-0.15649414696222858</v>
      </c>
      <c r="H150" s="256">
        <f t="array" aca="1" ref="H150" ca="1">SUM(AREA*H142:H149)/AREA_E</f>
        <v>-0.12518417228129577</v>
      </c>
      <c r="I150" s="256">
        <f t="array" aca="1" ref="I150" ca="1">SUM(AREA*I142:I149)/AREA_E</f>
        <v>-0.10491384008643226</v>
      </c>
      <c r="J150" s="256">
        <f t="array" aca="1" ref="J150" ca="1">SUM(AREA*J142:J149)/AREA_E</f>
        <v>-8.7948111065703966E-2</v>
      </c>
      <c r="K150" s="256">
        <f t="array" aca="1" ref="K150" ca="1">SUM(AREA*K142:K149)/AREA_E</f>
        <v>-7.5593966063484175E-2</v>
      </c>
      <c r="L150" s="256">
        <f t="array" aca="1" ref="L150" ca="1">SUM(AREA*L142:L149)/AREA_E</f>
        <v>-6.9310107254272793E-2</v>
      </c>
      <c r="M150" s="256">
        <f t="array" aca="1" ref="M150" ca="1">SUM(AREA*M142:M149)/AREA_E</f>
        <v>-6.6375135327274695E-2</v>
      </c>
      <c r="N150" s="6" t="s">
        <v>42</v>
      </c>
      <c r="Y150"/>
    </row>
    <row r="151" spans="1:41" s="6" customFormat="1" x14ac:dyDescent="0.2">
      <c r="A151" t="s">
        <v>74</v>
      </c>
      <c r="B151" t="s">
        <v>75</v>
      </c>
      <c r="C151" s="1" t="str">
        <f t="array" ref="C151:C158">R_CODE</f>
        <v>EU</v>
      </c>
      <c r="D151" s="26">
        <f t="array" aca="1" ref="D151:M158" ca="1" xml:space="preserve"> fsd + fsi</f>
        <v>-3.0407570093671872</v>
      </c>
      <c r="E151" s="26">
        <f ca="1"/>
        <v>-2.5912672452628627</v>
      </c>
      <c r="F151" s="26">
        <f ca="1"/>
        <v>-2.128298183284163</v>
      </c>
      <c r="G151" s="26">
        <f ca="1"/>
        <v>-2.2215397587280883</v>
      </c>
      <c r="H151" s="26">
        <f ca="1"/>
        <v>-1.758308296322395</v>
      </c>
      <c r="I151" s="26">
        <f ca="1"/>
        <v>-1.2850316486757052</v>
      </c>
      <c r="J151" s="26">
        <f ca="1"/>
        <v>-0.97512455085469329</v>
      </c>
      <c r="K151" s="26">
        <f ca="1"/>
        <v>-0.84029529587206886</v>
      </c>
      <c r="L151" s="26">
        <f ca="1"/>
        <v>-0.78813522436926164</v>
      </c>
      <c r="M151" s="26">
        <f ca="1"/>
        <v>-0.77861122787910242</v>
      </c>
      <c r="N151" s="6" t="str">
        <f>'Base data'!$F$21</f>
        <v>W/m2</v>
      </c>
      <c r="O151"/>
      <c r="P151"/>
      <c r="Q151"/>
      <c r="R151"/>
      <c r="S151"/>
      <c r="T151"/>
      <c r="U151"/>
      <c r="V151"/>
      <c r="W151"/>
      <c r="X151"/>
      <c r="Y151"/>
      <c r="AF151" s="157"/>
      <c r="AG151" s="157"/>
      <c r="AH151" s="157"/>
      <c r="AI151" s="157"/>
      <c r="AJ151" s="157"/>
      <c r="AK151" s="157"/>
      <c r="AL151" s="157"/>
      <c r="AM151" s="157"/>
      <c r="AN151" s="157"/>
      <c r="AO151" s="157"/>
    </row>
    <row r="152" spans="1:41" s="6" customFormat="1" x14ac:dyDescent="0.2">
      <c r="A152"/>
      <c r="B152"/>
      <c r="C152" s="1" t="str">
        <v>US</v>
      </c>
      <c r="D152" s="26">
        <f ca="1"/>
        <v>-1.5461245148315346</v>
      </c>
      <c r="E152" s="26">
        <f ca="1"/>
        <v>-1.3458126002364574</v>
      </c>
      <c r="F152" s="26">
        <f ca="1"/>
        <v>-1.1370229612841247</v>
      </c>
      <c r="G152" s="26">
        <f ca="1"/>
        <v>-1.1324721842121346</v>
      </c>
      <c r="H152" s="26">
        <f ca="1"/>
        <v>-0.78403450534976693</v>
      </c>
      <c r="I152" s="26">
        <f ca="1"/>
        <v>-0.54842317403565555</v>
      </c>
      <c r="J152" s="26">
        <f ca="1"/>
        <v>-0.40385201436291229</v>
      </c>
      <c r="K152" s="26">
        <f ca="1"/>
        <v>-0.33361621816099629</v>
      </c>
      <c r="L152" s="26">
        <f ca="1"/>
        <v>-0.30116249716250093</v>
      </c>
      <c r="M152" s="26">
        <f ca="1"/>
        <v>-0.29108811970801329</v>
      </c>
      <c r="N152" s="6" t="str">
        <f>'Base data'!$F$21</f>
        <v>W/m2</v>
      </c>
      <c r="O152"/>
      <c r="P152"/>
      <c r="Q152"/>
      <c r="R152"/>
      <c r="S152"/>
      <c r="T152"/>
      <c r="U152"/>
      <c r="V152"/>
      <c r="W152"/>
      <c r="X152"/>
      <c r="Y152"/>
      <c r="AF152" s="157"/>
      <c r="AG152" s="157"/>
      <c r="AH152" s="157"/>
      <c r="AI152" s="157"/>
      <c r="AJ152" s="157"/>
      <c r="AK152" s="157"/>
      <c r="AL152" s="157"/>
      <c r="AM152" s="157"/>
      <c r="AN152" s="157"/>
      <c r="AO152" s="157"/>
    </row>
    <row r="153" spans="1:41" x14ac:dyDescent="0.2">
      <c r="C153" s="1" t="str">
        <v>OT</v>
      </c>
      <c r="D153" s="26">
        <f ca="1"/>
        <v>-1.079671567354602</v>
      </c>
      <c r="E153" s="26">
        <f ca="1"/>
        <v>-0.91139027209711898</v>
      </c>
      <c r="F153" s="26">
        <f ca="1"/>
        <v>-0.73266116201284892</v>
      </c>
      <c r="G153" s="26">
        <f ca="1"/>
        <v>-0.62732262652945225</v>
      </c>
      <c r="H153" s="26">
        <f ca="1"/>
        <v>-0.45699281080220722</v>
      </c>
      <c r="I153" s="26">
        <f ca="1"/>
        <v>-0.40397502288957937</v>
      </c>
      <c r="J153" s="26">
        <f ca="1"/>
        <v>-0.35577909137737901</v>
      </c>
      <c r="K153" s="26">
        <f ca="1"/>
        <v>-0.32441611986979041</v>
      </c>
      <c r="L153" s="26">
        <f ca="1"/>
        <v>-0.31036981666088692</v>
      </c>
      <c r="M153" s="26">
        <f ca="1"/>
        <v>-0.30174771559454616</v>
      </c>
      <c r="N153" s="6" t="str">
        <f>'Base data'!$F$21</f>
        <v>W/m2</v>
      </c>
      <c r="AF153" s="157"/>
      <c r="AG153" s="157"/>
      <c r="AH153" s="157"/>
      <c r="AI153" s="157"/>
      <c r="AJ153" s="157"/>
      <c r="AK153" s="157"/>
      <c r="AL153" s="157"/>
      <c r="AM153" s="157"/>
      <c r="AN153" s="157"/>
      <c r="AO153" s="157"/>
    </row>
    <row r="154" spans="1:41" x14ac:dyDescent="0.2">
      <c r="C154" s="1" t="str">
        <v>EE</v>
      </c>
      <c r="D154" s="26">
        <f ca="1"/>
        <v>-1.3609397306479694</v>
      </c>
      <c r="E154" s="26">
        <f ca="1"/>
        <v>-1.1607770798383781</v>
      </c>
      <c r="F154" s="26">
        <f ca="1"/>
        <v>-0.94994825049270259</v>
      </c>
      <c r="G154" s="26">
        <f ca="1"/>
        <v>-0.78354232330322993</v>
      </c>
      <c r="H154" s="26">
        <f ca="1"/>
        <v>-0.6467347436167703</v>
      </c>
      <c r="I154" s="26">
        <f ca="1"/>
        <v>-0.58976272225387627</v>
      </c>
      <c r="J154" s="26">
        <f ca="1"/>
        <v>-0.53726524095437866</v>
      </c>
      <c r="K154" s="26">
        <f ca="1"/>
        <v>-0.49435286193043437</v>
      </c>
      <c r="L154" s="26">
        <f ca="1"/>
        <v>-0.488299344555153</v>
      </c>
      <c r="M154" s="26">
        <f ca="1"/>
        <v>-0.48190748951263596</v>
      </c>
      <c r="N154" s="6" t="str">
        <f>'Base data'!$F$21</f>
        <v>W/m2</v>
      </c>
      <c r="AF154" s="157"/>
      <c r="AG154" s="157"/>
      <c r="AH154" s="157"/>
      <c r="AI154" s="157"/>
      <c r="AJ154" s="157"/>
      <c r="AK154" s="157"/>
      <c r="AL154" s="157"/>
      <c r="AM154" s="157"/>
      <c r="AN154" s="157"/>
      <c r="AO154" s="157"/>
    </row>
    <row r="155" spans="1:41" x14ac:dyDescent="0.2">
      <c r="C155" s="1" t="str">
        <v>CA</v>
      </c>
      <c r="D155" s="26">
        <f ca="1"/>
        <v>-3.6589192605565728</v>
      </c>
      <c r="E155" s="26">
        <f ca="1"/>
        <v>-3.2334537642752199</v>
      </c>
      <c r="F155" s="26">
        <f ca="1"/>
        <v>-2.8003100462171813</v>
      </c>
      <c r="G155" s="26">
        <f ca="1"/>
        <v>-2.8017748477519699</v>
      </c>
      <c r="H155" s="26">
        <f ca="1"/>
        <v>-1.9634081387003111</v>
      </c>
      <c r="I155" s="26">
        <f ca="1"/>
        <v>-1.524843829093613</v>
      </c>
      <c r="J155" s="26">
        <f ca="1"/>
        <v>-1.1553905063589058</v>
      </c>
      <c r="K155" s="26">
        <f ca="1"/>
        <v>-0.95001562846341381</v>
      </c>
      <c r="L155" s="26">
        <f ca="1"/>
        <v>-0.87862362676239614</v>
      </c>
      <c r="M155" s="26">
        <f ca="1"/>
        <v>-0.82510107335734539</v>
      </c>
      <c r="N155" s="6" t="str">
        <f>'Base data'!$F$21</f>
        <v>W/m2</v>
      </c>
      <c r="AF155" s="157"/>
      <c r="AG155" s="157"/>
      <c r="AH155" s="157"/>
      <c r="AI155" s="157"/>
      <c r="AJ155" s="157"/>
      <c r="AK155" s="157"/>
      <c r="AL155" s="157"/>
      <c r="AM155" s="157"/>
      <c r="AN155" s="157"/>
      <c r="AO155" s="157"/>
    </row>
    <row r="156" spans="1:41" x14ac:dyDescent="0.2">
      <c r="C156" s="1" t="str">
        <v>IA</v>
      </c>
      <c r="D156" s="26">
        <f ca="1"/>
        <v>-8.1398600326177402</v>
      </c>
      <c r="E156" s="26">
        <f ca="1"/>
        <v>-8.9841830486330618</v>
      </c>
      <c r="F156" s="26">
        <f ca="1"/>
        <v>-9.8249541853832731</v>
      </c>
      <c r="G156" s="26">
        <f ca="1"/>
        <v>-9.9739606617411702</v>
      </c>
      <c r="H156" s="26">
        <f ca="1"/>
        <v>-4.281028805763671</v>
      </c>
      <c r="I156" s="26">
        <f ca="1"/>
        <v>-2.5074978391227769</v>
      </c>
      <c r="J156" s="26">
        <f ca="1"/>
        <v>-1.6451372099221837</v>
      </c>
      <c r="K156" s="26">
        <f ca="1"/>
        <v>-1.2216574216338931</v>
      </c>
      <c r="L156" s="26">
        <f ca="1"/>
        <v>-0.98061036414627312</v>
      </c>
      <c r="M156" s="26">
        <f ca="1"/>
        <v>-0.84789916735374482</v>
      </c>
      <c r="N156" s="6" t="str">
        <f>'Base data'!$F$21</f>
        <v>W/m2</v>
      </c>
      <c r="AF156" s="157"/>
      <c r="AG156" s="157"/>
      <c r="AH156" s="157"/>
      <c r="AI156" s="157"/>
      <c r="AJ156" s="157"/>
      <c r="AK156" s="157"/>
      <c r="AL156" s="157"/>
      <c r="AM156" s="157"/>
      <c r="AN156" s="157"/>
      <c r="AO156" s="157"/>
    </row>
    <row r="157" spans="1:41" x14ac:dyDescent="0.2">
      <c r="C157" s="1" t="str">
        <v>AF</v>
      </c>
      <c r="D157" s="26">
        <f ca="1"/>
        <v>-1.6581780039612393</v>
      </c>
      <c r="E157" s="26">
        <f ca="1"/>
        <v>-1.4773692558469136</v>
      </c>
      <c r="F157" s="26">
        <f ca="1"/>
        <v>-1.2906664527759717</v>
      </c>
      <c r="G157" s="26">
        <f ca="1"/>
        <v>-1.3992712597532821</v>
      </c>
      <c r="H157" s="26">
        <f ca="1"/>
        <v>-0.9807084163068156</v>
      </c>
      <c r="I157" s="26">
        <f ca="1"/>
        <v>-0.79686623638720522</v>
      </c>
      <c r="J157" s="26">
        <f ca="1"/>
        <v>-0.67785898507637898</v>
      </c>
      <c r="K157" s="26">
        <f ca="1"/>
        <v>-0.57007307498746251</v>
      </c>
      <c r="L157" s="26">
        <f ca="1"/>
        <v>-0.49830393342787194</v>
      </c>
      <c r="M157" s="26">
        <f ca="1"/>
        <v>-0.47875219882735431</v>
      </c>
      <c r="N157" s="6" t="str">
        <f>'Base data'!$F$21</f>
        <v>W/m2</v>
      </c>
      <c r="AF157" s="157"/>
      <c r="AG157" s="157"/>
      <c r="AH157" s="157"/>
      <c r="AI157" s="157"/>
      <c r="AJ157" s="157"/>
      <c r="AK157" s="157"/>
      <c r="AL157" s="157"/>
      <c r="AM157" s="157"/>
      <c r="AN157" s="157"/>
      <c r="AO157" s="157"/>
    </row>
    <row r="158" spans="1:41" x14ac:dyDescent="0.2">
      <c r="C158" s="1" t="str">
        <v>LA</v>
      </c>
      <c r="D158" s="26">
        <f ca="1"/>
        <v>-1.7786017691887999</v>
      </c>
      <c r="E158" s="26">
        <f ca="1"/>
        <v>-1.7666878073541472</v>
      </c>
      <c r="F158" s="26">
        <f ca="1"/>
        <v>-1.7547555487928641</v>
      </c>
      <c r="G158" s="26">
        <f ca="1"/>
        <v>-1.7435305635530258</v>
      </c>
      <c r="H158" s="26">
        <f ca="1"/>
        <v>-1.1684363333037946</v>
      </c>
      <c r="I158" s="26">
        <f ca="1"/>
        <v>-0.78657219941981849</v>
      </c>
      <c r="J158" s="26">
        <f ca="1"/>
        <v>-0.496774434040754</v>
      </c>
      <c r="K158" s="26">
        <f ca="1"/>
        <v>-0.33000593290877245</v>
      </c>
      <c r="L158" s="26">
        <f ca="1"/>
        <v>-0.28000110636445713</v>
      </c>
      <c r="M158" s="26">
        <f ca="1"/>
        <v>-0.25434450599502662</v>
      </c>
      <c r="N158" s="6" t="str">
        <f>'Base data'!$F$21</f>
        <v>W/m2</v>
      </c>
      <c r="AF158" s="157"/>
      <c r="AG158" s="157"/>
      <c r="AH158" s="157"/>
      <c r="AI158" s="157"/>
      <c r="AJ158" s="157"/>
      <c r="AK158" s="157"/>
      <c r="AL158" s="157"/>
      <c r="AM158" s="157"/>
      <c r="AN158" s="157"/>
      <c r="AO158" s="157"/>
    </row>
    <row r="159" spans="1:41" ht="13.5" thickBot="1" x14ac:dyDescent="0.25">
      <c r="C159" t="s">
        <v>136</v>
      </c>
      <c r="D159" s="257">
        <f t="array" aca="1" ref="D159" ca="1">SUM(AREA*D151:D158)/AREA_E</f>
        <v>-0.58629161958800868</v>
      </c>
      <c r="E159" s="257">
        <f t="array" aca="1" ref="E159" ca="1">SUM(AREA*E151:E158)/AREA_E</f>
        <v>-0.56082315666603255</v>
      </c>
      <c r="F159" s="257">
        <f t="array" aca="1" ref="F159" ca="1">SUM(AREA*F151:F158)/AREA_E</f>
        <v>-0.53363317858997417</v>
      </c>
      <c r="G159" s="257">
        <f t="array" aca="1" ref="G159" ca="1">SUM(AREA*G151:G158)/AREA_E</f>
        <v>-0.53517696906708911</v>
      </c>
      <c r="H159" s="257">
        <f t="array" aca="1" ref="H159" ca="1">SUM(AREA*H151:H158)/AREA_E</f>
        <v>-0.32092664008026267</v>
      </c>
      <c r="I159" s="257">
        <f t="array" aca="1" ref="I159" ca="1">SUM(AREA*I151:I158)/AREA_E</f>
        <v>-0.23320476145221344</v>
      </c>
      <c r="J159" s="257">
        <f t="array" aca="1" ref="J159" ca="1">SUM(AREA*J151:J158)/AREA_E</f>
        <v>-0.17841150378564774</v>
      </c>
      <c r="K159" s="257">
        <f t="array" aca="1" ref="K159" ca="1">SUM(AREA*K151:K158)/AREA_E</f>
        <v>-0.14550692458054876</v>
      </c>
      <c r="L159" s="257">
        <f t="array" aca="1" ref="L159" ca="1">SUM(AREA*L151:L158)/AREA_E</f>
        <v>-0.129807545130082</v>
      </c>
      <c r="M159" s="257">
        <f t="array" aca="1" ref="M159" ca="1">SUM(AREA*M151:M158)/AREA_E</f>
        <v>-0.12265828107754061</v>
      </c>
      <c r="N159" s="6" t="s">
        <v>42</v>
      </c>
      <c r="O159" s="6"/>
      <c r="P159" s="6"/>
      <c r="Q159" s="6"/>
      <c r="R159" s="6"/>
      <c r="S159" s="6"/>
      <c r="T159" s="6"/>
      <c r="U159" s="6"/>
      <c r="V159" s="6"/>
      <c r="W159" s="6"/>
      <c r="X159" s="6"/>
      <c r="Z159" s="124" t="s">
        <v>553</v>
      </c>
    </row>
    <row r="160" spans="1:41" ht="13.5" thickTop="1" x14ac:dyDescent="0.2">
      <c r="D160" s="6"/>
      <c r="E160" s="6"/>
      <c r="F160" s="6"/>
      <c r="G160" s="6"/>
      <c r="H160" s="6"/>
      <c r="I160" s="6"/>
      <c r="J160" s="6"/>
      <c r="K160" s="6"/>
      <c r="L160" s="6"/>
      <c r="M160" s="6"/>
      <c r="N160" s="6"/>
      <c r="O160" s="6"/>
      <c r="P160" s="6"/>
      <c r="Q160" s="6"/>
      <c r="R160" s="6"/>
      <c r="S160" s="6"/>
      <c r="T160" s="6"/>
      <c r="U160" s="6"/>
      <c r="V160" s="6"/>
      <c r="W160" s="6"/>
      <c r="X160" s="6"/>
      <c r="Z160" s="124"/>
    </row>
    <row r="161" spans="1:26" x14ac:dyDescent="0.2">
      <c r="A161" s="3" t="s">
        <v>560</v>
      </c>
      <c r="B161" t="s">
        <v>557</v>
      </c>
      <c r="C161" s="213">
        <f ca="1">FT_0 + FSD_G_0 + FSI_G_0</f>
        <v>2.5440330938746119</v>
      </c>
      <c r="D161" s="213">
        <f t="array" ref="D161:M161" ca="1" xml:space="preserve"> ft+fs_g</f>
        <v>3.0105233422215809</v>
      </c>
      <c r="E161" s="213">
        <f ca="1"/>
        <v>3.291620589611421</v>
      </c>
      <c r="F161" s="213">
        <f ca="1"/>
        <v>3.5888627934445294</v>
      </c>
      <c r="G161" s="213">
        <f ca="1"/>
        <v>4.2519058085179307</v>
      </c>
      <c r="H161" s="213">
        <f ca="1"/>
        <v>4.6723996503427605</v>
      </c>
      <c r="I161" s="213">
        <f ca="1"/>
        <v>4.6259489029173597</v>
      </c>
      <c r="J161" s="213">
        <f ca="1"/>
        <v>4.2925044758726703</v>
      </c>
      <c r="K161" s="213">
        <f ca="1"/>
        <v>3.8998329194317853</v>
      </c>
      <c r="L161" s="213">
        <f ca="1"/>
        <v>3.5302051133488654</v>
      </c>
      <c r="M161" s="213">
        <f ca="1"/>
        <v>3.1860374413908148</v>
      </c>
      <c r="N161" s="6" t="s">
        <v>42</v>
      </c>
      <c r="O161" s="6"/>
      <c r="P161" s="6"/>
      <c r="Q161" s="6"/>
      <c r="R161" s="6"/>
      <c r="S161" s="6"/>
      <c r="T161" s="6"/>
      <c r="U161" s="6"/>
      <c r="V161" s="6"/>
      <c r="W161" s="6"/>
      <c r="X161" s="6"/>
      <c r="Z161" s="124" t="s">
        <v>561</v>
      </c>
    </row>
    <row r="162" spans="1:26" x14ac:dyDescent="0.2">
      <c r="A162" t="s">
        <v>558</v>
      </c>
      <c r="B162" s="3"/>
      <c r="D162" s="222">
        <f ca="1" xml:space="preserve"> (fgt_1 - FGT_0) / YP_1</f>
        <v>9.3298049669393812E-2</v>
      </c>
      <c r="E162" s="222">
        <f t="array" ref="E162:M162" ca="1" xml:space="preserve"> (fgt_not_1 - fgt) / YP_NOT_1</f>
        <v>5.6219449477968017E-2</v>
      </c>
      <c r="F162" s="222">
        <f ca="1"/>
        <v>5.9448440766621681E-2</v>
      </c>
      <c r="G162" s="222">
        <f ca="1"/>
        <v>6.6304301507340124E-2</v>
      </c>
      <c r="H162" s="222">
        <f ca="1"/>
        <v>4.2049384182482982E-2</v>
      </c>
      <c r="I162" s="222">
        <f ca="1"/>
        <v>-4.6450747425400788E-3</v>
      </c>
      <c r="J162" s="222">
        <f ca="1"/>
        <v>-3.3344442704468943E-2</v>
      </c>
      <c r="K162" s="222">
        <f ca="1"/>
        <v>-3.9267155644088489E-2</v>
      </c>
      <c r="L162" s="222">
        <f ca="1"/>
        <v>-3.6962780608291987E-2</v>
      </c>
      <c r="M162" s="222">
        <f ca="1"/>
        <v>-3.4416767195805067E-2</v>
      </c>
      <c r="N162" s="57" t="s">
        <v>559</v>
      </c>
      <c r="O162" s="6"/>
      <c r="P162" s="6"/>
      <c r="Q162" s="6"/>
      <c r="R162" s="6"/>
      <c r="S162" s="6"/>
      <c r="T162" s="6"/>
      <c r="U162" s="6"/>
      <c r="V162" s="6"/>
      <c r="W162" s="6"/>
      <c r="X162" s="6"/>
      <c r="Z162" s="124" t="s">
        <v>561</v>
      </c>
    </row>
    <row r="163" spans="1:26" x14ac:dyDescent="0.2">
      <c r="D163" s="6"/>
      <c r="E163" s="6"/>
      <c r="F163" s="6"/>
      <c r="G163" s="6"/>
      <c r="H163" s="6"/>
      <c r="I163" s="6"/>
      <c r="J163" s="6"/>
      <c r="K163" s="6"/>
      <c r="L163" s="6"/>
      <c r="M163" s="6"/>
      <c r="N163" s="6"/>
    </row>
    <row r="164" spans="1:26" ht="15" x14ac:dyDescent="0.25">
      <c r="A164" s="3" t="s">
        <v>911</v>
      </c>
      <c r="B164" s="3" t="s">
        <v>443</v>
      </c>
      <c r="C164" s="213">
        <f xml:space="preserve"> RT_G_0</f>
        <v>1.0967800000000001</v>
      </c>
      <c r="D164" s="258">
        <f ca="1" xml:space="preserve"> RT_G_0 + (ECS * FGT_0 / (LN(2) * FSLOPE_CO2) - RT_G_0) * (1 - EXP(-YP_1/FRT))</f>
        <v>1.2223451159033858</v>
      </c>
      <c r="E164" s="213">
        <f t="array" ref="E164:M164" ca="1" xml:space="preserve"> pt_g + (ECS * (fgt - rate_fgt*FRT) / (LN(2)*FSLOPE_CO2) - pt_g) * ( 1 - EXP( - (YP_NOT_1)/FRT) ) + ECS * (rate_fgt*YP_NOT_1) / (LN(2)*FSLOPE_CO2)</f>
        <v>1.4117529741099473</v>
      </c>
      <c r="F164" s="213">
        <f ca="1"/>
        <v>1.5926333637697865</v>
      </c>
      <c r="G164" s="213">
        <f ca="1"/>
        <v>1.9736396130148293</v>
      </c>
      <c r="H164" s="213">
        <f ca="1"/>
        <v>2.3944507260934436</v>
      </c>
      <c r="I164" s="213">
        <f ca="1"/>
        <v>2.7540714754197055</v>
      </c>
      <c r="J164" s="213">
        <f ca="1"/>
        <v>2.9424620630073615</v>
      </c>
      <c r="K164" s="213">
        <f ca="1"/>
        <v>2.9685652666549567</v>
      </c>
      <c r="L164" s="213">
        <f ca="1"/>
        <v>2.8940721267121106</v>
      </c>
      <c r="M164" s="213">
        <f ca="1"/>
        <v>2.7634778946443999</v>
      </c>
      <c r="N164" s="57" t="s">
        <v>41</v>
      </c>
    </row>
    <row r="165" spans="1:26" ht="15" x14ac:dyDescent="0.25">
      <c r="A165" s="3"/>
      <c r="B165" s="3"/>
      <c r="C165" s="6"/>
      <c r="D165" s="112"/>
      <c r="E165" s="6"/>
      <c r="F165" s="6"/>
      <c r="G165" s="6"/>
      <c r="H165" s="6"/>
      <c r="I165" s="6"/>
      <c r="J165" s="6"/>
      <c r="K165" s="6"/>
      <c r="L165" s="6"/>
      <c r="M165" s="6"/>
      <c r="N165" s="57"/>
    </row>
    <row r="166" spans="1:26" ht="15" x14ac:dyDescent="0.25">
      <c r="A166" s="103" t="s">
        <v>904</v>
      </c>
      <c r="B166" s="103"/>
      <c r="C166" s="249">
        <f ca="1" xml:space="preserve"> ALB_FSAF_Y0 / RT_G_0</f>
        <v>0.35940838155121135</v>
      </c>
      <c r="D166" s="250">
        <f ca="1" xml:space="preserve"> ( ((ALB_SAF_QUADR_MEAN_T2_COEFF*(pt_g_1^3)/3 + ALB_SAF_QUADR_MEAN_T1_COEFF*(pt_g_1^2)/2 + ALB_SAF_QUADR_MEAN_T0_COEFF*pt_g_1) + (ALB_SAF_QUADR_STD*pt_g_1) * ALB_EMULATOR_RAND) - ALB_FSAF_Y0 ) / (pt_g_1 - RT_G_0)</f>
        <v>0.35365409350806948</v>
      </c>
      <c r="E166" s="249">
        <f t="array" ref="E166:M166" ca="1" xml:space="preserve"> IF( pt_g_not_1 &lt;= ALB_T_SWITCH, ( ((ALB_SAF_QUADR_MEAN_T2_COEFF*(pt_g_not_1^3)/3 + ALB_SAF_QUADR_MEAN_T1_COEFF*(pt_g_not_1^2)/2 + ALB_SAF_QUADR_MEAN_T0_COEFF*pt_g_not_1) + (ALB_SAF_QUADR_STD*pt_g_not_1) * ALB_EMULATOR_RAND) - ((ALB_SAF_QUADR_MEAN_T2_COEFF*(rt_g^3)/3 + ALB_SAF_QUADR_MEAN_T1_COEFF*(rt_g^2)/2 + ALB_SAF_QUADR_MEAN_T0_COEFF*rt_g) + (ALB_SAF_QUADR_STD*rt_g) * ALB_EMULATOR_RAND) ) / (pt_g_not_1 - rt_g), 0 ) + IF(  pt_g_not_1 &gt; ALB_T_SWITCH, (ALB_SAF_LIN_MEAN + ALB_SAF_LIN_STD*ALB_EMULATOR_RAND) )</f>
        <v>0.35170021355130154</v>
      </c>
      <c r="F166" s="249">
        <f ca="1"/>
        <v>0.34954294502810346</v>
      </c>
      <c r="G166" s="249">
        <f ca="1"/>
        <v>0.34590205868716278</v>
      </c>
      <c r="H166" s="249">
        <f ca="1"/>
        <v>0.33996920693196808</v>
      </c>
      <c r="I166" s="249">
        <f ca="1"/>
        <v>0.3333572505688327</v>
      </c>
      <c r="J166" s="249">
        <f ca="1"/>
        <v>0.3305466355473099</v>
      </c>
      <c r="K166" s="249">
        <f ca="1"/>
        <v>0.32970318691039807</v>
      </c>
      <c r="L166" s="249">
        <f ca="1"/>
        <v>0.33146978709590247</v>
      </c>
      <c r="M166" s="249">
        <f ca="1"/>
        <v>0.33333248581399072</v>
      </c>
      <c r="N166" s="57" t="s">
        <v>538</v>
      </c>
      <c r="Z166" s="124" t="s">
        <v>939</v>
      </c>
    </row>
    <row r="167" spans="1:26" ht="15" x14ac:dyDescent="0.25">
      <c r="A167" s="103" t="s">
        <v>906</v>
      </c>
      <c r="B167" s="103"/>
      <c r="C167" s="249">
        <f ca="1">ALB_SAF_APPROX_0 - ALB_SAF_ECS</f>
        <v>9.8179100572581834E-3</v>
      </c>
      <c r="D167" s="250">
        <f t="array" ref="D167:M167" ca="1" xml:space="preserve"> alb_saf_approx - ALB_SAF_ECS</f>
        <v>4.0636220141163082E-3</v>
      </c>
      <c r="E167" s="249">
        <f ca="1"/>
        <v>2.1097420573483738E-3</v>
      </c>
      <c r="F167" s="249">
        <f ca="1"/>
        <v>-4.7526465849712096E-5</v>
      </c>
      <c r="G167" s="249">
        <f ca="1"/>
        <v>-3.6884128067903865E-3</v>
      </c>
      <c r="H167" s="249">
        <f ca="1"/>
        <v>-9.6212645619850878E-3</v>
      </c>
      <c r="I167" s="249">
        <f ca="1"/>
        <v>-1.6233220925120473E-2</v>
      </c>
      <c r="J167" s="249">
        <f ca="1"/>
        <v>-1.9043835946643273E-2</v>
      </c>
      <c r="K167" s="249">
        <f ca="1"/>
        <v>-1.9887284583555098E-2</v>
      </c>
      <c r="L167" s="249">
        <f ca="1"/>
        <v>-1.8120684398050702E-2</v>
      </c>
      <c r="M167" s="249">
        <f ca="1"/>
        <v>-1.625798567996245E-2</v>
      </c>
      <c r="N167" s="57" t="s">
        <v>538</v>
      </c>
      <c r="O167" s="6"/>
      <c r="P167" s="6"/>
      <c r="Q167" s="6"/>
      <c r="R167" s="6"/>
      <c r="S167" s="6"/>
      <c r="T167" s="6"/>
      <c r="U167" s="6"/>
      <c r="V167" s="6"/>
      <c r="W167" s="6"/>
      <c r="X167" s="6"/>
      <c r="Z167" s="124" t="s">
        <v>939</v>
      </c>
    </row>
    <row r="168" spans="1:26" ht="15" x14ac:dyDescent="0.25">
      <c r="A168" s="103" t="s">
        <v>914</v>
      </c>
      <c r="B168" s="103"/>
      <c r="C168" s="206">
        <v>0</v>
      </c>
      <c r="D168" s="250">
        <f ca="1" xml:space="preserve"> ((ALB_SAF_QUADR_MEAN_T2_COEFF*(RT_G_0^3)/3 + ALB_SAF_QUADR_MEAN_T1_COEFF*(RT_G_0^2)/2 + ALB_SAF_QUADR_MEAN_T0_COEFF*RT_G_0) + (ALB_SAF_QUADR_STD*RT_G_0) * ALB_EMULATOR_RAND) - alb_saf_approx_1*RT_G_0</f>
        <v>6.3111880399571718E-3</v>
      </c>
      <c r="E168" s="249">
        <f t="array" ref="E168:M168" ca="1" xml:space="preserve"> IF( rt_g &lt;= ALB_T_SWITCH, ((ALB_SAF_QUADR_MEAN_T2_COEFF*(rt_g^3)/3 + ALB_SAF_QUADR_MEAN_T1_COEFF*(rt_g^2)/2 + ALB_SAF_QUADR_MEAN_T0_COEFF*rt_g) + (ALB_SAF_QUADR_STD*rt_g) * ALB_EMULATOR_RAND), 0 ) + IF( rt_g &gt; ALB_T_SWITCH, ALB_FSAF_T_SWITCH + ALB_SAF_LIN_MEAN*(rt_g - ALB_T_SWITCH) + (ALB_SAF_LIN_STD*(rt_g - ALB_T_SWITCH)) * ALB_EMULATOR_RAND, 0 ) - alb_saf_approx_not_1 * rt_g</f>
        <v>8.7337545083424062E-3</v>
      </c>
      <c r="F168" s="249">
        <f ca="1"/>
        <v>1.1803487498059817E-2</v>
      </c>
      <c r="G168" s="249">
        <f ca="1"/>
        <v>1.766085198099554E-2</v>
      </c>
      <c r="H168" s="249">
        <f ca="1"/>
        <v>2.9541134831032712E-2</v>
      </c>
      <c r="I168" s="249">
        <f ca="1"/>
        <v>4.5695797837504326E-2</v>
      </c>
      <c r="J168" s="249">
        <f ca="1"/>
        <v>5.3259931561296159E-2</v>
      </c>
      <c r="K168" s="249">
        <f ca="1"/>
        <v>5.5689754957727322E-2</v>
      </c>
      <c r="L168" s="249">
        <f ca="1"/>
        <v>5.0693228994448059E-2</v>
      </c>
      <c r="M168" s="249">
        <f ca="1"/>
        <v>4.5743659219204869E-2</v>
      </c>
      <c r="N168" s="3" t="s">
        <v>42</v>
      </c>
      <c r="Z168" s="124" t="s">
        <v>939</v>
      </c>
    </row>
    <row r="169" spans="1:26" ht="15" x14ac:dyDescent="0.25">
      <c r="A169" s="103" t="s">
        <v>915</v>
      </c>
      <c r="B169" s="103"/>
      <c r="C169" s="250">
        <f ca="1" xml:space="preserve"> ECS / ( 1 - ECS * ALB_SAF_ADJUST_0 / (LN(2)*FSLOPE_CO2) )</f>
        <v>2.8270965585199708</v>
      </c>
      <c r="D169" s="250">
        <f t="array" ref="D169:M169" ca="1" xml:space="preserve"> ECS / ( 1 - ECS * alb_saf_adjust / (LN(2)*FSLOPE_CO2) )</f>
        <v>2.815084001899208</v>
      </c>
      <c r="E169" s="249">
        <f ca="1"/>
        <v>2.8110282974098895</v>
      </c>
      <c r="F169" s="249">
        <f ca="1"/>
        <v>2.8065639681391037</v>
      </c>
      <c r="G169" s="249">
        <f ca="1"/>
        <v>2.7990614621433361</v>
      </c>
      <c r="H169" s="249">
        <f ca="1"/>
        <v>2.7869216340226828</v>
      </c>
      <c r="I169" s="249">
        <f ca="1"/>
        <v>2.7735156958227001</v>
      </c>
      <c r="J169" s="249">
        <f ca="1"/>
        <v>2.7678560748916659</v>
      </c>
      <c r="K169" s="249">
        <f ca="1"/>
        <v>2.7661621598293631</v>
      </c>
      <c r="L169" s="249">
        <f ca="1"/>
        <v>2.7697124384613696</v>
      </c>
      <c r="M169" s="249">
        <f ca="1"/>
        <v>2.7734657269773719</v>
      </c>
      <c r="N169" s="57" t="s">
        <v>41</v>
      </c>
      <c r="O169" s="6"/>
      <c r="P169" s="6"/>
      <c r="Q169" s="6"/>
      <c r="R169" s="6"/>
      <c r="S169" s="6"/>
      <c r="T169" s="6"/>
      <c r="U169" s="6"/>
      <c r="V169" s="6"/>
      <c r="W169" s="6"/>
      <c r="X169" s="6"/>
      <c r="Z169" s="124" t="s">
        <v>552</v>
      </c>
    </row>
    <row r="170" spans="1:26" ht="15" x14ac:dyDescent="0.25">
      <c r="A170" s="103" t="s">
        <v>916</v>
      </c>
      <c r="B170" s="103"/>
      <c r="C170" s="251">
        <f ca="1" xml:space="preserve"> FRT / ( 1 - ECS * ALB_SAF_ADJUST_0 / (LN(2)*FSLOPE_CO2) )</f>
        <v>28.539619075325596</v>
      </c>
      <c r="D170" s="251">
        <f t="array" ref="D170:M170" ca="1" xml:space="preserve"> FRT / ( 1 - ECS * alb_saf_adjust / (LN(2)*FSLOPE_CO2) )</f>
        <v>28.418351979214517</v>
      </c>
      <c r="E170" s="202">
        <f ca="1"/>
        <v>28.377409528607934</v>
      </c>
      <c r="F170" s="202">
        <f ca="1"/>
        <v>28.332341999368055</v>
      </c>
      <c r="G170" s="202">
        <f ca="1"/>
        <v>28.256603990850351</v>
      </c>
      <c r="H170" s="202">
        <f ca="1"/>
        <v>28.134052085377146</v>
      </c>
      <c r="I170" s="202">
        <f ca="1"/>
        <v>27.998718763131105</v>
      </c>
      <c r="J170" s="202">
        <f ca="1"/>
        <v>27.941584731045896</v>
      </c>
      <c r="K170" s="202">
        <f ca="1"/>
        <v>27.92448461096744</v>
      </c>
      <c r="L170" s="202">
        <f ca="1"/>
        <v>27.960324773364224</v>
      </c>
      <c r="M170" s="202">
        <f ca="1"/>
        <v>27.99821432623559</v>
      </c>
      <c r="N170" s="57" t="s">
        <v>457</v>
      </c>
      <c r="O170" s="6"/>
      <c r="P170" s="6"/>
      <c r="Q170" s="6"/>
      <c r="R170" s="6"/>
      <c r="S170" s="6"/>
      <c r="T170" s="6"/>
      <c r="U170" s="6"/>
      <c r="V170" s="6"/>
      <c r="W170" s="6"/>
      <c r="X170" s="6"/>
      <c r="Z170" s="124" t="s">
        <v>552</v>
      </c>
    </row>
    <row r="171" spans="1:26" ht="15" x14ac:dyDescent="0.25">
      <c r="A171" s="3"/>
      <c r="B171" s="103" t="s">
        <v>912</v>
      </c>
      <c r="C171" s="202"/>
      <c r="D171" s="112"/>
      <c r="E171" s="6"/>
      <c r="F171" s="6"/>
      <c r="G171" s="6"/>
      <c r="H171" s="6"/>
      <c r="I171" s="6"/>
      <c r="J171" s="6"/>
      <c r="K171" s="6"/>
      <c r="L171" s="6"/>
      <c r="M171" s="6"/>
      <c r="N171" s="3"/>
    </row>
    <row r="172" spans="1:26" x14ac:dyDescent="0.2">
      <c r="A172" s="113" t="s">
        <v>910</v>
      </c>
      <c r="B172" s="113" t="s">
        <v>179</v>
      </c>
      <c r="C172" s="252">
        <f xml:space="preserve"> RT_G_0</f>
        <v>1.0967800000000001</v>
      </c>
      <c r="D172" s="252">
        <f ca="1">_xll.RiskNormal(D192,D193)</f>
        <v>1.2538940000000003</v>
      </c>
      <c r="E172" s="252">
        <f ca="1">_xll.RiskNormal(E192,E193)</f>
        <v>1.4337210000000002</v>
      </c>
      <c r="F172" s="252">
        <f ca="1">_xll.RiskNormal(F192,F193)</f>
        <v>1.6160860000000001</v>
      </c>
      <c r="G172" s="252">
        <f ca="1">_xll.RiskNormal(G192,G193)</f>
        <v>2.0287700000000002</v>
      </c>
      <c r="H172" s="252">
        <f ca="1">_xll.RiskNormal(H192,H193)</f>
        <v>2.5040100000000001</v>
      </c>
      <c r="I172" s="252">
        <f ca="1">_xll.RiskNormal(I192,I193)</f>
        <v>2.6456300000000006</v>
      </c>
      <c r="J172" s="252">
        <f ca="1">_xll.RiskNormal(J192,J193)</f>
        <v>2.7167900000000005</v>
      </c>
      <c r="K172" s="252">
        <f ca="1">_xll.RiskNormal(K192,K193)</f>
        <v>2.5867200000000006</v>
      </c>
      <c r="L172" s="252">
        <f ca="1">_xll.RiskNormal(L192,L193)</f>
        <v>2.4974100000000004</v>
      </c>
      <c r="M172" s="252">
        <f ca="1">_xll.RiskNormal(M192,M193)</f>
        <v>2.3828200000000006</v>
      </c>
      <c r="N172" t="str">
        <f>'Base data'!$L$35</f>
        <v>degC</v>
      </c>
      <c r="O172" s="6">
        <f ca="1">_xll.RiskOutput(,"rt_g_a",1)+D172</f>
        <v>1.2538940000000003</v>
      </c>
      <c r="P172" s="6">
        <f ca="1">_xll.RiskOutput(,"rt_g_a",2)+E172</f>
        <v>1.4337210000000002</v>
      </c>
      <c r="Q172" s="6">
        <f ca="1">_xll.RiskOutput(,"rt_g_a",3)+F172</f>
        <v>1.6160860000000001</v>
      </c>
      <c r="R172" s="6">
        <f ca="1">_xll.RiskOutput(,"rt_g_a",4)+G172</f>
        <v>2.0287700000000002</v>
      </c>
      <c r="S172" s="6">
        <f ca="1">_xll.RiskOutput(,"rt_g_a",5)+H172</f>
        <v>2.5040100000000001</v>
      </c>
      <c r="T172" s="6">
        <f ca="1">_xll.RiskOutput(,"rt_g_a",6)+I172</f>
        <v>2.6456300000000006</v>
      </c>
      <c r="U172" s="6">
        <f ca="1">_xll.RiskOutput(,"rt_g_a",7)+J172</f>
        <v>2.7167900000000005</v>
      </c>
      <c r="V172" s="6">
        <f ca="1">_xll.RiskOutput(,"rt_g_a",8)+K172</f>
        <v>2.5867200000000006</v>
      </c>
      <c r="W172" s="6">
        <f ca="1">_xll.RiskOutput(,"rt_g_a",9)+L172</f>
        <v>2.4974100000000004</v>
      </c>
      <c r="X172" s="6">
        <f ca="1">_xll.RiskOutput(,"rt_g_a",10)+M172</f>
        <v>2.3828200000000006</v>
      </c>
      <c r="Z172" s="124" t="s">
        <v>913</v>
      </c>
    </row>
    <row r="173" spans="1:26" x14ac:dyDescent="0.2">
      <c r="O173" s="6"/>
      <c r="P173" s="6"/>
      <c r="Q173" s="6"/>
      <c r="R173" s="6"/>
      <c r="S173" s="6"/>
      <c r="T173" s="6"/>
      <c r="U173" s="6"/>
      <c r="V173" s="6"/>
      <c r="W173" s="6"/>
      <c r="X173" s="6"/>
    </row>
    <row r="174" spans="1:26" ht="15" x14ac:dyDescent="0.25">
      <c r="A174" s="103" t="s">
        <v>908</v>
      </c>
      <c r="B174" s="103"/>
      <c r="C174" s="251">
        <f ca="1" xml:space="preserve"> ALB_FSAF_Y0</f>
        <v>0.39419192471773762</v>
      </c>
      <c r="D174" s="251">
        <f t="array" ref="D174:M174" ca="1" xml:space="preserve"> IF( rt_g &lt;= ALB_T_SWITCH, (ALB_SAF_QUADR_MEAN_T2_COEFF*(rt_g^3)/3 + ALB_SAF_QUADR_MEAN_T1_COEFF*(rt_g^2)/2 + ALB_SAF_QUADR_MEAN_T0_COEFF*rt_g) + (ALB_SAF_QUADR_STD*rt_g) * ALB_EMULATOR_RAND, 0 ) + IF( rt_g &gt; ALB_T_SWITCH, ALB_FSAF_T_SWITCH + ALB_SAF_LIN_MEAN*(rt_g - ALB_T_SWITCH) + (ALB_SAF_LIN_STD*(rt_g - ALB_T_SWITCH)) * ALB_EMULATOR_RAND, 0 )</f>
        <v>0.44972854207903823</v>
      </c>
      <c r="E174" s="202">
        <f ca="1"/>
        <v>0.51295054818669739</v>
      </c>
      <c r="F174" s="202">
        <f ca="1"/>
        <v>0.57666832639649779</v>
      </c>
      <c r="G174" s="202">
        <f ca="1"/>
        <v>0.71926046277840161</v>
      </c>
      <c r="H174" s="202">
        <f ca="1"/>
        <v>0.88042568683436706</v>
      </c>
      <c r="I174" s="202">
        <f ca="1"/>
        <v>0.92776402696432581</v>
      </c>
      <c r="J174" s="202">
        <f ca="1"/>
        <v>0.95142407612402791</v>
      </c>
      <c r="K174" s="202">
        <f ca="1"/>
        <v>0.90811275667116109</v>
      </c>
      <c r="L174" s="202">
        <f ca="1"/>
        <v>0.8782115426159236</v>
      </c>
      <c r="M174" s="202">
        <f ca="1"/>
        <v>0.83965800756846876</v>
      </c>
      <c r="N174" s="3" t="s">
        <v>42</v>
      </c>
      <c r="O174" s="6"/>
      <c r="P174" s="6"/>
      <c r="Q174" s="6"/>
      <c r="R174" s="6"/>
      <c r="S174" s="6"/>
      <c r="T174" s="6"/>
      <c r="U174" s="6"/>
      <c r="V174" s="6"/>
      <c r="W174" s="6"/>
      <c r="X174" s="6"/>
      <c r="Z174" s="124" t="s">
        <v>939</v>
      </c>
    </row>
    <row r="175" spans="1:26" ht="15" x14ac:dyDescent="0.25">
      <c r="A175" s="103" t="s">
        <v>909</v>
      </c>
      <c r="B175" s="103"/>
      <c r="C175" s="251">
        <f ca="1" xml:space="preserve"> ALB_SAF_Y0</f>
        <v>0.35551305882859996</v>
      </c>
      <c r="D175" s="251">
        <f t="array" ref="D175:M175" ca="1" xml:space="preserve"> IF( rt_g &lt;= ALB_T_SWITCH, (ALB_SAF_QUADR_MEAN_T2_COEFF*(rt_g^2)/2 + ALB_SAF_QUADR_MEAN_T1_COEFF*rt_g + ALB_SAF_QUADR_MEAN_T0_COEFF) + ALB_SAF_QUADR_STD * ALB_EMULATOR_RAND, 0 ) + IF( rt_g &gt; ALB_T_SWITCH, ALB_SAF_LIN_MEAN + ALB_SAF_LIN_STD * ALB_EMULATOR_RAND, 0 )</f>
        <v>0.35414788545149822</v>
      </c>
      <c r="E175" s="202">
        <f ca="1"/>
        <v>0.35252602425845964</v>
      </c>
      <c r="F175" s="202">
        <f ca="1"/>
        <v>0.35081659298793572</v>
      </c>
      <c r="G175" s="202">
        <f ca="1"/>
        <v>0.34670775606507792</v>
      </c>
      <c r="H175" s="202">
        <f ca="1"/>
        <v>0.34156287190923684</v>
      </c>
      <c r="I175" s="202">
        <f ca="1"/>
        <v>0.33994416687659246</v>
      </c>
      <c r="J175" s="202">
        <f ca="1"/>
        <v>0.33911598682014826</v>
      </c>
      <c r="K175" s="202">
        <f ca="1"/>
        <v>0.34062227465253986</v>
      </c>
      <c r="L175" s="202">
        <f ca="1"/>
        <v>0.34163735142796747</v>
      </c>
      <c r="M175" s="202">
        <f ca="1"/>
        <v>0.34291687501381962</v>
      </c>
      <c r="N175" s="57" t="s">
        <v>538</v>
      </c>
      <c r="O175" s="6"/>
      <c r="P175" s="6"/>
      <c r="Q175" s="6"/>
      <c r="R175" s="6"/>
      <c r="S175" s="6"/>
      <c r="T175" s="6"/>
      <c r="U175" s="6"/>
      <c r="V175" s="6"/>
      <c r="W175" s="6"/>
      <c r="X175" s="6"/>
      <c r="Z175" s="124" t="s">
        <v>939</v>
      </c>
    </row>
    <row r="176" spans="1:26" x14ac:dyDescent="0.2">
      <c r="O176" s="6"/>
      <c r="P176" s="6"/>
      <c r="Q176" s="6"/>
      <c r="R176" s="6"/>
      <c r="S176" s="6"/>
      <c r="T176" s="6"/>
      <c r="U176" s="6"/>
      <c r="V176" s="6"/>
      <c r="W176" s="6"/>
      <c r="X176" s="6"/>
    </row>
    <row r="177" spans="1:42" x14ac:dyDescent="0.2">
      <c r="A177" s="57" t="s">
        <v>425</v>
      </c>
      <c r="B177" s="57" t="s">
        <v>168</v>
      </c>
      <c r="C177" s="1" t="str">
        <f t="array" ref="C177:C184">R_CODE</f>
        <v>EU</v>
      </c>
      <c r="D177" s="213">
        <f ca="1">_xll.RiskNormal(D236,D225)</f>
        <v>2.0173709999999998</v>
      </c>
      <c r="E177" s="213">
        <f ca="1">_xll.RiskNormal(E236,E225)</f>
        <v>2.236936</v>
      </c>
      <c r="F177" s="213">
        <f ca="1">_xll.RiskNormal(F236,F225)</f>
        <v>2.4411899999999997</v>
      </c>
      <c r="G177" s="213">
        <f ca="1">_xll.RiskNormal(G236,G225)</f>
        <v>3.0432100000000002</v>
      </c>
      <c r="H177" s="213">
        <f ca="1">_xll.RiskNormal(H236,H225)</f>
        <v>3.49973</v>
      </c>
      <c r="I177" s="213">
        <f ca="1">_xll.RiskNormal(I236,I225)</f>
        <v>3.50922</v>
      </c>
      <c r="J177" s="213">
        <f ca="1">_xll.RiskNormal(J236,J225)</f>
        <v>3.5159500000000001</v>
      </c>
      <c r="K177" s="213">
        <f ca="1">_xll.RiskNormal(K236,K225)</f>
        <v>3.40002</v>
      </c>
      <c r="L177" s="213">
        <f ca="1">_xll.RiskNormal(L236,L225)</f>
        <v>3.2790299999999997</v>
      </c>
      <c r="M177" s="213">
        <f ca="1">_xll.RiskNormal(M236,M225)</f>
        <v>3.0785799999999997</v>
      </c>
      <c r="N177" s="3" t="s">
        <v>41</v>
      </c>
      <c r="O177" s="6"/>
      <c r="P177" s="6"/>
      <c r="Q177" s="6"/>
      <c r="R177" s="6"/>
      <c r="S177" s="6"/>
      <c r="T177" s="6"/>
      <c r="U177" s="6"/>
      <c r="V177" s="6"/>
      <c r="W177" s="6"/>
      <c r="X177" s="6"/>
      <c r="Z177" s="124" t="s">
        <v>553</v>
      </c>
    </row>
    <row r="178" spans="1:42" x14ac:dyDescent="0.2">
      <c r="A178" s="6"/>
      <c r="B178" s="6"/>
      <c r="C178" s="1" t="str">
        <v>US</v>
      </c>
      <c r="D178" s="213">
        <f ca="1">_xll.RiskNormal(D237,D226)</f>
        <v>1.8687830000000001</v>
      </c>
      <c r="E178" s="213">
        <f ca="1">_xll.RiskNormal(E237,E226)</f>
        <v>2.1298629999999998</v>
      </c>
      <c r="F178" s="213">
        <f ca="1">_xll.RiskNormal(F237,F226)</f>
        <v>2.3494869999999999</v>
      </c>
      <c r="G178" s="213">
        <f ca="1">_xll.RiskNormal(G237,G226)</f>
        <v>2.99065</v>
      </c>
      <c r="H178" s="213">
        <f ca="1">_xll.RiskNormal(H237,H226)</f>
        <v>3.7273499999999999</v>
      </c>
      <c r="I178" s="213">
        <f ca="1">_xll.RiskNormal(I237,I226)</f>
        <v>3.9615200000000002</v>
      </c>
      <c r="J178" s="213">
        <f ca="1">_xll.RiskNormal(J237,J226)</f>
        <v>4.0088200000000001</v>
      </c>
      <c r="K178" s="213">
        <f ca="1">_xll.RiskNormal(K237,K226)</f>
        <v>3.78728</v>
      </c>
      <c r="L178" s="213">
        <f ca="1">_xll.RiskNormal(L237,L226)</f>
        <v>3.56643</v>
      </c>
      <c r="M178" s="213">
        <f ca="1">_xll.RiskNormal(M237,M226)</f>
        <v>3.47356</v>
      </c>
      <c r="N178" t="str">
        <f>'Base data'!$L$35</f>
        <v>degC</v>
      </c>
      <c r="O178" s="6"/>
      <c r="P178" s="6"/>
      <c r="Q178" s="6"/>
      <c r="R178" s="6"/>
      <c r="S178" s="6"/>
      <c r="T178" s="6"/>
      <c r="U178" s="6"/>
      <c r="V178" s="6"/>
      <c r="W178" s="6"/>
      <c r="X178" s="6"/>
    </row>
    <row r="179" spans="1:42" x14ac:dyDescent="0.2">
      <c r="A179" s="6"/>
      <c r="B179" s="6"/>
      <c r="C179" s="1" t="str">
        <v>OT</v>
      </c>
      <c r="D179" s="213">
        <f ca="1">_xll.RiskNormal(D238,D227)</f>
        <v>2.0728520000000001</v>
      </c>
      <c r="E179" s="213">
        <f ca="1">_xll.RiskNormal(E238,E227)</f>
        <v>2.2715480000000001</v>
      </c>
      <c r="F179" s="213">
        <f ca="1">_xll.RiskNormal(F238,F227)</f>
        <v>2.5649899999999999</v>
      </c>
      <c r="G179" s="213">
        <f ca="1">_xll.RiskNormal(G238,G227)</f>
        <v>3.1755800000000001</v>
      </c>
      <c r="H179" s="213">
        <f ca="1">_xll.RiskNormal(H238,H227)</f>
        <v>3.8691399999999998</v>
      </c>
      <c r="I179" s="213">
        <f ca="1">_xll.RiskNormal(I238,I227)</f>
        <v>3.9585900000000001</v>
      </c>
      <c r="J179" s="213">
        <f ca="1">_xll.RiskNormal(J238,J227)</f>
        <v>4.2809800000000005</v>
      </c>
      <c r="K179" s="213">
        <f ca="1">_xll.RiskNormal(K238,K227)</f>
        <v>3.9209500000000004</v>
      </c>
      <c r="L179" s="213">
        <f ca="1">_xll.RiskNormal(L238,L227)</f>
        <v>3.7296500000000004</v>
      </c>
      <c r="M179" s="213">
        <f ca="1">_xll.RiskNormal(M238,M227)</f>
        <v>3.6053500000000001</v>
      </c>
      <c r="N179" t="str">
        <f>'Base data'!$L$35</f>
        <v>degC</v>
      </c>
      <c r="O179" s="6"/>
      <c r="P179" s="6"/>
      <c r="Q179" s="6"/>
      <c r="R179" s="6"/>
      <c r="S179" s="6"/>
      <c r="T179" s="6"/>
      <c r="U179" s="6"/>
      <c r="V179" s="6"/>
      <c r="W179" s="6"/>
      <c r="X179" s="6"/>
    </row>
    <row r="180" spans="1:42" x14ac:dyDescent="0.2">
      <c r="A180" s="6"/>
      <c r="B180" s="6"/>
      <c r="C180" s="1" t="str">
        <v>EE</v>
      </c>
      <c r="D180" s="213">
        <f ca="1">_xll.RiskNormal(D239,D228)</f>
        <v>2.5532890000000004</v>
      </c>
      <c r="E180" s="213">
        <f ca="1">_xll.RiskNormal(E239,E228)</f>
        <v>2.948798</v>
      </c>
      <c r="F180" s="213">
        <f ca="1">_xll.RiskNormal(F239,F228)</f>
        <v>3.0859930000000002</v>
      </c>
      <c r="G180" s="213">
        <f ca="1">_xll.RiskNormal(G239,G228)</f>
        <v>3.9456899999999999</v>
      </c>
      <c r="H180" s="213">
        <f ca="1">_xll.RiskNormal(H239,H228)</f>
        <v>4.6691199999999995</v>
      </c>
      <c r="I180" s="213">
        <f ca="1">_xll.RiskNormal(I239,I228)</f>
        <v>4.7918099999999999</v>
      </c>
      <c r="J180" s="213">
        <f ca="1">_xll.RiskNormal(J239,J228)</f>
        <v>4.7437400000000007</v>
      </c>
      <c r="K180" s="213">
        <f ca="1">_xll.RiskNormal(K239,K228)</f>
        <v>4.6376799999999996</v>
      </c>
      <c r="L180" s="213">
        <f ca="1">_xll.RiskNormal(L239,L228)</f>
        <v>4.4106300000000003</v>
      </c>
      <c r="M180" s="213">
        <f ca="1">_xll.RiskNormal(M239,M228)</f>
        <v>4.0414700000000003</v>
      </c>
      <c r="N180" t="str">
        <f>'Base data'!$L$35</f>
        <v>degC</v>
      </c>
      <c r="O180" s="6"/>
      <c r="P180" s="6"/>
      <c r="Q180" s="6"/>
      <c r="R180" s="6"/>
      <c r="S180" s="6"/>
      <c r="T180" s="6"/>
      <c r="U180" s="6"/>
      <c r="V180" s="6"/>
      <c r="W180" s="6"/>
      <c r="X180" s="6"/>
    </row>
    <row r="181" spans="1:42" x14ac:dyDescent="0.2">
      <c r="A181" s="6"/>
      <c r="B181" s="6"/>
      <c r="C181" s="1" t="str">
        <v>CA</v>
      </c>
      <c r="D181" s="213">
        <f ca="1">_xll.RiskNormal(D240,D229)</f>
        <v>1.9103969999999999</v>
      </c>
      <c r="E181" s="213">
        <f ca="1">_xll.RiskNormal(E240,E229)</f>
        <v>2.1979609999999998</v>
      </c>
      <c r="F181" s="213">
        <f ca="1">_xll.RiskNormal(F240,F229)</f>
        <v>2.4157419999999998</v>
      </c>
      <c r="G181" s="213">
        <f ca="1">_xll.RiskNormal(G240,G229)</f>
        <v>2.9607700000000001</v>
      </c>
      <c r="H181" s="213">
        <f ca="1">_xll.RiskNormal(H240,H229)</f>
        <v>3.7519</v>
      </c>
      <c r="I181" s="213">
        <f ca="1">_xll.RiskNormal(I240,I229)</f>
        <v>3.7524000000000002</v>
      </c>
      <c r="J181" s="213">
        <f ca="1">_xll.RiskNormal(J240,J229)</f>
        <v>3.6829900000000002</v>
      </c>
      <c r="K181" s="213">
        <f ca="1">_xll.RiskNormal(K240,K229)</f>
        <v>3.6166999999999998</v>
      </c>
      <c r="L181" s="213">
        <f ca="1">_xll.RiskNormal(L240,L229)</f>
        <v>3.4806600000000003</v>
      </c>
      <c r="M181" s="213">
        <f ca="1">_xll.RiskNormal(M240,M229)</f>
        <v>3.26979</v>
      </c>
      <c r="N181" t="str">
        <f>'Base data'!$L$35</f>
        <v>degC</v>
      </c>
      <c r="O181" s="6"/>
      <c r="P181" s="6"/>
      <c r="Q181" s="6"/>
      <c r="R181" s="6"/>
      <c r="S181" s="6"/>
      <c r="T181" s="6"/>
      <c r="U181" s="6"/>
      <c r="V181" s="6"/>
      <c r="W181" s="6"/>
      <c r="X181" s="6"/>
    </row>
    <row r="182" spans="1:42" x14ac:dyDescent="0.2">
      <c r="A182" s="6"/>
      <c r="B182" s="6"/>
      <c r="C182" s="1" t="str">
        <v>IA</v>
      </c>
      <c r="D182" s="213">
        <f ca="1">_xll.RiskNormal(D241,D230)</f>
        <v>1.385302</v>
      </c>
      <c r="E182" s="213">
        <f ca="1">_xll.RiskNormal(E241,E230)</f>
        <v>1.585728</v>
      </c>
      <c r="F182" s="213">
        <f ca="1">_xll.RiskNormal(F241,F230)</f>
        <v>1.7606919999999999</v>
      </c>
      <c r="G182" s="213">
        <f ca="1">_xll.RiskNormal(G241,G230)</f>
        <v>2.22262</v>
      </c>
      <c r="H182" s="213">
        <f ca="1">_xll.RiskNormal(H241,H230)</f>
        <v>2.8923899999999998</v>
      </c>
      <c r="I182" s="213">
        <f ca="1">_xll.RiskNormal(I241,I230)</f>
        <v>2.9363200000000003</v>
      </c>
      <c r="J182" s="213">
        <f ca="1">_xll.RiskNormal(J241,J230)</f>
        <v>3.00149</v>
      </c>
      <c r="K182" s="213">
        <f ca="1">_xll.RiskNormal(K241,K230)</f>
        <v>2.85039</v>
      </c>
      <c r="L182" s="213">
        <f ca="1">_xll.RiskNormal(L241,L230)</f>
        <v>2.78382</v>
      </c>
      <c r="M182" s="213">
        <f ca="1">_xll.RiskNormal(M241,M230)</f>
        <v>2.6271100000000001</v>
      </c>
      <c r="N182" t="str">
        <f>'Base data'!$L$35</f>
        <v>degC</v>
      </c>
      <c r="O182" s="6"/>
      <c r="P182" s="6"/>
      <c r="Q182" s="6"/>
      <c r="R182" s="6"/>
      <c r="S182" s="6"/>
      <c r="T182" s="6"/>
      <c r="U182" s="6"/>
      <c r="V182" s="6"/>
      <c r="W182" s="6"/>
      <c r="X182" s="6"/>
    </row>
    <row r="183" spans="1:42" x14ac:dyDescent="0.2">
      <c r="A183" s="6"/>
      <c r="B183" s="6"/>
      <c r="C183" s="1" t="str">
        <v>AF</v>
      </c>
      <c r="D183" s="213">
        <f ca="1">_xll.RiskNormal(D242,D231)</f>
        <v>1.476777</v>
      </c>
      <c r="E183" s="213">
        <f ca="1">_xll.RiskNormal(E242,E231)</f>
        <v>1.707274</v>
      </c>
      <c r="F183" s="213">
        <f ca="1">_xll.RiskNormal(F242,F231)</f>
        <v>1.9365999999999999</v>
      </c>
      <c r="G183" s="213">
        <f ca="1">_xll.RiskNormal(G242,G231)</f>
        <v>2.40124</v>
      </c>
      <c r="H183" s="213">
        <f ca="1">_xll.RiskNormal(H242,H231)</f>
        <v>3.0850299999999997</v>
      </c>
      <c r="I183" s="213">
        <f ca="1">_xll.RiskNormal(I242,I231)</f>
        <v>3.24214</v>
      </c>
      <c r="J183" s="213">
        <f ca="1">_xll.RiskNormal(J242,J231)</f>
        <v>3.2374200000000002</v>
      </c>
      <c r="K183" s="213">
        <f ca="1">_xll.RiskNormal(K242,K231)</f>
        <v>3.0406399999999998</v>
      </c>
      <c r="L183" s="213">
        <f ca="1">_xll.RiskNormal(L242,L231)</f>
        <v>2.9504200000000003</v>
      </c>
      <c r="M183" s="213">
        <f ca="1">_xll.RiskNormal(M242,M231)</f>
        <v>2.77955</v>
      </c>
      <c r="N183" t="str">
        <f>'Base data'!$L$35</f>
        <v>degC</v>
      </c>
      <c r="O183" s="6"/>
      <c r="P183" s="6"/>
      <c r="Q183" s="6"/>
      <c r="R183" s="6"/>
      <c r="S183" s="6"/>
      <c r="T183" s="6"/>
      <c r="U183" s="6"/>
      <c r="V183" s="6"/>
      <c r="W183" s="6"/>
      <c r="X183" s="6"/>
      <c r="AE183" s="156"/>
      <c r="AF183" s="6"/>
      <c r="AG183" s="6"/>
      <c r="AH183" s="6"/>
      <c r="AI183" s="6"/>
      <c r="AJ183" s="6"/>
      <c r="AK183" s="6"/>
      <c r="AL183" s="6"/>
      <c r="AM183" s="6"/>
      <c r="AN183" s="6"/>
      <c r="AO183" s="6"/>
      <c r="AP183" s="3"/>
    </row>
    <row r="184" spans="1:42" x14ac:dyDescent="0.2">
      <c r="A184" s="6"/>
      <c r="B184" s="6"/>
      <c r="C184" s="1" t="str">
        <v>LA</v>
      </c>
      <c r="D184" s="213">
        <f ca="1">_xll.RiskNormal(D243,D232)</f>
        <v>1.4654449999999999</v>
      </c>
      <c r="E184" s="213">
        <f ca="1">_xll.RiskNormal(E243,E232)</f>
        <v>1.6746270000000001</v>
      </c>
      <c r="F184" s="213">
        <f ca="1">_xll.RiskNormal(F243,F232)</f>
        <v>1.9201579999999998</v>
      </c>
      <c r="G184" s="213">
        <f ca="1">_xll.RiskNormal(G243,G232)</f>
        <v>2.3871899999999999</v>
      </c>
      <c r="H184" s="213">
        <f ca="1">_xll.RiskNormal(H243,H232)</f>
        <v>2.9871999999999996</v>
      </c>
      <c r="I184" s="213">
        <f ca="1">_xll.RiskNormal(I243,I232)</f>
        <v>3.09422</v>
      </c>
      <c r="J184" s="213">
        <f ca="1">_xll.RiskNormal(J243,J232)</f>
        <v>3.1940900000000001</v>
      </c>
      <c r="K184" s="213">
        <f ca="1">_xll.RiskNormal(K243,K232)</f>
        <v>2.9457599999999999</v>
      </c>
      <c r="L184" s="213">
        <f ca="1">_xll.RiskNormal(L243,L232)</f>
        <v>2.8605999999999998</v>
      </c>
      <c r="M184" s="213">
        <f ca="1">_xll.RiskNormal(M243,M232)</f>
        <v>2.7346599999999999</v>
      </c>
      <c r="N184" t="str">
        <f>'Base data'!$L$35</f>
        <v>degC</v>
      </c>
      <c r="O184" s="6"/>
      <c r="P184" s="6"/>
      <c r="Q184" s="6"/>
      <c r="R184" s="6"/>
      <c r="S184" s="6"/>
      <c r="T184" s="6"/>
      <c r="U184" s="6"/>
      <c r="V184" s="6"/>
      <c r="W184" s="6"/>
      <c r="X184" s="6"/>
      <c r="AA184" s="3"/>
      <c r="AE184" s="156"/>
      <c r="AF184" s="6"/>
      <c r="AG184" s="6"/>
      <c r="AH184" s="6"/>
      <c r="AI184" s="6"/>
      <c r="AJ184" s="6"/>
      <c r="AK184" s="6"/>
      <c r="AL184" s="6"/>
      <c r="AM184" s="6"/>
      <c r="AN184" s="6"/>
      <c r="AO184" s="6"/>
      <c r="AP184" s="3"/>
    </row>
    <row r="185" spans="1:42" x14ac:dyDescent="0.2">
      <c r="A185" s="57" t="s">
        <v>169</v>
      </c>
      <c r="B185" s="57" t="s">
        <v>178</v>
      </c>
      <c r="C185" s="256">
        <f ca="1">RTL_G_0</f>
        <v>1.3763936014334881</v>
      </c>
      <c r="D185" s="256">
        <f t="array" aca="1" ref="D185" ca="1">SUM(AREA*D177:D184)/AREA_L</f>
        <v>1.8006433014626804</v>
      </c>
      <c r="E185" s="256">
        <f t="array" aca="1" ref="E185" ca="1">SUM(AREA*E177:E184)/AREA_L</f>
        <v>2.0570344585394706</v>
      </c>
      <c r="F185" s="256">
        <f t="array" aca="1" ref="F185" ca="1">SUM(AREA*F177:F184)/AREA_L</f>
        <v>2.2725189037811511</v>
      </c>
      <c r="G185" s="256">
        <f t="array" aca="1" ref="G185" ca="1">SUM(AREA*G177:G184)/AREA_L</f>
        <v>2.8460826547183724</v>
      </c>
      <c r="H185" s="256">
        <f t="array" aca="1" ref="H185" ca="1">SUM(AREA*H177:H184)/AREA_L</f>
        <v>3.5282253313308538</v>
      </c>
      <c r="I185" s="256">
        <f t="array" aca="1" ref="I185" ca="1">SUM(AREA*I177:I184)/AREA_L</f>
        <v>3.643807243723689</v>
      </c>
      <c r="J185" s="256">
        <f t="array" aca="1" ref="J185" ca="1">SUM(AREA*J177:J184)/AREA_L</f>
        <v>3.6878850790492583</v>
      </c>
      <c r="K185" s="256">
        <f t="array" aca="1" ref="K185" ca="1">SUM(AREA*K177:K184)/AREA_L</f>
        <v>3.4961467172663858</v>
      </c>
      <c r="L185" s="256">
        <f t="array" aca="1" ref="L185" ca="1">SUM(AREA*L177:L184)/AREA_L</f>
        <v>3.3597365364287253</v>
      </c>
      <c r="M185" s="256">
        <f t="array" aca="1" ref="M185" ca="1">SUM(AREA*M177:M184)/AREA_L</f>
        <v>3.1685339953292568</v>
      </c>
      <c r="N185" t="str">
        <f>'Base data'!$L$35</f>
        <v>degC</v>
      </c>
      <c r="O185" s="6"/>
      <c r="P185" s="6"/>
      <c r="Q185" s="6"/>
      <c r="R185" s="6"/>
      <c r="S185" s="6"/>
      <c r="T185" s="6"/>
      <c r="U185" s="6"/>
      <c r="V185" s="6"/>
      <c r="W185" s="6"/>
      <c r="X185" s="6"/>
    </row>
    <row r="186" spans="1:42" s="6" customFormat="1" x14ac:dyDescent="0.2">
      <c r="Y186"/>
    </row>
    <row r="187" spans="1:42" s="6" customFormat="1" x14ac:dyDescent="0.2">
      <c r="A187" s="57" t="s">
        <v>442</v>
      </c>
      <c r="B187" s="57" t="s">
        <v>441</v>
      </c>
      <c r="C187" s="213">
        <f ca="1" xml:space="preserve"> (RT_G_0 * AREA_E - RTL_G_0 * AREA_L) / (AREA_E - AREA_L)</f>
        <v>1.0009527789267774</v>
      </c>
      <c r="D187" s="213">
        <f t="array" ref="D187:M187" ca="1" xml:space="preserve"> (rt_g * AREA_E - rtl_g * AREA_L) / (AREA_E - AREA_L)</f>
        <v>1.0665158970955275</v>
      </c>
      <c r="E187" s="213">
        <f ca="1"/>
        <v>1.2201033637936123</v>
      </c>
      <c r="F187" s="213">
        <f ca="1"/>
        <v>1.3911178987778683</v>
      </c>
      <c r="G187" s="213">
        <f ca="1"/>
        <v>1.7486663138841794</v>
      </c>
      <c r="H187" s="213">
        <f ca="1"/>
        <v>2.1529980732594756</v>
      </c>
      <c r="I187" s="213">
        <f ca="1"/>
        <v>2.3035416648325038</v>
      </c>
      <c r="J187" s="213">
        <f ca="1"/>
        <v>2.3839830752077265</v>
      </c>
      <c r="K187" s="213">
        <f ca="1"/>
        <v>2.2750476255568315</v>
      </c>
      <c r="L187" s="213">
        <f ca="1"/>
        <v>2.2018794706551392</v>
      </c>
      <c r="M187" s="213">
        <f ca="1"/>
        <v>2.113545585791464</v>
      </c>
      <c r="N187" s="3" t="s">
        <v>41</v>
      </c>
      <c r="Y187"/>
    </row>
    <row r="188" spans="1:42" s="6" customFormat="1" x14ac:dyDescent="0.2">
      <c r="A188" s="57"/>
      <c r="B188" s="57"/>
      <c r="N188" s="3"/>
      <c r="Y188"/>
    </row>
    <row r="189" spans="1:42" s="6" customFormat="1" x14ac:dyDescent="0.2">
      <c r="A189" s="57" t="s">
        <v>184</v>
      </c>
      <c r="B189" s="57" t="s">
        <v>185</v>
      </c>
      <c r="C189" s="26">
        <f ca="1">SLA+SLTEMP*RT_G_0</f>
        <v>2.9010853333333335</v>
      </c>
      <c r="D189" s="26">
        <f t="array" ref="D189:M189" ca="1">SLA+SLTEMP*rt_g</f>
        <v>3.1734162666666674</v>
      </c>
      <c r="E189" s="26">
        <f ca="1"/>
        <v>3.4851164000000003</v>
      </c>
      <c r="F189" s="26">
        <f ca="1"/>
        <v>3.8012157333333336</v>
      </c>
      <c r="G189" s="26">
        <f ca="1"/>
        <v>4.5165346666666668</v>
      </c>
      <c r="H189" s="26">
        <f ca="1"/>
        <v>5.3402840000000005</v>
      </c>
      <c r="I189" s="26">
        <f ca="1"/>
        <v>5.5857586666666679</v>
      </c>
      <c r="J189" s="26">
        <f ca="1"/>
        <v>5.7091026666666673</v>
      </c>
      <c r="K189" s="26">
        <f ca="1"/>
        <v>5.4836480000000014</v>
      </c>
      <c r="L189" s="26">
        <f ca="1"/>
        <v>5.328844000000001</v>
      </c>
      <c r="M189" s="26">
        <f ca="1"/>
        <v>5.1302213333333349</v>
      </c>
      <c r="N189" s="3" t="s">
        <v>180</v>
      </c>
      <c r="Y189"/>
    </row>
    <row r="190" spans="1:42" s="6" customFormat="1" x14ac:dyDescent="0.2">
      <c r="A190" s="57" t="s">
        <v>186</v>
      </c>
      <c r="B190" s="57" t="s">
        <v>187</v>
      </c>
      <c r="D190" s="26">
        <f t="array" aca="1" ref="D190:M190" ca="1">EXP(-(YP/SLTAU))</f>
        <v>0.98713016592366909</v>
      </c>
      <c r="E190" s="26">
        <f ca="1"/>
        <v>0.98713016592366909</v>
      </c>
      <c r="F190" s="26">
        <f ca="1"/>
        <v>0.98713016592366909</v>
      </c>
      <c r="G190" s="26">
        <f ca="1"/>
        <v>0.97442596447649055</v>
      </c>
      <c r="H190" s="26">
        <f ca="1"/>
        <v>0.97442596447649055</v>
      </c>
      <c r="I190" s="26">
        <f ca="1"/>
        <v>0.97442596447649055</v>
      </c>
      <c r="J190" s="26">
        <f ca="1"/>
        <v>0.97442596447649055</v>
      </c>
      <c r="K190" s="26">
        <f ca="1"/>
        <v>0.97442596447649055</v>
      </c>
      <c r="L190" s="26">
        <f ca="1"/>
        <v>0.97442596447649055</v>
      </c>
      <c r="M190" s="26">
        <f ca="1"/>
        <v>0.97442596447649055</v>
      </c>
      <c r="N190"/>
      <c r="Y190"/>
      <c r="Z190" s="124"/>
      <c r="AA190"/>
      <c r="AB190"/>
      <c r="AC190"/>
      <c r="AD190"/>
      <c r="AE190"/>
      <c r="AF190"/>
    </row>
    <row r="191" spans="1:42" s="6" customFormat="1" ht="13.5" thickBot="1" x14ac:dyDescent="0.25">
      <c r="A191" s="57" t="s">
        <v>188</v>
      </c>
      <c r="B191" s="57" t="s">
        <v>189</v>
      </c>
      <c r="C191" s="35">
        <f ca="1">S_0</f>
        <v>0.18999999999999997</v>
      </c>
      <c r="D191" s="35">
        <f ca="1">S_0+(es_1-S_0)*(1-EXPFS_1)</f>
        <v>0.2283960723326266</v>
      </c>
      <c r="E191" s="35">
        <f t="array" ref="E191:M191" ca="1">s+(es_not_1-s)*(1-EXPFS_NOT_1)</f>
        <v>0.27030952258271973</v>
      </c>
      <c r="F191" s="35">
        <f ca="1"/>
        <v>0.31575169965416644</v>
      </c>
      <c r="G191" s="35">
        <f ca="1"/>
        <v>0.42318267247909758</v>
      </c>
      <c r="H191" s="35">
        <f ca="1"/>
        <v>0.54893279650181259</v>
      </c>
      <c r="I191" s="35">
        <f ca="1"/>
        <v>0.67774476023113994</v>
      </c>
      <c r="J191" s="35">
        <f ca="1"/>
        <v>0.80641688606181228</v>
      </c>
      <c r="K191" s="35">
        <f ca="1"/>
        <v>0.92603256072133122</v>
      </c>
      <c r="L191" s="35">
        <f ca="1"/>
        <v>1.0386302168727577</v>
      </c>
      <c r="M191" s="35">
        <f ca="1"/>
        <v>1.1432687134327961</v>
      </c>
      <c r="N191" s="3" t="s">
        <v>180</v>
      </c>
      <c r="O191" s="6">
        <f ca="1">_xll.RiskOutput(,"s_a",1)+D191</f>
        <v>0.2283960723326266</v>
      </c>
      <c r="P191" s="6">
        <f ca="1">_xll.RiskOutput(,"s_a",2)+E191</f>
        <v>0.27030952258271973</v>
      </c>
      <c r="Q191" s="6">
        <f ca="1">_xll.RiskOutput(,"s_a",3)+F191</f>
        <v>0.31575169965416644</v>
      </c>
      <c r="R191" s="6">
        <f ca="1">_xll.RiskOutput(,"s_a",4)+G191</f>
        <v>0.42318267247909758</v>
      </c>
      <c r="S191" s="6">
        <f ca="1">_xll.RiskOutput(,"s_a",5)+H191</f>
        <v>0.54893279650181259</v>
      </c>
      <c r="T191" s="6">
        <f ca="1">_xll.RiskOutput(,"s_a",6)+I191</f>
        <v>0.67774476023113994</v>
      </c>
      <c r="U191" s="6">
        <f ca="1">_xll.RiskOutput(,"s_a",7)+J191</f>
        <v>0.80641688606181228</v>
      </c>
      <c r="V191" s="6">
        <f ca="1">_xll.RiskOutput(,"s_a",8)+K191</f>
        <v>0.92603256072133122</v>
      </c>
      <c r="W191" s="6">
        <f ca="1">_xll.RiskOutput(,"s_a",9)+L191</f>
        <v>1.0386302168727577</v>
      </c>
      <c r="X191" s="6">
        <f ca="1">_xll.RiskOutput(,"s_a",10)+M191</f>
        <v>1.1432687134327961</v>
      </c>
      <c r="Z191" s="57"/>
      <c r="AB191" s="3"/>
      <c r="AG191" s="57"/>
    </row>
    <row r="192" spans="1:42" s="6" customFormat="1" ht="13.5" thickTop="1" x14ac:dyDescent="0.2">
      <c r="A192" s="328" t="s">
        <v>1093</v>
      </c>
      <c r="B192" s="323"/>
      <c r="C192" s="323"/>
      <c r="D192" s="323">
        <v>1.2538940000000003</v>
      </c>
      <c r="E192" s="323">
        <v>1.4337210000000002</v>
      </c>
      <c r="F192" s="323">
        <v>1.6160860000000001</v>
      </c>
      <c r="G192" s="323">
        <v>2.0287700000000002</v>
      </c>
      <c r="H192" s="323">
        <v>2.5040100000000001</v>
      </c>
      <c r="I192" s="323">
        <v>2.6456300000000006</v>
      </c>
      <c r="J192" s="323">
        <v>2.7167900000000005</v>
      </c>
      <c r="K192" s="323">
        <v>2.5867200000000006</v>
      </c>
      <c r="L192" s="323">
        <v>2.4974100000000004</v>
      </c>
      <c r="M192" s="323">
        <v>2.3828200000000006</v>
      </c>
      <c r="Y192"/>
    </row>
    <row r="193" spans="1:33" s="6" customFormat="1" x14ac:dyDescent="0.2">
      <c r="A193" s="328" t="s">
        <v>1094</v>
      </c>
      <c r="B193" s="323"/>
      <c r="C193" s="323"/>
      <c r="D193" s="323">
        <v>0.16634399999999994</v>
      </c>
      <c r="E193" s="323">
        <v>0.172678</v>
      </c>
      <c r="F193" s="323">
        <v>0.27371599999999996</v>
      </c>
      <c r="G193" s="323">
        <v>0.3671890000000001</v>
      </c>
      <c r="H193" s="323">
        <v>0.45883099999999988</v>
      </c>
      <c r="I193" s="323">
        <v>0.57582699999999998</v>
      </c>
      <c r="J193" s="323">
        <v>0.59839199999999992</v>
      </c>
      <c r="K193" s="323">
        <v>0.60566500000000001</v>
      </c>
      <c r="L193" s="323">
        <v>0.61238599999999999</v>
      </c>
      <c r="M193" s="323">
        <v>0.59505200000000003</v>
      </c>
      <c r="N193" s="3"/>
      <c r="Y193"/>
      <c r="Z193" s="128"/>
    </row>
    <row r="194" spans="1:33" s="6" customFormat="1" x14ac:dyDescent="0.2">
      <c r="A194" s="323"/>
      <c r="B194" s="323"/>
      <c r="C194" s="323"/>
      <c r="D194" s="323"/>
      <c r="E194" s="323"/>
      <c r="F194" s="323"/>
      <c r="G194" s="323"/>
      <c r="H194" s="323"/>
      <c r="I194" s="323"/>
      <c r="J194" s="323"/>
      <c r="K194" s="323"/>
      <c r="L194" s="323"/>
      <c r="M194" s="323"/>
      <c r="N194" s="3"/>
      <c r="Y194"/>
      <c r="Z194" s="57"/>
    </row>
    <row r="195" spans="1:33" s="6" customFormat="1" x14ac:dyDescent="0.2">
      <c r="A195" s="2"/>
      <c r="B195" s="57"/>
      <c r="D195" s="57"/>
      <c r="E195" s="57"/>
      <c r="F195" s="57"/>
      <c r="G195" s="57"/>
      <c r="H195" s="57"/>
      <c r="I195" s="57"/>
      <c r="J195" s="57"/>
      <c r="K195" s="57"/>
      <c r="L195" s="57"/>
      <c r="M195" s="57"/>
      <c r="N195" s="3"/>
      <c r="Y195"/>
      <c r="Z195" s="57"/>
      <c r="AF195" s="57"/>
      <c r="AG195" s="57"/>
    </row>
    <row r="196" spans="1:33" s="6" customFormat="1" x14ac:dyDescent="0.2">
      <c r="A196" s="57"/>
      <c r="B196" s="57"/>
      <c r="D196" s="57"/>
      <c r="E196" s="57"/>
      <c r="F196" s="57"/>
      <c r="G196" s="57"/>
      <c r="H196" s="57"/>
      <c r="I196" s="57"/>
      <c r="J196" s="57"/>
      <c r="K196" s="57"/>
      <c r="L196" s="57"/>
      <c r="M196" s="57"/>
      <c r="N196" s="3"/>
      <c r="Y196"/>
      <c r="Z196" s="57"/>
      <c r="AF196" s="57"/>
      <c r="AG196" s="57"/>
    </row>
    <row r="197" spans="1:33" s="6" customFormat="1" x14ac:dyDescent="0.2">
      <c r="A197" s="57"/>
      <c r="B197" s="57"/>
      <c r="D197" s="57"/>
      <c r="E197" s="57"/>
      <c r="F197" s="57"/>
      <c r="G197" s="57"/>
      <c r="H197" s="57"/>
      <c r="I197" s="57"/>
      <c r="J197" s="57"/>
      <c r="K197" s="57"/>
      <c r="L197" s="57"/>
      <c r="M197" s="57"/>
      <c r="N197" s="3"/>
      <c r="Y197"/>
    </row>
    <row r="198" spans="1:33" s="6" customFormat="1" x14ac:dyDescent="0.2">
      <c r="A198" s="2" t="s">
        <v>891</v>
      </c>
      <c r="B198"/>
      <c r="C198"/>
      <c r="D198" s="3"/>
      <c r="E198" s="3"/>
      <c r="F198" s="3"/>
      <c r="G198" s="3"/>
      <c r="H198" s="3"/>
      <c r="I198" s="3"/>
      <c r="J198" s="3"/>
      <c r="K198" s="3"/>
      <c r="L198" s="3"/>
      <c r="M198" s="3"/>
      <c r="N198"/>
      <c r="O198"/>
      <c r="P198"/>
      <c r="Q198"/>
      <c r="R198"/>
      <c r="S198"/>
      <c r="T198"/>
      <c r="U198"/>
      <c r="V198"/>
      <c r="W198"/>
      <c r="Y198"/>
      <c r="Z198" s="57"/>
    </row>
    <row r="199" spans="1:33" s="6" customFormat="1" x14ac:dyDescent="0.2">
      <c r="A199" s="3" t="s">
        <v>921</v>
      </c>
      <c r="B199"/>
      <c r="C199"/>
      <c r="D199" s="1">
        <f t="array" ref="D199:M199" ca="1" xml:space="preserve"> ALB_SAF_ECS * rt_g</f>
        <v>0.43834939466343903</v>
      </c>
      <c r="E199" s="1">
        <f ca="1"/>
        <v>0.50121520038078216</v>
      </c>
      <c r="F199" s="1">
        <f ca="1"/>
        <v>0.56496826671477685</v>
      </c>
      <c r="G199" s="1">
        <f ca="1"/>
        <v>0.70923866085278742</v>
      </c>
      <c r="H199" s="1">
        <f ca="1"/>
        <v>0.87537803652557367</v>
      </c>
      <c r="I199" s="1">
        <f ca="1"/>
        <v>0.92488703909854753</v>
      </c>
      <c r="J199" s="1">
        <f ca="1"/>
        <v>0.94976389705005715</v>
      </c>
      <c r="K199" s="1">
        <f ca="1"/>
        <v>0.90429266442283873</v>
      </c>
      <c r="L199" s="1">
        <f ca="1"/>
        <v>0.87307073941371371</v>
      </c>
      <c r="M199" s="1">
        <f ca="1"/>
        <v>0.83301116728522173</v>
      </c>
      <c r="N199" s="3" t="s">
        <v>42</v>
      </c>
      <c r="Y199"/>
    </row>
    <row r="200" spans="1:33" s="6" customFormat="1" x14ac:dyDescent="0.2">
      <c r="A200" s="3" t="s">
        <v>922</v>
      </c>
      <c r="B200"/>
      <c r="C200"/>
      <c r="D200" s="1">
        <f t="array" ref="D200:M200" ca="1" xml:space="preserve"> alb_fsaf - ALB_SAF_ECS * rt_g</f>
        <v>1.13791474155992E-2</v>
      </c>
      <c r="E200" s="1">
        <f ca="1"/>
        <v>1.1735347805915231E-2</v>
      </c>
      <c r="F200" s="1">
        <f ca="1"/>
        <v>1.1700059681720942E-2</v>
      </c>
      <c r="G200" s="1">
        <f ca="1"/>
        <v>1.0021801925614193E-2</v>
      </c>
      <c r="H200" s="1">
        <f ca="1"/>
        <v>5.0476503087933944E-3</v>
      </c>
      <c r="I200" s="1">
        <f ca="1"/>
        <v>2.8769878657782799E-3</v>
      </c>
      <c r="J200" s="1">
        <f ca="1"/>
        <v>1.6601790739707578E-3</v>
      </c>
      <c r="K200" s="1">
        <f ca="1"/>
        <v>3.8200922483223598E-3</v>
      </c>
      <c r="L200" s="1">
        <f ca="1"/>
        <v>5.1408032022098871E-3</v>
      </c>
      <c r="M200" s="1">
        <f ca="1"/>
        <v>6.6468402832470241E-3</v>
      </c>
      <c r="N200" s="3" t="s">
        <v>42</v>
      </c>
      <c r="Y200"/>
    </row>
    <row r="201" spans="1:33" s="6" customFormat="1" x14ac:dyDescent="0.2">
      <c r="A201" s="3" t="s">
        <v>556</v>
      </c>
      <c r="B201"/>
      <c r="C201"/>
      <c r="D201" s="156">
        <f t="array" ref="D201:M201" ca="1" xml:space="preserve"> (rt_g / pt_g) - 1</f>
        <v>2.5810128159507562E-2</v>
      </c>
      <c r="E201" s="156">
        <f ca="1"/>
        <v>1.5560814315906057E-2</v>
      </c>
      <c r="F201" s="156">
        <f ca="1"/>
        <v>1.4725696926693121E-2</v>
      </c>
      <c r="G201" s="156">
        <f ca="1"/>
        <v>2.7933360590060685E-2</v>
      </c>
      <c r="H201" s="156">
        <f ca="1"/>
        <v>4.5755493196263375E-2</v>
      </c>
      <c r="I201" s="156">
        <f ca="1"/>
        <v>-3.9374967711460429E-2</v>
      </c>
      <c r="J201" s="156">
        <f ca="1"/>
        <v>-7.669497793854696E-2</v>
      </c>
      <c r="K201" s="156">
        <f ca="1"/>
        <v>-0.12862956760429511</v>
      </c>
      <c r="L201" s="156">
        <f ca="1"/>
        <v>-0.13706020767448845</v>
      </c>
      <c r="M201" s="156">
        <f ca="1"/>
        <v>-0.13774595243989884</v>
      </c>
      <c r="N201"/>
      <c r="Y201"/>
    </row>
    <row r="202" spans="1:33" s="6" customFormat="1" x14ac:dyDescent="0.2">
      <c r="A202" s="3" t="s">
        <v>550</v>
      </c>
      <c r="B202"/>
      <c r="C202"/>
      <c r="D202" s="156">
        <f t="array" ref="D202:M202" ca="1" xml:space="preserve"> ecs_alb_adj / ECS - 1</f>
        <v>3.0006580899240021E-3</v>
      </c>
      <c r="E202" s="156">
        <f ca="1"/>
        <v>1.5556304214565664E-3</v>
      </c>
      <c r="F202" s="156">
        <f ca="1"/>
        <v>-3.498825759795654E-5</v>
      </c>
      <c r="G202" s="156">
        <f ca="1"/>
        <v>-2.7080944405757368E-3</v>
      </c>
      <c r="H202" s="156">
        <f ca="1"/>
        <v>-7.0334558102183031E-3</v>
      </c>
      <c r="I202" s="156">
        <f ca="1"/>
        <v>-1.1809926007137483E-2</v>
      </c>
      <c r="J202" s="156">
        <f ca="1"/>
        <v>-1.3826421257203569E-2</v>
      </c>
      <c r="K202" s="156">
        <f ca="1"/>
        <v>-1.4429954907031362E-2</v>
      </c>
      <c r="L202" s="156">
        <f ca="1"/>
        <v>-1.3165007998909739E-2</v>
      </c>
      <c r="M202" s="156">
        <f ca="1"/>
        <v>-1.1827729662273301E-2</v>
      </c>
      <c r="N202"/>
      <c r="Y202"/>
    </row>
    <row r="203" spans="1:33" s="6" customFormat="1" x14ac:dyDescent="0.2">
      <c r="A203" s="3"/>
      <c r="B203"/>
      <c r="C203"/>
      <c r="D203" s="156"/>
      <c r="E203" s="156"/>
      <c r="F203" s="156"/>
      <c r="G203" s="156"/>
      <c r="H203" s="156"/>
      <c r="I203" s="156"/>
      <c r="J203" s="156"/>
      <c r="K203" s="156"/>
      <c r="L203" s="156"/>
      <c r="M203" s="156"/>
      <c r="N203"/>
      <c r="Y203"/>
    </row>
    <row r="204" spans="1:33" s="6" customFormat="1" x14ac:dyDescent="0.2">
      <c r="A204" s="3"/>
      <c r="B204"/>
      <c r="C204"/>
      <c r="D204" s="156"/>
      <c r="E204" s="156"/>
      <c r="F204" s="156"/>
      <c r="G204" s="156"/>
      <c r="H204" s="156"/>
      <c r="I204" s="156"/>
      <c r="J204" s="156"/>
      <c r="K204" s="156"/>
      <c r="L204" s="156"/>
      <c r="M204" s="156"/>
      <c r="N204"/>
      <c r="Y204"/>
    </row>
    <row r="205" spans="1:33" s="6" customFormat="1" x14ac:dyDescent="0.2">
      <c r="A205" s="2" t="s">
        <v>773</v>
      </c>
      <c r="B205"/>
      <c r="C205"/>
      <c r="D205" s="156"/>
      <c r="E205" s="156"/>
      <c r="F205" s="156"/>
      <c r="G205" s="156"/>
      <c r="H205" s="156"/>
      <c r="I205" s="156"/>
      <c r="J205" s="156"/>
      <c r="K205" s="156"/>
      <c r="L205" s="156"/>
      <c r="M205" s="156"/>
      <c r="N205"/>
      <c r="Y205"/>
    </row>
    <row r="206" spans="1:33" s="6" customFormat="1" x14ac:dyDescent="0.2">
      <c r="A206" s="3" t="s">
        <v>551</v>
      </c>
      <c r="B206"/>
      <c r="C206"/>
      <c r="D206" s="156">
        <f t="shared" ref="D206:M206" ca="1" si="4">C67/C73</f>
        <v>2.1445990806661701E-2</v>
      </c>
      <c r="E206" s="156">
        <f t="shared" ca="1" si="4"/>
        <v>2.151335834021419E-2</v>
      </c>
      <c r="F206" s="156">
        <f t="shared" ca="1" si="4"/>
        <v>2.1781379063168647E-2</v>
      </c>
      <c r="G206" s="156">
        <f t="shared" ca="1" si="4"/>
        <v>2.205416241997573E-2</v>
      </c>
      <c r="H206" s="156">
        <f t="shared" ca="1" si="4"/>
        <v>2.2975536838712382E-2</v>
      </c>
      <c r="I206" s="156">
        <f t="shared" ca="1" si="4"/>
        <v>2.4988390178749601E-2</v>
      </c>
      <c r="J206" s="156">
        <f t="shared" ca="1" si="4"/>
        <v>2.8348724819840042E-2</v>
      </c>
      <c r="K206" s="156">
        <f t="shared" ca="1" si="4"/>
        <v>3.3360126215225237E-2</v>
      </c>
      <c r="L206" s="156">
        <f t="shared" ca="1" si="4"/>
        <v>3.8876083498952926E-2</v>
      </c>
      <c r="M206" s="156">
        <f t="shared" ca="1" si="4"/>
        <v>4.4813431340460307E-2</v>
      </c>
      <c r="N206"/>
      <c r="Y206"/>
    </row>
    <row r="207" spans="1:33" s="6" customFormat="1" ht="15" x14ac:dyDescent="0.25">
      <c r="A207" s="3"/>
      <c r="B207"/>
      <c r="C207"/>
      <c r="D207" s="131"/>
      <c r="E207" s="131"/>
      <c r="F207" s="131"/>
      <c r="G207" s="131"/>
      <c r="H207" s="131"/>
      <c r="I207" s="131"/>
      <c r="J207" s="131"/>
      <c r="K207" s="131"/>
      <c r="L207" s="131"/>
      <c r="M207" s="131"/>
      <c r="N207" s="3"/>
      <c r="O207"/>
      <c r="P207"/>
      <c r="Q207"/>
      <c r="R207"/>
      <c r="S207"/>
      <c r="T207"/>
      <c r="U207"/>
      <c r="V207"/>
      <c r="W207"/>
      <c r="Y207"/>
    </row>
    <row r="208" spans="1:33" s="6" customFormat="1" ht="15" x14ac:dyDescent="0.25">
      <c r="A208"/>
      <c r="B208"/>
      <c r="C208"/>
      <c r="D208" s="111"/>
      <c r="E208"/>
      <c r="F208"/>
      <c r="G208"/>
      <c r="H208"/>
      <c r="I208"/>
      <c r="J208"/>
      <c r="K208"/>
      <c r="L208"/>
      <c r="M208"/>
      <c r="N208"/>
      <c r="O208"/>
      <c r="P208"/>
      <c r="Q208"/>
      <c r="R208"/>
      <c r="S208"/>
      <c r="T208"/>
      <c r="U208"/>
      <c r="V208"/>
      <c r="W208"/>
      <c r="X208"/>
      <c r="Y208"/>
    </row>
    <row r="209" spans="1:25" s="6" customFormat="1" ht="15" x14ac:dyDescent="0.25">
      <c r="A209" s="2" t="s">
        <v>766</v>
      </c>
      <c r="B209"/>
      <c r="C209"/>
      <c r="D209" s="111"/>
      <c r="E209"/>
      <c r="F209"/>
      <c r="G209"/>
      <c r="H209"/>
      <c r="I209"/>
      <c r="J209"/>
      <c r="K209"/>
      <c r="L209"/>
      <c r="M209"/>
      <c r="N209"/>
      <c r="O209"/>
      <c r="P209"/>
      <c r="Q209"/>
      <c r="R209"/>
      <c r="S209"/>
      <c r="T209"/>
      <c r="U209"/>
      <c r="V209"/>
      <c r="W209"/>
      <c r="X209"/>
      <c r="Y209"/>
    </row>
    <row r="210" spans="1:25" s="6" customFormat="1" ht="15" x14ac:dyDescent="0.25">
      <c r="A210" s="3" t="s">
        <v>767</v>
      </c>
      <c r="B210"/>
      <c r="C210"/>
      <c r="D210" s="131">
        <f t="shared" ref="D210:M210" ca="1" si="5">D75-C75</f>
        <v>228224.16445379006</v>
      </c>
      <c r="E210" s="131">
        <f t="shared" ca="1" si="5"/>
        <v>240997.38544447068</v>
      </c>
      <c r="F210" s="131">
        <f t="shared" ca="1" si="5"/>
        <v>272893.13428771123</v>
      </c>
      <c r="G210" s="131">
        <f t="shared" ca="1" si="5"/>
        <v>665913.51442648703</v>
      </c>
      <c r="H210" s="131">
        <f t="shared" ca="1" si="5"/>
        <v>654362.73925567186</v>
      </c>
      <c r="I210" s="131">
        <f t="shared" ca="1" si="5"/>
        <v>340725.39846391417</v>
      </c>
      <c r="J210" s="131">
        <f t="shared" ca="1" si="5"/>
        <v>12367.023361613043</v>
      </c>
      <c r="K210" s="131">
        <f t="shared" ca="1" si="5"/>
        <v>-148192.93323437311</v>
      </c>
      <c r="L210" s="131">
        <f t="shared" ca="1" si="5"/>
        <v>-208758.18109042477</v>
      </c>
      <c r="M210" s="131">
        <f t="shared" ca="1" si="5"/>
        <v>-234546.63600531826</v>
      </c>
      <c r="N210" s="3" t="s">
        <v>496</v>
      </c>
      <c r="O210"/>
      <c r="P210"/>
      <c r="Q210"/>
      <c r="R210"/>
      <c r="S210"/>
      <c r="T210"/>
      <c r="U210"/>
      <c r="V210"/>
      <c r="W210"/>
      <c r="X210"/>
      <c r="Y210"/>
    </row>
    <row r="211" spans="1:25" s="6" customFormat="1" ht="15" x14ac:dyDescent="0.25">
      <c r="A211" s="3" t="s">
        <v>768</v>
      </c>
      <c r="B211"/>
      <c r="C211"/>
      <c r="D211" s="131">
        <f t="shared" ref="D211:M211" ca="1" si="6">D210 * (1 - PERCENT_CO2_LAND/100)</f>
        <v>166685.91289510671</v>
      </c>
      <c r="E211" s="131">
        <f t="shared" ca="1" si="6"/>
        <v>176014.96885435696</v>
      </c>
      <c r="F211" s="131">
        <f t="shared" ca="1" si="6"/>
        <v>199310.36365241779</v>
      </c>
      <c r="G211" s="131">
        <f t="shared" ca="1" si="6"/>
        <v>486356.92161266448</v>
      </c>
      <c r="H211" s="131">
        <f t="shared" ca="1" si="6"/>
        <v>477920.69178309571</v>
      </c>
      <c r="I211" s="131">
        <f t="shared" ca="1" si="6"/>
        <v>248852.36944752178</v>
      </c>
      <c r="J211" s="131">
        <f t="shared" ca="1" si="6"/>
        <v>9032.3852592873336</v>
      </c>
      <c r="K211" s="131">
        <f t="shared" ca="1" si="6"/>
        <v>-108234.26353600073</v>
      </c>
      <c r="L211" s="131">
        <f t="shared" ca="1" si="6"/>
        <v>-152468.72772065742</v>
      </c>
      <c r="M211" s="131">
        <f t="shared" ca="1" si="6"/>
        <v>-171303.59632421267</v>
      </c>
      <c r="N211" s="3" t="s">
        <v>496</v>
      </c>
      <c r="O211"/>
      <c r="P211"/>
      <c r="Q211"/>
      <c r="R211"/>
      <c r="S211"/>
      <c r="T211"/>
      <c r="U211"/>
      <c r="V211"/>
      <c r="W211"/>
      <c r="X211"/>
      <c r="Y211"/>
    </row>
    <row r="212" spans="1:25" s="6" customFormat="1" ht="15" x14ac:dyDescent="0.25">
      <c r="A212" s="57" t="s">
        <v>769</v>
      </c>
      <c r="C212" s="131"/>
      <c r="D212" s="131">
        <f ca="1">D87</f>
        <v>1088677.5292050429</v>
      </c>
      <c r="E212" s="131">
        <f t="shared" ref="E212:M212" ca="1" si="7">E87</f>
        <v>1232578.5575413192</v>
      </c>
      <c r="F212" s="131">
        <f t="shared" ca="1" si="7"/>
        <v>1394073.3592802277</v>
      </c>
      <c r="G212" s="131">
        <f t="shared" ca="1" si="7"/>
        <v>1783565.2432746459</v>
      </c>
      <c r="H212" s="131">
        <f t="shared" ca="1" si="7"/>
        <v>2124103.0996527723</v>
      </c>
      <c r="I212" s="131">
        <f t="shared" ca="1" si="7"/>
        <v>2197812.6227037627</v>
      </c>
      <c r="J212" s="131">
        <f t="shared" ca="1" si="7"/>
        <v>2044890.6260213333</v>
      </c>
      <c r="K212" s="131">
        <f t="shared" ca="1" si="7"/>
        <v>1823750.4977462916</v>
      </c>
      <c r="L212" s="131">
        <f t="shared" ca="1" si="7"/>
        <v>1601203.2623626261</v>
      </c>
      <c r="M212" s="131">
        <f t="shared" ca="1" si="7"/>
        <v>1391792.5340056978</v>
      </c>
      <c r="N212" s="3" t="s">
        <v>496</v>
      </c>
      <c r="O212"/>
      <c r="P212"/>
      <c r="Q212"/>
      <c r="R212"/>
      <c r="S212"/>
      <c r="T212"/>
      <c r="U212"/>
      <c r="V212"/>
      <c r="W212"/>
      <c r="X212"/>
      <c r="Y212"/>
    </row>
    <row r="213" spans="1:25" s="6" customFormat="1" ht="15" x14ac:dyDescent="0.25">
      <c r="A213" s="3" t="s">
        <v>936</v>
      </c>
      <c r="B213"/>
      <c r="C213"/>
      <c r="D213" s="255">
        <f ca="1">E213</f>
        <v>-6422.7881036161325</v>
      </c>
      <c r="E213" s="199">
        <f t="array" aca="1" ref="E213:M213" ca="1" xml:space="preserve"> (re_co2_not_1 - re_co2 - teay_perm_anthr_co2_not_1) / YP_NOT_1</f>
        <v>-6422.7881036161325</v>
      </c>
      <c r="F213" s="199">
        <f ca="1"/>
        <v>-7563.1123827018546</v>
      </c>
      <c r="G213" s="199">
        <f ca="1"/>
        <v>-9686.5037618246279</v>
      </c>
      <c r="H213" s="199">
        <f ca="1"/>
        <v>-13738.283540496928</v>
      </c>
      <c r="I213" s="199">
        <f ca="1"/>
        <v>-17514.284639653135</v>
      </c>
      <c r="J213" s="199">
        <f ca="1"/>
        <v>-16195.43819417168</v>
      </c>
      <c r="K213" s="199">
        <f ca="1"/>
        <v>-11290.586473904097</v>
      </c>
      <c r="L213" s="199">
        <f ca="1"/>
        <v>-7007.8507663008004</v>
      </c>
      <c r="M213" s="199">
        <f ca="1"/>
        <v>-3810.7132032715658</v>
      </c>
      <c r="N213" s="3" t="s">
        <v>586</v>
      </c>
      <c r="O213"/>
      <c r="P213"/>
      <c r="Q213"/>
      <c r="R213"/>
      <c r="S213"/>
      <c r="T213"/>
      <c r="U213"/>
      <c r="V213"/>
      <c r="W213"/>
      <c r="X213"/>
      <c r="Y213"/>
    </row>
    <row r="214" spans="1:25" s="6" customFormat="1" ht="15" x14ac:dyDescent="0.25">
      <c r="A214" s="3"/>
      <c r="B214"/>
      <c r="C214"/>
      <c r="D214" s="131"/>
      <c r="E214" s="131"/>
      <c r="F214" s="131"/>
      <c r="G214" s="131"/>
      <c r="H214" s="131"/>
      <c r="I214" s="131"/>
      <c r="J214" s="131"/>
      <c r="K214" s="131"/>
      <c r="L214" s="131"/>
      <c r="M214" s="131"/>
      <c r="N214" s="3"/>
      <c r="O214"/>
      <c r="P214"/>
      <c r="Q214"/>
      <c r="R214"/>
      <c r="S214"/>
      <c r="T214"/>
      <c r="U214"/>
      <c r="V214"/>
      <c r="W214"/>
      <c r="X214"/>
      <c r="Y214"/>
    </row>
    <row r="215" spans="1:25" s="6" customFormat="1" x14ac:dyDescent="0.2">
      <c r="A215" s="3"/>
      <c r="B215"/>
      <c r="C215"/>
      <c r="N215" s="3"/>
      <c r="O215"/>
      <c r="P215"/>
      <c r="Q215"/>
      <c r="R215"/>
      <c r="S215"/>
      <c r="T215"/>
      <c r="U215"/>
      <c r="V215"/>
      <c r="W215"/>
      <c r="X215"/>
      <c r="Y215"/>
    </row>
    <row r="217" spans="1:25" s="6" customFormat="1" ht="15" x14ac:dyDescent="0.25">
      <c r="A217" s="3"/>
      <c r="B217"/>
      <c r="C217"/>
      <c r="D217" s="131"/>
      <c r="E217" s="131"/>
      <c r="F217" s="131"/>
      <c r="G217" s="131"/>
      <c r="H217" s="131"/>
      <c r="I217" s="131"/>
      <c r="J217" s="131"/>
      <c r="K217" s="131"/>
      <c r="L217" s="131"/>
      <c r="M217" s="131"/>
      <c r="N217" s="3"/>
      <c r="O217"/>
      <c r="P217"/>
      <c r="Q217"/>
      <c r="R217"/>
      <c r="S217"/>
      <c r="T217"/>
      <c r="U217"/>
      <c r="V217"/>
      <c r="W217"/>
      <c r="X217"/>
      <c r="Y217"/>
    </row>
    <row r="218" spans="1:25" s="6" customFormat="1" ht="15" x14ac:dyDescent="0.25">
      <c r="A218" s="2" t="s">
        <v>583</v>
      </c>
      <c r="B218"/>
      <c r="C218"/>
      <c r="D218" s="131"/>
      <c r="E218" s="131"/>
      <c r="F218" s="131"/>
      <c r="G218" s="131"/>
      <c r="H218" s="131"/>
      <c r="I218" s="131"/>
      <c r="J218" s="131"/>
      <c r="K218" s="131"/>
      <c r="L218" s="131"/>
      <c r="M218" s="131"/>
      <c r="N218" s="3"/>
      <c r="O218"/>
      <c r="P218"/>
      <c r="Q218"/>
      <c r="R218"/>
      <c r="S218"/>
      <c r="T218"/>
      <c r="U218"/>
      <c r="V218"/>
      <c r="W218"/>
      <c r="X218"/>
      <c r="Y218"/>
    </row>
    <row r="219" spans="1:25" s="6" customFormat="1" ht="15" x14ac:dyDescent="0.25">
      <c r="A219"/>
      <c r="B219"/>
      <c r="C219"/>
      <c r="D219" s="131"/>
      <c r="E219" s="131"/>
      <c r="F219" s="131"/>
      <c r="G219" s="131"/>
      <c r="H219" s="131"/>
      <c r="I219" s="131"/>
      <c r="J219" s="131"/>
      <c r="K219" s="131"/>
      <c r="L219" s="131"/>
      <c r="M219" s="131"/>
      <c r="N219"/>
      <c r="O219"/>
      <c r="P219"/>
      <c r="Q219"/>
      <c r="R219"/>
      <c r="S219"/>
      <c r="T219"/>
      <c r="U219"/>
      <c r="V219"/>
      <c r="W219"/>
      <c r="X219"/>
      <c r="Y219"/>
    </row>
    <row r="220" spans="1:25" s="6" customFormat="1" ht="15" x14ac:dyDescent="0.25">
      <c r="A220" s="3"/>
      <c r="B220" s="131"/>
      <c r="C220" s="3"/>
      <c r="D220" s="131"/>
      <c r="E220" s="131"/>
      <c r="F220" s="131"/>
      <c r="G220" s="131"/>
      <c r="H220" s="131"/>
      <c r="I220" s="131"/>
      <c r="J220" s="131"/>
      <c r="K220" s="131"/>
      <c r="L220" s="131"/>
      <c r="M220" s="131"/>
      <c r="N220"/>
      <c r="O220"/>
      <c r="P220"/>
      <c r="Q220"/>
      <c r="R220"/>
      <c r="S220"/>
      <c r="T220"/>
      <c r="U220"/>
      <c r="V220"/>
      <c r="W220"/>
      <c r="X220"/>
      <c r="Y220"/>
    </row>
    <row r="221" spans="1:25" s="6" customFormat="1" ht="15" x14ac:dyDescent="0.25">
      <c r="A221" s="2" t="s">
        <v>931</v>
      </c>
      <c r="B221" s="131"/>
      <c r="C221" s="3"/>
      <c r="D221" s="131">
        <f t="array" ref="D221:M221" ca="1">fgt+alb_fsaf_diff</f>
        <v>3.02190248963718</v>
      </c>
      <c r="E221" s="131">
        <f ca="1"/>
        <v>3.3033559374173365</v>
      </c>
      <c r="F221" s="131">
        <f ca="1"/>
        <v>3.6005628531262506</v>
      </c>
      <c r="G221" s="131">
        <f ca="1"/>
        <v>4.2619276104435446</v>
      </c>
      <c r="H221" s="131">
        <f ca="1"/>
        <v>4.6774473006515542</v>
      </c>
      <c r="I221" s="131">
        <f ca="1"/>
        <v>4.6288258907831379</v>
      </c>
      <c r="J221" s="131">
        <f ca="1"/>
        <v>4.2941646549466412</v>
      </c>
      <c r="K221" s="131">
        <f ca="1"/>
        <v>3.9036530116801078</v>
      </c>
      <c r="L221" s="131">
        <f ca="1"/>
        <v>3.5353459165510754</v>
      </c>
      <c r="M221" s="131">
        <f ca="1"/>
        <v>3.1926842816740617</v>
      </c>
      <c r="N221" s="3" t="s">
        <v>42</v>
      </c>
      <c r="O221"/>
      <c r="P221"/>
      <c r="Q221"/>
      <c r="R221"/>
      <c r="S221"/>
      <c r="T221"/>
      <c r="U221"/>
      <c r="V221"/>
      <c r="W221"/>
      <c r="X221"/>
      <c r="Y221"/>
    </row>
    <row r="222" spans="1:25" s="6" customFormat="1" ht="15" x14ac:dyDescent="0.25">
      <c r="A222" s="3"/>
      <c r="B222"/>
      <c r="C222"/>
      <c r="D222" s="131"/>
      <c r="E222" s="131"/>
      <c r="F222" s="131"/>
      <c r="G222" s="131"/>
      <c r="H222" s="131"/>
      <c r="I222" s="131"/>
      <c r="J222" s="131"/>
      <c r="K222" s="131"/>
      <c r="L222" s="131"/>
      <c r="M222" s="131"/>
      <c r="N222" s="3"/>
      <c r="O222"/>
      <c r="P222"/>
      <c r="Q222"/>
      <c r="R222"/>
      <c r="S222"/>
      <c r="T222"/>
      <c r="U222"/>
      <c r="V222"/>
      <c r="W222"/>
      <c r="X222"/>
      <c r="Y222"/>
    </row>
    <row r="223" spans="1:25" s="6" customFormat="1" ht="15" x14ac:dyDescent="0.25">
      <c r="A223"/>
      <c r="B223"/>
      <c r="C223"/>
      <c r="D223" s="131"/>
      <c r="E223" s="131"/>
      <c r="F223" s="131"/>
      <c r="G223" s="131"/>
      <c r="H223" s="131"/>
      <c r="I223" s="131"/>
      <c r="J223" s="131"/>
      <c r="K223" s="131"/>
      <c r="L223" s="131"/>
      <c r="M223" s="131"/>
      <c r="N223"/>
      <c r="O223"/>
      <c r="P223"/>
      <c r="Q223"/>
      <c r="R223"/>
      <c r="S223"/>
      <c r="T223"/>
      <c r="U223"/>
      <c r="V223"/>
      <c r="W223"/>
      <c r="X223"/>
      <c r="Y223"/>
    </row>
    <row r="224" spans="1:25" s="6" customFormat="1" ht="15" x14ac:dyDescent="0.25">
      <c r="A224" s="3"/>
      <c r="B224" s="131"/>
      <c r="C224" s="324" t="s">
        <v>1092</v>
      </c>
      <c r="D224" s="325">
        <v>2020</v>
      </c>
      <c r="E224" s="325">
        <v>2025</v>
      </c>
      <c r="F224" s="325">
        <v>2030</v>
      </c>
      <c r="G224" s="325">
        <v>2040</v>
      </c>
      <c r="H224" s="325">
        <v>2050</v>
      </c>
      <c r="I224" s="325">
        <v>2060</v>
      </c>
      <c r="J224" s="325">
        <v>2070</v>
      </c>
      <c r="K224" s="325">
        <v>2080</v>
      </c>
      <c r="L224" s="325">
        <v>2090</v>
      </c>
      <c r="M224" s="325">
        <v>2100</v>
      </c>
      <c r="N224"/>
      <c r="O224"/>
      <c r="P224"/>
      <c r="Q224"/>
      <c r="R224"/>
      <c r="S224"/>
      <c r="T224"/>
      <c r="U224"/>
      <c r="V224"/>
      <c r="W224"/>
      <c r="X224"/>
      <c r="Y224"/>
    </row>
    <row r="225" spans="1:25" s="6" customFormat="1" x14ac:dyDescent="0.2">
      <c r="A225" s="3"/>
      <c r="B225"/>
      <c r="C225" s="324" t="s">
        <v>0</v>
      </c>
      <c r="D225" s="323">
        <v>0.583005</v>
      </c>
      <c r="E225" s="323">
        <v>0.41127799999999998</v>
      </c>
      <c r="F225" s="323">
        <v>0.61747700000000005</v>
      </c>
      <c r="G225" s="323">
        <v>0.56727899999999998</v>
      </c>
      <c r="H225" s="323">
        <v>0.83608899999999997</v>
      </c>
      <c r="I225" s="323">
        <v>1.10564</v>
      </c>
      <c r="J225" s="323">
        <v>1.1330100000000001</v>
      </c>
      <c r="K225" s="323">
        <v>1.1934499999999999</v>
      </c>
      <c r="L225" s="323">
        <v>1.18927</v>
      </c>
      <c r="M225" s="323">
        <v>1.13727</v>
      </c>
      <c r="N225" s="3"/>
      <c r="O225"/>
      <c r="P225"/>
      <c r="Q225"/>
      <c r="R225"/>
      <c r="S225"/>
      <c r="T225"/>
      <c r="U225"/>
      <c r="V225"/>
      <c r="W225"/>
      <c r="X225"/>
      <c r="Y225"/>
    </row>
    <row r="226" spans="1:25" s="6" customFormat="1" x14ac:dyDescent="0.2">
      <c r="A226" s="3"/>
      <c r="B226"/>
      <c r="C226" s="326" t="s">
        <v>2</v>
      </c>
      <c r="D226" s="323">
        <v>0.52736899999999998</v>
      </c>
      <c r="E226" s="323">
        <v>0.47162599999999999</v>
      </c>
      <c r="F226" s="323">
        <v>0.50163400000000002</v>
      </c>
      <c r="G226" s="323">
        <v>0.49986199999999997</v>
      </c>
      <c r="H226" s="323">
        <v>0.70945599999999998</v>
      </c>
      <c r="I226" s="323">
        <v>0.714391</v>
      </c>
      <c r="J226" s="323">
        <v>0.69177599999999995</v>
      </c>
      <c r="K226" s="323">
        <v>0.90911399999999998</v>
      </c>
      <c r="L226" s="323">
        <v>0.79294799999999999</v>
      </c>
      <c r="M226" s="323">
        <v>0.78360399999999997</v>
      </c>
      <c r="N226" s="3"/>
      <c r="O226"/>
      <c r="P226"/>
      <c r="Q226"/>
      <c r="R226"/>
      <c r="S226"/>
      <c r="T226"/>
      <c r="U226"/>
      <c r="V226"/>
      <c r="W226"/>
      <c r="X226"/>
      <c r="Y226"/>
    </row>
    <row r="227" spans="1:25" s="6" customFormat="1" x14ac:dyDescent="0.2">
      <c r="A227"/>
      <c r="B227"/>
      <c r="C227" s="326" t="s">
        <v>10</v>
      </c>
      <c r="D227" s="323">
        <v>0.48343799999999998</v>
      </c>
      <c r="E227" s="323">
        <v>0.48374600000000001</v>
      </c>
      <c r="F227" s="323">
        <v>0.55045999999999995</v>
      </c>
      <c r="G227" s="323">
        <v>0.68922600000000001</v>
      </c>
      <c r="H227" s="323">
        <v>0.756803</v>
      </c>
      <c r="I227" s="323">
        <v>0.93876800000000005</v>
      </c>
      <c r="J227" s="323">
        <v>1.02576</v>
      </c>
      <c r="K227" s="323">
        <v>1.0426500000000001</v>
      </c>
      <c r="L227" s="323">
        <v>0.94770100000000002</v>
      </c>
      <c r="M227" s="323">
        <v>1.06498</v>
      </c>
      <c r="N227"/>
      <c r="O227"/>
      <c r="P227"/>
      <c r="Q227"/>
      <c r="R227"/>
      <c r="S227"/>
      <c r="T227"/>
      <c r="U227"/>
      <c r="V227"/>
      <c r="W227"/>
      <c r="X227"/>
      <c r="Y227"/>
    </row>
    <row r="228" spans="1:25" s="6" customFormat="1" x14ac:dyDescent="0.2">
      <c r="A228"/>
      <c r="B228"/>
      <c r="C228" s="326" t="s">
        <v>1</v>
      </c>
      <c r="D228" s="323">
        <v>0.81345400000000001</v>
      </c>
      <c r="E228" s="323">
        <v>0.83737099999999998</v>
      </c>
      <c r="F228" s="323">
        <v>0.99534800000000001</v>
      </c>
      <c r="G228" s="323">
        <v>1.0875699999999999</v>
      </c>
      <c r="H228" s="323">
        <v>1.16598</v>
      </c>
      <c r="I228" s="323">
        <v>1.5915299999999999</v>
      </c>
      <c r="J228" s="323">
        <v>1.56789</v>
      </c>
      <c r="K228" s="323">
        <v>1.8173299999999999</v>
      </c>
      <c r="L228" s="323">
        <v>1.7114400000000001</v>
      </c>
      <c r="M228" s="323">
        <v>1.6150599999999999</v>
      </c>
      <c r="N228"/>
      <c r="O228"/>
      <c r="P228"/>
      <c r="Q228"/>
      <c r="R228"/>
      <c r="S228"/>
      <c r="T228"/>
      <c r="U228"/>
      <c r="V228"/>
      <c r="W228"/>
      <c r="X228"/>
      <c r="Y228"/>
    </row>
    <row r="229" spans="1:25" s="6" customFormat="1" x14ac:dyDescent="0.2">
      <c r="A229" s="2"/>
      <c r="B229"/>
      <c r="C229" s="326" t="s">
        <v>4</v>
      </c>
      <c r="D229" s="323">
        <v>0.356489</v>
      </c>
      <c r="E229" s="323">
        <v>0.378085</v>
      </c>
      <c r="F229" s="323">
        <v>0.467949</v>
      </c>
      <c r="G229" s="323">
        <v>0.61912800000000001</v>
      </c>
      <c r="H229" s="323">
        <v>0.71546699999999996</v>
      </c>
      <c r="I229" s="323">
        <v>0.76730399999999999</v>
      </c>
      <c r="J229" s="323">
        <v>0.88236999999999999</v>
      </c>
      <c r="K229" s="323">
        <v>0.95033000000000001</v>
      </c>
      <c r="L229" s="323">
        <v>0.810948</v>
      </c>
      <c r="M229" s="323">
        <v>0.85177400000000003</v>
      </c>
      <c r="N229"/>
      <c r="O229"/>
      <c r="P229"/>
      <c r="Q229"/>
      <c r="R229"/>
      <c r="S229"/>
      <c r="T229"/>
      <c r="U229"/>
      <c r="V229"/>
      <c r="W229"/>
      <c r="X229"/>
      <c r="Y229"/>
    </row>
    <row r="230" spans="1:25" s="6" customFormat="1" x14ac:dyDescent="0.2">
      <c r="A230" s="3"/>
      <c r="B230"/>
      <c r="C230" s="326" t="s">
        <v>5</v>
      </c>
      <c r="D230" s="323">
        <v>0.28976200000000002</v>
      </c>
      <c r="E230" s="323">
        <v>0.34306999999999999</v>
      </c>
      <c r="F230" s="323">
        <v>0.51729899999999995</v>
      </c>
      <c r="G230" s="323">
        <v>0.60970000000000002</v>
      </c>
      <c r="H230" s="323">
        <v>0.65985400000000005</v>
      </c>
      <c r="I230" s="323">
        <v>0.693137</v>
      </c>
      <c r="J230" s="323">
        <v>0.74623499999999998</v>
      </c>
      <c r="K230" s="323">
        <v>0.75918300000000005</v>
      </c>
      <c r="L230" s="323">
        <v>0.74033199999999999</v>
      </c>
      <c r="M230" s="323">
        <v>0.67015499999999995</v>
      </c>
      <c r="N230" s="3"/>
      <c r="O230"/>
      <c r="P230"/>
      <c r="Q230"/>
      <c r="R230"/>
      <c r="S230"/>
      <c r="T230"/>
      <c r="U230"/>
      <c r="V230"/>
      <c r="W230"/>
      <c r="X230"/>
      <c r="Y230"/>
    </row>
    <row r="231" spans="1:25" s="6" customFormat="1" x14ac:dyDescent="0.2">
      <c r="A231" s="57"/>
      <c r="B231"/>
      <c r="C231" s="324" t="s">
        <v>6</v>
      </c>
      <c r="D231" s="323">
        <v>0.345163</v>
      </c>
      <c r="E231" s="323">
        <v>0.31904700000000003</v>
      </c>
      <c r="F231" s="323">
        <v>0.52724199999999999</v>
      </c>
      <c r="G231" s="323">
        <v>0.56538299999999997</v>
      </c>
      <c r="H231" s="323">
        <v>0.62813699999999995</v>
      </c>
      <c r="I231" s="323">
        <v>0.64310299999999998</v>
      </c>
      <c r="J231" s="323">
        <v>0.73602100000000004</v>
      </c>
      <c r="K231" s="323">
        <v>0.70338599999999996</v>
      </c>
      <c r="L231" s="323">
        <v>0.66409499999999999</v>
      </c>
      <c r="M231" s="323">
        <v>0.73367599999999999</v>
      </c>
      <c r="N231" s="3"/>
      <c r="O231"/>
      <c r="P231"/>
      <c r="Q231"/>
      <c r="R231"/>
      <c r="S231"/>
      <c r="T231"/>
      <c r="U231"/>
      <c r="V231"/>
      <c r="W231"/>
      <c r="X231"/>
      <c r="Y231"/>
    </row>
    <row r="232" spans="1:25" s="6" customFormat="1" ht="15" x14ac:dyDescent="0.25">
      <c r="A232" s="3"/>
      <c r="B232"/>
      <c r="C232" s="327" t="s">
        <v>8</v>
      </c>
      <c r="D232" s="323">
        <v>0.419599</v>
      </c>
      <c r="E232" s="323">
        <v>0.43723699999999999</v>
      </c>
      <c r="F232" s="323">
        <v>0.61966399999999999</v>
      </c>
      <c r="G232" s="323">
        <v>0.66844599999999998</v>
      </c>
      <c r="H232" s="323">
        <v>0.70606800000000003</v>
      </c>
      <c r="I232" s="323">
        <v>0.81970200000000004</v>
      </c>
      <c r="J232" s="323">
        <v>0.78591999999999995</v>
      </c>
      <c r="K232" s="323">
        <v>0.78196100000000002</v>
      </c>
      <c r="L232" s="323">
        <v>0.70101500000000005</v>
      </c>
      <c r="M232" s="323">
        <v>0.68251300000000004</v>
      </c>
      <c r="N232"/>
      <c r="O232"/>
      <c r="P232"/>
      <c r="Q232"/>
      <c r="R232"/>
      <c r="S232"/>
      <c r="T232"/>
      <c r="U232"/>
      <c r="V232"/>
      <c r="W232"/>
      <c r="X232"/>
      <c r="Y232"/>
    </row>
    <row r="233" spans="1:25" s="6" customFormat="1" ht="15" x14ac:dyDescent="0.25">
      <c r="A233" s="3"/>
      <c r="B233"/>
      <c r="C233" s="327"/>
      <c r="D233" s="325"/>
      <c r="E233" s="325"/>
      <c r="F233" s="325"/>
      <c r="G233" s="325"/>
      <c r="H233" s="325"/>
      <c r="I233" s="325"/>
      <c r="J233" s="325"/>
      <c r="K233" s="325"/>
      <c r="L233" s="325"/>
      <c r="M233" s="325"/>
      <c r="N233"/>
      <c r="O233"/>
      <c r="P233"/>
      <c r="Q233"/>
      <c r="R233"/>
      <c r="S233"/>
      <c r="T233"/>
      <c r="U233"/>
      <c r="V233"/>
      <c r="W233"/>
      <c r="X233"/>
      <c r="Y233"/>
    </row>
    <row r="234" spans="1:25" s="6" customFormat="1" ht="15" x14ac:dyDescent="0.25">
      <c r="A234" s="3"/>
      <c r="B234"/>
      <c r="C234" s="327"/>
      <c r="D234" s="325"/>
      <c r="E234" s="325"/>
      <c r="F234" s="325"/>
      <c r="G234" s="325"/>
      <c r="H234" s="325"/>
      <c r="I234" s="325"/>
      <c r="J234" s="325"/>
      <c r="K234" s="325"/>
      <c r="L234" s="325"/>
      <c r="M234" s="325"/>
      <c r="N234"/>
      <c r="O234"/>
      <c r="P234"/>
      <c r="Q234"/>
      <c r="R234"/>
      <c r="S234"/>
      <c r="T234"/>
      <c r="U234"/>
      <c r="V234"/>
      <c r="W234"/>
      <c r="X234"/>
      <c r="Y234"/>
    </row>
    <row r="235" spans="1:25" s="6" customFormat="1" ht="15" x14ac:dyDescent="0.25">
      <c r="A235" s="3"/>
      <c r="B235" s="1"/>
      <c r="C235" s="324" t="s">
        <v>1087</v>
      </c>
      <c r="D235" s="325">
        <v>2020</v>
      </c>
      <c r="E235" s="325">
        <v>2025</v>
      </c>
      <c r="F235" s="325">
        <v>2030</v>
      </c>
      <c r="G235" s="325">
        <v>2040</v>
      </c>
      <c r="H235" s="325">
        <v>2050</v>
      </c>
      <c r="I235" s="325">
        <v>2060</v>
      </c>
      <c r="J235" s="325">
        <v>2070</v>
      </c>
      <c r="K235" s="325">
        <v>2080</v>
      </c>
      <c r="L235" s="325">
        <v>2090</v>
      </c>
      <c r="M235" s="325">
        <v>2100</v>
      </c>
      <c r="N235"/>
      <c r="O235"/>
      <c r="P235"/>
      <c r="Q235"/>
      <c r="R235"/>
      <c r="S235"/>
      <c r="T235"/>
      <c r="U235"/>
      <c r="V235"/>
      <c r="W235"/>
      <c r="X235"/>
      <c r="Y235"/>
    </row>
    <row r="236" spans="1:25" s="6" customFormat="1" x14ac:dyDescent="0.2">
      <c r="A236" s="3"/>
      <c r="B236" s="1"/>
      <c r="C236" s="324" t="s">
        <v>0</v>
      </c>
      <c r="D236" s="323">
        <v>2.0173709999999998</v>
      </c>
      <c r="E236" s="323">
        <v>2.236936</v>
      </c>
      <c r="F236" s="323">
        <v>2.4411899999999997</v>
      </c>
      <c r="G236" s="323">
        <v>3.0432100000000002</v>
      </c>
      <c r="H236" s="323">
        <v>3.49973</v>
      </c>
      <c r="I236" s="323">
        <v>3.50922</v>
      </c>
      <c r="J236" s="323">
        <v>3.5159500000000001</v>
      </c>
      <c r="K236" s="323">
        <v>3.40002</v>
      </c>
      <c r="L236" s="323">
        <v>3.2790299999999997</v>
      </c>
      <c r="M236" s="323">
        <v>3.0785799999999997</v>
      </c>
      <c r="N236"/>
      <c r="O236"/>
      <c r="P236"/>
      <c r="Q236"/>
      <c r="R236"/>
      <c r="S236"/>
      <c r="T236"/>
      <c r="U236"/>
      <c r="V236"/>
      <c r="W236"/>
      <c r="X236"/>
      <c r="Y236"/>
    </row>
    <row r="237" spans="1:25" s="6" customFormat="1" x14ac:dyDescent="0.2">
      <c r="A237" s="3"/>
      <c r="B237" s="1"/>
      <c r="C237" s="326" t="s">
        <v>2</v>
      </c>
      <c r="D237" s="323">
        <v>1.8687830000000001</v>
      </c>
      <c r="E237" s="323">
        <v>2.1298629999999998</v>
      </c>
      <c r="F237" s="323">
        <v>2.3494869999999999</v>
      </c>
      <c r="G237" s="323">
        <v>2.99065</v>
      </c>
      <c r="H237" s="323">
        <v>3.7273499999999999</v>
      </c>
      <c r="I237" s="323">
        <v>3.9615200000000002</v>
      </c>
      <c r="J237" s="323">
        <v>4.0088200000000001</v>
      </c>
      <c r="K237" s="323">
        <v>3.78728</v>
      </c>
      <c r="L237" s="323">
        <v>3.56643</v>
      </c>
      <c r="M237" s="323">
        <v>3.47356</v>
      </c>
      <c r="N237"/>
      <c r="O237"/>
      <c r="P237"/>
      <c r="Q237"/>
      <c r="R237"/>
      <c r="S237"/>
      <c r="T237"/>
      <c r="U237"/>
      <c r="V237"/>
      <c r="W237"/>
      <c r="X237"/>
      <c r="Y237"/>
    </row>
    <row r="238" spans="1:25" x14ac:dyDescent="0.2">
      <c r="B238" s="1"/>
      <c r="C238" s="326" t="s">
        <v>10</v>
      </c>
      <c r="D238" s="323">
        <v>2.0728520000000001</v>
      </c>
      <c r="E238" s="323">
        <v>2.2715480000000001</v>
      </c>
      <c r="F238" s="323">
        <v>2.5649899999999999</v>
      </c>
      <c r="G238" s="323">
        <v>3.1755800000000001</v>
      </c>
      <c r="H238" s="323">
        <v>3.8691399999999998</v>
      </c>
      <c r="I238" s="323">
        <v>3.9585900000000001</v>
      </c>
      <c r="J238" s="323">
        <v>4.2809800000000005</v>
      </c>
      <c r="K238" s="323">
        <v>3.9209500000000004</v>
      </c>
      <c r="L238" s="323">
        <v>3.7296500000000004</v>
      </c>
      <c r="M238" s="323">
        <v>3.6053500000000001</v>
      </c>
    </row>
    <row r="239" spans="1:25" x14ac:dyDescent="0.2">
      <c r="A239" s="3"/>
      <c r="B239" s="1"/>
      <c r="C239" s="326" t="s">
        <v>1</v>
      </c>
      <c r="D239" s="323">
        <v>2.5532890000000004</v>
      </c>
      <c r="E239" s="323">
        <v>2.948798</v>
      </c>
      <c r="F239" s="323">
        <v>3.0859930000000002</v>
      </c>
      <c r="G239" s="323">
        <v>3.9456899999999999</v>
      </c>
      <c r="H239" s="323">
        <v>4.6691199999999995</v>
      </c>
      <c r="I239" s="323">
        <v>4.7918099999999999</v>
      </c>
      <c r="J239" s="323">
        <v>4.7437400000000007</v>
      </c>
      <c r="K239" s="323">
        <v>4.6376799999999996</v>
      </c>
      <c r="L239" s="323">
        <v>4.4106300000000003</v>
      </c>
      <c r="M239" s="323">
        <v>4.0414700000000003</v>
      </c>
    </row>
    <row r="240" spans="1:25" x14ac:dyDescent="0.2">
      <c r="A240" s="3"/>
      <c r="B240" s="1"/>
      <c r="C240" s="324" t="s">
        <v>4</v>
      </c>
      <c r="D240" s="323">
        <v>1.9103969999999999</v>
      </c>
      <c r="E240" s="323">
        <v>2.1979609999999998</v>
      </c>
      <c r="F240" s="323">
        <v>2.4157419999999998</v>
      </c>
      <c r="G240" s="323">
        <v>2.9607700000000001</v>
      </c>
      <c r="H240" s="323">
        <v>3.7519</v>
      </c>
      <c r="I240" s="323">
        <v>3.7524000000000002</v>
      </c>
      <c r="J240" s="323">
        <v>3.6829900000000002</v>
      </c>
      <c r="K240" s="323">
        <v>3.6166999999999998</v>
      </c>
      <c r="L240" s="323">
        <v>3.4806600000000003</v>
      </c>
      <c r="M240" s="323">
        <v>3.26979</v>
      </c>
    </row>
    <row r="241" spans="1:13" x14ac:dyDescent="0.2">
      <c r="A241" s="3"/>
      <c r="B241" s="1"/>
      <c r="C241" s="326" t="s">
        <v>5</v>
      </c>
      <c r="D241" s="323">
        <v>1.385302</v>
      </c>
      <c r="E241" s="323">
        <v>1.585728</v>
      </c>
      <c r="F241" s="323">
        <v>1.7606919999999999</v>
      </c>
      <c r="G241" s="323">
        <v>2.22262</v>
      </c>
      <c r="H241" s="323">
        <v>2.8923899999999998</v>
      </c>
      <c r="I241" s="323">
        <v>2.9363200000000003</v>
      </c>
      <c r="J241" s="323">
        <v>3.00149</v>
      </c>
      <c r="K241" s="323">
        <v>2.85039</v>
      </c>
      <c r="L241" s="323">
        <v>2.78382</v>
      </c>
      <c r="M241" s="323">
        <v>2.6271100000000001</v>
      </c>
    </row>
    <row r="242" spans="1:13" x14ac:dyDescent="0.2">
      <c r="B242" s="1"/>
      <c r="C242" s="326" t="s">
        <v>6</v>
      </c>
      <c r="D242" s="323">
        <v>1.476777</v>
      </c>
      <c r="E242" s="323">
        <v>1.707274</v>
      </c>
      <c r="F242" s="323">
        <v>1.9365999999999999</v>
      </c>
      <c r="G242" s="323">
        <v>2.40124</v>
      </c>
      <c r="H242" s="323">
        <v>3.0850299999999997</v>
      </c>
      <c r="I242" s="323">
        <v>3.24214</v>
      </c>
      <c r="J242" s="323">
        <v>3.2374200000000002</v>
      </c>
      <c r="K242" s="323">
        <v>3.0406399999999998</v>
      </c>
      <c r="L242" s="323">
        <v>2.9504200000000003</v>
      </c>
      <c r="M242" s="323">
        <v>2.77955</v>
      </c>
    </row>
    <row r="243" spans="1:13" x14ac:dyDescent="0.2">
      <c r="A243" s="3"/>
      <c r="B243" s="1"/>
      <c r="C243" s="326" t="s">
        <v>8</v>
      </c>
      <c r="D243" s="323">
        <v>1.4654449999999999</v>
      </c>
      <c r="E243" s="323">
        <v>1.6746270000000001</v>
      </c>
      <c r="F243" s="323">
        <v>1.9201579999999998</v>
      </c>
      <c r="G243" s="323">
        <v>2.3871899999999999</v>
      </c>
      <c r="H243" s="323">
        <v>2.9871999999999996</v>
      </c>
      <c r="I243" s="323">
        <v>3.09422</v>
      </c>
      <c r="J243" s="323">
        <v>3.1940900000000001</v>
      </c>
      <c r="K243" s="323">
        <v>2.9457599999999999</v>
      </c>
      <c r="L243" s="323">
        <v>2.8605999999999998</v>
      </c>
      <c r="M243" s="323">
        <v>2.7346599999999999</v>
      </c>
    </row>
    <row r="244" spans="1:13" ht="15" x14ac:dyDescent="0.25">
      <c r="A244" s="3"/>
      <c r="C244" s="327"/>
      <c r="D244" s="325"/>
      <c r="E244" s="325"/>
      <c r="F244" s="325"/>
      <c r="G244" s="325"/>
      <c r="H244" s="325"/>
      <c r="I244" s="325"/>
      <c r="J244" s="325"/>
      <c r="K244" s="325"/>
      <c r="L244" s="325"/>
      <c r="M244" s="325"/>
    </row>
    <row r="245" spans="1:13" ht="15" x14ac:dyDescent="0.25">
      <c r="A245" s="3"/>
      <c r="C245" s="327"/>
      <c r="D245" s="325"/>
      <c r="E245" s="325"/>
      <c r="F245" s="325"/>
      <c r="G245" s="325"/>
      <c r="H245" s="325"/>
      <c r="I245" s="325"/>
      <c r="J245" s="325"/>
      <c r="K245" s="325"/>
      <c r="L245" s="325"/>
      <c r="M245" s="325"/>
    </row>
    <row r="246" spans="1:13" ht="15" x14ac:dyDescent="0.25">
      <c r="C246" s="324"/>
      <c r="D246" s="325"/>
      <c r="E246" s="325"/>
      <c r="F246" s="325"/>
      <c r="G246" s="325"/>
      <c r="H246" s="325"/>
      <c r="I246" s="325"/>
      <c r="J246" s="325"/>
      <c r="K246" s="325"/>
      <c r="L246" s="325"/>
      <c r="M246" s="325"/>
    </row>
    <row r="247" spans="1:13" x14ac:dyDescent="0.2">
      <c r="C247" s="326"/>
      <c r="D247" s="323"/>
      <c r="E247" s="323"/>
      <c r="F247" s="323"/>
      <c r="G247" s="323"/>
      <c r="H247" s="323"/>
      <c r="I247" s="323"/>
      <c r="J247" s="323"/>
      <c r="K247" s="323"/>
      <c r="L247" s="323"/>
      <c r="M247" s="323"/>
    </row>
    <row r="248" spans="1:13" x14ac:dyDescent="0.2">
      <c r="C248" s="326"/>
      <c r="D248" s="323"/>
      <c r="E248" s="323"/>
      <c r="F248" s="323"/>
      <c r="G248" s="323"/>
      <c r="H248" s="323"/>
      <c r="I248" s="323"/>
      <c r="J248" s="323"/>
      <c r="K248" s="323"/>
      <c r="L248" s="323"/>
      <c r="M248" s="323"/>
    </row>
    <row r="249" spans="1:13" x14ac:dyDescent="0.2">
      <c r="C249" s="326"/>
      <c r="D249" s="323"/>
      <c r="E249" s="323"/>
      <c r="F249" s="323"/>
      <c r="G249" s="323"/>
      <c r="H249" s="323"/>
      <c r="I249" s="323"/>
      <c r="J249" s="323"/>
      <c r="K249" s="323"/>
      <c r="L249" s="323"/>
      <c r="M249" s="323"/>
    </row>
    <row r="250" spans="1:13" x14ac:dyDescent="0.2">
      <c r="C250" s="326"/>
      <c r="D250" s="323"/>
      <c r="E250" s="323"/>
      <c r="F250" s="323"/>
      <c r="G250" s="323"/>
      <c r="H250" s="323"/>
      <c r="I250" s="323"/>
      <c r="J250" s="323"/>
      <c r="K250" s="323"/>
      <c r="L250" s="323"/>
      <c r="M250" s="323"/>
    </row>
    <row r="251" spans="1:13" x14ac:dyDescent="0.2">
      <c r="C251" s="326"/>
      <c r="D251" s="323"/>
      <c r="E251" s="323"/>
      <c r="F251" s="323"/>
      <c r="G251" s="323"/>
      <c r="H251" s="323"/>
      <c r="I251" s="323"/>
      <c r="J251" s="323"/>
      <c r="K251" s="323"/>
      <c r="L251" s="323"/>
      <c r="M251" s="323"/>
    </row>
    <row r="252" spans="1:13" x14ac:dyDescent="0.2">
      <c r="C252" s="326"/>
      <c r="D252" s="323"/>
      <c r="E252" s="323"/>
      <c r="F252" s="323"/>
      <c r="G252" s="323"/>
      <c r="H252" s="323"/>
      <c r="I252" s="323"/>
      <c r="J252" s="323"/>
      <c r="K252" s="323"/>
      <c r="L252" s="323"/>
      <c r="M252" s="323"/>
    </row>
    <row r="253" spans="1:13" x14ac:dyDescent="0.2">
      <c r="C253" s="326"/>
      <c r="D253" s="323"/>
      <c r="E253" s="323"/>
      <c r="F253" s="323"/>
      <c r="G253" s="323"/>
      <c r="H253" s="323"/>
      <c r="I253" s="323"/>
      <c r="J253" s="323"/>
      <c r="K253" s="323"/>
      <c r="L253" s="323"/>
      <c r="M253" s="323"/>
    </row>
    <row r="254" spans="1:13" x14ac:dyDescent="0.2">
      <c r="C254" s="326"/>
      <c r="D254" s="323"/>
      <c r="E254" s="323"/>
      <c r="F254" s="323"/>
      <c r="G254" s="323"/>
      <c r="H254" s="323"/>
      <c r="I254" s="323"/>
      <c r="J254" s="323"/>
      <c r="K254" s="323"/>
      <c r="L254" s="323"/>
      <c r="M254" s="323"/>
    </row>
  </sheetData>
  <phoneticPr fontId="0" type="noConversion"/>
  <conditionalFormatting sqref="D12 O172:X172 O191:X191">
    <cfRule type="expression" dxfId="9" priority="1" stopIfTrue="1">
      <formula>RiskIsOutput</formula>
    </cfRule>
  </conditionalFormatting>
  <pageMargins left="0.75" right="0.75" top="1" bottom="1" header="0.5" footer="0.5"/>
  <pageSetup paperSize="9" orientation="portrait" horizontalDpi="4294967293" verticalDpi="4294967293"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AM254"/>
  <sheetViews>
    <sheetView topLeftCell="A187" zoomScaleNormal="100" workbookViewId="0">
      <selection activeCell="J230" sqref="J230"/>
    </sheetView>
  </sheetViews>
  <sheetFormatPr defaultRowHeight="12.75" x14ac:dyDescent="0.2"/>
  <cols>
    <col min="1" max="1" width="33.42578125" customWidth="1"/>
    <col min="2" max="2" width="8.5703125" bestFit="1" customWidth="1"/>
    <col min="3" max="3" width="9.42578125" bestFit="1" customWidth="1"/>
    <col min="4" max="4" width="9.85546875" bestFit="1" customWidth="1"/>
    <col min="5" max="5" width="10.140625" bestFit="1" customWidth="1"/>
    <col min="6" max="6" width="9.85546875" bestFit="1" customWidth="1"/>
    <col min="7" max="13" width="10.5703125" bestFit="1" customWidth="1"/>
    <col min="14" max="14" width="11.5703125" bestFit="1" customWidth="1"/>
    <col min="15" max="24" width="2.140625" customWidth="1"/>
  </cols>
  <sheetData>
    <row r="1" spans="1:10" x14ac:dyDescent="0.2">
      <c r="A1" s="2" t="str">
        <f>MODEL_NAME</f>
        <v>PAGE-ICE Nonlinear Arctic Feedbacks</v>
      </c>
      <c r="B1" t="s">
        <v>37</v>
      </c>
      <c r="C1" s="51" t="str">
        <f>VERSION</f>
        <v>6.22</v>
      </c>
    </row>
    <row r="2" spans="1:10" x14ac:dyDescent="0.2">
      <c r="A2" s="2"/>
      <c r="C2" s="51"/>
    </row>
    <row r="3" spans="1:10" x14ac:dyDescent="0.2">
      <c r="A3" s="4" t="s">
        <v>549</v>
      </c>
      <c r="B3" s="14">
        <f xml:space="preserve"> IF(EXPERIMENT = EXPERIMENT_SCC_LANDPERM, 1, 0) + IF(EXPERIMENT = EXPERIMENT_SCC_BOTHFEED, 1, 0) + IF(EXPERIMENT = EXPERIMENT_TWOSCEN_BOTHFEED, 1, 0)</f>
        <v>1</v>
      </c>
      <c r="E3" s="3"/>
    </row>
    <row r="4" spans="1:10" x14ac:dyDescent="0.2">
      <c r="A4" s="58" t="s">
        <v>548</v>
      </c>
      <c r="B4" s="14">
        <f xml:space="preserve"> IF(EXPERIMENT = EXPERIMENT_SCC_SAF, 1, 0) + IF(EXPERIMENT = EXPERIMENT_SCC_BOTHFEED, 1, 0) + IF(EXPERIMENT = EXPERIMENT_TWOSCEN_BOTHFEED, 1, 0)</f>
        <v>1</v>
      </c>
      <c r="E4" s="3"/>
    </row>
    <row r="5" spans="1:10" x14ac:dyDescent="0.2">
      <c r="A5" s="3"/>
      <c r="B5" s="3"/>
      <c r="C5" s="3"/>
      <c r="D5" s="59"/>
      <c r="E5" s="3"/>
    </row>
    <row r="6" spans="1:10" x14ac:dyDescent="0.2">
      <c r="A6" s="2"/>
      <c r="D6" s="3"/>
      <c r="E6" s="3"/>
      <c r="F6" s="3"/>
      <c r="G6" s="3"/>
      <c r="H6" s="3"/>
    </row>
    <row r="7" spans="1:10" x14ac:dyDescent="0.2">
      <c r="A7" t="s">
        <v>59</v>
      </c>
      <c r="B7" s="3">
        <f>Y_0</f>
        <v>2015</v>
      </c>
      <c r="C7" t="s">
        <v>54</v>
      </c>
      <c r="D7" s="124" t="s">
        <v>539</v>
      </c>
      <c r="E7" s="3"/>
      <c r="F7" s="3"/>
      <c r="G7" s="3"/>
      <c r="H7" s="3"/>
    </row>
    <row r="8" spans="1:10" x14ac:dyDescent="0.2">
      <c r="A8" t="s">
        <v>60</v>
      </c>
      <c r="B8" s="3">
        <f>Y_0</f>
        <v>2015</v>
      </c>
      <c r="C8" t="s">
        <v>55</v>
      </c>
      <c r="D8" s="124" t="s">
        <v>539</v>
      </c>
      <c r="E8" s="3"/>
      <c r="F8" s="3"/>
      <c r="G8" s="3"/>
      <c r="H8" s="3"/>
    </row>
    <row r="9" spans="1:10" x14ac:dyDescent="0.2">
      <c r="A9" s="3" t="s">
        <v>623</v>
      </c>
      <c r="B9" s="3"/>
      <c r="C9" s="3"/>
      <c r="D9" s="124" t="s">
        <v>539</v>
      </c>
      <c r="E9" s="3"/>
      <c r="F9" s="3"/>
      <c r="G9" s="3"/>
      <c r="H9" s="3"/>
    </row>
    <row r="10" spans="1:10" x14ac:dyDescent="0.2">
      <c r="A10" s="3"/>
      <c r="B10" s="3"/>
      <c r="C10" s="3"/>
      <c r="D10" s="3"/>
      <c r="E10" s="3"/>
      <c r="F10" s="3"/>
      <c r="G10" s="3"/>
      <c r="H10" s="3"/>
    </row>
    <row r="11" spans="1:10" x14ac:dyDescent="0.2">
      <c r="A11" s="3" t="s">
        <v>754</v>
      </c>
      <c r="B11" s="3"/>
      <c r="C11" s="3"/>
      <c r="E11" s="3"/>
    </row>
    <row r="12" spans="1:10" x14ac:dyDescent="0.2">
      <c r="A12" s="3" t="s">
        <v>600</v>
      </c>
      <c r="B12" s="137"/>
      <c r="C12" s="3"/>
      <c r="D12" s="124" t="s">
        <v>539</v>
      </c>
      <c r="E12" s="3"/>
    </row>
    <row r="13" spans="1:10" x14ac:dyDescent="0.2">
      <c r="A13" s="103" t="s">
        <v>624</v>
      </c>
      <c r="B13" s="103">
        <f ca="1" xml:space="preserve"> TOTAL_CE_CO2_0_b / TOTAL_E_CO2_0_b</f>
        <v>51.973066672631845</v>
      </c>
      <c r="C13" s="3" t="s">
        <v>457</v>
      </c>
      <c r="D13" s="3" t="s">
        <v>842</v>
      </c>
      <c r="E13" s="3"/>
      <c r="J13" s="171" t="s">
        <v>626</v>
      </c>
    </row>
    <row r="14" spans="1:10" x14ac:dyDescent="0.2">
      <c r="A14" s="103" t="s">
        <v>625</v>
      </c>
      <c r="B14" s="103">
        <f ca="1" xml:space="preserve"> RE_CO2_NO_CCF_0 / (TOTAL_E_CO2_0_b * TIME_CO2_HIST_b * ( (PERCENT_CO2_STAY/100) + (PERCENT_CO2_OCEAN_LONG/100) / (1 + TIME_CO2_HIST_b/TIME_CO2_OCEAN_LONG) + (PERCENT_CO2_OCEAN_SHORT/100) / (1 + TIME_CO2_HIST_b/TIME_CO2_OCEAN_SHORT) + (PERCENT_CO2_LAND/100) / (1 + TIME_CO2_HIST_b/TIME_CO2_LAND) ) )</f>
        <v>0.82536875005357979</v>
      </c>
      <c r="C14" s="3"/>
      <c r="D14" s="3" t="s">
        <v>842</v>
      </c>
      <c r="E14" s="3"/>
      <c r="J14" s="171" t="s">
        <v>626</v>
      </c>
    </row>
    <row r="15" spans="1:10" x14ac:dyDescent="0.2">
      <c r="A15" s="3"/>
      <c r="E15" s="3"/>
    </row>
    <row r="16" spans="1:10" x14ac:dyDescent="0.2">
      <c r="A16" s="3" t="s">
        <v>820</v>
      </c>
      <c r="B16" s="3"/>
      <c r="C16" s="3"/>
      <c r="E16" s="3"/>
    </row>
    <row r="17" spans="1:4" x14ac:dyDescent="0.2">
      <c r="A17" s="3" t="s">
        <v>620</v>
      </c>
      <c r="B17" s="59"/>
      <c r="C17" s="3"/>
      <c r="D17" s="124" t="s">
        <v>539</v>
      </c>
    </row>
    <row r="18" spans="1:4" x14ac:dyDescent="0.2">
      <c r="A18" s="3" t="s">
        <v>621</v>
      </c>
      <c r="B18" s="59"/>
      <c r="C18" s="3"/>
      <c r="D18" s="124" t="s">
        <v>539</v>
      </c>
    </row>
    <row r="19" spans="1:4" x14ac:dyDescent="0.2">
      <c r="A19" s="3" t="s">
        <v>622</v>
      </c>
      <c r="B19" s="59"/>
      <c r="C19" s="3"/>
      <c r="D19" s="124" t="s">
        <v>539</v>
      </c>
    </row>
    <row r="20" spans="1:4" x14ac:dyDescent="0.2">
      <c r="A20" s="3"/>
      <c r="B20" s="59"/>
      <c r="C20" s="3"/>
      <c r="D20" s="124"/>
    </row>
    <row r="21" spans="1:4" x14ac:dyDescent="0.2">
      <c r="A21" s="3" t="s">
        <v>821</v>
      </c>
      <c r="B21" s="59"/>
      <c r="C21" s="3"/>
      <c r="D21" s="124"/>
    </row>
    <row r="22" spans="1:4" x14ac:dyDescent="0.2">
      <c r="A22" s="3" t="s">
        <v>620</v>
      </c>
      <c r="B22" s="59"/>
      <c r="C22" s="3"/>
      <c r="D22" s="124" t="s">
        <v>539</v>
      </c>
    </row>
    <row r="23" spans="1:4" x14ac:dyDescent="0.2">
      <c r="A23" s="3" t="s">
        <v>621</v>
      </c>
      <c r="B23" s="59"/>
      <c r="C23" s="3"/>
      <c r="D23" s="124" t="s">
        <v>539</v>
      </c>
    </row>
    <row r="24" spans="1:4" x14ac:dyDescent="0.2">
      <c r="A24" s="3" t="s">
        <v>622</v>
      </c>
      <c r="B24" s="59"/>
      <c r="C24" s="3"/>
      <c r="D24" s="124" t="s">
        <v>539</v>
      </c>
    </row>
    <row r="26" spans="1:4" x14ac:dyDescent="0.2">
      <c r="A26" t="s">
        <v>822</v>
      </c>
      <c r="B26" s="3"/>
    </row>
    <row r="27" spans="1:4" x14ac:dyDescent="0.2">
      <c r="A27" s="3" t="s">
        <v>927</v>
      </c>
      <c r="B27" s="3"/>
      <c r="D27" s="124" t="s">
        <v>539</v>
      </c>
    </row>
    <row r="28" spans="1:4" x14ac:dyDescent="0.2">
      <c r="A28" s="3" t="s">
        <v>905</v>
      </c>
      <c r="B28" s="3"/>
      <c r="D28" s="124" t="s">
        <v>539</v>
      </c>
    </row>
    <row r="29" spans="1:4" x14ac:dyDescent="0.2">
      <c r="A29" s="3" t="s">
        <v>930</v>
      </c>
      <c r="B29" s="3"/>
      <c r="D29" s="124" t="s">
        <v>539</v>
      </c>
    </row>
    <row r="30" spans="1:4" x14ac:dyDescent="0.2">
      <c r="A30" s="3" t="s">
        <v>903</v>
      </c>
      <c r="B30" s="3"/>
      <c r="D30" s="124" t="s">
        <v>539</v>
      </c>
    </row>
    <row r="31" spans="1:4" x14ac:dyDescent="0.2">
      <c r="A31" s="3" t="s">
        <v>937</v>
      </c>
      <c r="B31" s="3"/>
      <c r="D31" s="124" t="s">
        <v>539</v>
      </c>
    </row>
    <row r="32" spans="1:4" x14ac:dyDescent="0.2">
      <c r="A32" s="3"/>
      <c r="B32" s="3"/>
      <c r="D32" s="124"/>
    </row>
    <row r="33" spans="1:26" x14ac:dyDescent="0.2">
      <c r="A33" s="3"/>
      <c r="B33" s="3"/>
      <c r="D33" s="124"/>
    </row>
    <row r="34" spans="1:26" x14ac:dyDescent="0.2">
      <c r="C34">
        <f>Y_0</f>
        <v>2015</v>
      </c>
      <c r="D34">
        <f t="array" ref="D34:M34">Y</f>
        <v>2020</v>
      </c>
      <c r="E34">
        <v>2025</v>
      </c>
      <c r="F34">
        <v>2030</v>
      </c>
      <c r="G34">
        <v>2040</v>
      </c>
      <c r="H34">
        <v>2050</v>
      </c>
      <c r="I34">
        <v>2060</v>
      </c>
      <c r="J34">
        <v>2070</v>
      </c>
      <c r="K34">
        <v>2080</v>
      </c>
      <c r="L34">
        <v>2090</v>
      </c>
      <c r="M34">
        <v>2100</v>
      </c>
    </row>
    <row r="35" spans="1:26" s="4" customFormat="1" x14ac:dyDescent="0.2">
      <c r="A35" s="4" t="s">
        <v>57</v>
      </c>
      <c r="D35" s="14">
        <f>YP_1</f>
        <v>5</v>
      </c>
      <c r="E35" s="14">
        <f t="array" ref="E35:M35">Y_NOT_1-Y</f>
        <v>5</v>
      </c>
      <c r="F35" s="14">
        <v>5</v>
      </c>
      <c r="G35" s="14">
        <v>10</v>
      </c>
      <c r="H35" s="14">
        <v>10</v>
      </c>
      <c r="I35" s="14">
        <v>10</v>
      </c>
      <c r="J35" s="14">
        <v>10</v>
      </c>
      <c r="K35" s="14">
        <v>10</v>
      </c>
      <c r="L35" s="14">
        <v>10</v>
      </c>
      <c r="M35" s="14">
        <v>10</v>
      </c>
      <c r="N35" s="4" t="s">
        <v>39</v>
      </c>
    </row>
    <row r="36" spans="1:26" s="4" customFormat="1" x14ac:dyDescent="0.2">
      <c r="A36"/>
      <c r="B36"/>
      <c r="C36"/>
    </row>
    <row r="37" spans="1:26" s="4" customFormat="1" x14ac:dyDescent="0.2">
      <c r="A37" s="3" t="s">
        <v>823</v>
      </c>
      <c r="B37"/>
      <c r="C37"/>
    </row>
    <row r="38" spans="1:26" s="4" customFormat="1" x14ac:dyDescent="0.2">
      <c r="A38" s="116" t="s">
        <v>506</v>
      </c>
      <c r="B38" s="116"/>
      <c r="C38" s="113">
        <f ca="1" xml:space="preserve"> PERM_SIB_TEMP_0</f>
        <v>2.0570871038496863</v>
      </c>
      <c r="D38" s="113">
        <f t="array" ref="D38:M38" ca="1" xml:space="preserve"> rt_g_b * PERM_SIB_AF</f>
        <v>2.3645192010254346</v>
      </c>
      <c r="E38" s="113">
        <f ca="1"/>
        <v>2.7088062386547347</v>
      </c>
      <c r="F38" s="113">
        <f ca="1"/>
        <v>3.0365019885867257</v>
      </c>
      <c r="G38" s="113">
        <f ca="1"/>
        <v>3.9251824481674573</v>
      </c>
      <c r="H38" s="113">
        <f ca="1"/>
        <v>4.7430714129655502</v>
      </c>
      <c r="I38" s="113">
        <f ca="1"/>
        <v>5.7586735354181533</v>
      </c>
      <c r="J38" s="113">
        <f ca="1"/>
        <v>6.8644342831940257</v>
      </c>
      <c r="K38" s="113">
        <f ca="1"/>
        <v>7.9867938209451603</v>
      </c>
      <c r="L38" s="113">
        <f ca="1"/>
        <v>9.1760174109695338</v>
      </c>
      <c r="M38" s="113">
        <f ca="1"/>
        <v>10.236820758100539</v>
      </c>
      <c r="N38" s="4" t="s">
        <v>41</v>
      </c>
      <c r="Y38"/>
      <c r="Z38" s="124" t="s">
        <v>832</v>
      </c>
    </row>
    <row r="39" spans="1:26" s="4" customFormat="1" x14ac:dyDescent="0.2">
      <c r="A39" s="103" t="s">
        <v>742</v>
      </c>
      <c r="B39" s="86"/>
      <c r="C39" s="86"/>
      <c r="D39" s="113">
        <f t="array" ref="D39:M39" ca="1" xml:space="preserve"> IF(1 + PERM_SIB_SENS_SLOPE_VS_T_CO2 * (perm_sib_temp_b - 0.5*PERM_SIB_LIMIT_T) /PERM_SIB_LIMIT_T &lt;= 0, 0.000001, 1 + PERM_SIB_SENS_SLOPE_VS_T_CO2 * (perm_sib_temp_b - 0.5*PERM_SIB_LIMIT_T) /PERM_SIB_LIMIT_T)</f>
        <v>0.4508982187232049</v>
      </c>
      <c r="E39" s="113">
        <f ca="1"/>
        <v>0.47253150623401263</v>
      </c>
      <c r="F39" s="113">
        <f ca="1"/>
        <v>0.49312227962810584</v>
      </c>
      <c r="G39" s="113">
        <f ca="1"/>
        <v>0.54896254599342487</v>
      </c>
      <c r="H39" s="113">
        <f ca="1"/>
        <v>0.60035462641919191</v>
      </c>
      <c r="I39" s="113">
        <f ca="1"/>
        <v>0.66417001971105361</v>
      </c>
      <c r="J39" s="113">
        <f ca="1"/>
        <v>0.73365053323697271</v>
      </c>
      <c r="K39" s="113">
        <f ca="1"/>
        <v>0.80417403228549245</v>
      </c>
      <c r="L39" s="113">
        <f ca="1"/>
        <v>0.87889893629228444</v>
      </c>
      <c r="M39" s="113">
        <f ca="1"/>
        <v>0.9455545500468211</v>
      </c>
      <c r="N39" s="4" t="s">
        <v>504</v>
      </c>
      <c r="Y39"/>
      <c r="Z39" s="124" t="s">
        <v>836</v>
      </c>
    </row>
    <row r="40" spans="1:26" s="4" customFormat="1" x14ac:dyDescent="0.2">
      <c r="A40" s="103" t="s">
        <v>741</v>
      </c>
      <c r="B40" s="86"/>
      <c r="C40" s="86"/>
      <c r="D40" s="113">
        <f t="array" ref="D40:M40" ca="1" xml:space="preserve"> IF(1 + PERM_SIB_LAG_SLOPE_VS_T_CO2 * (perm_sib_temp_b - 0.5*PERM_SIB_LIMIT_T) /PERM_SIB_LIMIT_T &lt;= 0, 0.000001, 1 + PERM_SIB_LAG_SLOPE_VS_T_CO2 * (perm_sib_temp_b - 0.5*PERM_SIB_LIMIT_T) /PERM_SIB_LIMIT_T)</f>
        <v>0.67368659965560307</v>
      </c>
      <c r="E40" s="113">
        <f ca="1"/>
        <v>0.68654256160834926</v>
      </c>
      <c r="F40" s="113">
        <f ca="1"/>
        <v>0.69877899119399745</v>
      </c>
      <c r="G40" s="113">
        <f ca="1"/>
        <v>0.73196305253766103</v>
      </c>
      <c r="H40" s="113">
        <f ca="1"/>
        <v>0.76250370107737364</v>
      </c>
      <c r="I40" s="113">
        <f ca="1"/>
        <v>0.80042712199755717</v>
      </c>
      <c r="J40" s="113">
        <f ca="1"/>
        <v>0.84171714035007206</v>
      </c>
      <c r="K40" s="113">
        <f ca="1"/>
        <v>0.88362697121093192</v>
      </c>
      <c r="L40" s="113">
        <f ca="1"/>
        <v>0.9280335609330902</v>
      </c>
      <c r="M40" s="113">
        <f ca="1"/>
        <v>0.96764483286469849</v>
      </c>
      <c r="N40" s="4" t="s">
        <v>504</v>
      </c>
      <c r="Y40"/>
      <c r="Z40" s="124" t="s">
        <v>836</v>
      </c>
    </row>
    <row r="41" spans="1:26" s="4" customFormat="1" x14ac:dyDescent="0.2">
      <c r="A41" s="103" t="s">
        <v>743</v>
      </c>
      <c r="B41" s="86"/>
      <c r="C41" s="86"/>
      <c r="D41" s="113">
        <f t="array" ref="D41:M41" ca="1" xml:space="preserve"> IF(1 + PERM_SIB_POW_SLOPE_VS_T_CO2 * (perm_sib_temp_b - 0.5*PERM_SIB_LIMIT_T) /PERM_SIB_LIMIT_T &lt;= 0, 0.000001, 1 + PERM_SIB_POW_SLOPE_VS_T_CO2 * (perm_sib_temp_b - 0.5*PERM_SIB_LIMIT_T) /PERM_SIB_LIMIT_T)</f>
        <v>1.0131228102115102</v>
      </c>
      <c r="E41" s="113">
        <f ca="1"/>
        <v>1.0126058030992855</v>
      </c>
      <c r="F41" s="113">
        <f ca="1"/>
        <v>1.0121137107029894</v>
      </c>
      <c r="G41" s="113">
        <f ca="1"/>
        <v>1.0107792017965198</v>
      </c>
      <c r="H41" s="113">
        <f ca="1"/>
        <v>1.0095509986822742</v>
      </c>
      <c r="I41" s="113">
        <f ca="1"/>
        <v>1.0080258947337952</v>
      </c>
      <c r="J41" s="113">
        <f ca="1"/>
        <v>1.00636540186437</v>
      </c>
      <c r="K41" s="113">
        <f ca="1"/>
        <v>1.0046799830130353</v>
      </c>
      <c r="L41" s="113">
        <f ca="1"/>
        <v>1.0028941561102809</v>
      </c>
      <c r="M41" s="113">
        <f ca="1"/>
        <v>1.0013011746291454</v>
      </c>
      <c r="N41" s="4" t="s">
        <v>504</v>
      </c>
      <c r="Y41"/>
      <c r="Z41" s="124" t="s">
        <v>836</v>
      </c>
    </row>
    <row r="42" spans="1:26" s="4" customFormat="1" x14ac:dyDescent="0.2">
      <c r="A42" s="118" t="s">
        <v>744</v>
      </c>
      <c r="B42" s="116"/>
      <c r="C42" s="116"/>
      <c r="D42" s="104">
        <f t="array" ref="D42:M42" ca="1" xml:space="preserve"> IF((PERM_SIB_SENS_C_CO2 * perm_sib_sens_c_co2_correct_b) * perm_sib_temp_b &lt; PERM_SIB_LIMIT_C, (PERM_SIB_SENS_C_CO2 * perm_sib_sens_c_co2_correct_b) * perm_sib_temp_b, PERM_SIB_LIMIT_C)</f>
        <v>34052.793689816928</v>
      </c>
      <c r="E42" s="104">
        <f ca="1"/>
        <v>40882.749336095527</v>
      </c>
      <c r="F42" s="104">
        <f ca="1"/>
        <v>47825.506387744826</v>
      </c>
      <c r="G42" s="104">
        <f ca="1"/>
        <v>68823.054830899855</v>
      </c>
      <c r="H42" s="104">
        <f ca="1"/>
        <v>90949.205131956594</v>
      </c>
      <c r="I42" s="104">
        <f ca="1"/>
        <v>122161.1490606437</v>
      </c>
      <c r="J42" s="104">
        <f ca="1"/>
        <v>160851.59500562752</v>
      </c>
      <c r="K42" s="104">
        <f ca="1"/>
        <v>205141.67673817472</v>
      </c>
      <c r="L42" s="104">
        <f ca="1"/>
        <v>257587.36135168531</v>
      </c>
      <c r="M42" s="104">
        <f ca="1"/>
        <v>309159.83754586161</v>
      </c>
      <c r="N42" s="58" t="s">
        <v>498</v>
      </c>
      <c r="Y42"/>
      <c r="Z42" s="124" t="s">
        <v>831</v>
      </c>
    </row>
    <row r="43" spans="1:26" s="4" customFormat="1" x14ac:dyDescent="0.2">
      <c r="A43" s="113" t="s">
        <v>745</v>
      </c>
      <c r="B43" s="116"/>
      <c r="C43" s="115">
        <f ca="1">PERM_SIB_CE_C_CO2_0</f>
        <v>3764.0529347349998</v>
      </c>
      <c r="D43" s="104">
        <f ca="1" xml:space="preserve"> IF(perm_sib_equilib_c_co2_1_b &lt;  PERM_SIB_CE_C_CO2_0, PERM_SIB_CE_C_CO2_0, IF( ((perm_sib_equilib_c_co2_1_b - PERM_SIB_CE_C_CO2_0)/PERM_SIB_LIMIT_C)^(1-(1+PERM_SIB_POW_C_CO2)*perm_sib_pow_c_co2_correct_1_b) &lt; (1-(1+PERM_SIB_POW_C_CO2)*perm_sib_pow_c_co2_correct_1_b) * YP_1 / (PERM_SIB_LAG_C_CO2*perm_sib_lag_c_co2_correct_1_b), perm_sib_equilib_c_co2_1_b, ( perm_sib_equilib_c_co2_1_b - PERM_SIB_LIMIT_C * ( ( ((perm_sib_equilib_c_co2_1_b - PERM_SIB_CE_C_CO2_0)/PERM_SIB_LIMIT_C)^(1-(1+PERM_SIB_POW_C_CO2)*perm_sib_pow_c_co2_correct_1_b) - (1-(1+PERM_SIB_POW_C_CO2)*perm_sib_pow_c_co2_correct_1_b) * YP_1 / (PERM_SIB_LAG_C_CO2*perm_sib_lag_c_co2_correct_1_b) )^( 1/(1-(1+PERM_SIB_POW_C_CO2)*perm_sib_pow_c_co2_correct_1_b) ) ) ) ) )</f>
        <v>5340.7369150058148</v>
      </c>
      <c r="E43" s="104">
        <f t="array" ref="E43:M43" ca="1" xml:space="preserve"> IF(perm_sib_equilib_c_co2_not_1_b &lt;  perm_sib_ce_c_co2_b, perm_sib_ce_c_co2_b, IF( ((perm_sib_equilib_c_co2_not_1_b - perm_sib_ce_c_co2_b)/PERM_SIB_LIMIT_C)^(1-(1+PERM_SIB_POW_C_CO2)*perm_sib_pow_c_co2_correct_not_1_b) &lt; (1-(1+PERM_SIB_POW_C_CO2)*perm_sib_pow_c_co2_correct_not_1_b) * YP_NOT_1 / (PERM_SIB_LAG_C_CO2*perm_sib_lag_c_co2_correct_not_1_b), perm_sib_equilib_c_co2_not_1_b, ( perm_sib_equilib_c_co2_not_1_b - PERM_SIB_LIMIT_C * ( ( ((perm_sib_equilib_c_co2_not_1_b - perm_sib_ce_c_co2_b)/PERM_SIB_LIMIT_C)^(1-(1+PERM_SIB_POW_C_CO2)*perm_sib_pow_c_co2_correct_not_1_b) - (1-(1+PERM_SIB_POW_C_CO2)*perm_sib_pow_c_co2_correct_not_1_b) * YP_NOT_1 / (PERM_SIB_LAG_C_CO2*perm_sib_lag_c_co2_correct_not_1_b) )^( 1/(1-(1+PERM_SIB_POW_C_CO2)*perm_sib_pow_c_co2_correct_not_1_b) ) ) ) ) )</f>
        <v>7239.7205935540696</v>
      </c>
      <c r="F43" s="104">
        <f ca="1"/>
        <v>9451.4180773330227</v>
      </c>
      <c r="G43" s="104">
        <f ca="1"/>
        <v>16070.215741091917</v>
      </c>
      <c r="H43" s="104">
        <f ca="1"/>
        <v>24617.892632192234</v>
      </c>
      <c r="I43" s="104">
        <f ca="1"/>
        <v>36029.955052032776</v>
      </c>
      <c r="J43" s="104">
        <f ca="1"/>
        <v>50896.271446505387</v>
      </c>
      <c r="K43" s="104">
        <f ca="1"/>
        <v>69450.707380045904</v>
      </c>
      <c r="L43" s="104">
        <f ca="1"/>
        <v>92211.146167014784</v>
      </c>
      <c r="M43" s="104">
        <f ca="1"/>
        <v>118400.63672098287</v>
      </c>
      <c r="N43" s="58" t="s">
        <v>498</v>
      </c>
      <c r="Y43" s="124"/>
      <c r="Z43" s="124" t="s">
        <v>839</v>
      </c>
    </row>
    <row r="44" spans="1:26" s="4" customFormat="1" x14ac:dyDescent="0.2">
      <c r="A44" s="113" t="s">
        <v>746</v>
      </c>
      <c r="B44" s="115"/>
      <c r="C44" s="115">
        <f ca="1">PERM_SIB_CE_C_CO2_0 * (44/12)</f>
        <v>13801.527427361665</v>
      </c>
      <c r="D44" s="104">
        <f t="array" ref="D44:M44" ca="1" xml:space="preserve"> perm_sib_ce_c_co2_b * (44/12)</f>
        <v>19582.702021687986</v>
      </c>
      <c r="E44" s="104">
        <f ca="1"/>
        <v>26545.64217636492</v>
      </c>
      <c r="F44" s="104">
        <f ca="1"/>
        <v>34655.199616887745</v>
      </c>
      <c r="G44" s="104">
        <f ca="1"/>
        <v>58924.124384003691</v>
      </c>
      <c r="H44" s="104">
        <f ca="1"/>
        <v>90265.60631803819</v>
      </c>
      <c r="I44" s="104">
        <f ca="1"/>
        <v>132109.83519078683</v>
      </c>
      <c r="J44" s="104">
        <f ca="1"/>
        <v>186619.66197051975</v>
      </c>
      <c r="K44" s="104">
        <f ca="1"/>
        <v>254652.59372683498</v>
      </c>
      <c r="L44" s="104">
        <f ca="1"/>
        <v>338107.53594572085</v>
      </c>
      <c r="M44" s="104">
        <f ca="1"/>
        <v>434135.6679769372</v>
      </c>
      <c r="N44" s="3" t="s">
        <v>455</v>
      </c>
      <c r="Z44" s="171"/>
    </row>
    <row r="45" spans="1:26" s="4" customFormat="1" x14ac:dyDescent="0.2">
      <c r="A45" s="113" t="s">
        <v>605</v>
      </c>
      <c r="B45" s="86"/>
      <c r="C45" s="115">
        <f ca="1" xml:space="preserve"> (44/12) * (PERM_SIB_LIMIT_C / (PERM_SIB_LAG_C_CO2 * PERM_SIB_LAG_C_CO2_CORRECT_0)) * ( IF(PERM_SIB_EQUILIB_C_CO2_0 &gt;PERM_SIB_CE_C_CO2_0, ((PERM_SIB_EQUILIB_C_CO2_0 - PERM_SIB_CE_C_CO2_0)/PERM_SIB_LIMIT_C)^((1 + PERM_SIB_POW_C_CO2)*PERM_SIB_POW_C_CO2_CORRECT_0), 0) )</f>
        <v>931.24302934228342</v>
      </c>
      <c r="D45" s="115">
        <f t="array" ref="D45:M45" ca="1" xml:space="preserve"> (44/12) * (PERM_SIB_LIMIT_C / (PERM_SIB_LAG_C_CO2 * perm_sib_lag_c_co2_correct_b)) * ( IF(perm_sib_equilib_c_co2_b &gt; perm_sib_ce_c_co2_b, ((perm_sib_equilib_c_co2_b - perm_sib_ce_c_co2_b)/PERM_SIB_LIMIT_C)^((1 + PERM_SIB_POW_C_CO2)*perm_sib_pow_c_co2_correct_b), 0) )</f>
        <v>1117.3559978753592</v>
      </c>
      <c r="E45" s="115">
        <f ca="1"/>
        <v>1344.5329796409733</v>
      </c>
      <c r="F45" s="115">
        <f ca="1"/>
        <v>1564.8391481023891</v>
      </c>
      <c r="G45" s="115">
        <f ca="1"/>
        <v>2249.8533568111925</v>
      </c>
      <c r="H45" s="115">
        <f ca="1"/>
        <v>2900.1417199781326</v>
      </c>
      <c r="I45" s="115">
        <f ca="1"/>
        <v>3864.4423569881283</v>
      </c>
      <c r="J45" s="115">
        <f ca="1"/>
        <v>5027.0744554174607</v>
      </c>
      <c r="K45" s="115">
        <f ca="1"/>
        <v>6269.6072476509144</v>
      </c>
      <c r="L45" s="115">
        <f ca="1"/>
        <v>7688.0816064185155</v>
      </c>
      <c r="M45" s="115">
        <f ca="1"/>
        <v>8849.1739977146608</v>
      </c>
      <c r="N45" s="58" t="s">
        <v>585</v>
      </c>
      <c r="Z45" s="124" t="s">
        <v>837</v>
      </c>
    </row>
    <row r="46" spans="1:26" s="4" customFormat="1" x14ac:dyDescent="0.2">
      <c r="A46" s="57"/>
      <c r="B46" s="59"/>
      <c r="C46" s="59"/>
      <c r="D46" s="1"/>
      <c r="E46" s="1"/>
      <c r="F46" s="1"/>
      <c r="G46" s="1"/>
      <c r="H46" s="1"/>
      <c r="I46" s="1"/>
      <c r="J46" s="1"/>
      <c r="K46" s="1"/>
      <c r="L46" s="1"/>
      <c r="M46" s="1"/>
      <c r="N46" s="3"/>
      <c r="Z46" s="171"/>
    </row>
    <row r="47" spans="1:26" s="4" customFormat="1" x14ac:dyDescent="0.2">
      <c r="A47" s="103" t="s">
        <v>748</v>
      </c>
      <c r="B47" s="103" t="s">
        <v>828</v>
      </c>
      <c r="C47" s="115"/>
      <c r="D47" s="113">
        <f t="array" ref="D47:M47" ca="1" xml:space="preserve"> (perm_sib_temp_b/(0.5*PERM_SIB_LIMIT_T))^PERM_SIB_SENS_SLOPE_VS_T_CH4</f>
        <v>1.1000189140431644</v>
      </c>
      <c r="E47" s="113">
        <f ca="1"/>
        <v>1.0908413241623756</v>
      </c>
      <c r="F47" s="113">
        <f ca="1"/>
        <v>1.0831904030082797</v>
      </c>
      <c r="G47" s="113">
        <f ca="1"/>
        <v>1.0661871775782485</v>
      </c>
      <c r="H47" s="113">
        <f ca="1"/>
        <v>1.0538217299438688</v>
      </c>
      <c r="I47" s="113">
        <f ca="1"/>
        <v>1.0412947867985385</v>
      </c>
      <c r="J47" s="113">
        <f ca="1"/>
        <v>1.0300827375387369</v>
      </c>
      <c r="K47" s="113">
        <f ca="1"/>
        <v>1.0205130897609158</v>
      </c>
      <c r="L47" s="113">
        <f ca="1"/>
        <v>1.0118197965406255</v>
      </c>
      <c r="M47" s="113">
        <f ca="1"/>
        <v>1.0050204203267925</v>
      </c>
      <c r="N47" s="4" t="s">
        <v>504</v>
      </c>
      <c r="Z47" s="124" t="s">
        <v>751</v>
      </c>
    </row>
    <row r="48" spans="1:26" s="4" customFormat="1" x14ac:dyDescent="0.2">
      <c r="A48" s="103" t="s">
        <v>844</v>
      </c>
      <c r="B48" s="103" t="s">
        <v>828</v>
      </c>
      <c r="C48" s="115"/>
      <c r="D48" s="113">
        <f t="array" ref="D48:M48" ca="1" xml:space="preserve"> (perm_sib_temp_b/(0.5*PERM_SIB_LIMIT_T))^PERM_SIB_LAG_SLOPE_VS_T_CH4</f>
        <v>53.678380471238782</v>
      </c>
      <c r="E48" s="113">
        <f ca="1"/>
        <v>37.824312279812993</v>
      </c>
      <c r="F48" s="113">
        <f ca="1"/>
        <v>28.187163954350101</v>
      </c>
      <c r="G48" s="113">
        <f ca="1"/>
        <v>14.552904531416646</v>
      </c>
      <c r="H48" s="113">
        <f ca="1"/>
        <v>8.9385498423840986</v>
      </c>
      <c r="I48" s="113">
        <f ca="1"/>
        <v>5.4234023524335671</v>
      </c>
      <c r="J48" s="113">
        <f ca="1"/>
        <v>3.4500718003524935</v>
      </c>
      <c r="K48" s="113">
        <f ca="1"/>
        <v>2.3359405020509172</v>
      </c>
      <c r="L48" s="113">
        <f ca="1"/>
        <v>1.6338906586930255</v>
      </c>
      <c r="M48" s="113">
        <f ca="1"/>
        <v>1.2327415765014325</v>
      </c>
      <c r="N48" s="4" t="s">
        <v>504</v>
      </c>
      <c r="Z48" s="124"/>
    </row>
    <row r="49" spans="1:39" s="4" customFormat="1" x14ac:dyDescent="0.2">
      <c r="A49" s="103" t="s">
        <v>845</v>
      </c>
      <c r="B49" s="103" t="s">
        <v>826</v>
      </c>
      <c r="C49" s="115"/>
      <c r="D49" s="113">
        <f t="array" ref="D49:M49" ca="1" xml:space="preserve"> IF(1 + PERM_SIB_POW_SLOPE_VS_T_CH4 * (perm_sib_temp_b - 0.5*PERM_SIB_LIMIT_T) /PERM_SIB_LIMIT_T &lt;= 0, 0.000001, 1 + PERM_SIB_POW_SLOPE_VS_T_CH4 * (perm_sib_temp_b - 0.5*PERM_SIB_LIMIT_T) /PERM_SIB_LIMIT_T)</f>
        <v>0.4493791732954785</v>
      </c>
      <c r="E49" s="113">
        <f ca="1"/>
        <v>0.47107230753707563</v>
      </c>
      <c r="F49" s="113">
        <f ca="1"/>
        <v>0.49172004363142607</v>
      </c>
      <c r="G49" s="113">
        <f ca="1"/>
        <v>0.54771478755299707</v>
      </c>
      <c r="H49" s="113">
        <f ca="1"/>
        <v>0.59924903999031831</v>
      </c>
      <c r="I49" s="113">
        <f ca="1"/>
        <v>0.66324097337857735</v>
      </c>
      <c r="J49" s="113">
        <f ca="1"/>
        <v>0.73291369909536253</v>
      </c>
      <c r="K49" s="113">
        <f ca="1"/>
        <v>0.80363229566938621</v>
      </c>
      <c r="L49" s="113">
        <f ca="1"/>
        <v>0.87856392004686223</v>
      </c>
      <c r="M49" s="113">
        <f ca="1"/>
        <v>0.94540393113675392</v>
      </c>
      <c r="N49" s="4" t="s">
        <v>504</v>
      </c>
      <c r="Z49" s="124"/>
    </row>
    <row r="50" spans="1:39" s="4" customFormat="1" x14ac:dyDescent="0.2">
      <c r="A50" s="118" t="s">
        <v>747</v>
      </c>
      <c r="B50" s="115"/>
      <c r="C50" s="115"/>
      <c r="D50" s="104">
        <f t="array" ref="D50:M50" ca="1" xml:space="preserve"> IF((PERM_SIB_SENS_C_CH4 * perm_sib_sens_c_ch4_correct_b) * perm_sib_temp_b &lt; PERM_SIB_LIMIT_C, (PERM_SIB_SENS_C_CH4 * perm_sib_sens_c_ch4_correct_b) * perm_sib_temp_b, PERM_SIB_LIMIT_C)</f>
        <v>5967.3484551343463</v>
      </c>
      <c r="E50" s="104">
        <f ca="1"/>
        <v>6779.1918390234059</v>
      </c>
      <c r="F50" s="104">
        <f ca="1"/>
        <v>7545.9995397906296</v>
      </c>
      <c r="G50" s="104">
        <f ca="1"/>
        <v>9601.3368005490338</v>
      </c>
      <c r="H50" s="104">
        <f ca="1"/>
        <v>11467.406665812015</v>
      </c>
      <c r="I50" s="104">
        <f ca="1"/>
        <v>13757.342633971744</v>
      </c>
      <c r="J50" s="104">
        <f ca="1"/>
        <v>16222.405830457941</v>
      </c>
      <c r="K50" s="104">
        <f ca="1"/>
        <v>18699.476733240663</v>
      </c>
      <c r="L50" s="104">
        <f ca="1"/>
        <v>21300.79448196575</v>
      </c>
      <c r="M50" s="104">
        <f ca="1"/>
        <v>23603.607596827875</v>
      </c>
      <c r="N50" s="58" t="s">
        <v>498</v>
      </c>
      <c r="Z50" s="124" t="s">
        <v>751</v>
      </c>
    </row>
    <row r="51" spans="1:39" s="4" customFormat="1" x14ac:dyDescent="0.2">
      <c r="A51" s="113" t="s">
        <v>749</v>
      </c>
      <c r="B51" s="86"/>
      <c r="C51" s="115">
        <f ca="1">PERM_SIB_CE_C_CH4_0</f>
        <v>175.56164558499998</v>
      </c>
      <c r="D51" s="104">
        <f ca="1" xml:space="preserve"> IF(perm_sib_equilib_c_ch4_1_b &lt;  PERM_SIB_CE_C_CH4_0, PERM_SIB_CE_C_CH4_0, IF( ((perm_sib_equilib_c_ch4_1_b - PERM_SIB_CE_C_CH4_0)/PERM_SIB_LIMIT_C)^(1-(1+PERM_SIB_POW_C_CH4)*perm_sib_pow_c_ch4_correct_1_b) &lt; (1-(1+PERM_SIB_POW_C_CH4)*perm_sib_pow_c_ch4_correct_1_b) * YP_1 / (PERM_SIB_LAG_C_CH4*perm_sib_lag_c_ch4_correct_1_b), perm_sib_equilib_c_ch4_1_b, ( perm_sib_equilib_c_ch4_1_b - PERM_SIB_LIMIT_C * ( ( ((perm_sib_equilib_c_ch4_1_b - PERM_SIB_CE_C_CH4_0)/PERM_SIB_LIMIT_C)^(1-(1+PERM_SIB_POW_C_CH4)*perm_sib_pow_c_ch4_correct_1_b) - (1-(1+PERM_SIB_POW_C_CH4)*perm_sib_pow_c_ch4_correct_1_b) * YP_1 / (PERM_SIB_LAG_C_CH4*perm_sib_lag_c_ch4_correct_1_b) )^( 1/(1-(1+PERM_SIB_POW_C_CH4)*perm_sib_pow_c_ch4_correct_1_b) ) ) ) ) )</f>
        <v>194.89475270574167</v>
      </c>
      <c r="E51" s="104">
        <f t="array" ref="E51:M51" ca="1" xml:space="preserve"> IF(perm_sib_equilib_c_ch4_not_1_b &lt;  perm_sib_ce_c_ch4_b, perm_sib_ce_c_ch4_b, IF( ((perm_sib_equilib_c_ch4_not_1_b - perm_sib_ce_c_ch4_b)/PERM_SIB_LIMIT_C)^(1-(1+PERM_SIB_POW_C_CH4)*perm_sib_pow_c_ch4_correct_not_1_b) &lt; (1-(1+PERM_SIB_POW_C_CH4)*perm_sib_pow_c_ch4_correct_not_1_b) * YP_NOT_1 / (PERM_SIB_LAG_C_CH4*perm_sib_lag_c_ch4_correct_not_1_b), perm_sib_equilib_c_ch4_not_1_b, ( perm_sib_equilib_c_ch4_not_1_b - PERM_SIB_LIMIT_C * ( ( ((perm_sib_equilib_c_ch4_not_1_b - perm_sib_ce_c_ch4_b)/PERM_SIB_LIMIT_C)^(1-(1+PERM_SIB_POW_C_CH4)*perm_sib_pow_c_ch4_correct_not_1_b) - (1-(1+PERM_SIB_POW_C_CH4)*perm_sib_pow_c_ch4_correct_not_1_b) * YP_NOT_1 / (PERM_SIB_LAG_C_CH4*perm_sib_lag_c_ch4_correct_not_1_b) )^( 1/(1-(1+PERM_SIB_POW_C_CH4)*perm_sib_pow_c_ch4_correct_not_1_b) ) ) ) ) )</f>
        <v>221.02670747074535</v>
      </c>
      <c r="F51" s="104">
        <f ca="1"/>
        <v>254.40194289030569</v>
      </c>
      <c r="G51" s="104">
        <f ca="1"/>
        <v>366.85499458660888</v>
      </c>
      <c r="H51" s="104">
        <f ca="1"/>
        <v>526.61906459612328</v>
      </c>
      <c r="I51" s="104">
        <f ca="1"/>
        <v>748.80600804931964</v>
      </c>
      <c r="J51" s="104">
        <f ca="1"/>
        <v>1039.2203508998027</v>
      </c>
      <c r="K51" s="104">
        <f ca="1"/>
        <v>1395.288095076281</v>
      </c>
      <c r="L51" s="104">
        <f ca="1"/>
        <v>1814.6017805409356</v>
      </c>
      <c r="M51" s="104">
        <f ca="1"/>
        <v>2281.9690685873938</v>
      </c>
      <c r="N51" s="58" t="s">
        <v>498</v>
      </c>
      <c r="Y51" s="124"/>
      <c r="Z51" s="124" t="s">
        <v>751</v>
      </c>
    </row>
    <row r="52" spans="1:39" s="4" customFormat="1" x14ac:dyDescent="0.2">
      <c r="A52" s="113" t="s">
        <v>750</v>
      </c>
      <c r="B52" s="115"/>
      <c r="C52" s="115">
        <f ca="1">PERM_SIB_CE_C_CH4_0 * (16/12)</f>
        <v>234.08219411333329</v>
      </c>
      <c r="D52" s="104">
        <f t="array" ref="D52:M52" ca="1" xml:space="preserve"> perm_sib_ce_c_ch4_b * (16/12)</f>
        <v>259.85967027432218</v>
      </c>
      <c r="E52" s="104">
        <f ca="1"/>
        <v>294.70227662766047</v>
      </c>
      <c r="F52" s="104">
        <f ca="1"/>
        <v>339.20259052040757</v>
      </c>
      <c r="G52" s="104">
        <f ca="1"/>
        <v>489.13999278214516</v>
      </c>
      <c r="H52" s="104">
        <f ca="1"/>
        <v>702.158752794831</v>
      </c>
      <c r="I52" s="104">
        <f ca="1"/>
        <v>998.40801073242619</v>
      </c>
      <c r="J52" s="104">
        <f ca="1"/>
        <v>1385.6271345330701</v>
      </c>
      <c r="K52" s="104">
        <f ca="1"/>
        <v>1860.3841267683747</v>
      </c>
      <c r="L52" s="104">
        <f ca="1"/>
        <v>2419.4690407212474</v>
      </c>
      <c r="M52" s="104">
        <f ca="1"/>
        <v>3042.6254247831916</v>
      </c>
      <c r="N52" s="3" t="s">
        <v>456</v>
      </c>
    </row>
    <row r="53" spans="1:39" s="4" customFormat="1" x14ac:dyDescent="0.2">
      <c r="A53"/>
      <c r="B53"/>
      <c r="C53"/>
    </row>
    <row r="54" spans="1:39" s="4" customFormat="1" x14ac:dyDescent="0.2">
      <c r="A54" s="3" t="s">
        <v>824</v>
      </c>
      <c r="B54"/>
      <c r="C54"/>
      <c r="D54"/>
      <c r="E54"/>
      <c r="F54"/>
      <c r="G54"/>
      <c r="H54" s="1"/>
      <c r="I54" s="1"/>
      <c r="J54" s="1"/>
      <c r="K54" s="1"/>
      <c r="L54" s="1"/>
      <c r="M54" s="1"/>
      <c r="N54"/>
    </row>
    <row r="55" spans="1:39" s="4" customFormat="1" x14ac:dyDescent="0.2">
      <c r="A55" s="116" t="s">
        <v>506</v>
      </c>
      <c r="B55" s="116"/>
      <c r="C55" s="113">
        <f ca="1">PERM_JUL_TEMP_0</f>
        <v>2.1232650355365545</v>
      </c>
      <c r="D55" s="113">
        <f t="array" ref="D55:M55" ca="1" xml:space="preserve"> rt_g_b * PERM_JUL_AF</f>
        <v>2.4405874384203949</v>
      </c>
      <c r="E55" s="113">
        <f ca="1"/>
        <v>2.7959504309833814</v>
      </c>
      <c r="F55" s="113">
        <f ca="1"/>
        <v>3.1341883825132006</v>
      </c>
      <c r="G55" s="113">
        <f ca="1"/>
        <v>4.0514583143800245</v>
      </c>
      <c r="H55" s="113">
        <f ca="1"/>
        <v>4.8956593395369419</v>
      </c>
      <c r="I55" s="113">
        <f ca="1"/>
        <v>5.9439340929904034</v>
      </c>
      <c r="J55" s="113">
        <f ca="1"/>
        <v>7.0852679378370746</v>
      </c>
      <c r="K55" s="113">
        <f ca="1"/>
        <v>8.2437345673483975</v>
      </c>
      <c r="L55" s="113">
        <f ca="1"/>
        <v>9.4712163124862609</v>
      </c>
      <c r="M55" s="113">
        <f ca="1"/>
        <v>10.566146445647989</v>
      </c>
      <c r="N55" s="4" t="s">
        <v>41</v>
      </c>
      <c r="Z55" s="124" t="s">
        <v>833</v>
      </c>
    </row>
    <row r="56" spans="1:39" s="4" customFormat="1" x14ac:dyDescent="0.2">
      <c r="A56" s="103" t="s">
        <v>742</v>
      </c>
      <c r="B56" s="103" t="s">
        <v>828</v>
      </c>
      <c r="C56" s="113">
        <f ca="1">PERM_JUL_SENS_C_CO2_CORRECT_0</f>
        <v>1.1992880267448305</v>
      </c>
      <c r="D56" s="113">
        <f t="array" ref="D56:M56" ca="1" xml:space="preserve"> (perm_jul_temp_b/(0.5*PERM_JUL_LIMIT_T))^PERM_JUL_SENS_SLOPE_VS_T_CO2</f>
        <v>1.1791027152047224</v>
      </c>
      <c r="E56" s="113">
        <f ca="1"/>
        <v>1.1597305783213947</v>
      </c>
      <c r="F56" s="113">
        <f ca="1"/>
        <v>1.1437021901018758</v>
      </c>
      <c r="G56" s="113">
        <f ca="1"/>
        <v>1.1084759206971606</v>
      </c>
      <c r="H56" s="113">
        <f ca="1"/>
        <v>1.083200065639647</v>
      </c>
      <c r="I56" s="113">
        <f ca="1"/>
        <v>1.0578879717584551</v>
      </c>
      <c r="J56" s="113">
        <f ca="1"/>
        <v>1.0354836700118912</v>
      </c>
      <c r="K56" s="113">
        <f ca="1"/>
        <v>1.0165487874228802</v>
      </c>
      <c r="L56" s="113">
        <f ca="1"/>
        <v>0.99949762533199515</v>
      </c>
      <c r="M56" s="113">
        <f ca="1"/>
        <v>0.9862605866253582</v>
      </c>
      <c r="N56" s="4" t="s">
        <v>504</v>
      </c>
      <c r="Z56" s="171" t="s">
        <v>838</v>
      </c>
    </row>
    <row r="57" spans="1:39" s="4" customFormat="1" x14ac:dyDescent="0.2">
      <c r="A57" s="103" t="s">
        <v>741</v>
      </c>
      <c r="B57" s="103" t="s">
        <v>828</v>
      </c>
      <c r="C57" s="113">
        <f ca="1">PERM_JUL_LAG_C_CO2_CORRECT_0</f>
        <v>2.6557828629413311</v>
      </c>
      <c r="D57" s="113">
        <f t="array" ref="D57:M57" ca="1" xml:space="preserve"> (perm_jul_temp_b/(0.5*PERM_JUL_LIMIT_T))^PERM_JUL_LAG_SLOPE_VS_T_CO2</f>
        <v>2.4242131842289796</v>
      </c>
      <c r="E57" s="113">
        <f ca="1"/>
        <v>2.2176966453396503</v>
      </c>
      <c r="F57" s="113">
        <f ca="1"/>
        <v>2.0578628645067125</v>
      </c>
      <c r="G57" s="113">
        <f ca="1"/>
        <v>1.7393686207980021</v>
      </c>
      <c r="H57" s="113">
        <f ca="1"/>
        <v>1.5365609892121073</v>
      </c>
      <c r="I57" s="113">
        <f ca="1"/>
        <v>1.3531835183660137</v>
      </c>
      <c r="J57" s="113">
        <f ca="1"/>
        <v>1.2061211053044667</v>
      </c>
      <c r="K57" s="113">
        <f ca="1"/>
        <v>1.0922254710132653</v>
      </c>
      <c r="L57" s="113">
        <f ca="1"/>
        <v>0.99730283677204512</v>
      </c>
      <c r="M57" s="113">
        <f ca="1"/>
        <v>0.92833962039799733</v>
      </c>
      <c r="N57" s="4" t="s">
        <v>504</v>
      </c>
      <c r="Z57" s="171" t="s">
        <v>838</v>
      </c>
    </row>
    <row r="58" spans="1:39" s="4" customFormat="1" x14ac:dyDescent="0.2">
      <c r="A58" s="103" t="s">
        <v>743</v>
      </c>
      <c r="B58" s="103" t="s">
        <v>826</v>
      </c>
      <c r="C58" s="113">
        <f ca="1">PERM_JUL_POW_C_CO2_CORRECT_0</f>
        <v>0.37277209981034576</v>
      </c>
      <c r="D58" s="113">
        <f t="array" ref="D58:M58" ca="1" xml:space="preserve"> IF(1 + PERM_JUL_POW_SLOPE_VS_T_CO2 * (perm_jul_temp_b - 0.5*PERM_JUL_LIMIT_T) /PERM_JUL_LIMIT_T &lt;= 0, 0.000001, 1 + PERM_JUL_POW_SLOPE_VS_T_CO2 * (perm_jul_temp_b - 0.5*PERM_JUL_LIMIT_T) /PERM_JUL_LIMIT_T)</f>
        <v>0.40000346322160063</v>
      </c>
      <c r="E58" s="113">
        <f ca="1"/>
        <v>0.43049932076411457</v>
      </c>
      <c r="F58" s="113">
        <f ca="1"/>
        <v>0.4595255744855028</v>
      </c>
      <c r="G58" s="113">
        <f ca="1"/>
        <v>0.53824208058112255</v>
      </c>
      <c r="H58" s="113">
        <f ca="1"/>
        <v>0.61068809983245576</v>
      </c>
      <c r="I58" s="113">
        <f ca="1"/>
        <v>0.70064692564087006</v>
      </c>
      <c r="J58" s="113">
        <f ca="1"/>
        <v>0.79859171749964653</v>
      </c>
      <c r="K58" s="113">
        <f ca="1"/>
        <v>0.89800677770761572</v>
      </c>
      <c r="L58" s="113">
        <f ca="1"/>
        <v>1.0033444443165711</v>
      </c>
      <c r="M58" s="113">
        <f ca="1"/>
        <v>1.0973070517312622</v>
      </c>
      <c r="N58" s="4" t="s">
        <v>504</v>
      </c>
      <c r="Z58" s="124" t="s">
        <v>836</v>
      </c>
    </row>
    <row r="59" spans="1:39" s="4" customFormat="1" x14ac:dyDescent="0.2">
      <c r="A59" s="118" t="s">
        <v>744</v>
      </c>
      <c r="B59" s="116"/>
      <c r="C59" s="115"/>
      <c r="D59" s="115">
        <f t="array" ref="D59:M59" ca="1" xml:space="preserve"> IF((PERM_JUL_SENS_C_CO2 * perm_jul_sens_c_co2_correct_b) * perm_jul_temp_b &lt; PERM_JUL_LIMIT_C, (PERM_JUL_SENS_C_CO2 * perm_jul_sens_c_co2_correct_b) * perm_jul_temp_b, PERM_JUL_LIMIT_C)</f>
        <v>178037.11158880568</v>
      </c>
      <c r="E59" s="115">
        <f ca="1"/>
        <v>200609.31942881268</v>
      </c>
      <c r="F59" s="115">
        <f ca="1"/>
        <v>221769.88841528905</v>
      </c>
      <c r="G59" s="115">
        <f ca="1"/>
        <v>277844.73204191268</v>
      </c>
      <c r="H59" s="115">
        <f ca="1"/>
        <v>328083.50542691897</v>
      </c>
      <c r="I59" s="115">
        <f ca="1"/>
        <v>389025.6107540364</v>
      </c>
      <c r="J59" s="115">
        <f ca="1"/>
        <v>453904.05363748432</v>
      </c>
      <c r="K59" s="115">
        <f ca="1"/>
        <v>518461.79038401152</v>
      </c>
      <c r="L59" s="115">
        <f ca="1"/>
        <v>585668.74900665693</v>
      </c>
      <c r="M59" s="115">
        <f ca="1"/>
        <v>644722.50830924453</v>
      </c>
      <c r="N59" s="58" t="s">
        <v>498</v>
      </c>
      <c r="Z59" s="124" t="s">
        <v>833</v>
      </c>
    </row>
    <row r="60" spans="1:39" s="4" customFormat="1" x14ac:dyDescent="0.2">
      <c r="A60" s="113" t="s">
        <v>745</v>
      </c>
      <c r="B60" s="116"/>
      <c r="C60" s="115"/>
      <c r="D60" s="115">
        <f ca="1" xml:space="preserve"> IF(perm_jul_equilib_c_co2_1_b &lt;  PERM_JUL_CE_C_CO2_0, PERM_JUL_CE_C_CO2_0, IF( ((perm_jul_equilib_c_co2_1_b - PERM_JUL_CE_C_CO2_0)/PERM_JUL_LIMIT_C)^(1-(1+PERM_JUL_POW_C_CO2)*perm_jul_pow_c_co2_correct_1_b) &lt; (1-(1+PERM_JUL_POW_C_CO2)*perm_jul_pow_c_co2_correct_1_b) * YP_1 / (PERM_JUL_LAG_C_CO2*perm_jul_lag_c_co2_correct_1_b), perm_jul_equilib_c_co2_1_b, ( perm_jul_equilib_c_co2_1_b - PERM_JUL_LIMIT_C * ( ( ((perm_jul_equilib_c_co2_1_b - PERM_JUL_CE_C_CO2_0)/PERM_JUL_LIMIT_C)^(1-(1+PERM_JUL_POW_C_CO2)*perm_jul_pow_c_co2_correct_1_b) - (1-(1+PERM_JUL_POW_C_CO2)*perm_jul_pow_c_co2_correct_1_b) * YP_1 / (PERM_JUL_LAG_C_CO2*perm_jul_lag_c_co2_correct_1_b) )^( 1/(1-(1+PERM_JUL_POW_C_CO2)*perm_jul_pow_c_co2_correct_1_b) ) ) ) ) )</f>
        <v>21178.99332589496</v>
      </c>
      <c r="E60" s="115">
        <f t="array" ref="E60:M60" ca="1" xml:space="preserve"> IF(perm_jul_equilib_c_co2_not_1_b &lt;  perm_jul_ce_c_co2_b, perm_jul_ce_c_co2_b, IF( ((perm_jul_equilib_c_co2_not_1_b - perm_jul_ce_c_co2_b)/PERM_JUL_LIMIT_C)^(1-(1+PERM_JUL_POW_C_CO2)*perm_jul_pow_c_co2_correct_not_1_b) &lt; (1-(1+PERM_JUL_POW_C_CO2)*perm_jul_pow_c_co2_correct_not_1_b) * YP_NOT_1 / (PERM_JUL_LAG_C_CO2*perm_jul_lag_c_co2_correct_not_1_b), perm_jul_equilib_c_co2_not_1_b, ( perm_jul_equilib_c_co2_not_1_b - PERM_JUL_LIMIT_C * ( ( ((perm_jul_equilib_c_co2_not_1_b - perm_jul_ce_c_co2_b)/PERM_JUL_LIMIT_C)^(1-(1+PERM_JUL_POW_C_CO2)*perm_jul_pow_c_co2_correct_not_1_b) - (1-(1+PERM_JUL_POW_C_CO2)*perm_jul_pow_c_co2_correct_not_1_b) * YP_NOT_1 / (PERM_JUL_LAG_C_CO2*perm_jul_lag_c_co2_correct_not_1_b) )^( 1/(1-(1+PERM_JUL_POW_C_CO2)*perm_jul_pow_c_co2_correct_not_1_b) ) ) ) ) )</f>
        <v>22436.972400322935</v>
      </c>
      <c r="F60" s="115">
        <f ca="1"/>
        <v>23806.98251532737</v>
      </c>
      <c r="G60" s="115">
        <f ca="1"/>
        <v>27171.311556985398</v>
      </c>
      <c r="H60" s="115">
        <f ca="1"/>
        <v>31124.920425855904</v>
      </c>
      <c r="I60" s="115">
        <f ca="1"/>
        <v>35884.727927504107</v>
      </c>
      <c r="J60" s="115">
        <f ca="1"/>
        <v>41647.287657410605</v>
      </c>
      <c r="K60" s="115">
        <f ca="1"/>
        <v>48598.161594246223</v>
      </c>
      <c r="L60" s="115">
        <f ca="1"/>
        <v>57052.598379354575</v>
      </c>
      <c r="M60" s="115">
        <f ca="1"/>
        <v>67072.870728905429</v>
      </c>
      <c r="N60" s="58" t="s">
        <v>498</v>
      </c>
      <c r="Z60" s="124" t="s">
        <v>839</v>
      </c>
    </row>
    <row r="61" spans="1:39" s="4" customFormat="1" x14ac:dyDescent="0.2">
      <c r="A61" s="113" t="s">
        <v>746</v>
      </c>
      <c r="B61" s="115"/>
      <c r="C61" s="115"/>
      <c r="D61" s="115">
        <f t="array" ref="D61:M61" ca="1" xml:space="preserve"> perm_jul_ce_c_co2_b * (44/12)</f>
        <v>77656.308861614845</v>
      </c>
      <c r="E61" s="115">
        <f ca="1"/>
        <v>82268.898801184085</v>
      </c>
      <c r="F61" s="115">
        <f ca="1"/>
        <v>87292.26922286702</v>
      </c>
      <c r="G61" s="115">
        <f ca="1"/>
        <v>99628.142375613126</v>
      </c>
      <c r="H61" s="115">
        <f ca="1"/>
        <v>114124.7082281383</v>
      </c>
      <c r="I61" s="115">
        <f ca="1"/>
        <v>131577.33573418172</v>
      </c>
      <c r="J61" s="115">
        <f ca="1"/>
        <v>152706.72141050553</v>
      </c>
      <c r="K61" s="115">
        <f ca="1"/>
        <v>178193.25917890281</v>
      </c>
      <c r="L61" s="115">
        <f ca="1"/>
        <v>209192.86072430009</v>
      </c>
      <c r="M61" s="115">
        <f ca="1"/>
        <v>245933.8593393199</v>
      </c>
      <c r="N61" s="3" t="s">
        <v>455</v>
      </c>
      <c r="Z61" s="124" t="s">
        <v>833</v>
      </c>
    </row>
    <row r="62" spans="1:39" s="4" customFormat="1" x14ac:dyDescent="0.2">
      <c r="A62" s="113" t="s">
        <v>605</v>
      </c>
      <c r="B62" s="115"/>
      <c r="C62" s="115"/>
      <c r="D62" s="115">
        <f t="array" ref="D62:M62" ca="1" xml:space="preserve"> (44/12) * (PERM_JUL_LIMIT_C / (PERM_JUL_LAG_C_CO2 * perm_jul_lag_c_co2_correct_b)) * ( IF(perm_jul_equilib_c_co2_b &gt; perm_jul_ce_c_co2_b, ((perm_jul_equilib_c_co2_b - perm_jul_ce_c_co2_b)/PERM_JUL_LIMIT_C)^((1 + PERM_JUL_POW_C_CO2)*perm_jul_pow_c_co2_correct_b), 0) )</f>
        <v>832.77313753113242</v>
      </c>
      <c r="E62" s="115">
        <f ca="1"/>
        <v>920.48300653237482</v>
      </c>
      <c r="F62" s="115">
        <f ca="1"/>
        <v>1002.3553797684561</v>
      </c>
      <c r="G62" s="115">
        <f ca="1"/>
        <v>1227.1466869395801</v>
      </c>
      <c r="H62" s="115">
        <f ca="1"/>
        <v>1441.1413148044226</v>
      </c>
      <c r="I62" s="115">
        <f ca="1"/>
        <v>1733.363514535378</v>
      </c>
      <c r="J62" s="115">
        <f ca="1"/>
        <v>2095.9269312906376</v>
      </c>
      <c r="K62" s="115">
        <f ca="1"/>
        <v>2524.2652711506839</v>
      </c>
      <c r="L62" s="115">
        <f ca="1"/>
        <v>3064.1892292801067</v>
      </c>
      <c r="M62" s="115">
        <f ca="1"/>
        <v>3623.905026979392</v>
      </c>
      <c r="N62" s="58" t="s">
        <v>585</v>
      </c>
      <c r="Z62" s="124" t="s">
        <v>833</v>
      </c>
    </row>
    <row r="63" spans="1:39" s="4" customFormat="1" x14ac:dyDescent="0.2">
      <c r="A63"/>
      <c r="B63"/>
      <c r="C63"/>
      <c r="D63"/>
      <c r="E63"/>
      <c r="F63"/>
      <c r="G63"/>
      <c r="H63" s="1"/>
      <c r="I63" s="1"/>
      <c r="J63" s="1"/>
      <c r="K63" s="1"/>
      <c r="L63" s="1"/>
      <c r="M63" s="1"/>
      <c r="N63"/>
    </row>
    <row r="64" spans="1:39" s="4" customFormat="1" x14ac:dyDescent="0.2">
      <c r="A64" s="113" t="s">
        <v>750</v>
      </c>
      <c r="B64" s="86"/>
      <c r="C64" s="86"/>
      <c r="D64" s="104">
        <f t="array" ref="D64:M64" ca="1" xml:space="preserve"> perm_jul_ce_c_co2_b * (PERM_JUL_CH4_CO2_C_RATIO/100) * (16/12)</f>
        <v>1727.1221325867248</v>
      </c>
      <c r="E64" s="104">
        <f ca="1"/>
        <v>1829.7088546439547</v>
      </c>
      <c r="F64" s="104">
        <f ca="1"/>
        <v>1941.4315770171088</v>
      </c>
      <c r="G64" s="104">
        <f ca="1"/>
        <v>2215.7886750972802</v>
      </c>
      <c r="H64" s="104">
        <f ca="1"/>
        <v>2538.2008538040259</v>
      </c>
      <c r="I64" s="104">
        <f ca="1"/>
        <v>2926.3575880005301</v>
      </c>
      <c r="J64" s="104">
        <f ca="1"/>
        <v>3396.2875934888298</v>
      </c>
      <c r="K64" s="104">
        <f ca="1"/>
        <v>3963.1232325770588</v>
      </c>
      <c r="L64" s="104">
        <f ca="1"/>
        <v>4652.5726632193891</v>
      </c>
      <c r="M64" s="104">
        <f ca="1"/>
        <v>5469.7141525788584</v>
      </c>
      <c r="N64" s="3" t="s">
        <v>456</v>
      </c>
      <c r="X64" s="1"/>
      <c r="AM64"/>
    </row>
    <row r="65" spans="1:26" s="4" customFormat="1" x14ac:dyDescent="0.2">
      <c r="A65"/>
      <c r="B65"/>
      <c r="C65"/>
      <c r="D65"/>
      <c r="E65"/>
      <c r="F65"/>
      <c r="G65"/>
      <c r="H65" s="1"/>
      <c r="I65" s="1"/>
      <c r="J65" s="1"/>
      <c r="K65" s="1"/>
      <c r="L65" s="1"/>
      <c r="M65" s="1"/>
      <c r="N65"/>
    </row>
    <row r="66" spans="1:26" s="4" customFormat="1" x14ac:dyDescent="0.2">
      <c r="A66" s="57" t="s">
        <v>895</v>
      </c>
      <c r="B66"/>
      <c r="C66"/>
      <c r="D66"/>
      <c r="E66"/>
      <c r="F66"/>
      <c r="G66"/>
      <c r="H66"/>
      <c r="I66"/>
      <c r="J66"/>
      <c r="K66"/>
      <c r="L66"/>
      <c r="M66"/>
      <c r="N66"/>
      <c r="Z66"/>
    </row>
    <row r="67" spans="1:26" s="4" customFormat="1" x14ac:dyDescent="0.2">
      <c r="A67" s="113" t="s">
        <v>841</v>
      </c>
      <c r="B67" s="115" t="s">
        <v>840</v>
      </c>
      <c r="C67" s="115">
        <f ca="1" xml:space="preserve"> IF(switch_perm_b = 1, 1, 0) * 0.5 *(PERM_SIB_CE_CO2_0 + PERM_JUL_CE_CO2_0) * (1 + PERM_INITIAL_C_STOCK_UNCERTAINTY/100)</f>
        <v>43642.591291556564</v>
      </c>
      <c r="D67" s="115">
        <f t="array" ref="D67:M67" ca="1" xml:space="preserve"> IF(switch_perm_b = 1, 1, 0) * 0.5 *(perm_sib_ce_co2_b + perm_jul_ce_co2_b) * (1 + PERM_INITIAL_C_STOCK_UNCERTAINTY/100)</f>
        <v>48619.505441651418</v>
      </c>
      <c r="E67" s="115">
        <f ca="1"/>
        <v>54407.270488774506</v>
      </c>
      <c r="F67" s="115">
        <f ca="1"/>
        <v>60973.734419877379</v>
      </c>
      <c r="G67" s="115">
        <f ca="1"/>
        <v>79276.133379808409</v>
      </c>
      <c r="H67" s="115">
        <f ca="1"/>
        <v>102195.15727308825</v>
      </c>
      <c r="I67" s="115">
        <f ca="1"/>
        <v>131843.58546248428</v>
      </c>
      <c r="J67" s="115">
        <f ca="1"/>
        <v>169663.19169051264</v>
      </c>
      <c r="K67" s="115">
        <f ca="1"/>
        <v>216422.92645286891</v>
      </c>
      <c r="L67" s="115">
        <f ca="1"/>
        <v>273650.19833501044</v>
      </c>
      <c r="M67" s="115">
        <f ca="1"/>
        <v>340034.76365812856</v>
      </c>
      <c r="N67" s="3" t="s">
        <v>455</v>
      </c>
      <c r="Z67" s="124" t="s">
        <v>833</v>
      </c>
    </row>
    <row r="68" spans="1:26" s="4" customFormat="1" x14ac:dyDescent="0.2">
      <c r="A68" s="113" t="s">
        <v>605</v>
      </c>
      <c r="B68" s="115" t="s">
        <v>840</v>
      </c>
      <c r="C68" s="115">
        <f ca="1" xml:space="preserve"> IF(switch_perm_b = 1, 1, 0) * 0.5 *(PERM_SIB_E_CO2_0 + PERM_JUL_E_CO2_0) * (1 + PERM_INITIAL_C_STOCK_UNCERTAINTY/100)</f>
        <v>841.8851393525955</v>
      </c>
      <c r="D68" s="115">
        <f t="array" ref="D68:M68" ca="1" xml:space="preserve"> IF(switch_perm_b = 1, 1, 0) * 0.5 *(perm_sib_e_co2_b + perm_jul_e_co2_b) * (1 + PERM_INITIAL_C_STOCK_UNCERTAINTY/100)</f>
        <v>975.06456770324576</v>
      </c>
      <c r="E68" s="115">
        <f ca="1"/>
        <v>1132.5079930866741</v>
      </c>
      <c r="F68" s="115">
        <f ca="1"/>
        <v>1283.5972639354227</v>
      </c>
      <c r="G68" s="115">
        <f ca="1"/>
        <v>1738.5000218753862</v>
      </c>
      <c r="H68" s="115">
        <f ca="1"/>
        <v>2170.6415173912774</v>
      </c>
      <c r="I68" s="115">
        <f ca="1"/>
        <v>2798.9029357617533</v>
      </c>
      <c r="J68" s="115">
        <f ca="1"/>
        <v>3561.500693354049</v>
      </c>
      <c r="K68" s="115">
        <f ca="1"/>
        <v>4396.9362594007989</v>
      </c>
      <c r="L68" s="115">
        <f ca="1"/>
        <v>5376.1354178493111</v>
      </c>
      <c r="M68" s="115">
        <f ca="1"/>
        <v>6236.5395123470262</v>
      </c>
      <c r="N68" s="58" t="s">
        <v>585</v>
      </c>
      <c r="Z68" s="124" t="s">
        <v>833</v>
      </c>
    </row>
    <row r="69" spans="1:26" s="4" customFormat="1" x14ac:dyDescent="0.2">
      <c r="A69"/>
      <c r="B69"/>
      <c r="C69"/>
      <c r="Z69"/>
    </row>
    <row r="70" spans="1:26" x14ac:dyDescent="0.2">
      <c r="A70" s="113" t="s">
        <v>861</v>
      </c>
      <c r="B70" s="115" t="s">
        <v>840</v>
      </c>
      <c r="C70" s="115">
        <f ca="1" xml:space="preserve"> IF(switch_perm_b = 1, 1, 0) * 0.5 *(PERM_SIB_CE_CH4_0 + PERM_JUL_CE_CH4_0) * (1 + PERM_INITIAL_C_STOCK_UNCERTAINTY/100)</f>
        <v>934.20102303920669</v>
      </c>
      <c r="D70" s="115">
        <f t="array" ref="D70:M70" ca="1" xml:space="preserve"> IF(switch_perm_b = 1, 1, 0) * 0.5 *(perm_sib_ce_ch4_b + perm_jul_ce_ch4_b) * (1 + PERM_INITIAL_C_STOCK_UNCERTAINTY/100)</f>
        <v>993.49090143052354</v>
      </c>
      <c r="E70" s="115">
        <f ca="1"/>
        <v>1062.2055656358075</v>
      </c>
      <c r="F70" s="115">
        <f ca="1"/>
        <v>1140.3170837687583</v>
      </c>
      <c r="G70" s="115">
        <f ca="1"/>
        <v>1352.4643339397128</v>
      </c>
      <c r="H70" s="115">
        <f ca="1"/>
        <v>1620.1798032994284</v>
      </c>
      <c r="I70" s="115">
        <f ca="1"/>
        <v>1962.3827993664781</v>
      </c>
      <c r="J70" s="115">
        <f ca="1"/>
        <v>2390.9573640109502</v>
      </c>
      <c r="K70" s="115">
        <f ca="1"/>
        <v>2911.7536796727168</v>
      </c>
      <c r="L70" s="115">
        <f ca="1"/>
        <v>3536.0208519703183</v>
      </c>
      <c r="M70" s="115">
        <f ca="1"/>
        <v>4256.1697886810252</v>
      </c>
      <c r="N70" s="3" t="s">
        <v>456</v>
      </c>
      <c r="X70" s="1"/>
    </row>
    <row r="71" spans="1:26" s="4" customFormat="1" x14ac:dyDescent="0.2">
      <c r="A71"/>
      <c r="B71"/>
      <c r="C71"/>
      <c r="Z71"/>
    </row>
    <row r="72" spans="1:26" s="4" customFormat="1" x14ac:dyDescent="0.2">
      <c r="A72" s="57" t="s">
        <v>754</v>
      </c>
      <c r="B72"/>
      <c r="C72"/>
      <c r="Z72"/>
    </row>
    <row r="73" spans="1:26" s="4" customFormat="1" x14ac:dyDescent="0.2">
      <c r="A73" s="86" t="s">
        <v>601</v>
      </c>
      <c r="B73" s="86"/>
      <c r="C73" s="115">
        <f ca="1">ANTHR_CE_CO2_0</f>
        <v>2035000</v>
      </c>
      <c r="D73" s="115">
        <f ca="1" xml:space="preserve"> ANTHR_CE_CO2_0 + 0.5*(E_CO2_G_0 + e_co2_g_b)*YP_1</f>
        <v>2258290.9695112635</v>
      </c>
      <c r="E73" s="115">
        <f t="array" ref="E73:M73" ca="1" xml:space="preserve"> anthr_ce_co2_b + 0.5*(e_co2_g_b + e_co2_g_not_1_b)*YP_NOT_1</f>
        <v>2493569.4282302116</v>
      </c>
      <c r="F73" s="115">
        <f ca="1"/>
        <v>2759927.5875563174</v>
      </c>
      <c r="G73" s="115">
        <f ca="1"/>
        <v>3408478.5119247939</v>
      </c>
      <c r="H73" s="115">
        <f ca="1"/>
        <v>4239680.6603481891</v>
      </c>
      <c r="I73" s="115">
        <f ca="1"/>
        <v>5286961.845474381</v>
      </c>
      <c r="J73" s="115">
        <f ca="1"/>
        <v>6561305.6985958051</v>
      </c>
      <c r="K73" s="115">
        <f ca="1"/>
        <v>8027233.9422140755</v>
      </c>
      <c r="L73" s="115">
        <f ca="1"/>
        <v>9586697.3466253839</v>
      </c>
      <c r="M73" s="115">
        <f ca="1"/>
        <v>11139650.962691607</v>
      </c>
      <c r="N73" s="3" t="s">
        <v>455</v>
      </c>
      <c r="Z73" s="171" t="s">
        <v>626</v>
      </c>
    </row>
    <row r="74" spans="1:26" x14ac:dyDescent="0.2">
      <c r="Z74" s="4"/>
    </row>
    <row r="75" spans="1:26" s="4" customFormat="1" x14ac:dyDescent="0.2">
      <c r="A75" s="86" t="s">
        <v>602</v>
      </c>
      <c r="B75" s="86"/>
      <c r="C75" s="115">
        <f ca="1" xml:space="preserve"> ANTHR_CE_CO2_0 + PERM_TOT_CE_CO2_0_b</f>
        <v>2078642.5912915566</v>
      </c>
      <c r="D75" s="115">
        <f t="array" ref="D75:M75" ca="1" xml:space="preserve"> anthr_ce_co2_b + perm_tot_ce_co2_b</f>
        <v>2306910.4749529148</v>
      </c>
      <c r="E75" s="115">
        <f ca="1"/>
        <v>2547976.698718986</v>
      </c>
      <c r="F75" s="115">
        <f ca="1"/>
        <v>2820901.3219761946</v>
      </c>
      <c r="G75" s="115">
        <f ca="1"/>
        <v>3487754.6453046026</v>
      </c>
      <c r="H75" s="115">
        <f ca="1"/>
        <v>4341875.8176212776</v>
      </c>
      <c r="I75" s="115">
        <f ca="1"/>
        <v>5418805.4309368655</v>
      </c>
      <c r="J75" s="115">
        <f ca="1"/>
        <v>6730968.890286318</v>
      </c>
      <c r="K75" s="115">
        <f ca="1"/>
        <v>8243656.8686669441</v>
      </c>
      <c r="L75" s="115">
        <f ca="1"/>
        <v>9860347.5449603945</v>
      </c>
      <c r="M75" s="115">
        <f ca="1"/>
        <v>11479685.726349736</v>
      </c>
      <c r="N75" s="3" t="s">
        <v>455</v>
      </c>
      <c r="Z75" s="124" t="s">
        <v>833</v>
      </c>
    </row>
    <row r="76" spans="1:26" s="4" customFormat="1" x14ac:dyDescent="0.2">
      <c r="A76" s="86" t="s">
        <v>606</v>
      </c>
      <c r="B76" s="86"/>
      <c r="C76" s="115">
        <f ca="1" xml:space="preserve"> E_CO2_G_0 + PERM_TOT_E_CO2_0_b</f>
        <v>39994.611139352593</v>
      </c>
      <c r="D76" s="115">
        <f t="array" ref="D76:M76" ca="1" xml:space="preserve"> e_co2_g_b + perm_tot_e_co2_b</f>
        <v>44922.786250777019</v>
      </c>
      <c r="E76" s="115">
        <f ca="1"/>
        <v>51296.169797592069</v>
      </c>
      <c r="F76" s="115">
        <f ca="1"/>
        <v>57663.199189872437</v>
      </c>
      <c r="G76" s="115">
        <f ca="1"/>
        <v>75069.082969633615</v>
      </c>
      <c r="H76" s="115">
        <f ca="1"/>
        <v>95080.488254312018</v>
      </c>
      <c r="I76" s="115">
        <f ca="1"/>
        <v>119345.2932240793</v>
      </c>
      <c r="J76" s="115">
        <f ca="1"/>
        <v>141883.88102932129</v>
      </c>
      <c r="K76" s="115">
        <f ca="1"/>
        <v>159260.20464708752</v>
      </c>
      <c r="L76" s="115">
        <f ca="1"/>
        <v>162405.54791242434</v>
      </c>
      <c r="M76" s="115">
        <f ca="1"/>
        <v>159797.85023101646</v>
      </c>
      <c r="N76" s="4" t="s">
        <v>566</v>
      </c>
      <c r="Z76" s="124" t="s">
        <v>867</v>
      </c>
    </row>
    <row r="77" spans="1:26" s="4" customFormat="1" x14ac:dyDescent="0.2">
      <c r="A77"/>
      <c r="B77"/>
      <c r="C77"/>
      <c r="N77"/>
    </row>
    <row r="78" spans="1:26" s="4" customFormat="1" x14ac:dyDescent="0.2">
      <c r="A78" s="86" t="s">
        <v>610</v>
      </c>
      <c r="B78" s="86"/>
      <c r="C78" s="115">
        <f ca="1" xml:space="preserve"> CORRECT_RE_CO2_0_b * TOTAL_E_CO2_0_b * TIME_CO2_HIST_b * (PERCENT_CO2_STAY/100)</f>
        <v>401770.50159946072</v>
      </c>
      <c r="D78" s="115">
        <f t="array" aca="1" ref="D78:M78" ca="1" xml:space="preserve"> CORRECT_RE_CO2_0_b * TOTAL_E_CO2_0_b * TIME_CO2_HIST_b * (PERCENT_CO2_STAY/100)</f>
        <v>401770.50159946072</v>
      </c>
      <c r="E78" s="115">
        <f ca="1"/>
        <v>401770.50159946072</v>
      </c>
      <c r="F78" s="115">
        <f ca="1"/>
        <v>401770.50159946072</v>
      </c>
      <c r="G78" s="115">
        <f ca="1"/>
        <v>401770.50159946072</v>
      </c>
      <c r="H78" s="115">
        <f ca="1"/>
        <v>401770.50159946072</v>
      </c>
      <c r="I78" s="115">
        <f ca="1"/>
        <v>401770.50159946072</v>
      </c>
      <c r="J78" s="115">
        <f ca="1"/>
        <v>401770.50159946072</v>
      </c>
      <c r="K78" s="115">
        <f ca="1"/>
        <v>401770.50159946072</v>
      </c>
      <c r="L78" s="115">
        <f ca="1"/>
        <v>401770.50159946072</v>
      </c>
      <c r="M78" s="115">
        <f ca="1"/>
        <v>401770.50159946072</v>
      </c>
      <c r="N78" s="3" t="s">
        <v>455</v>
      </c>
      <c r="Z78" s="171" t="s">
        <v>627</v>
      </c>
    </row>
    <row r="79" spans="1:26" s="4" customFormat="1" x14ac:dyDescent="0.2">
      <c r="A79" s="86" t="s">
        <v>618</v>
      </c>
      <c r="B79" s="86"/>
      <c r="C79" s="115">
        <f ca="1" xml:space="preserve"> CORRECT_RE_CO2_0_b * TOTAL_E_CO2_0_b * (TIME_CO2_HIST_b / (1 + TIME_CO2_HIST_b/TIME_CO2_OCEAN_LONG)) * (PERCENT_CO2_OCEAN_LONG/100)</f>
        <v>337946.21049821156</v>
      </c>
      <c r="D79" s="115">
        <f t="array" aca="1" ref="D79:M79" ca="1" xml:space="preserve"> CORRECT_RE_CO2_0_b * TOTAL_E_CO2_0_b * (TIME_CO2_HIST_b / (1 + TIME_CO2_HIST_b/TIME_CO2_OCEAN_LONG)) * (PERCENT_CO2_OCEAN_LONG/100)* EXP(-(Y-Y_0)/TIME_CO2_OCEAN_LONG)</f>
        <v>332582.81468811649</v>
      </c>
      <c r="E79" s="115">
        <f ca="1"/>
        <v>327304.53897619719</v>
      </c>
      <c r="F79" s="115">
        <f ca="1"/>
        <v>322110.03245877812</v>
      </c>
      <c r="G79" s="115">
        <f ca="1"/>
        <v>311967.03025047306</v>
      </c>
      <c r="H79" s="115">
        <f ca="1"/>
        <v>302143.42353883217</v>
      </c>
      <c r="I79" s="115">
        <f ca="1"/>
        <v>292629.15480033384</v>
      </c>
      <c r="J79" s="115">
        <f ca="1"/>
        <v>283414.48321529373</v>
      </c>
      <c r="K79" s="115">
        <f ca="1"/>
        <v>274489.97469509963</v>
      </c>
      <c r="L79" s="115">
        <f ca="1"/>
        <v>265846.49222348083</v>
      </c>
      <c r="M79" s="115">
        <f ca="1"/>
        <v>257475.18650192436</v>
      </c>
      <c r="N79" s="3" t="s">
        <v>455</v>
      </c>
      <c r="Z79" s="171" t="s">
        <v>627</v>
      </c>
    </row>
    <row r="80" spans="1:26" s="4" customFormat="1" x14ac:dyDescent="0.2">
      <c r="A80" s="86" t="s">
        <v>616</v>
      </c>
      <c r="B80" s="86"/>
      <c r="C80" s="115">
        <f ca="1" xml:space="preserve"> CORRECT_RE_CO2_0_b * TOTAL_E_CO2_0_b * (TIME_CO2_HIST_b / (1 + TIME_CO2_HIST_b/TIME_CO2_OCEAN_SHORT)) * (PERCENT_CO2_OCEAN_SHORT/100)</f>
        <v>183560.26159338013</v>
      </c>
      <c r="D80" s="115">
        <f t="array" aca="1" ref="D80:M80" ca="1" xml:space="preserve"> CORRECT_RE_CO2_0_b * TOTAL_E_CO2_0_b * (TIME_CO2_HIST_b / (1 + TIME_CO2_HIST_b/TIME_CO2_OCEAN_SHORT)) * (PERCENT_CO2_OCEAN_SHORT/100) * EXP(-(Y-Y_0)/TIME_CO2_OCEAN_SHORT)</f>
        <v>159041.8642390719</v>
      </c>
      <c r="E80" s="115">
        <f ca="1"/>
        <v>137798.42304142579</v>
      </c>
      <c r="F80" s="115">
        <f ca="1"/>
        <v>119392.49758893893</v>
      </c>
      <c r="G80" s="115">
        <f ca="1"/>
        <v>89627.775357922786</v>
      </c>
      <c r="H80" s="115">
        <f ca="1"/>
        <v>67283.441404064375</v>
      </c>
      <c r="I80" s="115">
        <f ca="1"/>
        <v>50509.582203682228</v>
      </c>
      <c r="J80" s="115">
        <f ca="1"/>
        <v>37917.470348602306</v>
      </c>
      <c r="K80" s="115">
        <f ca="1"/>
        <v>28464.590180916657</v>
      </c>
      <c r="L80" s="115">
        <f ca="1"/>
        <v>21368.32670319219</v>
      </c>
      <c r="M80" s="115">
        <f ca="1"/>
        <v>16041.171968127457</v>
      </c>
      <c r="N80" s="3" t="s">
        <v>455</v>
      </c>
      <c r="Z80" s="171" t="s">
        <v>627</v>
      </c>
    </row>
    <row r="81" spans="1:26" s="4" customFormat="1" x14ac:dyDescent="0.2">
      <c r="A81" s="86" t="s">
        <v>607</v>
      </c>
      <c r="B81" s="86"/>
      <c r="C81" s="115">
        <f ca="1" xml:space="preserve"> CORRECT_RE_CO2_0_b * TOTAL_E_CO2_0_b * (TIME_CO2_HIST_b / (1 + TIME_CO2_HIST_b/TIME_CO2_LAND)) * (PERCENT_CO2_LAND/100)</f>
        <v>35027.776308947454</v>
      </c>
      <c r="D81" s="115">
        <f t="array" aca="1" ref="D81:M81" ca="1" xml:space="preserve"> CORRECT_RE_CO2_0_b * TOTAL_E_CO2_0_b * (TIME_CO2_HIST_b / (1 + TIME_CO2_HIST_b/TIME_CO2_LAND)) * (PERCENT_CO2_LAND/100) * EXP(-(Y-Y_0)/TIME_CO2_LAND)</f>
        <v>10824.356466116675</v>
      </c>
      <c r="E81" s="115">
        <f ca="1"/>
        <v>3344.9652033901143</v>
      </c>
      <c r="F81" s="115">
        <f ca="1"/>
        <v>1033.6681212333299</v>
      </c>
      <c r="G81" s="115">
        <f ca="1"/>
        <v>98.709774405402953</v>
      </c>
      <c r="H81" s="115">
        <f ca="1"/>
        <v>9.4262552583510661</v>
      </c>
      <c r="I81" s="115">
        <f ca="1"/>
        <v>0.90015693715056966</v>
      </c>
      <c r="J81" s="115">
        <f ca="1"/>
        <v>8.5960170745687736E-2</v>
      </c>
      <c r="K81" s="115">
        <f ca="1"/>
        <v>8.2087363321533685E-3</v>
      </c>
      <c r="L81" s="115">
        <f ca="1"/>
        <v>7.8389039465926228E-4</v>
      </c>
      <c r="M81" s="115">
        <f ca="1"/>
        <v>7.4857338081641219E-5</v>
      </c>
      <c r="N81" s="3" t="s">
        <v>455</v>
      </c>
      <c r="Z81" s="171" t="s">
        <v>627</v>
      </c>
    </row>
    <row r="82" spans="1:26" s="4" customFormat="1" x14ac:dyDescent="0.2">
      <c r="A82" s="86" t="s">
        <v>608</v>
      </c>
      <c r="B82" s="86"/>
      <c r="C82" s="206">
        <v>0</v>
      </c>
      <c r="D82" s="115">
        <f ca="1" xml:space="preserve"> 0.5*(TOTAL_E_CO2_0_b + total_e_co2_1_b) * YP_1 * (PERCENT_CO2_STAY/100)</f>
        <v>49714.936340279433</v>
      </c>
      <c r="E82" s="115">
        <f t="array" ref="E82:M82" ca="1" xml:space="preserve"> asymp_comp_co2_proj_b + 0.5*(total_e_co2_b + total_e_co2_not_1_b) * YP_NOT_1 * (PERCENT_CO2_STAY/100)</f>
        <v>106046.37632419993</v>
      </c>
      <c r="F82" s="115">
        <f ca="1"/>
        <v>169836.69797056788</v>
      </c>
      <c r="G82" s="115">
        <f ca="1"/>
        <v>325253.07107356319</v>
      </c>
      <c r="H82" s="115">
        <f ca="1"/>
        <v>524481.38851390732</v>
      </c>
      <c r="I82" s="115">
        <f ca="1"/>
        <v>775552.76855014893</v>
      </c>
      <c r="J82" s="115">
        <f ca="1"/>
        <v>1081426.2919358555</v>
      </c>
      <c r="K82" s="115">
        <f ca="1"/>
        <v>1434036.2283867463</v>
      </c>
      <c r="L82" s="115">
        <f ca="1"/>
        <v>1810675.0068428321</v>
      </c>
      <c r="M82" s="115">
        <f ca="1"/>
        <v>2187943.3150961129</v>
      </c>
      <c r="N82" s="3" t="s">
        <v>455</v>
      </c>
      <c r="Z82" s="171" t="s">
        <v>628</v>
      </c>
    </row>
    <row r="83" spans="1:26" s="4" customFormat="1" x14ac:dyDescent="0.2">
      <c r="A83" s="86" t="s">
        <v>619</v>
      </c>
      <c r="B83" s="86"/>
      <c r="C83" s="206">
        <v>0</v>
      </c>
      <c r="D83" s="115">
        <f ca="1" xml:space="preserve"> 0.5 * (TOTAL_E_CO2_0_b + total_e_co2_1_b) * TIME_CO2_OCEAN_LONG * (1 - EXP(-YP_1/TIME_CO2_OCEAN_LONG)) * (PERCENT_CO2_OCEAN_LONG/100)</f>
        <v>48383.162057626389</v>
      </c>
      <c r="E83" s="115">
        <f t="array" ref="E83:M83" ca="1" xml:space="preserve"> ocean_long_comp_co2_proj_b * EXP(-YP_NOT_1/TIME_CO2_OCEAN_LONG) + 0.5*(total_e_co2_b + total_e_co2_not_1_b) * TIME_CO2_OCEAN_LONG * (1 - EXP(-YP_NOT_1/TIME_CO2_OCEAN_LONG)) * (PERCENT_CO2_OCEAN_LONG/100)</f>
        <v>102437.71554780588</v>
      </c>
      <c r="F83" s="115">
        <f ca="1"/>
        <v>162893.46452654802</v>
      </c>
      <c r="G83" s="115">
        <f ca="1"/>
        <v>307816.88301643834</v>
      </c>
      <c r="H83" s="115">
        <f ca="1"/>
        <v>490476.72605186736</v>
      </c>
      <c r="I83" s="115">
        <f ca="1"/>
        <v>717438.65903040953</v>
      </c>
      <c r="J83" s="115">
        <f ca="1"/>
        <v>990164.60267368937</v>
      </c>
      <c r="K83" s="115">
        <f ca="1"/>
        <v>1299426.1082651024</v>
      </c>
      <c r="L83" s="115">
        <f ca="1"/>
        <v>1622148.7866173871</v>
      </c>
      <c r="M83" s="115">
        <f ca="1"/>
        <v>1935316.9751479817</v>
      </c>
      <c r="N83" s="3" t="s">
        <v>455</v>
      </c>
      <c r="Z83" s="171" t="s">
        <v>628</v>
      </c>
    </row>
    <row r="84" spans="1:26" s="4" customFormat="1" x14ac:dyDescent="0.2">
      <c r="A84" s="86" t="s">
        <v>617</v>
      </c>
      <c r="B84" s="86"/>
      <c r="C84" s="206">
        <v>0</v>
      </c>
      <c r="D84" s="115">
        <f ca="1" xml:space="preserve"> 0.5 * (TOTAL_E_CO2_0_b + total_e_co2_1_b) * TIME_CO2_OCEAN_SHORT * (1 - EXP(-YP_1/TIME_CO2_OCEAN_SHORT)) * (PERCENT_CO2_OCEAN_SHORT/100)</f>
        <v>52696.687523862907</v>
      </c>
      <c r="E84" s="115">
        <f t="array" ref="E84:M84" ca="1" xml:space="preserve"> ocean_short_comp_co2_proj_b * EXP(-YP_NOT_1/TIME_CO2_OCEAN_SHORT) + 0.5*(total_e_co2_b + total_e_co2_not_1_b) * TIME_CO2_OCEAN_SHORT * (1 - EXP(-YP_NOT_1/TIME_CO2_OCEAN_SHORT)) * (PERCENT_CO2_OCEAN_SHORT/100)</f>
        <v>105367.94727835763</v>
      </c>
      <c r="F84" s="115">
        <f ca="1"/>
        <v>158910.07698463619</v>
      </c>
      <c r="G84" s="115">
        <f ca="1"/>
        <v>273029.21514608845</v>
      </c>
      <c r="H84" s="115">
        <f ca="1"/>
        <v>402036.43497198122</v>
      </c>
      <c r="I84" s="115">
        <f ca="1"/>
        <v>550164.3833246443</v>
      </c>
      <c r="J84" s="115">
        <f ca="1"/>
        <v>715573.31523827254</v>
      </c>
      <c r="K84" s="115">
        <f ca="1"/>
        <v>885976.55166932975</v>
      </c>
      <c r="L84" s="115">
        <f ca="1"/>
        <v>1037667.0012575499</v>
      </c>
      <c r="M84" s="115">
        <f ca="1"/>
        <v>1152163.5243524546</v>
      </c>
      <c r="N84" s="3" t="s">
        <v>455</v>
      </c>
      <c r="Z84" s="171" t="s">
        <v>628</v>
      </c>
    </row>
    <row r="85" spans="1:26" s="4" customFormat="1" x14ac:dyDescent="0.2">
      <c r="A85" s="118" t="s">
        <v>609</v>
      </c>
      <c r="B85" s="116"/>
      <c r="C85" s="206">
        <v>0</v>
      </c>
      <c r="D85" s="115">
        <f ca="1" xml:space="preserve"> 0.5 * (TOTAL_E_CO2_0_b + total_e_co2_1_b) * TIME_CO2_LAND * (1 - EXP(-YP_1/TIME_CO2_LAND)) * (PERCENT_CO2_LAND/100)</f>
        <v>33681.357504099331</v>
      </c>
      <c r="E85" s="115">
        <f t="array" ref="E85:M85" ca="1" xml:space="preserve"> land_comp_co2_proj_b * EXP(-YP_NOT_1/TIME_CO2_LAND) + 0.5*(total_e_co2_b + total_e_co2_not_1_b) * TIME_CO2_LAND * (1 - EXP(-YP_NOT_1/TIME_CO2_LAND)) * (PERCENT_CO2_LAND/100)</f>
        <v>48572.253918778959</v>
      </c>
      <c r="F85" s="115">
        <f ca="1"/>
        <v>58227.185305046427</v>
      </c>
      <c r="G85" s="115">
        <f ca="1"/>
        <v>74475.810977808258</v>
      </c>
      <c r="H85" s="115">
        <f ca="1"/>
        <v>95454.756962291256</v>
      </c>
      <c r="I85" s="115">
        <f ca="1"/>
        <v>120446.61776182885</v>
      </c>
      <c r="J85" s="115">
        <f ca="1"/>
        <v>147133.81933419721</v>
      </c>
      <c r="K85" s="115">
        <f ca="1"/>
        <v>170406.37452134298</v>
      </c>
      <c r="L85" s="115">
        <f ca="1"/>
        <v>183283.75607934367</v>
      </c>
      <c r="M85" s="115">
        <f ca="1"/>
        <v>184792.62604186544</v>
      </c>
      <c r="N85" s="3" t="s">
        <v>455</v>
      </c>
      <c r="Z85" s="171" t="s">
        <v>628</v>
      </c>
    </row>
    <row r="86" spans="1:26" s="4" customFormat="1" x14ac:dyDescent="0.2">
      <c r="A86" s="58"/>
      <c r="D86" s="1"/>
      <c r="E86" s="1"/>
      <c r="F86" s="1"/>
      <c r="G86" s="1"/>
      <c r="H86" s="1"/>
      <c r="I86" s="1"/>
      <c r="J86" s="1"/>
      <c r="K86" s="1"/>
      <c r="L86" s="1"/>
      <c r="M86" s="1"/>
    </row>
    <row r="87" spans="1:26" s="4" customFormat="1" x14ac:dyDescent="0.2">
      <c r="A87" s="58" t="s">
        <v>165</v>
      </c>
      <c r="C87" s="104">
        <f ca="1">RE_CO2_NO_CCF_0</f>
        <v>958304.75000000023</v>
      </c>
      <c r="D87" s="104">
        <f ca="1">SUM(D78:D85)</f>
        <v>1088695.6804186339</v>
      </c>
      <c r="E87" s="104">
        <f t="shared" ref="E87:M87" ca="1" si="0">SUM(E78:E85)</f>
        <v>1232642.7218896162</v>
      </c>
      <c r="F87" s="104">
        <f t="shared" ca="1" si="0"/>
        <v>1394174.1245552097</v>
      </c>
      <c r="G87" s="104">
        <f t="shared" ca="1" si="0"/>
        <v>1784038.9971961603</v>
      </c>
      <c r="H87" s="104">
        <f t="shared" ca="1" si="0"/>
        <v>2283656.0992976632</v>
      </c>
      <c r="I87" s="104">
        <f t="shared" ca="1" si="0"/>
        <v>2908512.5674274461</v>
      </c>
      <c r="J87" s="104">
        <f t="shared" ca="1" si="0"/>
        <v>3657400.5703055426</v>
      </c>
      <c r="K87" s="104">
        <f t="shared" ca="1" si="0"/>
        <v>4494570.3375267349</v>
      </c>
      <c r="L87" s="104">
        <f t="shared" ca="1" si="0"/>
        <v>5342759.872107137</v>
      </c>
      <c r="M87" s="104">
        <f t="shared" ca="1" si="0"/>
        <v>6135503.3007827848</v>
      </c>
      <c r="N87" s="4" t="str">
        <f>'Base data'!$F$35</f>
        <v>Mtonne</v>
      </c>
    </row>
    <row r="88" spans="1:26" s="4" customFormat="1" x14ac:dyDescent="0.2">
      <c r="A88" s="58" t="s">
        <v>164</v>
      </c>
      <c r="C88" s="1"/>
      <c r="D88" s="28">
        <f t="array" ref="D88:M88" ca="1">PIC_CO2+EXC_CO2*(re_co2_no_ccff_b/RE_CO2_0)</f>
        <v>417576.36928444024</v>
      </c>
      <c r="E88" s="28">
        <f ca="1"/>
        <v>436031.11819097644</v>
      </c>
      <c r="F88" s="28">
        <f ca="1"/>
        <v>456740.27237887308</v>
      </c>
      <c r="G88" s="28">
        <f ca="1"/>
        <v>506722.9483584821</v>
      </c>
      <c r="H88" s="28">
        <f ca="1"/>
        <v>570776.42298687994</v>
      </c>
      <c r="I88" s="28">
        <f ca="1"/>
        <v>650886.22659326228</v>
      </c>
      <c r="J88" s="28">
        <f ca="1"/>
        <v>746897.50901353115</v>
      </c>
      <c r="K88" s="28">
        <f ca="1"/>
        <v>854226.96634958149</v>
      </c>
      <c r="L88" s="28">
        <f ca="1"/>
        <v>962969.21437270986</v>
      </c>
      <c r="M88" s="28">
        <f ca="1"/>
        <v>1064602.9872798442</v>
      </c>
      <c r="N88" s="4" t="str">
        <f>'Base data'!$F$13</f>
        <v>ppb</v>
      </c>
    </row>
    <row r="89" spans="1:26" s="4" customFormat="1" x14ac:dyDescent="0.2">
      <c r="A89" s="58" t="s">
        <v>418</v>
      </c>
      <c r="B89" s="58" t="s">
        <v>419</v>
      </c>
      <c r="C89" s="51"/>
      <c r="D89" s="26">
        <f t="array" ref="D89:M89" ca="1">IF(CCF*(rt_g_b)&lt;CCFFMAX,CCF*(rt_g_b),CCFFMAX)</f>
        <v>0</v>
      </c>
      <c r="E89" s="26">
        <f ca="1"/>
        <v>0</v>
      </c>
      <c r="F89" s="26">
        <f ca="1"/>
        <v>0</v>
      </c>
      <c r="G89" s="26">
        <f ca="1"/>
        <v>0</v>
      </c>
      <c r="H89" s="26">
        <f ca="1"/>
        <v>0</v>
      </c>
      <c r="I89" s="26">
        <f ca="1"/>
        <v>0</v>
      </c>
      <c r="J89" s="26">
        <f ca="1"/>
        <v>0</v>
      </c>
      <c r="K89" s="26">
        <f ca="1"/>
        <v>0</v>
      </c>
      <c r="L89" s="26">
        <f ca="1"/>
        <v>0</v>
      </c>
      <c r="M89" s="26">
        <f ca="1"/>
        <v>0</v>
      </c>
      <c r="N89" s="58" t="s">
        <v>38</v>
      </c>
    </row>
    <row r="90" spans="1:26" s="4" customFormat="1" x14ac:dyDescent="0.2">
      <c r="A90" s="58" t="s">
        <v>162</v>
      </c>
      <c r="B90" s="58" t="s">
        <v>163</v>
      </c>
      <c r="C90" s="51"/>
      <c r="D90" s="28">
        <f t="array" ref="D90:M90" ca="1">(c_co2_no_ccff_b-PIC_CO2)*gain_b/100</f>
        <v>0</v>
      </c>
      <c r="E90" s="28">
        <f ca="1"/>
        <v>0</v>
      </c>
      <c r="F90" s="28">
        <f ca="1"/>
        <v>0</v>
      </c>
      <c r="G90" s="28">
        <f ca="1"/>
        <v>0</v>
      </c>
      <c r="H90" s="28">
        <f ca="1"/>
        <v>0</v>
      </c>
      <c r="I90" s="28">
        <f ca="1"/>
        <v>0</v>
      </c>
      <c r="J90" s="28">
        <f ca="1"/>
        <v>0</v>
      </c>
      <c r="K90" s="28">
        <f ca="1"/>
        <v>0</v>
      </c>
      <c r="L90" s="28">
        <f ca="1"/>
        <v>0</v>
      </c>
      <c r="M90" s="28">
        <f ca="1"/>
        <v>0</v>
      </c>
      <c r="N90" s="4" t="s">
        <v>48</v>
      </c>
    </row>
    <row r="91" spans="1:26" s="4" customFormat="1" ht="15.75" x14ac:dyDescent="0.3">
      <c r="A91" s="58" t="s">
        <v>62</v>
      </c>
      <c r="B91" s="4" t="s">
        <v>63</v>
      </c>
      <c r="C91" s="28">
        <f>C_CO2_0</f>
        <v>400859.58333333337</v>
      </c>
      <c r="D91" s="28">
        <f t="array" ref="D91:M91" ca="1">c_co2_no_ccff_b+ccff_b</f>
        <v>417576.36928444024</v>
      </c>
      <c r="E91" s="28">
        <f ca="1"/>
        <v>436031.11819097644</v>
      </c>
      <c r="F91" s="28">
        <f ca="1"/>
        <v>456740.27237887308</v>
      </c>
      <c r="G91" s="28">
        <f ca="1"/>
        <v>506722.9483584821</v>
      </c>
      <c r="H91" s="28">
        <f ca="1"/>
        <v>570776.42298687994</v>
      </c>
      <c r="I91" s="28">
        <f ca="1"/>
        <v>650886.22659326228</v>
      </c>
      <c r="J91" s="28">
        <f ca="1"/>
        <v>746897.50901353115</v>
      </c>
      <c r="K91" s="28">
        <f ca="1"/>
        <v>854226.96634958149</v>
      </c>
      <c r="L91" s="28">
        <f ca="1"/>
        <v>962969.21437270986</v>
      </c>
      <c r="M91" s="28">
        <f ca="1"/>
        <v>1064602.9872798442</v>
      </c>
      <c r="N91" s="4" t="str">
        <f>'Base data'!$F$13</f>
        <v>ppb</v>
      </c>
      <c r="Y91" s="4" t="str">
        <f>'Base data'!$F$13</f>
        <v>ppb</v>
      </c>
    </row>
    <row r="92" spans="1:26" s="4" customFormat="1" ht="16.5" thickBot="1" x14ac:dyDescent="0.35">
      <c r="A92" s="6" t="s">
        <v>64</v>
      </c>
      <c r="B92" s="6" t="s">
        <v>65</v>
      </c>
      <c r="C92" s="35">
        <f>F_CO2_0</f>
        <v>1.68</v>
      </c>
      <c r="D92" s="35">
        <f t="array" ref="D92:M92" ca="1">F_CO2_0+FSLOPE_CO2*LN(c_co2_b/C_CO2_0)</f>
        <v>1.9047093654947154</v>
      </c>
      <c r="E92" s="35">
        <f ca="1"/>
        <v>2.142563271867477</v>
      </c>
      <c r="F92" s="35">
        <f ca="1"/>
        <v>2.3977703380351758</v>
      </c>
      <c r="G92" s="35">
        <f ca="1"/>
        <v>2.9689426085607344</v>
      </c>
      <c r="H92" s="35">
        <f ca="1"/>
        <v>3.6236250889434247</v>
      </c>
      <c r="I92" s="35">
        <f ca="1"/>
        <v>4.3459801303528511</v>
      </c>
      <c r="J92" s="35">
        <f ca="1"/>
        <v>5.1027422488824037</v>
      </c>
      <c r="K92" s="35">
        <f ca="1"/>
        <v>5.8412215001751822</v>
      </c>
      <c r="L92" s="35">
        <f ca="1"/>
        <v>6.5002563370158377</v>
      </c>
      <c r="M92" s="35">
        <f ca="1"/>
        <v>7.0521031485726473</v>
      </c>
      <c r="N92" s="6" t="str">
        <f>'Base data'!$F$21</f>
        <v>W/m2</v>
      </c>
      <c r="O92" s="6"/>
      <c r="P92" s="6"/>
      <c r="Q92" s="6"/>
      <c r="R92" s="6"/>
      <c r="S92" s="6"/>
      <c r="T92" s="6"/>
      <c r="U92" s="6"/>
      <c r="V92" s="6"/>
      <c r="W92" s="6"/>
      <c r="X92" s="6"/>
    </row>
    <row r="93" spans="1:26" s="4" customFormat="1" ht="13.5" thickTop="1" x14ac:dyDescent="0.2">
      <c r="A93" s="6"/>
      <c r="B93" s="6"/>
      <c r="C93" s="6"/>
      <c r="D93" s="6"/>
      <c r="E93" s="6"/>
      <c r="F93" s="6"/>
      <c r="G93" s="6"/>
      <c r="H93" s="6"/>
      <c r="I93" s="6"/>
      <c r="J93" s="6"/>
      <c r="K93" s="6"/>
      <c r="L93" s="6"/>
      <c r="M93" s="6"/>
      <c r="N93" s="6"/>
      <c r="O93" s="6"/>
      <c r="P93" s="6"/>
      <c r="Q93" s="6"/>
      <c r="R93" s="6"/>
      <c r="S93" s="6"/>
      <c r="T93" s="6"/>
      <c r="U93" s="6"/>
      <c r="V93" s="6"/>
      <c r="W93" s="6"/>
      <c r="X93" s="6"/>
    </row>
    <row r="94" spans="1:26" s="6" customFormat="1" ht="15.75" x14ac:dyDescent="0.3">
      <c r="A94" s="4" t="s">
        <v>61</v>
      </c>
      <c r="B94" s="58" t="s">
        <v>170</v>
      </c>
      <c r="C94" s="27">
        <f>STIM_CH4*RT_G_0</f>
        <v>0</v>
      </c>
      <c r="D94" s="27">
        <f t="array" ref="D94:M94" ca="1">STIM_CH4*rt_g_b</f>
        <v>0</v>
      </c>
      <c r="E94" s="27">
        <f ca="1"/>
        <v>0</v>
      </c>
      <c r="F94" s="27">
        <f ca="1"/>
        <v>0</v>
      </c>
      <c r="G94" s="27">
        <f ca="1"/>
        <v>0</v>
      </c>
      <c r="H94" s="27">
        <f ca="1"/>
        <v>0</v>
      </c>
      <c r="I94" s="27">
        <f ca="1"/>
        <v>0</v>
      </c>
      <c r="J94" s="27">
        <f ca="1"/>
        <v>0</v>
      </c>
      <c r="K94" s="27">
        <f ca="1"/>
        <v>0</v>
      </c>
      <c r="L94" s="27">
        <f ca="1"/>
        <v>0</v>
      </c>
      <c r="M94" s="27">
        <f ca="1"/>
        <v>0</v>
      </c>
      <c r="N94" s="4" t="s">
        <v>566</v>
      </c>
      <c r="O94" s="4"/>
      <c r="P94" s="4"/>
      <c r="Q94" s="4"/>
      <c r="R94" s="4"/>
      <c r="S94" s="4"/>
      <c r="T94" s="4"/>
      <c r="U94" s="4"/>
      <c r="V94" s="4"/>
      <c r="W94" s="4"/>
      <c r="X94" s="4"/>
    </row>
    <row r="95" spans="1:26" s="6" customFormat="1" ht="15.75" x14ac:dyDescent="0.3">
      <c r="A95" s="58" t="s">
        <v>447</v>
      </c>
      <c r="B95" s="4" t="s">
        <v>56</v>
      </c>
      <c r="C95" s="28">
        <f>(E_CH4_G_0)*AIR_CH4/100</f>
        <v>388.04551912411659</v>
      </c>
      <c r="D95" s="28">
        <f t="array" ref="D95:M95">(e_ch4_g_b)*AIR_CH4/100</f>
        <v>397.41927027557637</v>
      </c>
      <c r="E95" s="28">
        <v>425.63209302437929</v>
      </c>
      <c r="F95" s="28">
        <v>453.84491577318227</v>
      </c>
      <c r="G95" s="28">
        <v>540.35449061585257</v>
      </c>
      <c r="H95" s="28">
        <v>588.22877068466369</v>
      </c>
      <c r="I95" s="28">
        <v>597.77326877323037</v>
      </c>
      <c r="J95" s="28">
        <v>600.87416505373653</v>
      </c>
      <c r="K95" s="28">
        <v>576.9462896329328</v>
      </c>
      <c r="L95" s="28">
        <v>523.50242982838972</v>
      </c>
      <c r="M95" s="28">
        <v>487.86069853597934</v>
      </c>
      <c r="N95" s="4" t="s">
        <v>566</v>
      </c>
      <c r="O95" s="4"/>
      <c r="P95" s="4"/>
      <c r="Q95" s="4"/>
      <c r="R95" s="4"/>
      <c r="S95" s="4"/>
      <c r="T95" s="4"/>
      <c r="U95" s="4"/>
      <c r="V95" s="4"/>
      <c r="W95" s="4"/>
      <c r="X95" s="4"/>
    </row>
    <row r="96" spans="1:26" s="6" customFormat="1" x14ac:dyDescent="0.2">
      <c r="A96" s="118" t="s">
        <v>446</v>
      </c>
      <c r="B96" s="116"/>
      <c r="C96" s="104"/>
      <c r="D96" s="104">
        <f ca="1">(NTE_CH4_0+nte_ch4_b)*(AIR_CH4/100)*YP_1/2</f>
        <v>0</v>
      </c>
      <c r="E96" s="104">
        <f t="array" ref="E96:M96" ca="1">(nte_ch4_b+nte_ch4_not_1_b)*(AIR_CH4/100)*YP_NOT_1/2</f>
        <v>0</v>
      </c>
      <c r="F96" s="104">
        <f ca="1"/>
        <v>0</v>
      </c>
      <c r="G96" s="104">
        <f ca="1"/>
        <v>0</v>
      </c>
      <c r="H96" s="104">
        <f ca="1"/>
        <v>0</v>
      </c>
      <c r="I96" s="104">
        <f ca="1"/>
        <v>0</v>
      </c>
      <c r="J96" s="104">
        <f ca="1"/>
        <v>0</v>
      </c>
      <c r="K96" s="104">
        <f ca="1"/>
        <v>0</v>
      </c>
      <c r="L96" s="104">
        <f ca="1"/>
        <v>0</v>
      </c>
      <c r="M96" s="104">
        <f ca="1"/>
        <v>0</v>
      </c>
      <c r="N96" s="4" t="str">
        <f>'Base data'!$G$35</f>
        <v>Mtonne</v>
      </c>
      <c r="O96" s="4"/>
      <c r="P96" s="4"/>
      <c r="Q96" s="4"/>
      <c r="R96" s="4"/>
      <c r="S96" s="4"/>
      <c r="T96" s="4"/>
      <c r="U96" s="4"/>
      <c r="V96" s="4"/>
      <c r="W96" s="4"/>
      <c r="X96" s="4"/>
    </row>
    <row r="97" spans="1:26" s="4" customFormat="1" x14ac:dyDescent="0.2">
      <c r="A97" s="118" t="s">
        <v>444</v>
      </c>
      <c r="B97" s="116"/>
      <c r="C97" s="116"/>
      <c r="D97" s="104">
        <f>(TEA_CH4_0+tea_ch4_b)*YP_1/2</f>
        <v>1963.6619734992325</v>
      </c>
      <c r="E97" s="104">
        <f t="array" ref="E97:M97">(tea_ch4_b+tea_ch4_not_1_b)*YP_NOT_1/2</f>
        <v>2057.6284082498892</v>
      </c>
      <c r="F97" s="104">
        <v>2198.6925219939039</v>
      </c>
      <c r="G97" s="104">
        <v>4970.9970319451741</v>
      </c>
      <c r="H97" s="104">
        <v>5642.9163065025823</v>
      </c>
      <c r="I97" s="104">
        <v>5930.0101972894709</v>
      </c>
      <c r="J97" s="104">
        <v>5993.2371691348344</v>
      </c>
      <c r="K97" s="104">
        <v>5889.1022734333465</v>
      </c>
      <c r="L97" s="104">
        <v>5502.2435973066131</v>
      </c>
      <c r="M97" s="104">
        <v>5056.815641821845</v>
      </c>
      <c r="N97" s="4" t="s">
        <v>264</v>
      </c>
    </row>
    <row r="98" spans="1:26" s="4" customFormat="1" x14ac:dyDescent="0.2">
      <c r="A98" s="118" t="s">
        <v>445</v>
      </c>
      <c r="B98" s="118"/>
      <c r="C98" s="116"/>
      <c r="D98" s="104">
        <f ca="1" xml:space="preserve"> (perm_tot_ce_ch4_1_b - PERM_TOT_CE_CH4_0_b) * (AIR_CH4/100)</f>
        <v>59.289878391316847</v>
      </c>
      <c r="E98" s="104">
        <f t="array" ref="E98:M98" ca="1" xml:space="preserve"> (perm_tot_ce_ch4_not_1_b - perm_tot_ce_ch4_b) * (AIR_CH4/100)</f>
        <v>68.714664205283952</v>
      </c>
      <c r="F98" s="104">
        <f ca="1"/>
        <v>78.111518132950778</v>
      </c>
      <c r="G98" s="104">
        <f ca="1"/>
        <v>212.14725017095452</v>
      </c>
      <c r="H98" s="104">
        <f ca="1"/>
        <v>267.7154693597156</v>
      </c>
      <c r="I98" s="104">
        <f ca="1"/>
        <v>342.20299606704975</v>
      </c>
      <c r="J98" s="104">
        <f ca="1"/>
        <v>428.57456464447205</v>
      </c>
      <c r="K98" s="104">
        <f ca="1"/>
        <v>520.79631566176658</v>
      </c>
      <c r="L98" s="104">
        <f ca="1"/>
        <v>624.26717229760152</v>
      </c>
      <c r="M98" s="104">
        <f ca="1"/>
        <v>720.14893671070695</v>
      </c>
      <c r="N98" s="4" t="s">
        <v>264</v>
      </c>
      <c r="Y98" s="171"/>
      <c r="Z98" s="171" t="s">
        <v>569</v>
      </c>
    </row>
    <row r="99" spans="1:26" s="4" customFormat="1" ht="15.75" x14ac:dyDescent="0.3">
      <c r="A99" s="113" t="s">
        <v>448</v>
      </c>
      <c r="B99" s="116" t="s">
        <v>58</v>
      </c>
      <c r="C99" s="115"/>
      <c r="D99" s="104">
        <f t="array" ref="D99:M99" ca="1">natur_teay_ch4_b+anthr_teay_ch4_b+perm_teay_ch4_b</f>
        <v>2022.9518518905493</v>
      </c>
      <c r="E99" s="104">
        <f ca="1"/>
        <v>2126.3430724551731</v>
      </c>
      <c r="F99" s="104">
        <f ca="1"/>
        <v>2276.8040401268545</v>
      </c>
      <c r="G99" s="104">
        <f ca="1"/>
        <v>5183.144282116129</v>
      </c>
      <c r="H99" s="104">
        <f ca="1"/>
        <v>5910.6317758622981</v>
      </c>
      <c r="I99" s="104">
        <f ca="1"/>
        <v>6272.2131933565206</v>
      </c>
      <c r="J99" s="104">
        <f ca="1"/>
        <v>6421.8117337793065</v>
      </c>
      <c r="K99" s="104">
        <f ca="1"/>
        <v>6409.8985890951135</v>
      </c>
      <c r="L99" s="104">
        <f ca="1"/>
        <v>6126.5107696042141</v>
      </c>
      <c r="M99" s="104">
        <f ca="1"/>
        <v>5776.964578532552</v>
      </c>
      <c r="N99" s="4" t="str">
        <f>'Base data'!$G$35</f>
        <v>Mtonne</v>
      </c>
    </row>
    <row r="100" spans="1:26" s="4" customFormat="1" x14ac:dyDescent="0.2">
      <c r="A100" s="6" t="s">
        <v>66</v>
      </c>
      <c r="B100" s="6"/>
      <c r="C100" s="6"/>
      <c r="D100" s="26">
        <f t="array" ref="D100:M100">EXP(-(YP/RES_CH4))</f>
        <v>0.62114515761545153</v>
      </c>
      <c r="E100" s="26">
        <v>0.62114515761545153</v>
      </c>
      <c r="F100" s="26">
        <v>0.62114515761545153</v>
      </c>
      <c r="G100" s="26">
        <v>0.38582130682912413</v>
      </c>
      <c r="H100" s="26">
        <v>0.38582130682912413</v>
      </c>
      <c r="I100" s="26">
        <v>0.38582130682912413</v>
      </c>
      <c r="J100" s="26">
        <v>0.38582130682912413</v>
      </c>
      <c r="K100" s="26">
        <v>0.38582130682912413</v>
      </c>
      <c r="L100" s="26">
        <v>0.38582130682912413</v>
      </c>
      <c r="M100" s="26">
        <v>0.38582130682912413</v>
      </c>
      <c r="N100" s="6"/>
      <c r="O100" s="6"/>
      <c r="P100" s="6"/>
      <c r="Q100" s="6"/>
      <c r="R100" s="6"/>
      <c r="S100" s="6"/>
      <c r="T100" s="6"/>
      <c r="U100" s="6"/>
      <c r="V100" s="6"/>
      <c r="W100" s="6"/>
      <c r="X100" s="6"/>
    </row>
    <row r="101" spans="1:26" s="4" customFormat="1" x14ac:dyDescent="0.2">
      <c r="A101" s="4" t="s">
        <v>67</v>
      </c>
      <c r="D101" s="28">
        <f>RE_CH4_0*EXPF_CH4</f>
        <v>1904.6422426025633</v>
      </c>
      <c r="E101" s="28">
        <f t="array" ref="E101:M101" ca="1">re_ch4_b*EXPF_CH4_NOT_1</f>
        <v>2182.7618274410706</v>
      </c>
      <c r="F101" s="28">
        <f ca="1"/>
        <v>2406.6083431391371</v>
      </c>
      <c r="G101" s="28">
        <f ca="1"/>
        <v>1627.4030065209488</v>
      </c>
      <c r="H101" s="28">
        <f ca="1"/>
        <v>1917.5120742632973</v>
      </c>
      <c r="I101" s="28">
        <f ca="1"/>
        <v>2210.4495064847142</v>
      </c>
      <c r="J101" s="28">
        <f ca="1"/>
        <v>2413.4365835219787</v>
      </c>
      <c r="K101" s="28">
        <f ca="1"/>
        <v>2528.9751432386201</v>
      </c>
      <c r="L101" s="28">
        <f ca="1"/>
        <v>2570.5882552813473</v>
      </c>
      <c r="M101" s="28">
        <f ca="1"/>
        <v>2516.1333640317721</v>
      </c>
      <c r="N101" s="4" t="str">
        <f>'Base data'!$G$35</f>
        <v>Mtonne</v>
      </c>
    </row>
    <row r="102" spans="1:26" s="6" customFormat="1" x14ac:dyDescent="0.2">
      <c r="A102" s="4" t="s">
        <v>68</v>
      </c>
      <c r="B102" s="4"/>
      <c r="C102" s="4"/>
      <c r="D102" s="14">
        <f t="array" ref="D102:M102" ca="1">teay_ch4_b*RES_CH4*(1-EXPF_CH4)/YP</f>
        <v>1609.4507204990014</v>
      </c>
      <c r="E102" s="14">
        <f ca="1"/>
        <v>1691.7082760980102</v>
      </c>
      <c r="F102" s="14">
        <f ca="1"/>
        <v>1811.4142951018016</v>
      </c>
      <c r="G102" s="14">
        <f ca="1"/>
        <v>3342.5456207914913</v>
      </c>
      <c r="H102" s="14">
        <f ca="1"/>
        <v>3811.693304909028</v>
      </c>
      <c r="I102" s="14">
        <f ca="1"/>
        <v>4044.8726875040761</v>
      </c>
      <c r="J102" s="14">
        <f ca="1"/>
        <v>4141.3469353640703</v>
      </c>
      <c r="K102" s="14">
        <f ca="1"/>
        <v>4133.664295748692</v>
      </c>
      <c r="L102" s="14">
        <f ca="1"/>
        <v>3950.9109970814543</v>
      </c>
      <c r="M102" s="14">
        <f ca="1"/>
        <v>3725.4929831044415</v>
      </c>
      <c r="N102" s="4" t="str">
        <f>'Base data'!$G$35</f>
        <v>Mtonne</v>
      </c>
      <c r="O102" s="4"/>
      <c r="P102" s="4"/>
      <c r="Q102" s="4"/>
      <c r="R102" s="4"/>
      <c r="S102" s="4"/>
      <c r="T102" s="4"/>
      <c r="U102" s="4"/>
      <c r="V102" s="4"/>
      <c r="W102" s="4"/>
      <c r="X102" s="4"/>
    </row>
    <row r="103" spans="1:26" s="4" customFormat="1" ht="15.75" x14ac:dyDescent="0.3">
      <c r="A103" s="4" t="s">
        <v>52</v>
      </c>
      <c r="B103" s="4" t="s">
        <v>53</v>
      </c>
      <c r="C103" s="14">
        <f>RE_CH4_0</f>
        <v>3066.3399999999997</v>
      </c>
      <c r="D103" s="14">
        <f t="shared" ref="D103:M103" ca="1" si="1">SUM(D101:D102)</f>
        <v>3514.0929631015647</v>
      </c>
      <c r="E103" s="14">
        <f t="shared" ca="1" si="1"/>
        <v>3874.4701035390808</v>
      </c>
      <c r="F103" s="14">
        <f t="shared" ca="1" si="1"/>
        <v>4218.0226382409382</v>
      </c>
      <c r="G103" s="14">
        <f t="shared" ca="1" si="1"/>
        <v>4969.9486273124403</v>
      </c>
      <c r="H103" s="14">
        <f t="shared" ca="1" si="1"/>
        <v>5729.2053791723256</v>
      </c>
      <c r="I103" s="14">
        <f t="shared" ca="1" si="1"/>
        <v>6255.3221939887899</v>
      </c>
      <c r="J103" s="14">
        <f t="shared" ca="1" si="1"/>
        <v>6554.783518886049</v>
      </c>
      <c r="K103" s="14">
        <f t="shared" ca="1" si="1"/>
        <v>6662.6394389873121</v>
      </c>
      <c r="L103" s="14">
        <f t="shared" ca="1" si="1"/>
        <v>6521.4992523628016</v>
      </c>
      <c r="M103" s="14">
        <f t="shared" ca="1" si="1"/>
        <v>6241.6263471362136</v>
      </c>
      <c r="N103" s="4" t="str">
        <f>'Base data'!$G$35</f>
        <v>Mtonne</v>
      </c>
    </row>
    <row r="104" spans="1:26" s="4" customFormat="1" ht="15.75" x14ac:dyDescent="0.3">
      <c r="A104" s="4" t="s">
        <v>69</v>
      </c>
      <c r="B104" s="4" t="s">
        <v>70</v>
      </c>
      <c r="C104" s="14">
        <f>C_CH4_0</f>
        <v>1803</v>
      </c>
      <c r="D104" s="14">
        <f t="array" ref="D104:M104" ca="1">PIC_CH4+EXC_CH4*(re_ch4_b/RE_CH4_0)</f>
        <v>1964.0622169430092</v>
      </c>
      <c r="E104" s="14">
        <f ca="1"/>
        <v>2093.6942818485904</v>
      </c>
      <c r="F104" s="14">
        <f ca="1"/>
        <v>2217.2743303024963</v>
      </c>
      <c r="G104" s="14">
        <f ca="1"/>
        <v>2487.7513047886478</v>
      </c>
      <c r="H104" s="14">
        <f ca="1"/>
        <v>2760.8652443065921</v>
      </c>
      <c r="I104" s="14">
        <f ca="1"/>
        <v>2950.1158971182704</v>
      </c>
      <c r="J104" s="14">
        <f ca="1"/>
        <v>3057.8357981604495</v>
      </c>
      <c r="K104" s="14">
        <f ca="1"/>
        <v>3096.6328917220549</v>
      </c>
      <c r="L104" s="14">
        <f ca="1"/>
        <v>3045.8630404182741</v>
      </c>
      <c r="M104" s="14">
        <f ca="1"/>
        <v>2945.1893335022355</v>
      </c>
      <c r="N104" s="4" t="str">
        <f>'Base data'!$F$19</f>
        <v>ppb</v>
      </c>
    </row>
    <row r="105" spans="1:26" s="4" customFormat="1" ht="13.5" thickBot="1" x14ac:dyDescent="0.25">
      <c r="A105" s="6" t="s">
        <v>157</v>
      </c>
      <c r="B105" s="6"/>
      <c r="C105" s="35">
        <f>F_CH4_0</f>
        <v>0.48</v>
      </c>
      <c r="D105" s="35">
        <f t="array" ref="D105:M105" ca="1">F_CH4_0+FSLOPE_CH4*(SQRT(c_ch4_b)-SQRT(C_CH4_0))</f>
        <v>0.54681578646492723</v>
      </c>
      <c r="E105" s="35">
        <f ca="1"/>
        <v>0.59862564147256048</v>
      </c>
      <c r="F105" s="35">
        <f ca="1"/>
        <v>0.64654302086202997</v>
      </c>
      <c r="G105" s="35">
        <f ca="1"/>
        <v>0.74696214567226116</v>
      </c>
      <c r="H105" s="35">
        <f ca="1"/>
        <v>0.84295879794448103</v>
      </c>
      <c r="I105" s="35">
        <f ca="1"/>
        <v>0.90671598745865789</v>
      </c>
      <c r="J105" s="35">
        <f ca="1"/>
        <v>0.94209434659072744</v>
      </c>
      <c r="K105" s="35">
        <f ca="1"/>
        <v>0.95468341429291681</v>
      </c>
      <c r="L105" s="35">
        <f ca="1"/>
        <v>0.93819326208330556</v>
      </c>
      <c r="M105" s="35">
        <f ca="1"/>
        <v>0.90508264034974872</v>
      </c>
      <c r="N105" s="6" t="str">
        <f>'Base data'!$F$21</f>
        <v>W/m2</v>
      </c>
      <c r="O105" s="6"/>
      <c r="P105" s="6"/>
      <c r="Q105" s="6"/>
      <c r="R105" s="6"/>
      <c r="S105" s="6"/>
      <c r="T105" s="6"/>
      <c r="U105" s="6"/>
      <c r="V105" s="6"/>
      <c r="W105" s="6"/>
      <c r="X105" s="6"/>
    </row>
    <row r="106" spans="1:26" s="4" customFormat="1" ht="13.5" thickTop="1"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row>
    <row r="107" spans="1:26" s="6" customFormat="1" ht="15.75" x14ac:dyDescent="0.3">
      <c r="A107" s="4" t="s">
        <v>146</v>
      </c>
      <c r="B107" s="58" t="s">
        <v>171</v>
      </c>
      <c r="C107" s="27">
        <f>STIM_N2O*RT_G_0</f>
        <v>0</v>
      </c>
      <c r="D107" s="27">
        <f t="array" ref="D107:M107" ca="1">STIM_N2O*rt_g_b</f>
        <v>0</v>
      </c>
      <c r="E107" s="27">
        <f ca="1"/>
        <v>0</v>
      </c>
      <c r="F107" s="27">
        <f ca="1"/>
        <v>0</v>
      </c>
      <c r="G107" s="27">
        <f ca="1"/>
        <v>0</v>
      </c>
      <c r="H107" s="27">
        <f ca="1"/>
        <v>0</v>
      </c>
      <c r="I107" s="27">
        <f ca="1"/>
        <v>0</v>
      </c>
      <c r="J107" s="27">
        <f ca="1"/>
        <v>0</v>
      </c>
      <c r="K107" s="27">
        <f ca="1"/>
        <v>0</v>
      </c>
      <c r="L107" s="27">
        <f ca="1"/>
        <v>0</v>
      </c>
      <c r="M107" s="27">
        <f ca="1"/>
        <v>0</v>
      </c>
      <c r="N107" s="4" t="s">
        <v>566</v>
      </c>
      <c r="O107" s="4"/>
      <c r="P107" s="4"/>
      <c r="Q107" s="4"/>
      <c r="R107" s="4"/>
      <c r="S107" s="4"/>
      <c r="T107" s="4"/>
      <c r="U107" s="4"/>
      <c r="V107" s="4"/>
      <c r="W107" s="4"/>
      <c r="X107" s="4"/>
    </row>
    <row r="108" spans="1:26" s="6" customFormat="1" ht="15.75" x14ac:dyDescent="0.3">
      <c r="A108" s="4" t="s">
        <v>147</v>
      </c>
      <c r="B108" s="58" t="s">
        <v>118</v>
      </c>
      <c r="C108" s="28">
        <f>(E_N2O_G_0+NTE_N2O_0)*AIR_N2O/100</f>
        <v>10.899999719202661</v>
      </c>
      <c r="D108" s="28">
        <f t="array" ref="D108:M108" ca="1">(e_n2o_g_b+nte_n2o_b)*AIR_N2O/100</f>
        <v>11.732671526299519</v>
      </c>
      <c r="E108" s="28">
        <f ca="1"/>
        <v>12.189718147026037</v>
      </c>
      <c r="F108" s="28">
        <f ca="1"/>
        <v>12.646764767752556</v>
      </c>
      <c r="G108" s="28">
        <f ca="1"/>
        <v>13.379859283858446</v>
      </c>
      <c r="H108" s="28">
        <f ca="1"/>
        <v>13.17127114761613</v>
      </c>
      <c r="I108" s="28">
        <f ca="1"/>
        <v>13.436485674553984</v>
      </c>
      <c r="J108" s="28">
        <f ca="1"/>
        <v>13.43413753557167</v>
      </c>
      <c r="K108" s="28">
        <f ca="1"/>
        <v>13.488316052524462</v>
      </c>
      <c r="L108" s="28">
        <f ca="1"/>
        <v>13.223978059334137</v>
      </c>
      <c r="M108" s="28">
        <f ca="1"/>
        <v>12.725011572188123</v>
      </c>
      <c r="N108" s="4" t="s">
        <v>566</v>
      </c>
      <c r="O108" s="4"/>
      <c r="P108" s="4"/>
      <c r="Q108" s="4"/>
      <c r="R108" s="4"/>
      <c r="S108" s="4"/>
      <c r="T108" s="4"/>
      <c r="U108" s="4"/>
      <c r="V108" s="4"/>
      <c r="W108" s="4"/>
      <c r="X108" s="4"/>
    </row>
    <row r="109" spans="1:26" s="4" customFormat="1" ht="15.75" x14ac:dyDescent="0.3">
      <c r="A109" s="4" t="s">
        <v>148</v>
      </c>
      <c r="B109" s="58" t="s">
        <v>119</v>
      </c>
      <c r="D109" s="28">
        <f ca="1">(TEA_N2O_0+tea_n2o_b)*YP_1/2</f>
        <v>56.581678113755451</v>
      </c>
      <c r="E109" s="28">
        <f t="array" ref="E109:M109" ca="1">(tea_n2o_b+tea_n2o_not_1_b)*YP_NOT_1/2</f>
        <v>59.805974183313886</v>
      </c>
      <c r="F109" s="28">
        <f ca="1"/>
        <v>62.091207286946485</v>
      </c>
      <c r="G109" s="28">
        <f ca="1"/>
        <v>130.13312025805502</v>
      </c>
      <c r="H109" s="28">
        <f ca="1"/>
        <v>132.75565215737288</v>
      </c>
      <c r="I109" s="28">
        <f ca="1"/>
        <v>133.03878411085057</v>
      </c>
      <c r="J109" s="28">
        <f ca="1"/>
        <v>134.35311605062827</v>
      </c>
      <c r="K109" s="28">
        <f ca="1"/>
        <v>134.61226794048065</v>
      </c>
      <c r="L109" s="28">
        <f ca="1"/>
        <v>133.56147055929299</v>
      </c>
      <c r="M109" s="28">
        <f ca="1"/>
        <v>129.7449481576113</v>
      </c>
      <c r="N109" s="4" t="str">
        <f>'Base data'!$G$35</f>
        <v>Mtonne</v>
      </c>
    </row>
    <row r="110" spans="1:26" s="4" customFormat="1" x14ac:dyDescent="0.2">
      <c r="A110" s="6" t="s">
        <v>149</v>
      </c>
      <c r="B110" s="6"/>
      <c r="C110" s="6"/>
      <c r="D110" s="26">
        <f t="array" ref="D110:M110">EXP(-(YP/RES_N2O))</f>
        <v>0.95708827622606829</v>
      </c>
      <c r="E110" s="26">
        <v>0.95708827622606829</v>
      </c>
      <c r="F110" s="26">
        <v>0.95708827622606829</v>
      </c>
      <c r="G110" s="26">
        <v>0.91601796848938666</v>
      </c>
      <c r="H110" s="26">
        <v>0.91601796848938666</v>
      </c>
      <c r="I110" s="26">
        <v>0.91601796848938666</v>
      </c>
      <c r="J110" s="26">
        <v>0.91601796848938666</v>
      </c>
      <c r="K110" s="26">
        <v>0.91601796848938666</v>
      </c>
      <c r="L110" s="26">
        <v>0.91601796848938666</v>
      </c>
      <c r="M110" s="26">
        <v>0.91601796848938666</v>
      </c>
      <c r="N110" s="6"/>
      <c r="O110" s="6"/>
      <c r="P110" s="6"/>
      <c r="Q110" s="6"/>
      <c r="R110" s="6"/>
      <c r="S110" s="6"/>
      <c r="T110" s="6"/>
      <c r="U110" s="6"/>
      <c r="V110" s="6"/>
      <c r="W110" s="6"/>
      <c r="X110" s="6"/>
    </row>
    <row r="111" spans="1:26" s="4" customFormat="1" x14ac:dyDescent="0.2">
      <c r="A111" s="4" t="s">
        <v>150</v>
      </c>
      <c r="D111" s="28">
        <f>RE_N2O_0*EXPF_N2O</f>
        <v>403.12558194641997</v>
      </c>
      <c r="E111" s="28">
        <f t="array" ref="E111:M111" ca="1">re_n2o_b*EXPF_N2O_NOT_1</f>
        <v>438.81002238621699</v>
      </c>
      <c r="F111" s="28">
        <f ca="1"/>
        <v>475.98242254012348</v>
      </c>
      <c r="G111" s="28">
        <f ca="1"/>
        <v>491.65585518495345</v>
      </c>
      <c r="H111" s="28">
        <f ca="1"/>
        <v>564.49119489598877</v>
      </c>
      <c r="I111" s="28">
        <f ca="1"/>
        <v>633.50961212790071</v>
      </c>
      <c r="J111" s="28">
        <f ca="1"/>
        <v>696.98002669183199</v>
      </c>
      <c r="K111" s="28">
        <f ca="1"/>
        <v>756.2727244039088</v>
      </c>
      <c r="L111" s="28">
        <f ca="1"/>
        <v>810.81317482715679</v>
      </c>
      <c r="M111" s="28">
        <f ca="1"/>
        <v>859.85166740086595</v>
      </c>
      <c r="N111" s="4" t="str">
        <f>'Base data'!$G$35</f>
        <v>Mtonne</v>
      </c>
    </row>
    <row r="112" spans="1:26" s="6" customFormat="1" x14ac:dyDescent="0.2">
      <c r="A112" s="4" t="s">
        <v>151</v>
      </c>
      <c r="B112" s="4"/>
      <c r="C112" s="4"/>
      <c r="D112" s="14">
        <f t="array" ref="D112:M112" ca="1">teay_n2o_b*RES_N2O*(1-EXPF_N2O)/YP</f>
        <v>55.358795394932201</v>
      </c>
      <c r="E112" s="14">
        <f ca="1"/>
        <v>58.513405727423859</v>
      </c>
      <c r="F112" s="14">
        <f ca="1"/>
        <v>60.749248778232335</v>
      </c>
      <c r="G112" s="14">
        <f ca="1"/>
        <v>124.58881938938509</v>
      </c>
      <c r="H112" s="14">
        <f ca="1"/>
        <v>127.09961873469464</v>
      </c>
      <c r="I112" s="14">
        <f ca="1"/>
        <v>127.37068789637499</v>
      </c>
      <c r="J112" s="14">
        <f ca="1"/>
        <v>128.62902293312769</v>
      </c>
      <c r="K112" s="14">
        <f ca="1"/>
        <v>128.87713369797532</v>
      </c>
      <c r="L112" s="14">
        <f ca="1"/>
        <v>127.87110537190415</v>
      </c>
      <c r="M112" s="14">
        <f ca="1"/>
        <v>124.21718529947563</v>
      </c>
      <c r="N112" s="4" t="str">
        <f>'Base data'!$G$35</f>
        <v>Mtonne</v>
      </c>
      <c r="O112" s="4"/>
      <c r="P112" s="4"/>
      <c r="Q112" s="4"/>
      <c r="R112" s="4"/>
      <c r="S112" s="4"/>
      <c r="T112" s="4"/>
      <c r="U112" s="4"/>
      <c r="V112" s="4"/>
      <c r="W112" s="4"/>
      <c r="X112" s="4"/>
    </row>
    <row r="113" spans="1:24" s="4" customFormat="1" ht="15.75" x14ac:dyDescent="0.3">
      <c r="A113" s="4" t="s">
        <v>152</v>
      </c>
      <c r="B113" s="58" t="s">
        <v>120</v>
      </c>
      <c r="C113" s="14">
        <f>RE_N2O_0</f>
        <v>421.2</v>
      </c>
      <c r="D113" s="14">
        <f t="shared" ref="D113:M113" ca="1" si="2">SUM(D111:D112)</f>
        <v>458.48437734135217</v>
      </c>
      <c r="E113" s="14">
        <f t="shared" ca="1" si="2"/>
        <v>497.32342811364083</v>
      </c>
      <c r="F113" s="14">
        <f t="shared" ca="1" si="2"/>
        <v>536.73167131835578</v>
      </c>
      <c r="G113" s="14">
        <f t="shared" ca="1" si="2"/>
        <v>616.24467457433855</v>
      </c>
      <c r="H113" s="14">
        <f t="shared" ca="1" si="2"/>
        <v>691.59081363068344</v>
      </c>
      <c r="I113" s="14">
        <f t="shared" ca="1" si="2"/>
        <v>760.8803000242757</v>
      </c>
      <c r="J113" s="14">
        <f t="shared" ca="1" si="2"/>
        <v>825.60904962495965</v>
      </c>
      <c r="K113" s="14">
        <f t="shared" ca="1" si="2"/>
        <v>885.14985810188409</v>
      </c>
      <c r="L113" s="14">
        <f t="shared" ca="1" si="2"/>
        <v>938.68428019906094</v>
      </c>
      <c r="M113" s="14">
        <f t="shared" ca="1" si="2"/>
        <v>984.06885270034161</v>
      </c>
      <c r="N113" s="4" t="str">
        <f>'Base data'!$G$35</f>
        <v>Mtonne</v>
      </c>
    </row>
    <row r="114" spans="1:24" s="4" customFormat="1" ht="15.75" x14ac:dyDescent="0.3">
      <c r="A114" s="4" t="s">
        <v>153</v>
      </c>
      <c r="B114" s="58" t="s">
        <v>121</v>
      </c>
      <c r="C114" s="14">
        <f>C_N2O_0</f>
        <v>324</v>
      </c>
      <c r="D114" s="14">
        <f t="array" ref="D114:M114" ca="1">PIC_N2O+EXC_N2O*(re_n2o_b/RE_N2O_0)</f>
        <v>328.78004837709642</v>
      </c>
      <c r="E114" s="14">
        <f ca="1"/>
        <v>333.75941386072316</v>
      </c>
      <c r="F114" s="14">
        <f ca="1"/>
        <v>338.81175273312255</v>
      </c>
      <c r="G114" s="14">
        <f ca="1"/>
        <v>349.00572750953057</v>
      </c>
      <c r="H114" s="14">
        <f ca="1"/>
        <v>358.6654889270107</v>
      </c>
      <c r="I114" s="14">
        <f ca="1"/>
        <v>367.54875641336866</v>
      </c>
      <c r="J114" s="14">
        <f ca="1"/>
        <v>375.84731405448201</v>
      </c>
      <c r="K114" s="14">
        <f ca="1"/>
        <v>383.48075103870309</v>
      </c>
      <c r="L114" s="14">
        <f ca="1"/>
        <v>390.34413848705907</v>
      </c>
      <c r="M114" s="14">
        <f ca="1"/>
        <v>396.16267342312074</v>
      </c>
      <c r="N114" s="4" t="str">
        <f>'Base data'!$F$19</f>
        <v>ppb</v>
      </c>
    </row>
    <row r="115" spans="1:24" s="4" customFormat="1" x14ac:dyDescent="0.2">
      <c r="A115" s="6" t="s">
        <v>158</v>
      </c>
      <c r="B115" s="6"/>
      <c r="C115" s="26">
        <f>F_N2O_0</f>
        <v>0.17</v>
      </c>
      <c r="D115" s="26">
        <f t="array" ref="D115:M115" ca="1">F_N2O_0+FSLOPE_N2O*(SQRT(c_n2o_b)-SQRT(C_N2O_0))</f>
        <v>0.18587515648995537</v>
      </c>
      <c r="E115" s="26">
        <f ca="1"/>
        <v>0.20229002634104362</v>
      </c>
      <c r="F115" s="26">
        <f ca="1"/>
        <v>0.21882078027099428</v>
      </c>
      <c r="G115" s="26">
        <f ca="1"/>
        <v>0.25180339819022479</v>
      </c>
      <c r="H115" s="26">
        <f ca="1"/>
        <v>0.28261590255567715</v>
      </c>
      <c r="I115" s="26">
        <f ca="1"/>
        <v>0.31058733638879887</v>
      </c>
      <c r="J115" s="26">
        <f ca="1"/>
        <v>0.33641383300231864</v>
      </c>
      <c r="K115" s="26">
        <f ca="1"/>
        <v>0.3599197464929148</v>
      </c>
      <c r="L115" s="26">
        <f ca="1"/>
        <v>0.38085545620428973</v>
      </c>
      <c r="M115" s="26">
        <f ca="1"/>
        <v>0.39846027752042346</v>
      </c>
      <c r="N115" s="6" t="str">
        <f>'Base data'!$F$21</f>
        <v>W/m2</v>
      </c>
      <c r="O115" s="6"/>
      <c r="P115" s="6"/>
      <c r="Q115" s="6"/>
      <c r="R115" s="6"/>
      <c r="S115" s="6"/>
      <c r="T115" s="6"/>
      <c r="U115" s="6"/>
      <c r="V115" s="6"/>
      <c r="W115" s="6"/>
      <c r="X115" s="6"/>
    </row>
    <row r="116" spans="1:24" s="4" customFormat="1" x14ac:dyDescent="0.2">
      <c r="A116" s="6" t="s">
        <v>155</v>
      </c>
      <c r="B116" s="6"/>
      <c r="C116" s="26">
        <v>0</v>
      </c>
      <c r="D116" s="26">
        <f t="array" ref="D116:M116" ca="1">-(0.47*LN(1+0.00002*(c_ch4_b*C_N2O_0)^0.75+0.0000000000000053*c_ch4_b*(c_ch4_b*C_N2O_0)^1.52)-0.47*LN(1+0.00002*(C_CH4_0*C_N2O_0)^0.75+0.0000000000000053*C_CH4_0*(C_CH4_0*C_N2O_0)^1.52))</f>
        <v>-9.5601701571328968E-3</v>
      </c>
      <c r="E116" s="26">
        <f ca="1"/>
        <v>-1.7024802765818775E-2</v>
      </c>
      <c r="F116" s="26">
        <f ca="1"/>
        <v>-2.396774306457275E-2</v>
      </c>
      <c r="G116" s="26">
        <f ca="1"/>
        <v>-3.8637817606111208E-2</v>
      </c>
      <c r="H116" s="26">
        <f ca="1"/>
        <v>-5.2812965046451193E-2</v>
      </c>
      <c r="I116" s="26">
        <f ca="1"/>
        <v>-6.2310104488392554E-2</v>
      </c>
      <c r="J116" s="26">
        <f ca="1"/>
        <v>-6.7608953385970505E-2</v>
      </c>
      <c r="K116" s="26">
        <f ca="1"/>
        <v>-6.9499557926156447E-2</v>
      </c>
      <c r="L116" s="26">
        <f ca="1"/>
        <v>-6.7023636338815973E-2</v>
      </c>
      <c r="M116" s="26">
        <f ca="1"/>
        <v>-6.2065970283847999E-2</v>
      </c>
      <c r="N116" s="6" t="str">
        <f>'Base data'!$F$21</f>
        <v>W/m2</v>
      </c>
      <c r="O116" s="6"/>
      <c r="P116" s="6"/>
      <c r="Q116" s="6"/>
      <c r="R116" s="6"/>
      <c r="S116" s="6"/>
      <c r="T116" s="6"/>
      <c r="U116" s="6"/>
      <c r="V116" s="6"/>
      <c r="W116" s="6"/>
      <c r="X116" s="6"/>
    </row>
    <row r="117" spans="1:24" s="6" customFormat="1" x14ac:dyDescent="0.2">
      <c r="A117" s="6" t="s">
        <v>156</v>
      </c>
      <c r="C117" s="26">
        <v>0</v>
      </c>
      <c r="D117" s="26">
        <f t="array" ref="D117:M117" ca="1">-(0.47*LN(1+0.00002*(C_CH4_0*c_n2o_b)^0.75+0.0000000000000053*C_CH4_0*(C_CH4_0*c_n2o_b)^1.52)-0.47*LN(1+0.00002*(C_CH4_0*C_N2O_0)^0.75+0.0000000000000053*C_CH4_0*(C_CH4_0*C_N2O_0)^1.52))</f>
        <v>-1.574630106260938E-3</v>
      </c>
      <c r="E117" s="26">
        <f ca="1"/>
        <v>-3.2037735184293759E-3</v>
      </c>
      <c r="F117" s="26">
        <f ca="1"/>
        <v>-4.8453781805592733E-3</v>
      </c>
      <c r="G117" s="26">
        <f ca="1"/>
        <v>-8.1234452638840327E-3</v>
      </c>
      <c r="H117" s="26">
        <f ca="1"/>
        <v>-1.1188802821084115E-2</v>
      </c>
      <c r="I117" s="26">
        <f ca="1"/>
        <v>-1.397375710437837E-2</v>
      </c>
      <c r="J117" s="26">
        <f ca="1"/>
        <v>-1.6546855676346839E-2</v>
      </c>
      <c r="K117" s="26">
        <f ca="1"/>
        <v>-1.8890036060181109E-2</v>
      </c>
      <c r="L117" s="26">
        <f ca="1"/>
        <v>-2.0977935570185124E-2</v>
      </c>
      <c r="M117" s="26">
        <f ca="1"/>
        <v>-2.2734263539513522E-2</v>
      </c>
      <c r="N117" s="6" t="str">
        <f>'Base data'!$F$21</f>
        <v>W/m2</v>
      </c>
    </row>
    <row r="118" spans="1:24" s="6" customFormat="1" ht="15.75" x14ac:dyDescent="0.3">
      <c r="A118" s="6" t="s">
        <v>71</v>
      </c>
      <c r="B118" s="6" t="s">
        <v>72</v>
      </c>
      <c r="C118" s="26">
        <f>F_CH4_0</f>
        <v>0.48</v>
      </c>
      <c r="D118" s="26">
        <f t="array" ref="D118:M118" ca="1">f_ch4_no_over_b+over_ch4_b</f>
        <v>0.53725561630779439</v>
      </c>
      <c r="E118" s="26">
        <f ca="1"/>
        <v>0.58160083870674173</v>
      </c>
      <c r="F118" s="26">
        <f ca="1"/>
        <v>0.62257527779745725</v>
      </c>
      <c r="G118" s="26">
        <f ca="1"/>
        <v>0.70832432806614998</v>
      </c>
      <c r="H118" s="26">
        <f ca="1"/>
        <v>0.79014583289802987</v>
      </c>
      <c r="I118" s="26">
        <f ca="1"/>
        <v>0.84440588297026531</v>
      </c>
      <c r="J118" s="26">
        <f ca="1"/>
        <v>0.87448539320475693</v>
      </c>
      <c r="K118" s="26">
        <f ca="1"/>
        <v>0.88518385636676034</v>
      </c>
      <c r="L118" s="26">
        <f ca="1"/>
        <v>0.87116962574448964</v>
      </c>
      <c r="M118" s="26">
        <f ca="1"/>
        <v>0.84301667006590075</v>
      </c>
      <c r="N118" s="6" t="str">
        <f>'Base data'!$F$21</f>
        <v>W/m2</v>
      </c>
    </row>
    <row r="119" spans="1:24" s="6" customFormat="1" ht="16.5" thickBot="1" x14ac:dyDescent="0.35">
      <c r="A119" s="6" t="s">
        <v>154</v>
      </c>
      <c r="B119" s="57" t="s">
        <v>122</v>
      </c>
      <c r="C119" s="35">
        <f>F_N2O_0</f>
        <v>0.17</v>
      </c>
      <c r="D119" s="35">
        <f t="array" ref="D119:M119" ca="1">f_n2o_no_over_b+over_n2o_b</f>
        <v>0.18430052638369443</v>
      </c>
      <c r="E119" s="35">
        <f ca="1"/>
        <v>0.19908625282261425</v>
      </c>
      <c r="F119" s="35">
        <f ca="1"/>
        <v>0.213975402090435</v>
      </c>
      <c r="G119" s="35">
        <f ca="1"/>
        <v>0.24367995292634076</v>
      </c>
      <c r="H119" s="35">
        <f ca="1"/>
        <v>0.271427099734593</v>
      </c>
      <c r="I119" s="35">
        <f ca="1"/>
        <v>0.2966135792844205</v>
      </c>
      <c r="J119" s="35">
        <f ca="1"/>
        <v>0.3198669773259718</v>
      </c>
      <c r="K119" s="35">
        <f ca="1"/>
        <v>0.34102971043273367</v>
      </c>
      <c r="L119" s="35">
        <f ca="1"/>
        <v>0.35987752063410461</v>
      </c>
      <c r="M119" s="35">
        <f ca="1"/>
        <v>0.37572601398090993</v>
      </c>
    </row>
    <row r="120" spans="1:24" s="6" customFormat="1" ht="13.5" thickTop="1" x14ac:dyDescent="0.2"/>
    <row r="121" spans="1:24" s="6" customFormat="1" ht="15.75" x14ac:dyDescent="0.3">
      <c r="A121" s="4" t="str">
        <f>"Natural emissions of "&amp;GLIN_NAME</f>
        <v>Natural emissions of Lin</v>
      </c>
      <c r="B121" s="58" t="s">
        <v>172</v>
      </c>
      <c r="C121" s="27">
        <f>STIM_GLIN*RT_G_0</f>
        <v>0</v>
      </c>
      <c r="D121" s="27">
        <f t="array" ref="D121:M121" ca="1">STIM_GLIN*rt_g_b</f>
        <v>0</v>
      </c>
      <c r="E121" s="27">
        <f ca="1"/>
        <v>0</v>
      </c>
      <c r="F121" s="27">
        <f ca="1"/>
        <v>0</v>
      </c>
      <c r="G121" s="27">
        <f ca="1"/>
        <v>0</v>
      </c>
      <c r="H121" s="27">
        <f ca="1"/>
        <v>0</v>
      </c>
      <c r="I121" s="27">
        <f ca="1"/>
        <v>0</v>
      </c>
      <c r="J121" s="27">
        <f ca="1"/>
        <v>0</v>
      </c>
      <c r="K121" s="27">
        <f ca="1"/>
        <v>0</v>
      </c>
      <c r="L121" s="27">
        <f ca="1"/>
        <v>0</v>
      </c>
      <c r="M121" s="27">
        <f ca="1"/>
        <v>0</v>
      </c>
      <c r="N121" s="4" t="s">
        <v>566</v>
      </c>
      <c r="O121" s="4"/>
      <c r="P121" s="4"/>
      <c r="Q121" s="4"/>
      <c r="R121" s="4"/>
      <c r="S121" s="4"/>
      <c r="T121" s="4"/>
      <c r="U121" s="4"/>
      <c r="V121" s="4"/>
      <c r="W121" s="4"/>
      <c r="X121" s="4"/>
    </row>
    <row r="122" spans="1:24" s="6" customFormat="1" ht="15.75" x14ac:dyDescent="0.3">
      <c r="A122" s="4" t="str">
        <f>"Total emissions to air of "&amp;GLIN_NAME</f>
        <v>Total emissions to air of Lin</v>
      </c>
      <c r="B122" s="58" t="s">
        <v>173</v>
      </c>
      <c r="C122" s="28">
        <f>(E_GLIN_G_0+NTE_GLIN_0)*AIR_GLIN/100</f>
        <v>631.21629836249201</v>
      </c>
      <c r="D122" s="28">
        <f t="array" ref="D122:M122" ca="1">(e_glin_g_b+nte_glin_b)*AIR_GLIN/100</f>
        <v>777.18264108846711</v>
      </c>
      <c r="E122" s="28">
        <f ca="1"/>
        <v>807.18517324549191</v>
      </c>
      <c r="F122" s="28">
        <f ca="1"/>
        <v>837.18770540251705</v>
      </c>
      <c r="G122" s="28">
        <f ca="1"/>
        <v>865.99570289567373</v>
      </c>
      <c r="H122" s="28">
        <f ca="1"/>
        <v>951.69251426942503</v>
      </c>
      <c r="I122" s="28">
        <f ca="1"/>
        <v>1066.9628456897244</v>
      </c>
      <c r="J122" s="28">
        <f ca="1"/>
        <v>1207.6990101788008</v>
      </c>
      <c r="K122" s="28">
        <f ca="1"/>
        <v>1268.7106851912695</v>
      </c>
      <c r="L122" s="28">
        <f ca="1"/>
        <v>1218.0944458914628</v>
      </c>
      <c r="M122" s="28">
        <f ca="1"/>
        <v>1161.8708561391293</v>
      </c>
      <c r="N122" s="4" t="s">
        <v>566</v>
      </c>
      <c r="O122" s="4"/>
      <c r="P122" s="4"/>
      <c r="Q122" s="4"/>
      <c r="R122" s="4"/>
      <c r="S122" s="4"/>
      <c r="T122" s="4"/>
      <c r="U122" s="4"/>
      <c r="V122" s="4"/>
      <c r="W122" s="4"/>
      <c r="X122" s="4"/>
    </row>
    <row r="123" spans="1:24" s="4" customFormat="1" ht="15.75" x14ac:dyDescent="0.3">
      <c r="A123" s="4" t="str">
        <f>"Total this period of "&amp;GLIN_NAME</f>
        <v>Total this period of Lin</v>
      </c>
      <c r="B123" s="58" t="s">
        <v>174</v>
      </c>
      <c r="D123" s="28">
        <f ca="1">(TEA_GLIN_0+tea_glin_b)*YP_1/2</f>
        <v>3520.9973486273975</v>
      </c>
      <c r="E123" s="28">
        <f t="array" ref="E123:M123" ca="1">(tea_glin_b+tea_glin_not_1_b)*YP_NOT_1/2</f>
        <v>3960.919535834897</v>
      </c>
      <c r="F123" s="28">
        <f ca="1"/>
        <v>4110.9321966200223</v>
      </c>
      <c r="G123" s="28">
        <f ca="1"/>
        <v>8515.9170414909549</v>
      </c>
      <c r="H123" s="28">
        <f ca="1"/>
        <v>9088.4410858254923</v>
      </c>
      <c r="I123" s="28">
        <f ca="1"/>
        <v>10093.276799795747</v>
      </c>
      <c r="J123" s="28">
        <f ca="1"/>
        <v>11373.309279342626</v>
      </c>
      <c r="K123" s="28">
        <f ca="1"/>
        <v>12382.04847685035</v>
      </c>
      <c r="L123" s="28">
        <f ca="1"/>
        <v>12434.025655413661</v>
      </c>
      <c r="M123" s="28">
        <f ca="1"/>
        <v>11899.826510152961</v>
      </c>
      <c r="N123" s="4" t="str">
        <f>'Base data'!$G$35</f>
        <v>Mtonne</v>
      </c>
    </row>
    <row r="124" spans="1:24" s="4" customFormat="1" x14ac:dyDescent="0.2">
      <c r="A124" s="6" t="str">
        <f>"Exponential factor for "&amp;GLIN_NAME</f>
        <v>Exponential factor for Lin</v>
      </c>
      <c r="B124" s="6"/>
      <c r="C124" s="6"/>
      <c r="D124" s="26">
        <f t="array" ref="D124:M124">EXP(-(YP/RES_GLIN))</f>
        <v>0.99501247919268232</v>
      </c>
      <c r="E124" s="26">
        <v>0.99501247919268232</v>
      </c>
      <c r="F124" s="26">
        <v>0.99501247919268232</v>
      </c>
      <c r="G124" s="26">
        <v>0.99004983374916811</v>
      </c>
      <c r="H124" s="26">
        <v>0.99004983374916811</v>
      </c>
      <c r="I124" s="26">
        <v>0.99004983374916811</v>
      </c>
      <c r="J124" s="26">
        <v>0.99004983374916811</v>
      </c>
      <c r="K124" s="26">
        <v>0.99004983374916811</v>
      </c>
      <c r="L124" s="26">
        <v>0.99004983374916811</v>
      </c>
      <c r="M124" s="26">
        <v>0.99004983374916811</v>
      </c>
      <c r="N124" s="6"/>
      <c r="O124" s="6"/>
      <c r="P124" s="6"/>
      <c r="Q124" s="6"/>
      <c r="R124" s="6"/>
      <c r="S124" s="6"/>
      <c r="T124" s="6"/>
      <c r="U124" s="6"/>
      <c r="V124" s="6"/>
      <c r="W124" s="6"/>
      <c r="X124" s="6"/>
    </row>
    <row r="125" spans="1:24" s="4" customFormat="1" x14ac:dyDescent="0.2">
      <c r="A125" s="4" t="str">
        <f>"Remaining emissions factor for "&amp;GLIN_NAME</f>
        <v>Remaining emissions factor for Lin</v>
      </c>
      <c r="D125" s="28">
        <f>RE_GLIN_0*EXPF_GLIN</f>
        <v>10945.137271119505</v>
      </c>
      <c r="E125" s="28">
        <f t="array" ref="E125:M125" ca="1">re_glin_b*EXPF_GLIN_NOT_1</f>
        <v>14385.240460999152</v>
      </c>
      <c r="F125" s="28">
        <f ca="1"/>
        <v>18244.821632209179</v>
      </c>
      <c r="G125" s="28">
        <f ca="1"/>
        <v>22123.152229497158</v>
      </c>
      <c r="H125" s="28">
        <f ca="1"/>
        <v>30292.189695821588</v>
      </c>
      <c r="I125" s="28">
        <f ca="1"/>
        <v>38943.946503034662</v>
      </c>
      <c r="J125" s="28">
        <f ca="1"/>
        <v>48499.496675312934</v>
      </c>
      <c r="K125" s="28">
        <f ca="1"/>
        <v>59220.948067510435</v>
      </c>
      <c r="L125" s="28">
        <f ca="1"/>
        <v>70829.444403825284</v>
      </c>
      <c r="M125" s="28">
        <f ca="1"/>
        <v>82373.637824208738</v>
      </c>
      <c r="N125" s="4" t="str">
        <f>'Base data'!$G$35</f>
        <v>Mtonne</v>
      </c>
    </row>
    <row r="126" spans="1:24" s="6" customFormat="1" x14ac:dyDescent="0.2">
      <c r="A126" s="4" t="str">
        <f>"Total this period factor for "&amp;GLIN_NAME</f>
        <v>Total this period factor for Lin</v>
      </c>
      <c r="B126" s="4"/>
      <c r="C126" s="4"/>
      <c r="D126" s="28">
        <f t="array" ref="D126:M126" ca="1">teay_glin_b*RES_GLIN*(1-EXPF_GLIN)/YP</f>
        <v>3512.2095077579056</v>
      </c>
      <c r="E126" s="28">
        <f ca="1"/>
        <v>3951.0337202175274</v>
      </c>
      <c r="F126" s="28">
        <f ca="1"/>
        <v>4100.6719736229079</v>
      </c>
      <c r="G126" s="28">
        <f ca="1"/>
        <v>8473.4790341127482</v>
      </c>
      <c r="H126" s="28">
        <f ca="1"/>
        <v>9043.149976485478</v>
      </c>
      <c r="I126" s="28">
        <f ca="1"/>
        <v>10042.978217363217</v>
      </c>
      <c r="J126" s="28">
        <f ca="1"/>
        <v>11316.631815158818</v>
      </c>
      <c r="K126" s="28">
        <f ca="1"/>
        <v>12320.344087052079</v>
      </c>
      <c r="L126" s="28">
        <f ca="1"/>
        <v>12372.062243847493</v>
      </c>
      <c r="M126" s="28">
        <f ca="1"/>
        <v>11840.525213207868</v>
      </c>
      <c r="N126" s="4" t="str">
        <f>'Base data'!$G$35</f>
        <v>Mtonne</v>
      </c>
      <c r="O126" s="4"/>
      <c r="P126" s="4"/>
      <c r="Q126" s="4"/>
      <c r="R126" s="4"/>
      <c r="S126" s="4"/>
      <c r="T126" s="4"/>
      <c r="U126" s="4"/>
      <c r="V126" s="4"/>
      <c r="W126" s="4"/>
      <c r="X126" s="4"/>
    </row>
    <row r="127" spans="1:24" s="4" customFormat="1" ht="15.75" x14ac:dyDescent="0.3">
      <c r="A127" s="4" t="str">
        <f>"Remaining emissions of "&amp;GLIN_NAME</f>
        <v>Remaining emissions of Lin</v>
      </c>
      <c r="B127" s="58" t="s">
        <v>175</v>
      </c>
      <c r="C127" s="28">
        <f>RE_GLIN_0</f>
        <v>11000</v>
      </c>
      <c r="D127" s="28">
        <f t="shared" ref="D127:M127" ca="1" si="3">SUM(D125:D126)</f>
        <v>14457.346778877411</v>
      </c>
      <c r="E127" s="28">
        <f t="shared" ca="1" si="3"/>
        <v>18336.274181216679</v>
      </c>
      <c r="F127" s="28">
        <f t="shared" ca="1" si="3"/>
        <v>22345.493605832089</v>
      </c>
      <c r="G127" s="28">
        <f t="shared" ca="1" si="3"/>
        <v>30596.631263609906</v>
      </c>
      <c r="H127" s="28">
        <f t="shared" ca="1" si="3"/>
        <v>39335.339672307062</v>
      </c>
      <c r="I127" s="28">
        <f t="shared" ca="1" si="3"/>
        <v>48986.924720397881</v>
      </c>
      <c r="J127" s="28">
        <f t="shared" ca="1" si="3"/>
        <v>59816.128490471754</v>
      </c>
      <c r="K127" s="28">
        <f t="shared" ca="1" si="3"/>
        <v>71541.292154562514</v>
      </c>
      <c r="L127" s="28">
        <f t="shared" ca="1" si="3"/>
        <v>83201.506647672781</v>
      </c>
      <c r="M127" s="28">
        <f t="shared" ca="1" si="3"/>
        <v>94214.163037416612</v>
      </c>
      <c r="N127" s="4" t="str">
        <f>'Base data'!$G$35</f>
        <v>Mtonne</v>
      </c>
    </row>
    <row r="128" spans="1:24" s="4" customFormat="1" ht="15.75" x14ac:dyDescent="0.3">
      <c r="A128" s="4" t="str">
        <f>"Concentration of "&amp;GLIN_NAME</f>
        <v>Concentration of Lin</v>
      </c>
      <c r="B128" s="58" t="s">
        <v>176</v>
      </c>
      <c r="C128" s="28">
        <f>C_GLIN_0</f>
        <v>0.11</v>
      </c>
      <c r="D128" s="28">
        <f t="array" ref="D128:M128" ca="1">PIC_GLIN+EXC_GLIN*(re_glin_b/RE_GLIN_0)</f>
        <v>0.14457346778877411</v>
      </c>
      <c r="E128" s="28">
        <f ca="1"/>
        <v>0.18336274181216677</v>
      </c>
      <c r="F128" s="28">
        <f ca="1"/>
        <v>0.2234549360583209</v>
      </c>
      <c r="G128" s="28">
        <f ca="1"/>
        <v>0.30596631263609902</v>
      </c>
      <c r="H128" s="28">
        <f ca="1"/>
        <v>0.39335339672307063</v>
      </c>
      <c r="I128" s="28">
        <f ca="1"/>
        <v>0.48986924720397879</v>
      </c>
      <c r="J128" s="28">
        <f ca="1"/>
        <v>0.59816128490471754</v>
      </c>
      <c r="K128" s="28">
        <f ca="1"/>
        <v>0.71541292154562519</v>
      </c>
      <c r="L128" s="28">
        <f ca="1"/>
        <v>0.83201506647672774</v>
      </c>
      <c r="M128" s="28">
        <f ca="1"/>
        <v>0.94214163037416621</v>
      </c>
      <c r="N128" s="4" t="str">
        <f>'Base data'!$F$19</f>
        <v>ppb</v>
      </c>
    </row>
    <row r="129" spans="1:24" s="4" customFormat="1" ht="15.75" x14ac:dyDescent="0.3">
      <c r="A129" s="6" t="str">
        <f>"Forcing from "&amp;GLIN_NAME</f>
        <v>Forcing from Lin</v>
      </c>
      <c r="B129" s="57" t="s">
        <v>177</v>
      </c>
      <c r="C129" s="28">
        <f>F_GLIN_0</f>
        <v>2.1999999999999999E-2</v>
      </c>
      <c r="D129" s="28">
        <f t="array" ref="D129:M129" ca="1">F_GLIN_0+FSLOPE_GLIN*(c_glin_b-C_GLIN_0)</f>
        <v>2.891469355775482E-2</v>
      </c>
      <c r="E129" s="28">
        <f ca="1"/>
        <v>3.6672548362433353E-2</v>
      </c>
      <c r="F129" s="28">
        <f ca="1"/>
        <v>4.4690987211664181E-2</v>
      </c>
      <c r="G129" s="28">
        <f ca="1"/>
        <v>6.1193262527219808E-2</v>
      </c>
      <c r="H129" s="28">
        <f ca="1"/>
        <v>7.8670679344614136E-2</v>
      </c>
      <c r="I129" s="28">
        <f ca="1"/>
        <v>9.7973849440795763E-2</v>
      </c>
      <c r="J129" s="28">
        <f ca="1"/>
        <v>0.11963225698094351</v>
      </c>
      <c r="K129" s="28">
        <f ca="1"/>
        <v>0.14308258430912504</v>
      </c>
      <c r="L129" s="28">
        <f ca="1"/>
        <v>0.16640301329534554</v>
      </c>
      <c r="M129" s="28">
        <f ca="1"/>
        <v>0.18842832607483326</v>
      </c>
      <c r="N129" s="6" t="str">
        <f>'Base data'!$F$21</f>
        <v>W/m2</v>
      </c>
      <c r="O129" s="6"/>
      <c r="P129" s="6"/>
      <c r="Q129" s="6"/>
      <c r="R129" s="6"/>
      <c r="S129" s="6"/>
      <c r="T129" s="6"/>
      <c r="U129" s="6"/>
      <c r="V129" s="6"/>
      <c r="W129" s="6"/>
      <c r="X129" s="6"/>
    </row>
    <row r="130" spans="1:24" s="4" customFormat="1" x14ac:dyDescent="0.2">
      <c r="A130" s="6"/>
      <c r="B130" s="57"/>
      <c r="C130" s="1"/>
      <c r="D130" s="1"/>
      <c r="E130" s="1"/>
      <c r="F130" s="1"/>
      <c r="G130" s="1"/>
      <c r="H130" s="1"/>
      <c r="I130" s="1"/>
      <c r="J130" s="1"/>
      <c r="K130" s="1"/>
      <c r="L130" s="1"/>
      <c r="M130" s="1"/>
      <c r="N130" s="6"/>
      <c r="O130" s="6"/>
      <c r="P130" s="6"/>
      <c r="Q130" s="6"/>
      <c r="R130" s="6"/>
      <c r="S130" s="6"/>
      <c r="T130" s="6"/>
      <c r="U130" s="6"/>
      <c r="V130" s="6"/>
      <c r="W130" s="6"/>
      <c r="X130" s="6"/>
    </row>
    <row r="131" spans="1:24" s="6" customFormat="1" ht="13.5" thickBot="1" x14ac:dyDescent="0.25">
      <c r="A131" s="4" t="s">
        <v>123</v>
      </c>
      <c r="B131" s="4" t="s">
        <v>73</v>
      </c>
      <c r="C131" s="35">
        <f>F_CO2_0+F_CH4_0+F_N2O_0+F_GLIN_0+EXF_0</f>
        <v>3.202</v>
      </c>
      <c r="D131" s="35">
        <f t="array" ref="D131:M131" ca="1">f_co2_b+f_ch4_b+f_n2o_b+f_glin_b+exf_b</f>
        <v>3.5968802017439589</v>
      </c>
      <c r="E131" s="35">
        <f ca="1"/>
        <v>3.8526229117592665</v>
      </c>
      <c r="F131" s="35">
        <f ca="1"/>
        <v>4.1227120051347326</v>
      </c>
      <c r="G131" s="35">
        <f ca="1"/>
        <v>4.7883401520804449</v>
      </c>
      <c r="H131" s="35">
        <f ca="1"/>
        <v>5.4539687009206617</v>
      </c>
      <c r="I131" s="35">
        <f ca="1"/>
        <v>6.2419734420483319</v>
      </c>
      <c r="J131" s="35">
        <f ca="1"/>
        <v>7.0256268763940755</v>
      </c>
      <c r="K131" s="35">
        <f ca="1"/>
        <v>7.7529176512838012</v>
      </c>
      <c r="L131" s="35">
        <f ca="1"/>
        <v>8.3382064966897769</v>
      </c>
      <c r="M131" s="35">
        <f ca="1"/>
        <v>8.7906741586942907</v>
      </c>
      <c r="N131" s="6" t="str">
        <f>'Base data'!$F$21</f>
        <v>W/m2</v>
      </c>
    </row>
    <row r="132" spans="1:24" s="6" customFormat="1" ht="13.5" thickTop="1" x14ac:dyDescent="0.2">
      <c r="A132" s="4"/>
      <c r="B132" s="4"/>
      <c r="O132"/>
      <c r="P132"/>
      <c r="Q132"/>
      <c r="R132"/>
      <c r="S132"/>
      <c r="T132"/>
      <c r="U132"/>
      <c r="V132"/>
      <c r="W132"/>
      <c r="X132"/>
    </row>
    <row r="133" spans="1:24" s="1" customFormat="1" x14ac:dyDescent="0.2">
      <c r="A133" s="57" t="s">
        <v>191</v>
      </c>
      <c r="B133" s="1" t="str">
        <f t="array" ref="B133:B140">R_CODE</f>
        <v>EU</v>
      </c>
      <c r="C133" s="26">
        <f t="array" aca="1" ref="C133:C140" ca="1">D*SFX_0/SFX_G_0</f>
        <v>-2.7601688340912287</v>
      </c>
      <c r="D133" s="26">
        <f t="array" aca="1" ref="D133:M140" ca="1">FSD_0*sfx_b/SFX_0</f>
        <v>-2.1722330979642024</v>
      </c>
      <c r="E133" s="26">
        <f ca="1"/>
        <v>-1.7835898009387341</v>
      </c>
      <c r="F133" s="26">
        <f ca="1"/>
        <v>-1.3949465039132658</v>
      </c>
      <c r="G133" s="26">
        <f ca="1"/>
        <v>-1.4720745247708122</v>
      </c>
      <c r="H133" s="26">
        <f ca="1"/>
        <v>-1.7682298528896125</v>
      </c>
      <c r="I133" s="26">
        <f ca="1"/>
        <v>-2.2769585563267492</v>
      </c>
      <c r="J133" s="26">
        <f ca="1"/>
        <v>-2.7258325009814648</v>
      </c>
      <c r="K133" s="26">
        <f ca="1"/>
        <v>-2.9674365809366741</v>
      </c>
      <c r="L133" s="26">
        <f ca="1"/>
        <v>-2.7615982793238993</v>
      </c>
      <c r="M133" s="26">
        <f ca="1"/>
        <v>-2.2201723601514241</v>
      </c>
      <c r="N133" s="6" t="str">
        <f>'Base data'!$F$21</f>
        <v>W/m2</v>
      </c>
      <c r="O133" s="6"/>
      <c r="P133" s="6"/>
      <c r="Q133" s="6"/>
      <c r="R133" s="6"/>
      <c r="S133" s="6"/>
      <c r="T133" s="6"/>
      <c r="U133" s="6"/>
      <c r="V133" s="6"/>
      <c r="W133" s="6"/>
      <c r="X133" s="6"/>
    </row>
    <row r="134" spans="1:24" s="1" customFormat="1" x14ac:dyDescent="0.2">
      <c r="A134" s="6"/>
      <c r="B134" s="1" t="str">
        <v>US</v>
      </c>
      <c r="C134" s="26">
        <f ca="1"/>
        <v>-1.1027482994484452</v>
      </c>
      <c r="D134" s="26">
        <f ca="1"/>
        <v>-0.93055093513775655</v>
      </c>
      <c r="E134" s="26">
        <f ca="1"/>
        <v>-0.77953374846349488</v>
      </c>
      <c r="F134" s="26">
        <f ca="1"/>
        <v>-0.62851656178923299</v>
      </c>
      <c r="G134" s="26">
        <f ca="1"/>
        <v>-0.62530766829764994</v>
      </c>
      <c r="H134" s="26">
        <f ca="1"/>
        <v>-0.54238644740611441</v>
      </c>
      <c r="I134" s="26">
        <f ca="1"/>
        <v>-0.54602542455297387</v>
      </c>
      <c r="J134" s="26">
        <f ca="1"/>
        <v>-0.54995009345644874</v>
      </c>
      <c r="K134" s="26">
        <f ca="1"/>
        <v>-0.55166542818291042</v>
      </c>
      <c r="L134" s="26">
        <f ca="1"/>
        <v>-0.52037800571225146</v>
      </c>
      <c r="M134" s="26">
        <f ca="1"/>
        <v>-0.4644926124555126</v>
      </c>
      <c r="N134" s="6" t="str">
        <f>'Base data'!$F$21</f>
        <v>W/m2</v>
      </c>
      <c r="O134" s="6"/>
      <c r="P134" s="6"/>
      <c r="Q134" s="6"/>
      <c r="R134" s="6"/>
      <c r="S134" s="6"/>
      <c r="T134" s="6"/>
      <c r="U134" s="6"/>
      <c r="V134" s="6"/>
      <c r="W134" s="6"/>
      <c r="X134" s="6"/>
    </row>
    <row r="135" spans="1:24" s="6" customFormat="1" x14ac:dyDescent="0.2">
      <c r="B135" s="1" t="str">
        <v>OT</v>
      </c>
      <c r="C135" s="26">
        <f ca="1"/>
        <v>-0.7794745457806177</v>
      </c>
      <c r="D135" s="26">
        <f ca="1"/>
        <v>-0.58835710347316383</v>
      </c>
      <c r="E135" s="26">
        <f ca="1"/>
        <v>-0.47431000556818331</v>
      </c>
      <c r="F135" s="26">
        <f ca="1"/>
        <v>-0.36026290766320279</v>
      </c>
      <c r="G135" s="26">
        <f ca="1"/>
        <v>-0.29700414313010376</v>
      </c>
      <c r="H135" s="26">
        <f ca="1"/>
        <v>-0.22744107353217885</v>
      </c>
      <c r="I135" s="26">
        <f ca="1"/>
        <v>-0.22218548690845261</v>
      </c>
      <c r="J135" s="26">
        <f ca="1"/>
        <v>-0.21855086626909256</v>
      </c>
      <c r="K135" s="26">
        <f ca="1"/>
        <v>-0.21665903229880476</v>
      </c>
      <c r="L135" s="26">
        <f ca="1"/>
        <v>-0.21757017494358036</v>
      </c>
      <c r="M135" s="26">
        <f ca="1"/>
        <v>-0.2121653908111186</v>
      </c>
      <c r="N135" s="6" t="str">
        <f>'Base data'!$F$21</f>
        <v>W/m2</v>
      </c>
    </row>
    <row r="136" spans="1:24" s="6" customFormat="1" x14ac:dyDescent="0.2">
      <c r="B136" s="1" t="str">
        <v>EE</v>
      </c>
      <c r="C136" s="26">
        <f ca="1"/>
        <v>-1.0176040934385544</v>
      </c>
      <c r="D136" s="26">
        <f ca="1"/>
        <v>-0.79074329147784617</v>
      </c>
      <c r="E136" s="26">
        <f ca="1"/>
        <v>-0.64532703685981829</v>
      </c>
      <c r="F136" s="26">
        <f ca="1"/>
        <v>-0.49991078224179025</v>
      </c>
      <c r="G136" s="26">
        <f ca="1"/>
        <v>-0.39191304189664061</v>
      </c>
      <c r="H136" s="26">
        <f ca="1"/>
        <v>-0.33518933618543506</v>
      </c>
      <c r="I136" s="26">
        <f ca="1"/>
        <v>-0.31188367913033505</v>
      </c>
      <c r="J136" s="26">
        <f ca="1"/>
        <v>-0.28405568424583888</v>
      </c>
      <c r="K136" s="26">
        <f ca="1"/>
        <v>-0.25847901105626858</v>
      </c>
      <c r="L136" s="26">
        <f ca="1"/>
        <v>-0.24903628442043366</v>
      </c>
      <c r="M136" s="26">
        <f ca="1"/>
        <v>-0.23464147785849662</v>
      </c>
      <c r="N136" s="6" t="str">
        <f>'Base data'!$F$21</f>
        <v>W/m2</v>
      </c>
    </row>
    <row r="137" spans="1:24" s="6" customFormat="1" x14ac:dyDescent="0.2">
      <c r="B137" s="1" t="str">
        <v>CA</v>
      </c>
      <c r="C137" s="26">
        <f ca="1"/>
        <v>-4.6511791368191835</v>
      </c>
      <c r="D137" s="26">
        <f ca="1"/>
        <v>-2.7198850328010629</v>
      </c>
      <c r="E137" s="26">
        <f ca="1"/>
        <v>-2.3415171676684854</v>
      </c>
      <c r="F137" s="26">
        <f ca="1"/>
        <v>-1.9631493025359084</v>
      </c>
      <c r="G137" s="26">
        <f ca="1"/>
        <v>-1.964415154721159</v>
      </c>
      <c r="H137" s="26">
        <f ca="1"/>
        <v>-1.7329127928848624</v>
      </c>
      <c r="I137" s="26">
        <f ca="1"/>
        <v>-1.5172546805555014</v>
      </c>
      <c r="J137" s="26">
        <f ca="1"/>
        <v>-1.314965957227122</v>
      </c>
      <c r="K137" s="26">
        <f ca="1"/>
        <v>-1.0881283743299528</v>
      </c>
      <c r="L137" s="26">
        <f ca="1"/>
        <v>-0.88339067746560018</v>
      </c>
      <c r="M137" s="26">
        <f ca="1"/>
        <v>-0.72667866483413013</v>
      </c>
      <c r="N137" s="6" t="str">
        <f>'Base data'!$F$21</f>
        <v>W/m2</v>
      </c>
    </row>
    <row r="138" spans="1:24" s="6" customFormat="1" x14ac:dyDescent="0.2">
      <c r="B138" s="1" t="str">
        <v>IA</v>
      </c>
      <c r="C138" s="26">
        <f ca="1"/>
        <v>-5.8751605943235754</v>
      </c>
      <c r="D138" s="26">
        <f ca="1"/>
        <v>-6.9002084780921393</v>
      </c>
      <c r="E138" s="26">
        <f ca="1"/>
        <v>-7.7081467531870915</v>
      </c>
      <c r="F138" s="26">
        <f ca="1"/>
        <v>-8.5160850282820455</v>
      </c>
      <c r="G138" s="26">
        <f ca="1"/>
        <v>-8.6595808516688955</v>
      </c>
      <c r="H138" s="26">
        <f ca="1"/>
        <v>-6.2233610773607397</v>
      </c>
      <c r="I138" s="26">
        <f ca="1"/>
        <v>-6.2016072710275667</v>
      </c>
      <c r="J138" s="26">
        <f ca="1"/>
        <v>-5.3106578043487076</v>
      </c>
      <c r="K138" s="26">
        <f ca="1"/>
        <v>-3.904164990610782</v>
      </c>
      <c r="L138" s="26">
        <f ca="1"/>
        <v>-2.489078808317934</v>
      </c>
      <c r="M138" s="26">
        <f ca="1"/>
        <v>-1.2639695806867044</v>
      </c>
      <c r="N138" s="6" t="str">
        <f>'Base data'!$F$21</f>
        <v>W/m2</v>
      </c>
    </row>
    <row r="139" spans="1:24" s="6" customFormat="1" x14ac:dyDescent="0.2">
      <c r="B139" s="1" t="str">
        <v>AF</v>
      </c>
      <c r="C139" s="26">
        <f ca="1"/>
        <v>-1.2418832066804086</v>
      </c>
      <c r="D139" s="26">
        <f ca="1"/>
        <v>-1.0172558538057239</v>
      </c>
      <c r="E139" s="26">
        <f ca="1"/>
        <v>-0.87810843656390514</v>
      </c>
      <c r="F139" s="26">
        <f ca="1"/>
        <v>-0.7389610193220868</v>
      </c>
      <c r="G139" s="26">
        <f ca="1"/>
        <v>-0.81929693348009058</v>
      </c>
      <c r="H139" s="26">
        <f ca="1"/>
        <v>-0.90987514061273111</v>
      </c>
      <c r="I139" s="26">
        <f ca="1"/>
        <v>-1.2462481461508765</v>
      </c>
      <c r="J139" s="26">
        <f ca="1"/>
        <v>-1.4130662366970961</v>
      </c>
      <c r="K139" s="26">
        <f ca="1"/>
        <v>-1.3158819816179221</v>
      </c>
      <c r="L139" s="26">
        <f ca="1"/>
        <v>-1.0030675345892317</v>
      </c>
      <c r="M139" s="26">
        <f ca="1"/>
        <v>-0.59444905680178117</v>
      </c>
      <c r="N139" s="6" t="str">
        <f>'Base data'!$F$21</f>
        <v>W/m2</v>
      </c>
    </row>
    <row r="140" spans="1:24" s="6" customFormat="1" x14ac:dyDescent="0.2">
      <c r="B140" s="1" t="str">
        <v>LA</v>
      </c>
      <c r="C140" s="26">
        <f ca="1"/>
        <v>-1.1736138083917782</v>
      </c>
      <c r="D140" s="26">
        <f ca="1"/>
        <v>-1.1120020592757702</v>
      </c>
      <c r="E140" s="26">
        <f ca="1"/>
        <v>-1.1025607350696398</v>
      </c>
      <c r="F140" s="26">
        <f ca="1"/>
        <v>-1.0931194108635094</v>
      </c>
      <c r="G140" s="26">
        <f ca="1"/>
        <v>-1.0842510906402667</v>
      </c>
      <c r="H140" s="26">
        <f ca="1"/>
        <v>-0.98355202551680709</v>
      </c>
      <c r="I140" s="26">
        <f ca="1"/>
        <v>-0.99434652765337106</v>
      </c>
      <c r="J140" s="26">
        <f ca="1"/>
        <v>-0.92995530900275758</v>
      </c>
      <c r="K140" s="26">
        <f ca="1"/>
        <v>-0.82808535898907532</v>
      </c>
      <c r="L140" s="26">
        <f ca="1"/>
        <v>-0.72374403482366978</v>
      </c>
      <c r="M140" s="26">
        <f ca="1"/>
        <v>-0.58648876840751096</v>
      </c>
      <c r="N140" s="6" t="str">
        <f>'Base data'!$F$21</f>
        <v>W/m2</v>
      </c>
    </row>
    <row r="141" spans="1:24" s="6" customFormat="1" x14ac:dyDescent="0.2">
      <c r="B141" s="6" t="s">
        <v>136</v>
      </c>
      <c r="C141" s="256">
        <f t="array" aca="1" ref="C141" ca="1">SUM(AREA*C133:C140)/AREA_E</f>
        <v>-0.46666666666666673</v>
      </c>
      <c r="D141" s="256">
        <f t="array" aca="1" ref="D141" ca="1">SUM(AREA*D133:D140)/AREA_E</f>
        <v>-0.40897662592416761</v>
      </c>
      <c r="E141" s="256">
        <f t="array" aca="1" ref="E141" ca="1">SUM(AREA*E133:E140)/AREA_E</f>
        <v>-0.39232730575980423</v>
      </c>
      <c r="F141" s="256">
        <f t="array" aca="1" ref="F141" ca="1">SUM(AREA*F133:F140)/AREA_E</f>
        <v>-0.37567798559544074</v>
      </c>
      <c r="G141" s="256">
        <f t="array" aca="1" ref="G141" ca="1">SUM(AREA*G133:G140)/AREA_E</f>
        <v>-0.37868282210486054</v>
      </c>
      <c r="H141" s="256">
        <f t="array" aca="1" ref="H141" ca="1">SUM(AREA*H133:H140)/AREA_E</f>
        <v>-0.32143782021111739</v>
      </c>
      <c r="I141" s="256">
        <f t="array" aca="1" ref="I141" ca="1">SUM(AREA*I133:I140)/AREA_E</f>
        <v>-0.34664306376531179</v>
      </c>
      <c r="J141" s="256">
        <f t="array" aca="1" ref="J141" ca="1">SUM(AREA*J133:J140)/AREA_E</f>
        <v>-0.33669937450414489</v>
      </c>
      <c r="K141" s="256">
        <f t="array" aca="1" ref="K141" ca="1">SUM(AREA*K133:K140)/AREA_E</f>
        <v>-0.29163318769348484</v>
      </c>
      <c r="L141" s="256">
        <f t="array" aca="1" ref="L141" ca="1">SUM(AREA*L133:L140)/AREA_E</f>
        <v>-0.22630800370650539</v>
      </c>
      <c r="M141" s="256">
        <f t="array" aca="1" ref="M141" ca="1">SUM(AREA*M133:M140)/AREA_E</f>
        <v>-0.1535499860513774</v>
      </c>
      <c r="N141" s="6" t="s">
        <v>42</v>
      </c>
    </row>
    <row r="142" spans="1:24" s="6" customFormat="1" x14ac:dyDescent="0.2">
      <c r="A142" s="57" t="s">
        <v>192</v>
      </c>
      <c r="B142" s="1" t="str">
        <f t="array" ref="B142:B149">R_CODE</f>
        <v>EU</v>
      </c>
      <c r="C142" s="26"/>
      <c r="D142" s="26">
        <f t="array" aca="1" ref="D142:M149" ca="1">IF(sfx_b &gt; 0, (IND/LN(2))*LN((NF_0+sfx_b)/NF_0), 0)</f>
        <v>-0.86852391140298468</v>
      </c>
      <c r="E142" s="26">
        <f ca="1"/>
        <v>-0.80767744432412858</v>
      </c>
      <c r="F142" s="26">
        <f ca="1"/>
        <v>-0.7333516793708974</v>
      </c>
      <c r="G142" s="26">
        <f ca="1"/>
        <v>-0.74946523395727582</v>
      </c>
      <c r="H142" s="26">
        <f ca="1"/>
        <v>-0.80503125626299787</v>
      </c>
      <c r="I142" s="26">
        <f ca="1"/>
        <v>-0.8831988718518019</v>
      </c>
      <c r="J142" s="26">
        <f ca="1"/>
        <v>-0.93972437989301394</v>
      </c>
      <c r="K142" s="26">
        <f ca="1"/>
        <v>-0.96662746389048748</v>
      </c>
      <c r="L142" s="26">
        <f ca="1"/>
        <v>-0.94384511241798463</v>
      </c>
      <c r="M142" s="26">
        <f ca="1"/>
        <v>-0.87532102834513603</v>
      </c>
      <c r="N142" s="6" t="str">
        <f>'Base data'!$F$21</f>
        <v>W/m2</v>
      </c>
    </row>
    <row r="143" spans="1:24" s="6" customFormat="1" x14ac:dyDescent="0.2">
      <c r="B143" s="1" t="str">
        <v>US</v>
      </c>
      <c r="C143" s="26"/>
      <c r="D143" s="26">
        <f ca="1"/>
        <v>-0.61557357969377813</v>
      </c>
      <c r="E143" s="26">
        <f ca="1"/>
        <v>-0.56627885177296267</v>
      </c>
      <c r="F143" s="26">
        <f ca="1"/>
        <v>-0.50850639949489185</v>
      </c>
      <c r="G143" s="26">
        <f ca="1"/>
        <v>-0.50716451591448464</v>
      </c>
      <c r="H143" s="26">
        <f ca="1"/>
        <v>-0.47049273161280247</v>
      </c>
      <c r="I143" s="26">
        <f ca="1"/>
        <v>-0.47218871499153275</v>
      </c>
      <c r="J143" s="26">
        <f ca="1"/>
        <v>-0.47400832131351844</v>
      </c>
      <c r="K143" s="26">
        <f ca="1"/>
        <v>-0.47480052878384876</v>
      </c>
      <c r="L143" s="26">
        <f ca="1"/>
        <v>-0.460049249299611</v>
      </c>
      <c r="M143" s="26">
        <f ca="1"/>
        <v>-0.43197606662958193</v>
      </c>
      <c r="N143" s="6" t="str">
        <f>'Base data'!$F$21</f>
        <v>W/m2</v>
      </c>
    </row>
    <row r="144" spans="1:24" s="6" customFormat="1" x14ac:dyDescent="0.2">
      <c r="B144" s="1" t="str">
        <v>OT</v>
      </c>
      <c r="C144" s="26"/>
      <c r="D144" s="26">
        <f ca="1"/>
        <v>-0.49131446388143823</v>
      </c>
      <c r="E144" s="26">
        <f ca="1"/>
        <v>-0.43708026652893572</v>
      </c>
      <c r="F144" s="26">
        <f ca="1"/>
        <v>-0.37239825434964619</v>
      </c>
      <c r="G144" s="26">
        <f ca="1"/>
        <v>-0.33031848339934844</v>
      </c>
      <c r="H144" s="26">
        <f ca="1"/>
        <v>-0.27702387714596055</v>
      </c>
      <c r="I144" s="26">
        <f ca="1"/>
        <v>-0.27263263702400203</v>
      </c>
      <c r="J144" s="26">
        <f ca="1"/>
        <v>-0.26956191790863859</v>
      </c>
      <c r="K144" s="26">
        <f ca="1"/>
        <v>-0.26795244325583156</v>
      </c>
      <c r="L144" s="26">
        <f ca="1"/>
        <v>-0.26872855701794363</v>
      </c>
      <c r="M144" s="26">
        <f ca="1"/>
        <v>-0.26409835251916902</v>
      </c>
      <c r="N144" s="6" t="str">
        <f>'Base data'!$F$21</f>
        <v>W/m2</v>
      </c>
    </row>
    <row r="145" spans="1:26" s="6" customFormat="1" x14ac:dyDescent="0.2">
      <c r="B145" s="1" t="str">
        <v>EE</v>
      </c>
      <c r="C145" s="26"/>
      <c r="D145" s="26">
        <f ca="1"/>
        <v>-0.5701964391701233</v>
      </c>
      <c r="E145" s="26">
        <f ca="1"/>
        <v>-0.51545004297855967</v>
      </c>
      <c r="F145" s="26">
        <f ca="1"/>
        <v>-0.4500374682509124</v>
      </c>
      <c r="G145" s="26">
        <f ca="1"/>
        <v>-0.39162928140658926</v>
      </c>
      <c r="H145" s="26">
        <f ca="1"/>
        <v>-0.35634278245777362</v>
      </c>
      <c r="I145" s="26">
        <f ca="1"/>
        <v>-0.34069986279028985</v>
      </c>
      <c r="J145" s="26">
        <f ca="1"/>
        <v>-0.32101631272735509</v>
      </c>
      <c r="K145" s="26">
        <f ca="1"/>
        <v>-0.30185041480346253</v>
      </c>
      <c r="L145" s="26">
        <f ca="1"/>
        <v>-0.29448929014968184</v>
      </c>
      <c r="M145" s="26">
        <f ca="1"/>
        <v>-0.28294857087598563</v>
      </c>
      <c r="N145" s="6" t="str">
        <f>'Base data'!$F$21</f>
        <v>W/m2</v>
      </c>
    </row>
    <row r="146" spans="1:26" s="6" customFormat="1" x14ac:dyDescent="0.2">
      <c r="B146" s="1" t="str">
        <v>CA</v>
      </c>
      <c r="C146" s="26"/>
      <c r="D146" s="26">
        <f ca="1"/>
        <v>-0.93903422775551004</v>
      </c>
      <c r="E146" s="26">
        <f ca="1"/>
        <v>-0.89193659660673452</v>
      </c>
      <c r="F146" s="26">
        <f ca="1"/>
        <v>-0.83716074368127302</v>
      </c>
      <c r="G146" s="26">
        <f ca="1"/>
        <v>-0.8373596930308107</v>
      </c>
      <c r="H146" s="26">
        <f ca="1"/>
        <v>-0.79886681133932791</v>
      </c>
      <c r="I146" s="26">
        <f ca="1"/>
        <v>-0.75855798835962596</v>
      </c>
      <c r="J146" s="26">
        <f ca="1"/>
        <v>-0.71578533376517761</v>
      </c>
      <c r="K146" s="26">
        <f ca="1"/>
        <v>-0.66031185160703132</v>
      </c>
      <c r="L146" s="26">
        <f ca="1"/>
        <v>-0.600940179314155</v>
      </c>
      <c r="M146" s="26">
        <f ca="1"/>
        <v>-0.54716634909316175</v>
      </c>
      <c r="N146" s="6" t="str">
        <f>'Base data'!$F$21</f>
        <v>W/m2</v>
      </c>
    </row>
    <row r="147" spans="1:26" s="6" customFormat="1" x14ac:dyDescent="0.2">
      <c r="B147" s="1" t="str">
        <v>IA</v>
      </c>
      <c r="C147" s="26"/>
      <c r="D147" s="26">
        <f ca="1"/>
        <v>-1.2396515545256011</v>
      </c>
      <c r="E147" s="26">
        <f ca="1"/>
        <v>-1.2760362954459696</v>
      </c>
      <c r="F147" s="26">
        <f ca="1"/>
        <v>-1.3088691571012274</v>
      </c>
      <c r="G147" s="26">
        <f ca="1"/>
        <v>-1.3143798100722757</v>
      </c>
      <c r="H147" s="26">
        <f ca="1"/>
        <v>-1.205817331425123</v>
      </c>
      <c r="I147" s="26">
        <f ca="1"/>
        <v>-1.2046714288159912</v>
      </c>
      <c r="J147" s="26">
        <f ca="1"/>
        <v>-1.1540354747582686</v>
      </c>
      <c r="K147" s="26">
        <f ca="1"/>
        <v>-1.0543761168913277</v>
      </c>
      <c r="L147" s="26">
        <f ca="1"/>
        <v>-0.9110957344517342</v>
      </c>
      <c r="M147" s="26">
        <f ca="1"/>
        <v>-0.70408652342965161</v>
      </c>
      <c r="N147" s="6" t="str">
        <f>'Base data'!$F$21</f>
        <v>W/m2</v>
      </c>
    </row>
    <row r="148" spans="1:26" s="6" customFormat="1" x14ac:dyDescent="0.2">
      <c r="B148" s="1" t="str">
        <v>AF</v>
      </c>
      <c r="C148" s="26"/>
      <c r="D148" s="26">
        <f ca="1"/>
        <v>-0.64092215015551535</v>
      </c>
      <c r="E148" s="26">
        <f ca="1"/>
        <v>-0.59926081928300845</v>
      </c>
      <c r="F148" s="26">
        <f ca="1"/>
        <v>-0.5517054334538849</v>
      </c>
      <c r="G148" s="26">
        <f ca="1"/>
        <v>-0.57997432627319168</v>
      </c>
      <c r="H148" s="26">
        <f ca="1"/>
        <v>-0.60923623122944293</v>
      </c>
      <c r="I148" s="26">
        <f ca="1"/>
        <v>-0.69992404597705382</v>
      </c>
      <c r="J148" s="26">
        <f ca="1"/>
        <v>-0.73720714908989837</v>
      </c>
      <c r="K148" s="26">
        <f ca="1"/>
        <v>-0.71599180121678629</v>
      </c>
      <c r="L148" s="26">
        <f ca="1"/>
        <v>-0.63690255652760508</v>
      </c>
      <c r="M148" s="26">
        <f ca="1"/>
        <v>-0.49397954427891028</v>
      </c>
      <c r="N148" s="6" t="str">
        <f>'Base data'!$F$21</f>
        <v>W/m2</v>
      </c>
    </row>
    <row r="149" spans="1:26" s="6" customFormat="1" x14ac:dyDescent="0.2">
      <c r="B149" s="1" t="str">
        <v>LA</v>
      </c>
      <c r="C149" s="26"/>
      <c r="D149" s="26">
        <f ca="1"/>
        <v>-0.66659970991302964</v>
      </c>
      <c r="E149" s="26">
        <f ca="1"/>
        <v>-0.66412707228450751</v>
      </c>
      <c r="F149" s="26">
        <f ca="1"/>
        <v>-0.66163613792935472</v>
      </c>
      <c r="G149" s="26">
        <f ca="1"/>
        <v>-0.65927947291275912</v>
      </c>
      <c r="H149" s="26">
        <f ca="1"/>
        <v>-0.631294152176613</v>
      </c>
      <c r="I149" s="26">
        <f ca="1"/>
        <v>-0.63440783791964361</v>
      </c>
      <c r="J149" s="26">
        <f ca="1"/>
        <v>-0.61539267316803714</v>
      </c>
      <c r="K149" s="26">
        <f ca="1"/>
        <v>-0.58292754813817949</v>
      </c>
      <c r="L149" s="26">
        <f ca="1"/>
        <v>-0.54607270363665739</v>
      </c>
      <c r="M149" s="26">
        <f ca="1"/>
        <v>-0.49049286721295615</v>
      </c>
      <c r="N149" s="6" t="str">
        <f>'Base data'!$F$21</f>
        <v>W/m2</v>
      </c>
    </row>
    <row r="150" spans="1:26" s="6" customFormat="1" x14ac:dyDescent="0.2">
      <c r="B150" s="6" t="s">
        <v>136</v>
      </c>
      <c r="C150" s="256"/>
      <c r="D150" s="256">
        <f t="array" aca="1" ref="D150" ca="1">SUM(AREA*D142:D149)/AREA_E</f>
        <v>-0.17731499366384107</v>
      </c>
      <c r="E150" s="256">
        <f t="array" aca="1" ref="E150" ca="1">SUM(AREA*E142:E149)/AREA_E</f>
        <v>-0.1684958509062284</v>
      </c>
      <c r="F150" s="256">
        <f t="array" aca="1" ref="F150" ca="1">SUM(AREA*F142:F149)/AREA_E</f>
        <v>-0.15795519299453345</v>
      </c>
      <c r="G150" s="256">
        <f t="array" aca="1" ref="G150" ca="1">SUM(AREA*G142:G149)/AREA_E</f>
        <v>-0.15649414696222858</v>
      </c>
      <c r="H150" s="256">
        <f t="array" aca="1" ref="H150" ca="1">SUM(AREA*H142:H149)/AREA_E</f>
        <v>-0.15137442609256785</v>
      </c>
      <c r="I150" s="256">
        <f t="array" aca="1" ref="I150" ca="1">SUM(AREA*I142:I149)/AREA_E</f>
        <v>-0.15760472431442013</v>
      </c>
      <c r="J150" s="256">
        <f t="array" aca="1" ref="J150" ca="1">SUM(AREA*J142:J149)/AREA_E</f>
        <v>-0.15742917143749974</v>
      </c>
      <c r="K150" s="256">
        <f t="array" aca="1" ref="K150" ca="1">SUM(AREA*K142:K149)/AREA_E</f>
        <v>-0.15071594164654395</v>
      </c>
      <c r="L150" s="256">
        <f t="array" aca="1" ref="L150" ca="1">SUM(AREA*L142:L149)/AREA_E</f>
        <v>-0.1382259937063556</v>
      </c>
      <c r="M150" s="256">
        <f t="array" aca="1" ref="M150" ca="1">SUM(AREA*M142:M149)/AREA_E</f>
        <v>-0.11784397493939699</v>
      </c>
      <c r="N150" s="6" t="s">
        <v>42</v>
      </c>
    </row>
    <row r="151" spans="1:26" s="6" customFormat="1" x14ac:dyDescent="0.2">
      <c r="A151" t="s">
        <v>74</v>
      </c>
      <c r="B151" t="s">
        <v>75</v>
      </c>
      <c r="C151" s="1" t="str">
        <f t="array" ref="C151:C158">R_CODE</f>
        <v>EU</v>
      </c>
      <c r="D151" s="26">
        <f t="array" aca="1" ref="D151:M158" ca="1">fsd_b+fsi_b</f>
        <v>-3.0407570093671872</v>
      </c>
      <c r="E151" s="26">
        <f ca="1"/>
        <v>-2.5912672452628627</v>
      </c>
      <c r="F151" s="26">
        <f ca="1"/>
        <v>-2.128298183284163</v>
      </c>
      <c r="G151" s="26">
        <f ca="1"/>
        <v>-2.2215397587280883</v>
      </c>
      <c r="H151" s="26">
        <f ca="1"/>
        <v>-2.5732611091526105</v>
      </c>
      <c r="I151" s="26">
        <f ca="1"/>
        <v>-3.1601574281785512</v>
      </c>
      <c r="J151" s="26">
        <f ca="1"/>
        <v>-3.6655568808744787</v>
      </c>
      <c r="K151" s="26">
        <f ca="1"/>
        <v>-3.9340640448271618</v>
      </c>
      <c r="L151" s="26">
        <f ca="1"/>
        <v>-3.7054433917418841</v>
      </c>
      <c r="M151" s="26">
        <f ca="1"/>
        <v>-3.0954933884965601</v>
      </c>
      <c r="N151" s="6" t="str">
        <f>'Base data'!$F$21</f>
        <v>W/m2</v>
      </c>
      <c r="O151"/>
      <c r="P151"/>
      <c r="Q151"/>
      <c r="R151"/>
      <c r="S151"/>
      <c r="T151"/>
      <c r="U151"/>
      <c r="V151"/>
      <c r="W151"/>
      <c r="X151"/>
    </row>
    <row r="152" spans="1:26" s="6" customFormat="1" x14ac:dyDescent="0.2">
      <c r="A152"/>
      <c r="B152"/>
      <c r="C152" s="1" t="str">
        <v>US</v>
      </c>
      <c r="D152" s="26">
        <f ca="1"/>
        <v>-1.5461245148315346</v>
      </c>
      <c r="E152" s="26">
        <f ca="1"/>
        <v>-1.3458126002364574</v>
      </c>
      <c r="F152" s="26">
        <f ca="1"/>
        <v>-1.1370229612841247</v>
      </c>
      <c r="G152" s="26">
        <f ca="1"/>
        <v>-1.1324721842121346</v>
      </c>
      <c r="H152" s="26">
        <f ca="1"/>
        <v>-1.0128791790189169</v>
      </c>
      <c r="I152" s="26">
        <f ca="1"/>
        <v>-1.0182141395445066</v>
      </c>
      <c r="J152" s="26">
        <f ca="1"/>
        <v>-1.0239584147699672</v>
      </c>
      <c r="K152" s="26">
        <f ca="1"/>
        <v>-1.0264659569667591</v>
      </c>
      <c r="L152" s="26">
        <f ca="1"/>
        <v>-0.98042725501186245</v>
      </c>
      <c r="M152" s="26">
        <f ca="1"/>
        <v>-0.89646867908509453</v>
      </c>
      <c r="N152" s="6" t="str">
        <f>'Base data'!$F$21</f>
        <v>W/m2</v>
      </c>
      <c r="O152"/>
      <c r="P152"/>
      <c r="Q152"/>
      <c r="R152"/>
      <c r="S152"/>
      <c r="T152"/>
      <c r="U152"/>
      <c r="V152"/>
      <c r="W152"/>
      <c r="X152"/>
    </row>
    <row r="153" spans="1:26" x14ac:dyDescent="0.2">
      <c r="C153" s="1" t="str">
        <v>OT</v>
      </c>
      <c r="D153" s="26">
        <f ca="1"/>
        <v>-1.079671567354602</v>
      </c>
      <c r="E153" s="26">
        <f ca="1"/>
        <v>-0.91139027209711898</v>
      </c>
      <c r="F153" s="26">
        <f ca="1"/>
        <v>-0.73266116201284892</v>
      </c>
      <c r="G153" s="26">
        <f ca="1"/>
        <v>-0.62732262652945225</v>
      </c>
      <c r="H153" s="26">
        <f ca="1"/>
        <v>-0.50446495067813935</v>
      </c>
      <c r="I153" s="26">
        <f ca="1"/>
        <v>-0.49481812393245461</v>
      </c>
      <c r="J153" s="26">
        <f ca="1"/>
        <v>-0.48811278417773118</v>
      </c>
      <c r="K153" s="26">
        <f ca="1"/>
        <v>-0.48461147555463635</v>
      </c>
      <c r="L153" s="26">
        <f ca="1"/>
        <v>-0.48629873196152396</v>
      </c>
      <c r="M153" s="26">
        <f ca="1"/>
        <v>-0.47626374333028765</v>
      </c>
      <c r="N153" s="6" t="str">
        <f>'Base data'!$F$21</f>
        <v>W/m2</v>
      </c>
    </row>
    <row r="154" spans="1:26" x14ac:dyDescent="0.2">
      <c r="C154" s="1" t="str">
        <v>EE</v>
      </c>
      <c r="D154" s="26">
        <f ca="1"/>
        <v>-1.3609397306479694</v>
      </c>
      <c r="E154" s="26">
        <f ca="1"/>
        <v>-1.1607770798383781</v>
      </c>
      <c r="F154" s="26">
        <f ca="1"/>
        <v>-0.94994825049270259</v>
      </c>
      <c r="G154" s="26">
        <f ca="1"/>
        <v>-0.78354232330322993</v>
      </c>
      <c r="H154" s="26">
        <f ca="1"/>
        <v>-0.69153211864320863</v>
      </c>
      <c r="I154" s="26">
        <f ca="1"/>
        <v>-0.65258354192062495</v>
      </c>
      <c r="J154" s="26">
        <f ca="1"/>
        <v>-0.60507199697319392</v>
      </c>
      <c r="K154" s="26">
        <f ca="1"/>
        <v>-0.56032942585973111</v>
      </c>
      <c r="L154" s="26">
        <f ca="1"/>
        <v>-0.54352557457011552</v>
      </c>
      <c r="M154" s="26">
        <f ca="1"/>
        <v>-0.51759004873448222</v>
      </c>
      <c r="N154" s="6" t="str">
        <f>'Base data'!$F$21</f>
        <v>W/m2</v>
      </c>
    </row>
    <row r="155" spans="1:26" x14ac:dyDescent="0.2">
      <c r="C155" s="1" t="str">
        <v>CA</v>
      </c>
      <c r="D155" s="26">
        <f ca="1"/>
        <v>-3.6589192605565728</v>
      </c>
      <c r="E155" s="26">
        <f ca="1"/>
        <v>-3.2334537642752199</v>
      </c>
      <c r="F155" s="26">
        <f ca="1"/>
        <v>-2.8003100462171813</v>
      </c>
      <c r="G155" s="26">
        <f ca="1"/>
        <v>-2.8017748477519699</v>
      </c>
      <c r="H155" s="26">
        <f ca="1"/>
        <v>-2.5317796042241905</v>
      </c>
      <c r="I155" s="26">
        <f ca="1"/>
        <v>-2.2758126689151275</v>
      </c>
      <c r="J155" s="26">
        <f ca="1"/>
        <v>-2.0307512909922996</v>
      </c>
      <c r="K155" s="26">
        <f ca="1"/>
        <v>-1.7484402259369842</v>
      </c>
      <c r="L155" s="26">
        <f ca="1"/>
        <v>-1.4843308567797551</v>
      </c>
      <c r="M155" s="26">
        <f ca="1"/>
        <v>-1.2738450139272919</v>
      </c>
      <c r="N155" s="6" t="str">
        <f>'Base data'!$F$21</f>
        <v>W/m2</v>
      </c>
    </row>
    <row r="156" spans="1:26" x14ac:dyDescent="0.2">
      <c r="C156" s="1" t="str">
        <v>IA</v>
      </c>
      <c r="D156" s="26">
        <f ca="1"/>
        <v>-8.1398600326177402</v>
      </c>
      <c r="E156" s="26">
        <f ca="1"/>
        <v>-8.9841830486330618</v>
      </c>
      <c r="F156" s="26">
        <f ca="1"/>
        <v>-9.8249541853832731</v>
      </c>
      <c r="G156" s="26">
        <f ca="1"/>
        <v>-9.9739606617411702</v>
      </c>
      <c r="H156" s="26">
        <f ca="1"/>
        <v>-7.4291784087858623</v>
      </c>
      <c r="I156" s="26">
        <f ca="1"/>
        <v>-7.4062786998435577</v>
      </c>
      <c r="J156" s="26">
        <f ca="1"/>
        <v>-6.4646932791069762</v>
      </c>
      <c r="K156" s="26">
        <f ca="1"/>
        <v>-4.9585411075021097</v>
      </c>
      <c r="L156" s="26">
        <f ca="1"/>
        <v>-3.4001745427696681</v>
      </c>
      <c r="M156" s="26">
        <f ca="1"/>
        <v>-1.968056104116356</v>
      </c>
      <c r="N156" s="6" t="str">
        <f>'Base data'!$F$21</f>
        <v>W/m2</v>
      </c>
    </row>
    <row r="157" spans="1:26" x14ac:dyDescent="0.2">
      <c r="C157" s="1" t="str">
        <v>AF</v>
      </c>
      <c r="D157" s="26">
        <f ca="1"/>
        <v>-1.6581780039612393</v>
      </c>
      <c r="E157" s="26">
        <f ca="1"/>
        <v>-1.4773692558469136</v>
      </c>
      <c r="F157" s="26">
        <f ca="1"/>
        <v>-1.2906664527759717</v>
      </c>
      <c r="G157" s="26">
        <f ca="1"/>
        <v>-1.3992712597532821</v>
      </c>
      <c r="H157" s="26">
        <f ca="1"/>
        <v>-1.519111371842174</v>
      </c>
      <c r="I157" s="26">
        <f ca="1"/>
        <v>-1.9461721921279302</v>
      </c>
      <c r="J157" s="26">
        <f ca="1"/>
        <v>-2.1502733857869947</v>
      </c>
      <c r="K157" s="26">
        <f ca="1"/>
        <v>-2.0318737828347082</v>
      </c>
      <c r="L157" s="26">
        <f ca="1"/>
        <v>-1.6399700911168367</v>
      </c>
      <c r="M157" s="26">
        <f ca="1"/>
        <v>-1.0884286010806914</v>
      </c>
      <c r="N157" s="6" t="str">
        <f>'Base data'!$F$21</f>
        <v>W/m2</v>
      </c>
    </row>
    <row r="158" spans="1:26" x14ac:dyDescent="0.2">
      <c r="C158" s="1" t="str">
        <v>LA</v>
      </c>
      <c r="D158" s="26">
        <f ca="1"/>
        <v>-1.7786017691887999</v>
      </c>
      <c r="E158" s="26">
        <f ca="1"/>
        <v>-1.7666878073541472</v>
      </c>
      <c r="F158" s="26">
        <f ca="1"/>
        <v>-1.7547555487928641</v>
      </c>
      <c r="G158" s="26">
        <f ca="1"/>
        <v>-1.7435305635530258</v>
      </c>
      <c r="H158" s="26">
        <f ca="1"/>
        <v>-1.61484617769342</v>
      </c>
      <c r="I158" s="26">
        <f ca="1"/>
        <v>-1.6287543655730148</v>
      </c>
      <c r="J158" s="26">
        <f ca="1"/>
        <v>-1.5453479821707947</v>
      </c>
      <c r="K158" s="26">
        <f ca="1"/>
        <v>-1.4110129071272548</v>
      </c>
      <c r="L158" s="26">
        <f ca="1"/>
        <v>-1.2698167384603272</v>
      </c>
      <c r="M158" s="26">
        <f ca="1"/>
        <v>-1.0769816356204671</v>
      </c>
      <c r="N158" s="6" t="str">
        <f>'Base data'!$F$21</f>
        <v>W/m2</v>
      </c>
    </row>
    <row r="159" spans="1:26" ht="13.5" thickBot="1" x14ac:dyDescent="0.25">
      <c r="C159" t="s">
        <v>136</v>
      </c>
      <c r="D159" s="257">
        <f t="array" aca="1" ref="D159" ca="1">SUM(AREA*D151:D158)/AREA_E</f>
        <v>-0.58629161958800868</v>
      </c>
      <c r="E159" s="257">
        <f t="array" aca="1" ref="E159" ca="1">SUM(AREA*E151:E158)/AREA_E</f>
        <v>-0.56082315666603255</v>
      </c>
      <c r="F159" s="257">
        <f t="array" aca="1" ref="F159" ca="1">SUM(AREA*F151:F158)/AREA_E</f>
        <v>-0.53363317858997417</v>
      </c>
      <c r="G159" s="257">
        <f t="array" aca="1" ref="G159" ca="1">SUM(AREA*G151:G158)/AREA_E</f>
        <v>-0.53517696906708911</v>
      </c>
      <c r="H159" s="257">
        <f t="array" aca="1" ref="H159" ca="1">SUM(AREA*H151:H158)/AREA_E</f>
        <v>-0.47281224630368524</v>
      </c>
      <c r="I159" s="257">
        <f t="array" aca="1" ref="I159" ca="1">SUM(AREA*I151:I158)/AREA_E</f>
        <v>-0.50424778807973192</v>
      </c>
      <c r="J159" s="257">
        <f t="array" aca="1" ref="J159" ca="1">SUM(AREA*J151:J158)/AREA_E</f>
        <v>-0.49412854594164463</v>
      </c>
      <c r="K159" s="257">
        <f t="array" aca="1" ref="K159" ca="1">SUM(AREA*K151:K158)/AREA_E</f>
        <v>-0.4423491293400289</v>
      </c>
      <c r="L159" s="257">
        <f t="array" aca="1" ref="L159" ca="1">SUM(AREA*L151:L158)/AREA_E</f>
        <v>-0.36453399741286097</v>
      </c>
      <c r="M159" s="257">
        <f t="array" aca="1" ref="M159" ca="1">SUM(AREA*M151:M158)/AREA_E</f>
        <v>-0.2713939609907744</v>
      </c>
      <c r="N159" s="6" t="s">
        <v>42</v>
      </c>
      <c r="O159" s="6"/>
      <c r="P159" s="6"/>
      <c r="Q159" s="6"/>
      <c r="R159" s="6"/>
      <c r="S159" s="6"/>
      <c r="T159" s="6"/>
      <c r="U159" s="6"/>
      <c r="V159" s="6"/>
      <c r="W159" s="6"/>
      <c r="X159" s="6"/>
      <c r="Y159" s="124"/>
      <c r="Z159" s="124" t="s">
        <v>553</v>
      </c>
    </row>
    <row r="160" spans="1:26" ht="13.5" thickTop="1" x14ac:dyDescent="0.2">
      <c r="D160" s="6"/>
      <c r="E160" s="6"/>
      <c r="F160" s="6"/>
      <c r="G160" s="6"/>
      <c r="H160" s="6"/>
      <c r="I160" s="6"/>
      <c r="J160" s="6"/>
      <c r="K160" s="6"/>
      <c r="L160" s="6"/>
      <c r="M160" s="6"/>
      <c r="N160" s="6"/>
      <c r="Y160" s="124"/>
      <c r="Z160" s="124"/>
    </row>
    <row r="161" spans="1:26" x14ac:dyDescent="0.2">
      <c r="A161" s="3" t="s">
        <v>560</v>
      </c>
      <c r="B161" t="s">
        <v>557</v>
      </c>
      <c r="C161" s="213">
        <f ca="1" xml:space="preserve"> FGT_0</f>
        <v>2.5440330938746119</v>
      </c>
      <c r="D161" s="213">
        <f t="array" ref="D161:M161" ca="1" xml:space="preserve"> ft_b+fs_g_b</f>
        <v>3.0105885821559504</v>
      </c>
      <c r="E161" s="213">
        <f ca="1"/>
        <v>3.2917997550932339</v>
      </c>
      <c r="F161" s="213">
        <f ca="1"/>
        <v>3.5890788265447586</v>
      </c>
      <c r="G161" s="213">
        <f ca="1"/>
        <v>4.2531631830133563</v>
      </c>
      <c r="H161" s="213">
        <f ca="1"/>
        <v>4.9811564546169764</v>
      </c>
      <c r="I161" s="213">
        <f ca="1"/>
        <v>5.7377256539686003</v>
      </c>
      <c r="J161" s="213">
        <f ca="1"/>
        <v>6.5314983304524308</v>
      </c>
      <c r="K161" s="213">
        <f ca="1"/>
        <v>7.3105685219437726</v>
      </c>
      <c r="L161" s="213">
        <f ca="1"/>
        <v>7.9736724992769155</v>
      </c>
      <c r="M161" s="213">
        <f ca="1"/>
        <v>8.519280197703516</v>
      </c>
      <c r="N161" s="57" t="s">
        <v>42</v>
      </c>
      <c r="O161" s="6"/>
      <c r="P161" s="6"/>
      <c r="Q161" s="6"/>
      <c r="R161" s="6"/>
      <c r="S161" s="6"/>
      <c r="T161" s="6"/>
      <c r="U161" s="6"/>
      <c r="V161" s="6"/>
      <c r="W161" s="6"/>
      <c r="X161" s="6"/>
      <c r="Y161" s="124"/>
      <c r="Z161" s="124" t="s">
        <v>561</v>
      </c>
    </row>
    <row r="162" spans="1:26" x14ac:dyDescent="0.2">
      <c r="A162" t="s">
        <v>558</v>
      </c>
      <c r="B162" s="3"/>
      <c r="D162" s="222">
        <f ca="1" xml:space="preserve"> (fgt_1_b - FGT_0) / YP_1</f>
        <v>9.3311097656267702E-2</v>
      </c>
      <c r="E162" s="222">
        <f t="array" ref="E162:M162" ca="1" xml:space="preserve"> (fgt_not_1_b - fgt_b) / YP_NOT_1</f>
        <v>5.6242234587456696E-2</v>
      </c>
      <c r="F162" s="222">
        <f ca="1"/>
        <v>5.9455814290304956E-2</v>
      </c>
      <c r="G162" s="222">
        <f ca="1"/>
        <v>6.6408435646859762E-2</v>
      </c>
      <c r="H162" s="222">
        <f ca="1"/>
        <v>7.2799327160362012E-2</v>
      </c>
      <c r="I162" s="222">
        <f ca="1"/>
        <v>7.5656919935162395E-2</v>
      </c>
      <c r="J162" s="222">
        <f ca="1"/>
        <v>7.9377267648383043E-2</v>
      </c>
      <c r="K162" s="222">
        <f ca="1"/>
        <v>7.7907019149134185E-2</v>
      </c>
      <c r="L162" s="222">
        <f ca="1"/>
        <v>6.6310397733314291E-2</v>
      </c>
      <c r="M162" s="222">
        <f ca="1"/>
        <v>5.4560769842660048E-2</v>
      </c>
      <c r="N162" s="57" t="s">
        <v>559</v>
      </c>
      <c r="Y162" s="124"/>
      <c r="Z162" s="124" t="s">
        <v>561</v>
      </c>
    </row>
    <row r="163" spans="1:26" x14ac:dyDescent="0.2">
      <c r="D163" s="6"/>
      <c r="E163" s="6"/>
      <c r="F163" s="6"/>
      <c r="G163" s="6"/>
      <c r="H163" s="6"/>
      <c r="I163" s="6"/>
      <c r="J163" s="6"/>
      <c r="K163" s="6"/>
      <c r="L163" s="6"/>
      <c r="M163" s="6"/>
      <c r="N163" s="6"/>
    </row>
    <row r="164" spans="1:26" ht="15" x14ac:dyDescent="0.25">
      <c r="A164" s="3" t="s">
        <v>911</v>
      </c>
      <c r="B164" s="3" t="s">
        <v>443</v>
      </c>
      <c r="C164" s="213">
        <f xml:space="preserve"> RT_G_0</f>
        <v>1.0967800000000001</v>
      </c>
      <c r="D164" s="258">
        <f ca="1" xml:space="preserve"> RT_G_0 + (ECS * FGT_0 / (LN(2) * FSLOPE_CO2) - RT_G_0) * (1 - EXP(-YP_1/FRT))</f>
        <v>1.2223451159033858</v>
      </c>
      <c r="E164" s="213">
        <f t="array" ref="E164:M164" ca="1" xml:space="preserve"> pt_g_b + (ECS * (fgt_b - rate_fgt_b*FRT) / (LN(2)*FSLOPE_CO2) - pt_g_b) * ( 1 - EXP( - (YP_NOT_1)/FRT) ) + ECS * (rate_fgt_b*YP_NOT_1) / (LN(2)*FSLOPE_CO2)</f>
        <v>1.4117647435891965</v>
      </c>
      <c r="F164" s="213">
        <f ca="1"/>
        <v>1.5926715519132806</v>
      </c>
      <c r="G164" s="213">
        <f ca="1"/>
        <v>1.9737222874397105</v>
      </c>
      <c r="H164" s="213">
        <f ca="1"/>
        <v>2.3949047832394008</v>
      </c>
      <c r="I164" s="213">
        <f ca="1"/>
        <v>2.8576255092641074</v>
      </c>
      <c r="J164" s="213">
        <f ca="1"/>
        <v>3.3516931782196959</v>
      </c>
      <c r="K164" s="213">
        <f ca="1"/>
        <v>3.876930824447173</v>
      </c>
      <c r="L164" s="213">
        <f ca="1"/>
        <v>4.414834610148894</v>
      </c>
      <c r="M164" s="213">
        <f ca="1"/>
        <v>4.9245129348605916</v>
      </c>
      <c r="N164" s="57" t="s">
        <v>41</v>
      </c>
    </row>
    <row r="165" spans="1:26" ht="15" x14ac:dyDescent="0.25">
      <c r="A165" s="3"/>
      <c r="B165" s="3"/>
      <c r="C165" s="6"/>
      <c r="D165" s="112"/>
      <c r="E165" s="6"/>
      <c r="F165" s="6"/>
      <c r="G165" s="6"/>
      <c r="H165" s="6"/>
      <c r="I165" s="6"/>
      <c r="J165" s="6"/>
      <c r="K165" s="6"/>
      <c r="L165" s="6"/>
      <c r="M165" s="6"/>
      <c r="N165" s="57"/>
    </row>
    <row r="166" spans="1:26" ht="15" x14ac:dyDescent="0.25">
      <c r="A166" s="103" t="s">
        <v>904</v>
      </c>
      <c r="B166" s="103"/>
      <c r="C166" s="249"/>
      <c r="D166" s="250">
        <f ca="1" xml:space="preserve"> ( ((ALB_SAF_QUADR_MEAN_T2_COEFF*(pt_g_1_b^3)/3 + ALB_SAF_QUADR_MEAN_T1_COEFF*(pt_g_1_b^2)/2 + ALB_SAF_QUADR_MEAN_T0_COEFF*pt_g_1_b) + (ALB_SAF_QUADR_STD*pt_g_1_b) * ALB_EMULATOR_RAND) - ALB_FSAF_Y0 ) / (pt_g_1_b - RT_G_0)</f>
        <v>0.35365409350806948</v>
      </c>
      <c r="E166" s="249">
        <f t="array" ref="E166:M166" ca="1" xml:space="preserve"> IF( pt_g_not_1_b &lt;= ALB_T_SWITCH, ( ((ALB_SAF_QUADR_MEAN_T2_COEFF*(pt_g_not_1_b^3)/3 + ALB_SAF_QUADR_MEAN_T1_COEFF*(pt_g_not_1_b^2)/2 + ALB_SAF_QUADR_MEAN_T0_COEFF*pt_g_not_1_b) + (ALB_SAF_QUADR_STD*pt_g_not_1_b) * ALB_EMULATOR_RAND) - ((ALB_SAF_QUADR_MEAN_T2_COEFF*(rt_g_b^3)/3 + ALB_SAF_QUADR_MEAN_T1_COEFF*(rt_g_b^2)/2 + ALB_SAF_QUADR_MEAN_T0_COEFF*rt_g_b) + (ALB_SAF_QUADR_STD*rt_g_b) * ALB_EMULATOR_RAND) ) / (pt_g_not_1_b - rt_g_b), 0 ) + IF(  pt_g_not_1_b &gt; ALB_T_SWITCH, (ALB_SAF_LIN_MEAN + ALB_SAF_LIN_STD*ALB_EMULATOR_RAND) )</f>
        <v>0.35166099825892011</v>
      </c>
      <c r="F166" s="249">
        <f ca="1"/>
        <v>0.34947830417401166</v>
      </c>
      <c r="G166" s="249">
        <f ca="1"/>
        <v>0.34588243765722665</v>
      </c>
      <c r="H166" s="249">
        <f ca="1"/>
        <v>0.33948889585335684</v>
      </c>
      <c r="I166" s="249">
        <f ca="1"/>
        <v>0.33227044701219527</v>
      </c>
      <c r="J166" s="249">
        <f ca="1"/>
        <v>0.32298073888640699</v>
      </c>
      <c r="K166" s="249">
        <f ca="1"/>
        <v>0.31180661780288144</v>
      </c>
      <c r="L166" s="249">
        <f ca="1"/>
        <v>0.29916275562901046</v>
      </c>
      <c r="M166" s="249">
        <f ca="1"/>
        <v>0.28515957554567889</v>
      </c>
      <c r="N166" s="57" t="s">
        <v>538</v>
      </c>
      <c r="Z166" s="124" t="s">
        <v>939</v>
      </c>
    </row>
    <row r="167" spans="1:26" ht="15" x14ac:dyDescent="0.25">
      <c r="A167" s="103" t="s">
        <v>906</v>
      </c>
      <c r="B167" s="103"/>
      <c r="C167" s="249"/>
      <c r="D167" s="250">
        <f t="array" ref="D167:M167" ca="1" xml:space="preserve"> alb_saf_approx_b - ALB_SAF_ECS</f>
        <v>4.0636220141163082E-3</v>
      </c>
      <c r="E167" s="249">
        <f ca="1"/>
        <v>2.0705267649669401E-3</v>
      </c>
      <c r="F167" s="249">
        <f ca="1"/>
        <v>-1.1216731994151408E-4</v>
      </c>
      <c r="G167" s="249">
        <f ca="1"/>
        <v>-3.7080338367265209E-3</v>
      </c>
      <c r="H167" s="249">
        <f ca="1"/>
        <v>-1.0101575640596328E-2</v>
      </c>
      <c r="I167" s="249">
        <f ca="1"/>
        <v>-1.7320024481757901E-2</v>
      </c>
      <c r="J167" s="249">
        <f ca="1"/>
        <v>-2.6609732607546177E-2</v>
      </c>
      <c r="K167" s="249">
        <f ca="1"/>
        <v>-3.7783853691071734E-2</v>
      </c>
      <c r="L167" s="249">
        <f ca="1"/>
        <v>-5.0427715864942713E-2</v>
      </c>
      <c r="M167" s="249">
        <f ca="1"/>
        <v>-6.443089594827428E-2</v>
      </c>
      <c r="N167" s="57" t="s">
        <v>538</v>
      </c>
      <c r="Z167" s="124" t="s">
        <v>939</v>
      </c>
    </row>
    <row r="168" spans="1:26" ht="15" x14ac:dyDescent="0.25">
      <c r="A168" s="103" t="s">
        <v>914</v>
      </c>
      <c r="B168" s="103"/>
      <c r="C168" s="206"/>
      <c r="D168" s="250">
        <f ca="1" xml:space="preserve"> ((ALB_SAF_QUADR_MEAN_T2_COEFF*(RT_G_0^3)/3 + ALB_SAF_QUADR_MEAN_T1_COEFF*(RT_G_0^2)/2 + ALB_SAF_QUADR_MEAN_T0_COEFF*RT_G_0) + (ALB_SAF_QUADR_STD*RT_G_0) * ALB_EMULATOR_RAND) - alb_saf_approx_1_b*RT_G_0</f>
        <v>6.3111880399571718E-3</v>
      </c>
      <c r="E168" s="249">
        <f t="array" ref="E168:M168" ca="1" xml:space="preserve"> IF( rt_g_b &lt;= ALB_T_SWITCH, ((ALB_SAF_QUADR_MEAN_T2_COEFF*(rt_g_b^3)/3 + ALB_SAF_QUADR_MEAN_T1_COEFF*(rt_g_b^2)/2 + ALB_SAF_QUADR_MEAN_T0_COEFF*rt_g_b) + (ALB_SAF_QUADR_STD*rt_g_b) * ALB_EMULATOR_RAND), 0 ) + IF( rt_g_b &gt; ALB_T_SWITCH, ALB_FSAF_T_SWITCH + ALB_SAF_LIN_MEAN*(rt_g_b - ALB_T_SWITCH) + (ALB_SAF_LIN_STD*(rt_g_b - ALB_T_SWITCH)) * ALB_EMULATOR_RAND, 0 ) - alb_saf_approx_not_1_b * rt_g_b</f>
        <v>8.7891063958068227E-3</v>
      </c>
      <c r="F168" s="249">
        <f ca="1"/>
        <v>1.1906401458577354E-2</v>
      </c>
      <c r="G168" s="249">
        <f ca="1"/>
        <v>1.7699376631252428E-2</v>
      </c>
      <c r="H168" s="249">
        <f ca="1"/>
        <v>3.069016323828555E-2</v>
      </c>
      <c r="I168" s="249">
        <f ca="1"/>
        <v>4.8490522267669145E-2</v>
      </c>
      <c r="J168" s="249">
        <f ca="1"/>
        <v>7.6009421744734795E-2</v>
      </c>
      <c r="K168" s="249">
        <f ca="1"/>
        <v>0.11512944867961727</v>
      </c>
      <c r="L168" s="249">
        <f ca="1"/>
        <v>0.1664848621306434</v>
      </c>
      <c r="M168" s="249">
        <f ca="1"/>
        <v>0.23134529455386987</v>
      </c>
      <c r="N168" s="3" t="s">
        <v>42</v>
      </c>
      <c r="Z168" s="124" t="s">
        <v>939</v>
      </c>
    </row>
    <row r="169" spans="1:26" ht="15" x14ac:dyDescent="0.25">
      <c r="A169" s="103" t="s">
        <v>915</v>
      </c>
      <c r="B169" s="103"/>
      <c r="C169" s="250"/>
      <c r="D169" s="250">
        <f t="array" ref="D169:M169" ca="1" xml:space="preserve"> ECS / ( 1 - ECS * alb_saf_adjust_b / (LN(2)*FSLOPE_CO2) )</f>
        <v>2.815084001899208</v>
      </c>
      <c r="E169" s="249">
        <f ca="1"/>
        <v>2.8109470171311886</v>
      </c>
      <c r="F169" s="249">
        <f ca="1"/>
        <v>2.8064304168269048</v>
      </c>
      <c r="G169" s="249">
        <f ca="1"/>
        <v>2.7990211391965079</v>
      </c>
      <c r="H169" s="249">
        <f ca="1"/>
        <v>2.7859434253628721</v>
      </c>
      <c r="I169" s="249">
        <f ca="1"/>
        <v>2.771324501420108</v>
      </c>
      <c r="J169" s="249">
        <f ca="1"/>
        <v>2.7527350866152527</v>
      </c>
      <c r="K169" s="249">
        <f ca="1"/>
        <v>2.7307025733332551</v>
      </c>
      <c r="L169" s="249">
        <f ca="1"/>
        <v>2.7061936142336473</v>
      </c>
      <c r="M169" s="249">
        <f ca="1"/>
        <v>2.6795581315389683</v>
      </c>
      <c r="N169" s="57" t="s">
        <v>41</v>
      </c>
      <c r="Z169" s="124" t="s">
        <v>552</v>
      </c>
    </row>
    <row r="170" spans="1:26" ht="15" x14ac:dyDescent="0.25">
      <c r="A170" s="103" t="s">
        <v>916</v>
      </c>
      <c r="B170" s="103"/>
      <c r="C170" s="251"/>
      <c r="D170" s="251">
        <f t="array" ref="D170:M170" ca="1" xml:space="preserve"> FRT / ( 1 - ECS * alb_saf_adjust_b / (LN(2)*FSLOPE_CO2) )</f>
        <v>28.418351979214517</v>
      </c>
      <c r="E170" s="202">
        <f ca="1"/>
        <v>28.376589001914045</v>
      </c>
      <c r="F170" s="202">
        <f ca="1"/>
        <v>28.330993795124492</v>
      </c>
      <c r="G170" s="202">
        <f ca="1"/>
        <v>28.256196929570823</v>
      </c>
      <c r="H170" s="202">
        <f ca="1"/>
        <v>28.124177041511722</v>
      </c>
      <c r="I170" s="202">
        <f ca="1"/>
        <v>27.976598594160752</v>
      </c>
      <c r="J170" s="202">
        <f ca="1"/>
        <v>27.788937930160817</v>
      </c>
      <c r="K170" s="202">
        <f ca="1"/>
        <v>27.5665190904345</v>
      </c>
      <c r="L170" s="202">
        <f ca="1"/>
        <v>27.319100460700213</v>
      </c>
      <c r="M170" s="202">
        <f ca="1"/>
        <v>27.050214515611898</v>
      </c>
      <c r="N170" s="57" t="s">
        <v>457</v>
      </c>
      <c r="Z170" s="124" t="s">
        <v>552</v>
      </c>
    </row>
    <row r="171" spans="1:26" ht="15" x14ac:dyDescent="0.25">
      <c r="A171" s="3"/>
      <c r="B171" s="103" t="s">
        <v>912</v>
      </c>
      <c r="C171" s="202"/>
      <c r="D171" s="112"/>
      <c r="E171" s="6"/>
      <c r="F171" s="6"/>
      <c r="G171" s="6"/>
      <c r="H171" s="6"/>
      <c r="I171" s="6"/>
      <c r="J171" s="6"/>
      <c r="K171" s="6"/>
      <c r="L171" s="6"/>
      <c r="M171" s="6"/>
      <c r="N171" s="57"/>
    </row>
    <row r="172" spans="1:26" x14ac:dyDescent="0.2">
      <c r="A172" s="113" t="s">
        <v>576</v>
      </c>
      <c r="B172" s="113" t="s">
        <v>179</v>
      </c>
      <c r="C172" s="252">
        <f xml:space="preserve"> RT_G_0</f>
        <v>1.0967800000000001</v>
      </c>
      <c r="D172" s="252">
        <f ca="1">_xll.RiskNormal(D192,D193)</f>
        <v>1.260694</v>
      </c>
      <c r="E172" s="252">
        <f ca="1">_xll.RiskNormal(E192,E193)</f>
        <v>1.444258</v>
      </c>
      <c r="F172" s="252">
        <f ca="1">_xll.RiskNormal(F192,F193)</f>
        <v>1.618976</v>
      </c>
      <c r="G172" s="252">
        <f ca="1">_xll.RiskNormal(G192,G193)</f>
        <v>2.0927950000000002</v>
      </c>
      <c r="H172" s="252">
        <f ca="1">_xll.RiskNormal(H192,H193)</f>
        <v>2.5288700000000004</v>
      </c>
      <c r="I172" s="252">
        <f ca="1">_xll.RiskNormal(I192,I193)</f>
        <v>3.07036</v>
      </c>
      <c r="J172" s="252">
        <f ca="1">_xll.RiskNormal(J192,J193)</f>
        <v>3.6599200000000005</v>
      </c>
      <c r="K172" s="252">
        <f ca="1">_xll.RiskNormal(K192,K193)</f>
        <v>4.2583299999999999</v>
      </c>
      <c r="L172" s="252">
        <f ca="1">_xll.RiskNormal(L192,L193)</f>
        <v>4.8923899999999998</v>
      </c>
      <c r="M172" s="252">
        <f ca="1">_xll.RiskNormal(M192,M193)</f>
        <v>5.4579800000000001</v>
      </c>
      <c r="N172" t="str">
        <f>'Base data'!$L$35</f>
        <v>degC</v>
      </c>
      <c r="O172" s="6"/>
      <c r="P172" s="6"/>
      <c r="Q172" s="6"/>
      <c r="R172" s="6"/>
      <c r="S172" s="6"/>
      <c r="T172" s="6"/>
      <c r="U172" s="6"/>
      <c r="V172" s="6"/>
      <c r="W172" s="6"/>
      <c r="X172" s="6"/>
      <c r="Y172" s="124"/>
      <c r="Z172" s="124" t="s">
        <v>913</v>
      </c>
    </row>
    <row r="173" spans="1:26" x14ac:dyDescent="0.2">
      <c r="A173" s="3"/>
      <c r="N173" s="57"/>
    </row>
    <row r="174" spans="1:26" ht="15" x14ac:dyDescent="0.25">
      <c r="A174" s="103" t="s">
        <v>908</v>
      </c>
      <c r="B174" s="103"/>
      <c r="C174" s="251"/>
      <c r="D174" s="251">
        <f t="array" ref="D174:M174" ca="1" xml:space="preserve"> IF( rt_g_b &lt;= ALB_T_SWITCH, (ALB_SAF_QUADR_MEAN_T2_COEFF*(rt_g_b^3)/3 + ALB_SAF_QUADR_MEAN_T1_COEFF*(rt_g_b^2)/2 + ALB_SAF_QUADR_MEAN_T0_COEFF*rt_g_b) + (ALB_SAF_QUADR_STD*rt_g_b) * ALB_EMULATOR_RAND, 0 ) + IF( rt_g_b &gt; ALB_T_SWITCH, ALB_FSAF_T_SWITCH + ALB_SAF_LIN_MEAN*(rt_g_b - ALB_T_SWITCH) + (ALB_SAF_LIN_STD*(rt_g_b - ALB_T_SWITCH)) * ALB_EMULATOR_RAND, 0 )</f>
        <v>0.45212601693483784</v>
      </c>
      <c r="E174" s="202">
        <f ca="1"/>
        <v>0.51664323808832713</v>
      </c>
      <c r="F174" s="202">
        <f ca="1"/>
        <v>0.57767474201979863</v>
      </c>
      <c r="G174" s="202">
        <f ca="1"/>
        <v>0.74117082703571158</v>
      </c>
      <c r="H174" s="202">
        <f ca="1"/>
        <v>0.88875928760339951</v>
      </c>
      <c r="I174" s="202">
        <f ca="1"/>
        <v>1.0676765631920033</v>
      </c>
      <c r="J174" s="202">
        <f ca="1"/>
        <v>1.2563167253087393</v>
      </c>
      <c r="K174" s="202">
        <f ca="1"/>
        <v>1.4404185993083274</v>
      </c>
      <c r="L174" s="202">
        <f ca="1"/>
        <v>1.6264571503577938</v>
      </c>
      <c r="M174" s="202">
        <f ca="1"/>
        <v>1.7837682322895421</v>
      </c>
      <c r="N174" t="s">
        <v>42</v>
      </c>
      <c r="Y174" s="124"/>
      <c r="Z174" s="124" t="s">
        <v>939</v>
      </c>
    </row>
    <row r="175" spans="1:26" ht="15" x14ac:dyDescent="0.25">
      <c r="A175" s="103" t="s">
        <v>909</v>
      </c>
      <c r="B175" s="103"/>
      <c r="C175" s="251"/>
      <c r="D175" s="251">
        <f t="array" ref="D175:M175" ca="1" xml:space="preserve"> IF( rt_g_b &lt;= ALB_T_SWITCH, (ALB_SAF_QUADR_MEAN_T2_COEFF*(rt_g_b^2)/2 + ALB_SAF_QUADR_MEAN_T1_COEFF*rt_g_b + ALB_SAF_QUADR_MEAN_T0_COEFF) + ALB_SAF_QUADR_STD * ALB_EMULATOR_RAND, 0 ) + IF( rt_g_b &gt; ALB_T_SWITCH, ALB_SAF_LIN_MEAN + ALB_SAF_LIN_STD * ALB_EMULATOR_RAND, 0 )</f>
        <v>0.35408770835169351</v>
      </c>
      <c r="E175" s="202">
        <f ca="1"/>
        <v>0.35242902674769988</v>
      </c>
      <c r="F175" s="202">
        <f ca="1"/>
        <v>0.35078897877927062</v>
      </c>
      <c r="G175" s="202">
        <f ca="1"/>
        <v>0.34604041148387249</v>
      </c>
      <c r="H175" s="202">
        <f ca="1"/>
        <v>0.34128156653042835</v>
      </c>
      <c r="I175" s="202">
        <f ca="1"/>
        <v>0.33485398588359017</v>
      </c>
      <c r="J175" s="202">
        <f ca="1"/>
        <v>0.32720282823030672</v>
      </c>
      <c r="K175" s="202">
        <f ca="1"/>
        <v>0.31874068351699791</v>
      </c>
      <c r="L175" s="202">
        <f ca="1"/>
        <v>0.30900917464966832</v>
      </c>
      <c r="M175" s="202">
        <f ca="1"/>
        <v>0.29966411531579029</v>
      </c>
      <c r="N175" s="57" t="s">
        <v>538</v>
      </c>
      <c r="Y175" s="124"/>
      <c r="Z175" s="124" t="s">
        <v>939</v>
      </c>
    </row>
    <row r="177" spans="1:26" x14ac:dyDescent="0.2">
      <c r="A177" s="57" t="s">
        <v>425</v>
      </c>
      <c r="B177" s="57" t="s">
        <v>168</v>
      </c>
      <c r="C177" s="1" t="str">
        <f t="array" ref="C177:C184">R_CODE</f>
        <v>EU</v>
      </c>
      <c r="D177" s="213">
        <f ca="1">_xll.RiskNormal(D236,D225)</f>
        <v>1.8586464</v>
      </c>
      <c r="E177" s="213">
        <f ca="1">_xll.RiskNormal(E236,E225)</f>
        <v>2.1260509999999999</v>
      </c>
      <c r="F177" s="213">
        <f ca="1">_xll.RiskNormal(F236,F225)</f>
        <v>2.5255030000000001</v>
      </c>
      <c r="G177" s="213">
        <f ca="1">_xll.RiskNormal(G236,G225)</f>
        <v>3.0116399999999999</v>
      </c>
      <c r="H177" s="213">
        <f ca="1">_xll.RiskNormal(H236,H225)</f>
        <v>3.5820499999999997</v>
      </c>
      <c r="I177" s="213">
        <f ca="1">_xll.RiskNormal(I236,I225)</f>
        <v>4.2274700000000003</v>
      </c>
      <c r="J177" s="213">
        <f ca="1">_xll.RiskNormal(J236,J225)</f>
        <v>4.9228399999999999</v>
      </c>
      <c r="K177" s="213">
        <f ca="1">_xll.RiskNormal(K236,K225)</f>
        <v>5.59971</v>
      </c>
      <c r="L177" s="213">
        <f ca="1">_xll.RiskNormal(L236,L225)</f>
        <v>6.4646899999999992</v>
      </c>
      <c r="M177" s="213">
        <f ca="1">_xll.RiskNormal(M236,M225)</f>
        <v>7.1050500000000003</v>
      </c>
      <c r="N177" s="3" t="s">
        <v>41</v>
      </c>
      <c r="O177" s="6"/>
      <c r="P177" s="6"/>
      <c r="Q177" s="6"/>
      <c r="R177" s="6"/>
      <c r="S177" s="6"/>
      <c r="T177" s="6"/>
      <c r="U177" s="6"/>
      <c r="V177" s="6"/>
      <c r="W177" s="6"/>
      <c r="X177" s="6"/>
      <c r="Y177" s="124"/>
      <c r="Z177" s="124" t="s">
        <v>553</v>
      </c>
    </row>
    <row r="178" spans="1:26" x14ac:dyDescent="0.2">
      <c r="A178" s="6"/>
      <c r="B178" s="6"/>
      <c r="C178" s="1" t="str">
        <v>US</v>
      </c>
      <c r="D178" s="213">
        <f ca="1">_xll.RiskNormal(D237,D226)</f>
        <v>1.9465209999999999</v>
      </c>
      <c r="E178" s="213">
        <f ca="1">_xll.RiskNormal(E237,E226)</f>
        <v>2.149613</v>
      </c>
      <c r="F178" s="213">
        <f ca="1">_xll.RiskNormal(F237,F226)</f>
        <v>2.4943279999999999</v>
      </c>
      <c r="G178" s="213">
        <f ca="1">_xll.RiskNormal(G237,G226)</f>
        <v>3.1511899999999997</v>
      </c>
      <c r="H178" s="213">
        <f ca="1">_xll.RiskNormal(H237,H226)</f>
        <v>3.6917999999999997</v>
      </c>
      <c r="I178" s="213">
        <f ca="1">_xll.RiskNormal(I237,I226)</f>
        <v>4.4676399999999994</v>
      </c>
      <c r="J178" s="213">
        <f ca="1">_xll.RiskNormal(J237,J226)</f>
        <v>5.2941500000000001</v>
      </c>
      <c r="K178" s="213">
        <f ca="1">_xll.RiskNormal(K237,K226)</f>
        <v>6.1270600000000002</v>
      </c>
      <c r="L178" s="213">
        <f ca="1">_xll.RiskNormal(L237,L226)</f>
        <v>6.9297500000000003</v>
      </c>
      <c r="M178" s="213">
        <f ca="1">_xll.RiskNormal(M237,M226)</f>
        <v>7.67598</v>
      </c>
      <c r="N178" t="str">
        <f>'Base data'!$L$35</f>
        <v>degC</v>
      </c>
      <c r="O178" s="6"/>
      <c r="P178" s="6"/>
      <c r="Q178" s="6"/>
      <c r="R178" s="6"/>
      <c r="S178" s="6"/>
      <c r="T178" s="6"/>
      <c r="U178" s="6"/>
      <c r="V178" s="6"/>
      <c r="W178" s="6"/>
      <c r="X178" s="6"/>
    </row>
    <row r="179" spans="1:26" x14ac:dyDescent="0.2">
      <c r="A179" s="6"/>
      <c r="B179" s="6"/>
      <c r="C179" s="1" t="str">
        <v>OT</v>
      </c>
      <c r="D179" s="213">
        <f ca="1">_xll.RiskNormal(D238,D227)</f>
        <v>2.0534319999999999</v>
      </c>
      <c r="E179" s="213">
        <f ca="1">_xll.RiskNormal(E238,E227)</f>
        <v>2.1858210000000002</v>
      </c>
      <c r="F179" s="213">
        <f ca="1">_xll.RiskNormal(F238,F227)</f>
        <v>2.5705970000000002</v>
      </c>
      <c r="G179" s="213">
        <f ca="1">_xll.RiskNormal(G238,G227)</f>
        <v>3.2910300000000001</v>
      </c>
      <c r="H179" s="213">
        <f ca="1">_xll.RiskNormal(H238,H227)</f>
        <v>3.9224800000000002</v>
      </c>
      <c r="I179" s="213">
        <f ca="1">_xll.RiskNormal(I238,I227)</f>
        <v>4.7130700000000001</v>
      </c>
      <c r="J179" s="213">
        <f ca="1">_xll.RiskNormal(J238,J227)</f>
        <v>5.60433</v>
      </c>
      <c r="K179" s="213">
        <f ca="1">_xll.RiskNormal(K238,K227)</f>
        <v>6.48611</v>
      </c>
      <c r="L179" s="213">
        <f ca="1">_xll.RiskNormal(L238,L227)</f>
        <v>7.4313700000000003</v>
      </c>
      <c r="M179" s="213">
        <f ca="1">_xll.RiskNormal(M238,M227)</f>
        <v>8.259879999999999</v>
      </c>
      <c r="N179" t="str">
        <f>'Base data'!$L$35</f>
        <v>degC</v>
      </c>
      <c r="O179" s="6"/>
      <c r="P179" s="6"/>
      <c r="Q179" s="6"/>
      <c r="R179" s="6"/>
      <c r="S179" s="6"/>
      <c r="T179" s="6"/>
      <c r="U179" s="6"/>
      <c r="V179" s="6"/>
      <c r="W179" s="6"/>
      <c r="X179" s="6"/>
    </row>
    <row r="180" spans="1:26" x14ac:dyDescent="0.2">
      <c r="A180" s="6"/>
      <c r="B180" s="6"/>
      <c r="C180" s="1" t="str">
        <v>EE</v>
      </c>
      <c r="D180" s="213">
        <f ca="1">_xll.RiskNormal(D239,D228)</f>
        <v>2.4211910000000003</v>
      </c>
      <c r="E180" s="213">
        <f ca="1">_xll.RiskNormal(E239,E228)</f>
        <v>2.8444210000000001</v>
      </c>
      <c r="F180" s="213">
        <f ca="1">_xll.RiskNormal(F239,F228)</f>
        <v>3.1766010000000002</v>
      </c>
      <c r="G180" s="213">
        <f ca="1">_xll.RiskNormal(G239,G228)</f>
        <v>3.9287999999999998</v>
      </c>
      <c r="H180" s="213">
        <f ca="1">_xll.RiskNormal(H239,H228)</f>
        <v>4.8029000000000002</v>
      </c>
      <c r="I180" s="213">
        <f ca="1">_xll.RiskNormal(I239,I228)</f>
        <v>5.7068300000000001</v>
      </c>
      <c r="J180" s="213">
        <f ca="1">_xll.RiskNormal(J239,J228)</f>
        <v>6.7319100000000001</v>
      </c>
      <c r="K180" s="213">
        <f ca="1">_xll.RiskNormal(K239,K228)</f>
        <v>7.6653099999999998</v>
      </c>
      <c r="L180" s="213">
        <f ca="1">_xll.RiskNormal(L239,L228)</f>
        <v>8.8982899999999994</v>
      </c>
      <c r="M180" s="213">
        <f ca="1">_xll.RiskNormal(M239,M228)</f>
        <v>9.7735400000000006</v>
      </c>
      <c r="N180" t="str">
        <f>'Base data'!$L$35</f>
        <v>degC</v>
      </c>
      <c r="O180" s="6"/>
      <c r="P180" s="6"/>
      <c r="Q180" s="6"/>
      <c r="R180" s="6"/>
      <c r="S180" s="6"/>
      <c r="T180" s="6"/>
      <c r="U180" s="6"/>
      <c r="V180" s="6"/>
      <c r="W180" s="6"/>
      <c r="X180" s="6"/>
    </row>
    <row r="181" spans="1:26" x14ac:dyDescent="0.2">
      <c r="A181" s="6"/>
      <c r="B181" s="6"/>
      <c r="C181" s="1" t="str">
        <v>CA</v>
      </c>
      <c r="D181" s="213">
        <f ca="1">_xll.RiskNormal(D240,D229)</f>
        <v>1.8616919999999999</v>
      </c>
      <c r="E181" s="213">
        <f ca="1">_xll.RiskNormal(E240,E229)</f>
        <v>2.2019660000000001</v>
      </c>
      <c r="F181" s="213">
        <f ca="1">_xll.RiskNormal(F240,F229)</f>
        <v>2.5173239999999999</v>
      </c>
      <c r="G181" s="213">
        <f ca="1">_xll.RiskNormal(G240,G229)</f>
        <v>3.0831200000000001</v>
      </c>
      <c r="H181" s="213">
        <f ca="1">_xll.RiskNormal(H240,H229)</f>
        <v>3.7205599999999999</v>
      </c>
      <c r="I181" s="213">
        <f ca="1">_xll.RiskNormal(I240,I229)</f>
        <v>4.3679100000000002</v>
      </c>
      <c r="J181" s="213">
        <f ca="1">_xll.RiskNormal(J240,J229)</f>
        <v>5.2407599999999999</v>
      </c>
      <c r="K181" s="213">
        <f ca="1">_xll.RiskNormal(K240,K229)</f>
        <v>6.0268899999999999</v>
      </c>
      <c r="L181" s="213">
        <f ca="1">_xll.RiskNormal(L240,L229)</f>
        <v>6.9486299999999996</v>
      </c>
      <c r="M181" s="213">
        <f ca="1">_xll.RiskNormal(M240,M229)</f>
        <v>7.6792400000000001</v>
      </c>
      <c r="N181" t="str">
        <f>'Base data'!$L$35</f>
        <v>degC</v>
      </c>
      <c r="O181" s="6"/>
      <c r="P181" s="6"/>
      <c r="Q181" s="6"/>
      <c r="R181" s="6"/>
      <c r="S181" s="6"/>
      <c r="T181" s="6"/>
      <c r="U181" s="6"/>
      <c r="V181" s="6"/>
      <c r="W181" s="6"/>
      <c r="X181" s="6"/>
    </row>
    <row r="182" spans="1:26" x14ac:dyDescent="0.2">
      <c r="A182" s="6"/>
      <c r="B182" s="6"/>
      <c r="C182" s="1" t="str">
        <v>IA</v>
      </c>
      <c r="D182" s="213">
        <f ca="1">_xll.RiskNormal(D241,D230)</f>
        <v>1.450291</v>
      </c>
      <c r="E182" s="213">
        <f ca="1">_xll.RiskNormal(E241,E230)</f>
        <v>1.626954</v>
      </c>
      <c r="F182" s="213">
        <f ca="1">_xll.RiskNormal(F241,F230)</f>
        <v>1.79427</v>
      </c>
      <c r="G182" s="213">
        <f ca="1">_xll.RiskNormal(G241,G230)</f>
        <v>2.31698</v>
      </c>
      <c r="H182" s="213">
        <f ca="1">_xll.RiskNormal(H241,H230)</f>
        <v>2.82402</v>
      </c>
      <c r="I182" s="213">
        <f ca="1">_xll.RiskNormal(I241,I230)</f>
        <v>3.3809199999999997</v>
      </c>
      <c r="J182" s="213">
        <f ca="1">_xll.RiskNormal(J241,J230)</f>
        <v>4.0746000000000002</v>
      </c>
      <c r="K182" s="213">
        <f ca="1">_xll.RiskNormal(K241,K230)</f>
        <v>4.7346199999999996</v>
      </c>
      <c r="L182" s="213">
        <f ca="1">_xll.RiskNormal(L241,L230)</f>
        <v>5.4500999999999999</v>
      </c>
      <c r="M182" s="213">
        <f ca="1">_xll.RiskNormal(M241,M230)</f>
        <v>6.0600199999999997</v>
      </c>
      <c r="N182" t="str">
        <f>'Base data'!$L$35</f>
        <v>degC</v>
      </c>
      <c r="O182" s="6"/>
      <c r="P182" s="6"/>
      <c r="Q182" s="6"/>
      <c r="R182" s="6"/>
      <c r="S182" s="6"/>
      <c r="T182" s="6"/>
      <c r="U182" s="6"/>
      <c r="V182" s="6"/>
      <c r="W182" s="6"/>
      <c r="X182" s="6"/>
    </row>
    <row r="183" spans="1:26" x14ac:dyDescent="0.2">
      <c r="A183" s="6"/>
      <c r="B183" s="6"/>
      <c r="C183" s="1" t="str">
        <v>AF</v>
      </c>
      <c r="D183" s="213">
        <f ca="1">_xll.RiskNormal(D242,D231)</f>
        <v>1.522694</v>
      </c>
      <c r="E183" s="213">
        <f ca="1">_xll.RiskNormal(E242,E231)</f>
        <v>1.7791600000000001</v>
      </c>
      <c r="F183" s="213">
        <f ca="1">_xll.RiskNormal(F242,F231)</f>
        <v>1.940636</v>
      </c>
      <c r="G183" s="213">
        <f ca="1">_xll.RiskNormal(G242,G231)</f>
        <v>2.5269300000000001</v>
      </c>
      <c r="H183" s="213">
        <f ca="1">_xll.RiskNormal(H242,H231)</f>
        <v>3.0226999999999999</v>
      </c>
      <c r="I183" s="213">
        <f ca="1">_xll.RiskNormal(I242,I231)</f>
        <v>3.6719400000000002</v>
      </c>
      <c r="J183" s="213">
        <f ca="1">_xll.RiskNormal(J242,J231)</f>
        <v>4.3887700000000001</v>
      </c>
      <c r="K183" s="213">
        <f ca="1">_xll.RiskNormal(K242,K231)</f>
        <v>5.1050699999999996</v>
      </c>
      <c r="L183" s="213">
        <f ca="1">_xll.RiskNormal(L242,L231)</f>
        <v>5.9097800000000005</v>
      </c>
      <c r="M183" s="213">
        <f ca="1">_xll.RiskNormal(M242,M231)</f>
        <v>6.61531</v>
      </c>
      <c r="N183" t="str">
        <f>'Base data'!$L$35</f>
        <v>degC</v>
      </c>
      <c r="O183" s="6"/>
      <c r="P183" s="6"/>
      <c r="Q183" s="6"/>
      <c r="R183" s="6"/>
      <c r="S183" s="6"/>
      <c r="T183" s="6"/>
      <c r="U183" s="6"/>
      <c r="V183" s="6"/>
      <c r="W183" s="6"/>
      <c r="X183" s="6"/>
    </row>
    <row r="184" spans="1:26" x14ac:dyDescent="0.2">
      <c r="A184" s="6"/>
      <c r="B184" s="6"/>
      <c r="C184" s="1" t="str">
        <v>LA</v>
      </c>
      <c r="D184" s="213">
        <f ca="1">_xll.RiskNormal(D243,D232)</f>
        <v>1.6283719999999999</v>
      </c>
      <c r="E184" s="213">
        <f ca="1">_xll.RiskNormal(E243,E232)</f>
        <v>1.7249989999999999</v>
      </c>
      <c r="F184" s="213">
        <f ca="1">_xll.RiskNormal(F243,F232)</f>
        <v>1.9351039999999999</v>
      </c>
      <c r="G184" s="213">
        <f ca="1">_xll.RiskNormal(G243,G232)</f>
        <v>2.5332499999999998</v>
      </c>
      <c r="H184" s="213">
        <f ca="1">_xll.RiskNormal(H243,H232)</f>
        <v>2.9664200000000003</v>
      </c>
      <c r="I184" s="213">
        <f ca="1">_xll.RiskNormal(I243,I232)</f>
        <v>3.5724900000000002</v>
      </c>
      <c r="J184" s="213">
        <f ca="1">_xll.RiskNormal(J243,J232)</f>
        <v>4.2848499999999996</v>
      </c>
      <c r="K184" s="213">
        <f ca="1">_xll.RiskNormal(K243,K232)</f>
        <v>5.0069299999999997</v>
      </c>
      <c r="L184" s="213">
        <f ca="1">_xll.RiskNormal(L243,L232)</f>
        <v>5.6663399999999999</v>
      </c>
      <c r="M184" s="213">
        <f ca="1">_xll.RiskNormal(M243,M232)</f>
        <v>6.2945799999999998</v>
      </c>
      <c r="N184" t="str">
        <f>'Base data'!$L$35</f>
        <v>degC</v>
      </c>
      <c r="O184" s="6"/>
      <c r="P184" s="6"/>
      <c r="Q184" s="6"/>
      <c r="R184" s="6"/>
      <c r="S184" s="6"/>
      <c r="T184" s="6"/>
      <c r="U184" s="6"/>
      <c r="V184" s="6"/>
      <c r="W184" s="6"/>
      <c r="X184" s="6"/>
    </row>
    <row r="185" spans="1:26" x14ac:dyDescent="0.2">
      <c r="A185" s="57" t="s">
        <v>169</v>
      </c>
      <c r="B185" s="57" t="s">
        <v>178</v>
      </c>
      <c r="C185" s="256">
        <f ca="1">RTL_G_0</f>
        <v>1.3763936014334881</v>
      </c>
      <c r="D185" s="256">
        <f t="array" aca="1" ref="D185" ca="1">SUM(AREA*D177:D184)/AREA_L</f>
        <v>1.8152323164274962</v>
      </c>
      <c r="E185" s="256">
        <f t="array" aca="1" ref="E185" ca="1">SUM(AREA*E177:E184)/AREA_L</f>
        <v>2.0598646456611251</v>
      </c>
      <c r="F185" s="256">
        <f t="array" aca="1" ref="F185" ca="1">SUM(AREA*F177:F184)/AREA_L</f>
        <v>2.3161640120840121</v>
      </c>
      <c r="G185" s="256">
        <f t="array" aca="1" ref="G185" ca="1">SUM(AREA*G177:G184)/AREA_L</f>
        <v>2.9427469060934763</v>
      </c>
      <c r="H185" s="256">
        <f t="array" aca="1" ref="H185" ca="1">SUM(AREA*H177:H184)/AREA_L</f>
        <v>3.5278498489690562</v>
      </c>
      <c r="I185" s="256">
        <f t="array" aca="1" ref="I185" ca="1">SUM(AREA*I177:I184)/AREA_L</f>
        <v>4.2319620118765942</v>
      </c>
      <c r="J185" s="256">
        <f t="array" aca="1" ref="J185" ca="1">SUM(AREA*J177:J184)/AREA_L</f>
        <v>5.0380855377500549</v>
      </c>
      <c r="K185" s="256">
        <f t="array" aca="1" ref="K185" ca="1">SUM(AREA*K177:K184)/AREA_L</f>
        <v>5.8188947953476937</v>
      </c>
      <c r="L185" s="256">
        <f t="array" aca="1" ref="L185" ca="1">SUM(AREA*L177:L184)/AREA_L</f>
        <v>6.6958518397965774</v>
      </c>
      <c r="M185" s="256">
        <f t="array" aca="1" ref="M185" ca="1">SUM(AREA*M177:M184)/AREA_L</f>
        <v>7.4276784610361668</v>
      </c>
      <c r="N185" t="str">
        <f>'Base data'!$L$35</f>
        <v>degC</v>
      </c>
      <c r="O185" s="6"/>
      <c r="P185" s="6"/>
      <c r="Q185" s="6"/>
      <c r="R185" s="6"/>
      <c r="S185" s="6"/>
      <c r="T185" s="6"/>
      <c r="U185" s="6"/>
      <c r="V185" s="6"/>
      <c r="W185" s="6"/>
      <c r="X185" s="6"/>
    </row>
    <row r="186" spans="1:26"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row>
    <row r="187" spans="1:26" x14ac:dyDescent="0.2">
      <c r="A187" s="57" t="s">
        <v>442</v>
      </c>
      <c r="B187" s="57" t="s">
        <v>441</v>
      </c>
      <c r="C187" s="213">
        <f ca="1" xml:space="preserve"> (RT_G_0 * AREA_E - RTL_G_0 * AREA_L) / (AREA_E - AREA_L)</f>
        <v>1.0009527789267774</v>
      </c>
      <c r="D187" s="213">
        <f t="array" ref="D187:M187" ca="1" xml:space="preserve"> (rt_g_b * AREA_E - rtl_g_b * AREA_L) / (AREA_E - AREA_L)</f>
        <v>1.0706465002738081</v>
      </c>
      <c r="E187" s="213">
        <f ca="1"/>
        <v>1.2332815888902346</v>
      </c>
      <c r="F187" s="213">
        <f ca="1"/>
        <v>1.3800405926340342</v>
      </c>
      <c r="G187" s="213">
        <f ca="1"/>
        <v>1.801505417557421</v>
      </c>
      <c r="H187" s="213">
        <f ca="1"/>
        <v>2.1865066015670256</v>
      </c>
      <c r="I187" s="213">
        <f ca="1"/>
        <v>2.6722638694093117</v>
      </c>
      <c r="J187" s="213">
        <f ca="1"/>
        <v>3.1876047299830454</v>
      </c>
      <c r="K187" s="213">
        <f ca="1"/>
        <v>3.7235041300272758</v>
      </c>
      <c r="L187" s="213">
        <f ca="1"/>
        <v>4.2743201509893947</v>
      </c>
      <c r="M187" s="213">
        <f ca="1"/>
        <v>4.7829386969101808</v>
      </c>
      <c r="N187" s="3" t="s">
        <v>41</v>
      </c>
      <c r="O187" s="6"/>
      <c r="P187" s="6"/>
      <c r="Q187" s="6"/>
      <c r="R187" s="6"/>
      <c r="S187" s="6"/>
      <c r="T187" s="6"/>
      <c r="U187" s="6"/>
      <c r="V187" s="6"/>
      <c r="W187" s="6"/>
      <c r="X187" s="6"/>
    </row>
    <row r="188" spans="1:26" x14ac:dyDescent="0.2">
      <c r="A188" s="57"/>
      <c r="B188" s="6"/>
      <c r="C188" s="6"/>
      <c r="D188" s="6"/>
      <c r="E188" s="6"/>
      <c r="F188" s="6"/>
      <c r="G188" s="6"/>
      <c r="H188" s="6"/>
      <c r="I188" s="6"/>
      <c r="J188" s="6"/>
      <c r="K188" s="6"/>
      <c r="L188" s="6"/>
      <c r="M188" s="6"/>
      <c r="N188" s="6"/>
    </row>
    <row r="189" spans="1:26" x14ac:dyDescent="0.2">
      <c r="A189" s="57" t="s">
        <v>184</v>
      </c>
      <c r="B189" s="1" t="s">
        <v>185</v>
      </c>
      <c r="C189" s="26">
        <f ca="1">SLA+SLTEMP*RT_G_0</f>
        <v>2.9010853333333335</v>
      </c>
      <c r="D189" s="26">
        <f t="array" ref="D189:M189" ca="1">SLA+SLTEMP*rt_g_b</f>
        <v>3.1852029333333336</v>
      </c>
      <c r="E189" s="26">
        <f ca="1"/>
        <v>3.5033805333333334</v>
      </c>
      <c r="F189" s="26">
        <f ca="1"/>
        <v>3.8062250666666668</v>
      </c>
      <c r="G189" s="26">
        <f ca="1"/>
        <v>4.6275113333333344</v>
      </c>
      <c r="H189" s="26">
        <f ca="1"/>
        <v>5.3833746666666675</v>
      </c>
      <c r="I189" s="26">
        <f ca="1"/>
        <v>6.3219573333333337</v>
      </c>
      <c r="J189" s="26">
        <f ca="1"/>
        <v>7.3438613333333347</v>
      </c>
      <c r="K189" s="26">
        <f ca="1"/>
        <v>8.3811053333333341</v>
      </c>
      <c r="L189" s="26">
        <f ca="1"/>
        <v>9.4801426666666657</v>
      </c>
      <c r="M189" s="26">
        <f ca="1"/>
        <v>10.460498666666668</v>
      </c>
      <c r="N189" s="3" t="s">
        <v>180</v>
      </c>
      <c r="O189" s="6"/>
      <c r="P189" s="6"/>
      <c r="Q189" s="6"/>
      <c r="R189" s="6"/>
      <c r="S189" s="6"/>
      <c r="T189" s="6"/>
      <c r="U189" s="6"/>
      <c r="V189" s="6"/>
      <c r="W189" s="6"/>
      <c r="X189" s="6"/>
    </row>
    <row r="190" spans="1:26" x14ac:dyDescent="0.2">
      <c r="A190" s="57" t="s">
        <v>186</v>
      </c>
      <c r="B190" s="1" t="s">
        <v>187</v>
      </c>
      <c r="C190" s="6"/>
      <c r="D190" s="26">
        <f t="array" aca="1" ref="D190:M190" ca="1">EXP(-(YP/SLTAU))</f>
        <v>0.98713016592366909</v>
      </c>
      <c r="E190" s="26">
        <f ca="1"/>
        <v>0.98713016592366909</v>
      </c>
      <c r="F190" s="26">
        <f ca="1"/>
        <v>0.98713016592366909</v>
      </c>
      <c r="G190" s="26">
        <f ca="1"/>
        <v>0.97442596447649055</v>
      </c>
      <c r="H190" s="26">
        <f ca="1"/>
        <v>0.97442596447649055</v>
      </c>
      <c r="I190" s="26">
        <f ca="1"/>
        <v>0.97442596447649055</v>
      </c>
      <c r="J190" s="26">
        <f ca="1"/>
        <v>0.97442596447649055</v>
      </c>
      <c r="K190" s="26">
        <f ca="1"/>
        <v>0.97442596447649055</v>
      </c>
      <c r="L190" s="26">
        <f ca="1"/>
        <v>0.97442596447649055</v>
      </c>
      <c r="M190" s="26">
        <f ca="1"/>
        <v>0.97442596447649055</v>
      </c>
      <c r="O190" s="6"/>
      <c r="P190" s="6"/>
      <c r="Q190" s="6"/>
      <c r="R190" s="6"/>
      <c r="S190" s="6"/>
      <c r="T190" s="6"/>
      <c r="U190" s="6"/>
      <c r="V190" s="6"/>
      <c r="W190" s="6"/>
      <c r="X190" s="6"/>
    </row>
    <row r="191" spans="1:26" s="6" customFormat="1" ht="13.5" thickBot="1" x14ac:dyDescent="0.25">
      <c r="A191" s="57" t="s">
        <v>188</v>
      </c>
      <c r="B191" s="1" t="s">
        <v>189</v>
      </c>
      <c r="C191" s="35">
        <f ca="1">S_0</f>
        <v>0.18999999999999997</v>
      </c>
      <c r="D191" s="35">
        <f ca="1">S_0+(es_1_b-S_0)*(1-EXPFS_1)</f>
        <v>0.22854776477693961</v>
      </c>
      <c r="E191" s="35">
        <f t="array" ref="E191:M191" ca="1">s_b+(es_not_1_b-s_b)*(1-EXPFS_NOT_1)</f>
        <v>0.27069431913599179</v>
      </c>
      <c r="F191" s="35">
        <f ca="1"/>
        <v>0.31619601322847779</v>
      </c>
      <c r="G191" s="35">
        <f ca="1"/>
        <v>0.42645374437788991</v>
      </c>
      <c r="H191" s="35">
        <f ca="1"/>
        <v>0.55322221613173039</v>
      </c>
      <c r="I191" s="35">
        <f ca="1"/>
        <v>0.70075205294476062</v>
      </c>
      <c r="J191" s="35">
        <f ca="1"/>
        <v>0.87064316566797328</v>
      </c>
      <c r="K191" s="35">
        <f ca="1"/>
        <v>1.062715991941821</v>
      </c>
      <c r="L191" s="35">
        <f ca="1"/>
        <v>1.2779835607377703</v>
      </c>
      <c r="M191" s="35">
        <f ca="1"/>
        <v>1.512817528251958</v>
      </c>
      <c r="N191" s="3" t="s">
        <v>180</v>
      </c>
    </row>
    <row r="192" spans="1:26" s="6" customFormat="1" ht="13.5" thickTop="1" x14ac:dyDescent="0.2">
      <c r="A192" s="328" t="s">
        <v>1095</v>
      </c>
      <c r="B192" s="323"/>
      <c r="C192" s="323"/>
      <c r="D192" s="323">
        <v>1.260694</v>
      </c>
      <c r="E192" s="323">
        <v>1.444258</v>
      </c>
      <c r="F192" s="323">
        <v>1.618976</v>
      </c>
      <c r="G192" s="323">
        <v>2.0927950000000002</v>
      </c>
      <c r="H192" s="323">
        <v>2.5288700000000004</v>
      </c>
      <c r="I192" s="323">
        <v>3.07036</v>
      </c>
      <c r="J192" s="323">
        <v>3.6599200000000005</v>
      </c>
      <c r="K192" s="323">
        <v>4.2583299999999999</v>
      </c>
      <c r="L192" s="323">
        <v>4.8923899999999998</v>
      </c>
      <c r="M192" s="323">
        <v>5.4579800000000001</v>
      </c>
      <c r="N192" s="3"/>
    </row>
    <row r="193" spans="1:23" s="6" customFormat="1" x14ac:dyDescent="0.2">
      <c r="A193" s="328" t="s">
        <v>1096</v>
      </c>
      <c r="B193" s="323"/>
      <c r="C193" s="323"/>
      <c r="D193" s="323">
        <v>0.16782200000000003</v>
      </c>
      <c r="E193" s="323">
        <v>0.18920100000000006</v>
      </c>
      <c r="F193" s="323">
        <v>0.22616200000000009</v>
      </c>
      <c r="G193" s="323">
        <v>0.31271599999999988</v>
      </c>
      <c r="H193" s="323">
        <v>0.37573899999999993</v>
      </c>
      <c r="I193" s="323">
        <v>0.47019500000000003</v>
      </c>
      <c r="J193" s="323">
        <v>0.62429900000000005</v>
      </c>
      <c r="K193" s="323">
        <v>0.76711000000000007</v>
      </c>
      <c r="L193" s="323">
        <v>0.9393220000000001</v>
      </c>
      <c r="M193" s="323">
        <v>1.06942</v>
      </c>
      <c r="N193" s="3"/>
    </row>
    <row r="194" spans="1:23" s="6" customFormat="1" x14ac:dyDescent="0.2">
      <c r="A194" s="323"/>
      <c r="B194" s="323"/>
      <c r="C194" s="323"/>
      <c r="D194" s="323"/>
      <c r="E194" s="323"/>
      <c r="F194" s="323"/>
      <c r="G194" s="323"/>
      <c r="H194" s="323"/>
      <c r="I194" s="323"/>
      <c r="J194" s="323"/>
      <c r="K194" s="323"/>
      <c r="L194" s="323"/>
      <c r="M194" s="323"/>
      <c r="N194" s="3"/>
    </row>
    <row r="195" spans="1:23" s="6" customFormat="1" x14ac:dyDescent="0.2">
      <c r="A195" s="2"/>
      <c r="B195" s="57"/>
      <c r="N195" s="3"/>
    </row>
    <row r="196" spans="1:23" s="6" customFormat="1" x14ac:dyDescent="0.2">
      <c r="A196" s="57"/>
      <c r="B196"/>
      <c r="C196"/>
      <c r="N196" s="3"/>
    </row>
    <row r="197" spans="1:23" s="6" customFormat="1" x14ac:dyDescent="0.2">
      <c r="A197" s="57"/>
      <c r="B197"/>
      <c r="C197"/>
      <c r="N197" s="3"/>
    </row>
    <row r="198" spans="1:23" s="6" customFormat="1" x14ac:dyDescent="0.2">
      <c r="A198" s="2" t="s">
        <v>891</v>
      </c>
      <c r="B198"/>
      <c r="C198"/>
      <c r="D198"/>
      <c r="E198"/>
      <c r="F198"/>
      <c r="G198"/>
      <c r="H198"/>
      <c r="I198"/>
      <c r="J198"/>
      <c r="K198"/>
      <c r="L198"/>
      <c r="M198"/>
      <c r="N198"/>
    </row>
    <row r="199" spans="1:23" s="6" customFormat="1" x14ac:dyDescent="0.2">
      <c r="A199" s="3" t="s">
        <v>921</v>
      </c>
      <c r="B199"/>
      <c r="C199"/>
      <c r="D199" s="6">
        <f t="array" ref="D199:M199" ca="1" xml:space="preserve">  ALB_SAF_ECS * rt_g_b</f>
        <v>0.44072660986959777</v>
      </c>
      <c r="E199" s="6">
        <f ca="1"/>
        <v>0.50489883517891387</v>
      </c>
      <c r="F199" s="6">
        <f ca="1"/>
        <v>0.56597858317739436</v>
      </c>
      <c r="G199" s="6">
        <f ca="1"/>
        <v>0.73162119079018784</v>
      </c>
      <c r="H199" s="6">
        <f ca="1"/>
        <v>0.88406885564691351</v>
      </c>
      <c r="I199" s="6">
        <f ca="1"/>
        <v>1.073368600056174</v>
      </c>
      <c r="J199" s="6">
        <f ca="1"/>
        <v>1.2794731584301493</v>
      </c>
      <c r="K199" s="6">
        <f ca="1"/>
        <v>1.4886715924768457</v>
      </c>
      <c r="L199" s="6">
        <f ca="1"/>
        <v>1.7103329268323015</v>
      </c>
      <c r="M199" s="6">
        <f ca="1"/>
        <v>1.9080578016045666</v>
      </c>
      <c r="N199" s="3" t="s">
        <v>42</v>
      </c>
      <c r="O199"/>
      <c r="P199"/>
      <c r="Q199"/>
      <c r="R199"/>
      <c r="S199"/>
      <c r="T199"/>
      <c r="U199"/>
      <c r="V199"/>
      <c r="W199"/>
    </row>
    <row r="200" spans="1:23" s="6" customFormat="1" x14ac:dyDescent="0.2">
      <c r="A200" s="3" t="s">
        <v>922</v>
      </c>
      <c r="B200"/>
      <c r="C200"/>
      <c r="D200" s="6">
        <f t="array" ref="D200:M200" ca="1" xml:space="preserve"> alb_fsaf_b - ALB_SAF_ECS * rt_g_b</f>
        <v>1.1399407065240064E-2</v>
      </c>
      <c r="E200" s="6">
        <f ca="1"/>
        <v>1.1744402909413254E-2</v>
      </c>
      <c r="F200" s="6">
        <f ca="1"/>
        <v>1.169615884240427E-2</v>
      </c>
      <c r="G200" s="6">
        <f ca="1"/>
        <v>9.5496362455237405E-3</v>
      </c>
      <c r="H200" s="6">
        <f ca="1"/>
        <v>4.6904319564859964E-3</v>
      </c>
      <c r="I200" s="6">
        <f ca="1"/>
        <v>-5.6920368641706354E-3</v>
      </c>
      <c r="J200" s="6">
        <f ca="1"/>
        <v>-2.3156433121410025E-2</v>
      </c>
      <c r="K200" s="6">
        <f ca="1"/>
        <v>-4.8252993168518277E-2</v>
      </c>
      <c r="L200" s="6">
        <f ca="1"/>
        <v>-8.3875776474507724E-2</v>
      </c>
      <c r="M200" s="6">
        <f ca="1"/>
        <v>-0.12428956931502455</v>
      </c>
      <c r="N200" s="3" t="s">
        <v>42</v>
      </c>
    </row>
    <row r="201" spans="1:23" s="6" customFormat="1" x14ac:dyDescent="0.2">
      <c r="A201" s="3" t="s">
        <v>556</v>
      </c>
      <c r="B201"/>
      <c r="C201"/>
      <c r="N201" s="3" t="s">
        <v>42</v>
      </c>
    </row>
    <row r="202" spans="1:23" s="6" customFormat="1" x14ac:dyDescent="0.2">
      <c r="A202" s="3" t="s">
        <v>550</v>
      </c>
      <c r="B202"/>
      <c r="C202"/>
      <c r="D202"/>
      <c r="E202"/>
      <c r="F202"/>
      <c r="G202"/>
      <c r="H202"/>
      <c r="I202"/>
      <c r="J202"/>
      <c r="K202"/>
      <c r="L202"/>
      <c r="M202"/>
      <c r="N202"/>
    </row>
    <row r="203" spans="1:23" s="6" customFormat="1" x14ac:dyDescent="0.2">
      <c r="A203" s="3"/>
      <c r="B203"/>
      <c r="C203"/>
      <c r="D203"/>
      <c r="E203"/>
      <c r="F203"/>
      <c r="G203"/>
      <c r="H203"/>
      <c r="I203"/>
      <c r="J203"/>
      <c r="K203"/>
      <c r="L203"/>
      <c r="M203"/>
      <c r="N203"/>
    </row>
    <row r="204" spans="1:23" s="6" customFormat="1" x14ac:dyDescent="0.2">
      <c r="A204" s="3"/>
      <c r="B204"/>
      <c r="C204"/>
      <c r="D204"/>
      <c r="E204"/>
      <c r="F204"/>
      <c r="G204"/>
      <c r="H204"/>
      <c r="I204"/>
      <c r="J204"/>
      <c r="K204"/>
      <c r="L204"/>
      <c r="M204"/>
      <c r="N204"/>
    </row>
    <row r="205" spans="1:23" s="6" customFormat="1" x14ac:dyDescent="0.2">
      <c r="A205" s="2" t="s">
        <v>773</v>
      </c>
      <c r="B205"/>
      <c r="C205"/>
      <c r="D205"/>
      <c r="E205"/>
      <c r="F205"/>
      <c r="G205"/>
      <c r="H205"/>
      <c r="I205"/>
      <c r="J205"/>
      <c r="K205"/>
      <c r="L205"/>
      <c r="M205"/>
      <c r="N205"/>
    </row>
    <row r="206" spans="1:23" s="6" customFormat="1" x14ac:dyDescent="0.2">
      <c r="A206" s="3" t="s">
        <v>551</v>
      </c>
      <c r="B206"/>
      <c r="C206"/>
      <c r="D206"/>
      <c r="E206"/>
      <c r="F206"/>
      <c r="G206"/>
      <c r="H206"/>
      <c r="I206"/>
      <c r="J206"/>
      <c r="K206"/>
      <c r="L206"/>
      <c r="M206"/>
      <c r="N206"/>
    </row>
    <row r="207" spans="1:23" s="6" customFormat="1" x14ac:dyDescent="0.2">
      <c r="A207" s="3"/>
      <c r="B207"/>
      <c r="C207"/>
      <c r="D207" s="1"/>
      <c r="E207" s="1"/>
      <c r="F207" s="1"/>
      <c r="G207" s="1"/>
      <c r="H207" s="1"/>
      <c r="I207" s="1"/>
      <c r="J207" s="1"/>
      <c r="K207" s="1"/>
      <c r="L207" s="1"/>
      <c r="M207" s="1"/>
      <c r="N207" s="3"/>
    </row>
    <row r="208" spans="1:23" s="6" customFormat="1" x14ac:dyDescent="0.2">
      <c r="A208"/>
      <c r="B208"/>
      <c r="C208"/>
      <c r="D208"/>
      <c r="E208"/>
      <c r="F208"/>
      <c r="G208"/>
      <c r="H208"/>
      <c r="I208"/>
      <c r="J208"/>
      <c r="K208"/>
      <c r="L208"/>
      <c r="M208"/>
      <c r="N208"/>
    </row>
    <row r="209" spans="1:24" s="6" customFormat="1" x14ac:dyDescent="0.2">
      <c r="A209" s="2" t="s">
        <v>766</v>
      </c>
      <c r="B209"/>
      <c r="C209"/>
      <c r="D209"/>
      <c r="E209"/>
      <c r="F209"/>
      <c r="G209"/>
      <c r="H209"/>
      <c r="I209"/>
      <c r="J209"/>
      <c r="K209"/>
      <c r="L209"/>
      <c r="M209"/>
      <c r="N209"/>
      <c r="O209"/>
      <c r="P209"/>
      <c r="Q209"/>
      <c r="R209"/>
      <c r="S209"/>
      <c r="T209"/>
      <c r="U209"/>
      <c r="V209"/>
      <c r="W209"/>
      <c r="X209"/>
    </row>
    <row r="210" spans="1:24" s="6" customFormat="1" x14ac:dyDescent="0.2">
      <c r="A210" s="3" t="s">
        <v>767</v>
      </c>
      <c r="B210"/>
      <c r="C210"/>
      <c r="D210" s="1">
        <f t="shared" ref="D210:M210" ca="1" si="4">D75-C75</f>
        <v>228267.88366135815</v>
      </c>
      <c r="E210" s="1">
        <f t="shared" ca="1" si="4"/>
        <v>241066.22376607126</v>
      </c>
      <c r="F210" s="1">
        <f t="shared" ca="1" si="4"/>
        <v>272924.62325720862</v>
      </c>
      <c r="G210" s="1">
        <f t="shared" ca="1" si="4"/>
        <v>666853.32332840795</v>
      </c>
      <c r="H210" s="1">
        <f t="shared" ca="1" si="4"/>
        <v>854121.17231667507</v>
      </c>
      <c r="I210" s="1">
        <f t="shared" ca="1" si="4"/>
        <v>1076929.6133155879</v>
      </c>
      <c r="J210" s="1">
        <f t="shared" ca="1" si="4"/>
        <v>1312163.4593494525</v>
      </c>
      <c r="K210" s="1">
        <f t="shared" ca="1" si="4"/>
        <v>1512687.9783806261</v>
      </c>
      <c r="L210" s="1">
        <f t="shared" ca="1" si="4"/>
        <v>1616690.6762934504</v>
      </c>
      <c r="M210" s="1">
        <f t="shared" ca="1" si="4"/>
        <v>1619338.1813893411</v>
      </c>
      <c r="N210" s="3" t="s">
        <v>496</v>
      </c>
      <c r="O210"/>
      <c r="P210"/>
      <c r="Q210"/>
      <c r="R210"/>
      <c r="S210"/>
      <c r="T210"/>
      <c r="U210"/>
      <c r="V210"/>
      <c r="W210"/>
      <c r="X210"/>
    </row>
    <row r="211" spans="1:24" x14ac:dyDescent="0.2">
      <c r="A211" s="3" t="s">
        <v>768</v>
      </c>
      <c r="D211" s="1">
        <f t="shared" ref="D211:M211" ca="1" si="5">D210 * (1 - PERCENT_CO2_LAND/100)</f>
        <v>166717.84367702887</v>
      </c>
      <c r="E211" s="1">
        <f t="shared" ca="1" si="5"/>
        <v>176065.2456447469</v>
      </c>
      <c r="F211" s="1">
        <f t="shared" ca="1" si="5"/>
        <v>199333.36195165291</v>
      </c>
      <c r="G211" s="1">
        <f t="shared" ca="1" si="5"/>
        <v>487043.32090407406</v>
      </c>
      <c r="H211" s="1">
        <f t="shared" ca="1" si="5"/>
        <v>623816.35911069473</v>
      </c>
      <c r="I211" s="1">
        <f t="shared" ca="1" si="5"/>
        <v>786546.84156212269</v>
      </c>
      <c r="J211" s="1">
        <f t="shared" ca="1" si="5"/>
        <v>958352.34894046537</v>
      </c>
      <c r="K211" s="1">
        <f t="shared" ca="1" si="5"/>
        <v>1104807.5351936766</v>
      </c>
      <c r="L211" s="1">
        <f t="shared" ca="1" si="5"/>
        <v>1180766.996746063</v>
      </c>
      <c r="M211" s="1">
        <f t="shared" ca="1" si="5"/>
        <v>1182700.6298688271</v>
      </c>
      <c r="N211" s="3" t="s">
        <v>496</v>
      </c>
    </row>
    <row r="212" spans="1:24" x14ac:dyDescent="0.2">
      <c r="A212" s="57" t="s">
        <v>769</v>
      </c>
      <c r="D212" s="1">
        <f ca="1">D87</f>
        <v>1088695.6804186339</v>
      </c>
      <c r="E212" s="1">
        <f t="shared" ref="E212:M212" ca="1" si="6">E87</f>
        <v>1232642.7218896162</v>
      </c>
      <c r="F212" s="1">
        <f t="shared" ca="1" si="6"/>
        <v>1394174.1245552097</v>
      </c>
      <c r="G212" s="1">
        <f t="shared" ca="1" si="6"/>
        <v>1784038.9971961603</v>
      </c>
      <c r="H212" s="1">
        <f t="shared" ca="1" si="6"/>
        <v>2283656.0992976632</v>
      </c>
      <c r="I212" s="1">
        <f t="shared" ca="1" si="6"/>
        <v>2908512.5674274461</v>
      </c>
      <c r="J212" s="1">
        <f t="shared" ca="1" si="6"/>
        <v>3657400.5703055426</v>
      </c>
      <c r="K212" s="1">
        <f t="shared" ca="1" si="6"/>
        <v>4494570.3375267349</v>
      </c>
      <c r="L212" s="1">
        <f t="shared" ca="1" si="6"/>
        <v>5342759.872107137</v>
      </c>
      <c r="M212" s="1">
        <f t="shared" ca="1" si="6"/>
        <v>6135503.3007827848</v>
      </c>
      <c r="N212" s="3" t="s">
        <v>496</v>
      </c>
    </row>
    <row r="213" spans="1:24" x14ac:dyDescent="0.2">
      <c r="A213" s="3" t="s">
        <v>936</v>
      </c>
      <c r="C213" s="1"/>
      <c r="D213" s="201">
        <f ca="1">E213</f>
        <v>-6423.6408347529068</v>
      </c>
      <c r="E213" s="104">
        <f t="array" ref="E213:M213" ca="1" xml:space="preserve"> (re_co2_not_1_b - re_co2_b - teay_perm_anthr_co2_not_1_b) / YP_NOT_1</f>
        <v>-6423.6408347529068</v>
      </c>
      <c r="F213" s="104">
        <f ca="1"/>
        <v>-7560.3918572118973</v>
      </c>
      <c r="G213" s="104">
        <f ca="1"/>
        <v>-9717.8448263123464</v>
      </c>
      <c r="H213" s="104">
        <f ca="1"/>
        <v>-12419.925700919179</v>
      </c>
      <c r="I213" s="104">
        <f ca="1"/>
        <v>-16169.037343233975</v>
      </c>
      <c r="J213" s="104">
        <f ca="1"/>
        <v>-20946.434606236893</v>
      </c>
      <c r="K213" s="104">
        <f ca="1"/>
        <v>-26763.776797248422</v>
      </c>
      <c r="L213" s="104">
        <f ca="1"/>
        <v>-33257.746216566091</v>
      </c>
      <c r="M213" s="104">
        <f ca="1"/>
        <v>-38995.720119317921</v>
      </c>
      <c r="N213" s="3" t="s">
        <v>586</v>
      </c>
    </row>
    <row r="214" spans="1:24" x14ac:dyDescent="0.2">
      <c r="A214" s="3"/>
      <c r="C214" s="1"/>
      <c r="D214" s="1"/>
      <c r="E214" s="1"/>
      <c r="F214" s="1"/>
      <c r="G214" s="1"/>
      <c r="H214" s="1"/>
      <c r="I214" s="1"/>
      <c r="J214" s="1"/>
      <c r="K214" s="1"/>
      <c r="L214" s="1"/>
      <c r="M214" s="1"/>
      <c r="N214" s="3"/>
    </row>
    <row r="215" spans="1:24" x14ac:dyDescent="0.2">
      <c r="A215" s="3"/>
      <c r="C215" s="1"/>
      <c r="D215" s="1"/>
      <c r="E215" s="1"/>
      <c r="F215" s="1"/>
      <c r="G215" s="1"/>
      <c r="H215" s="1"/>
      <c r="I215" s="1"/>
      <c r="J215" s="1"/>
      <c r="K215" s="1"/>
      <c r="L215" s="1"/>
      <c r="M215" s="1"/>
      <c r="N215" s="3"/>
    </row>
    <row r="217" spans="1:24" ht="15" x14ac:dyDescent="0.25">
      <c r="A217" s="3"/>
      <c r="B217" s="131"/>
      <c r="C217" s="1"/>
      <c r="D217" s="1"/>
      <c r="E217" s="1"/>
      <c r="F217" s="1"/>
      <c r="G217" s="1"/>
      <c r="H217" s="1"/>
      <c r="I217" s="1"/>
      <c r="J217" s="1"/>
      <c r="K217" s="1"/>
      <c r="L217" s="1"/>
      <c r="M217" s="1"/>
      <c r="N217" s="3"/>
    </row>
    <row r="218" spans="1:24" x14ac:dyDescent="0.2">
      <c r="A218" s="2" t="s">
        <v>583</v>
      </c>
      <c r="C218" s="1"/>
      <c r="D218" s="1"/>
      <c r="E218" s="1"/>
      <c r="F218" s="1"/>
      <c r="G218" s="1"/>
      <c r="H218" s="1"/>
      <c r="I218" s="1"/>
      <c r="J218" s="1"/>
      <c r="K218" s="1"/>
      <c r="L218" s="1"/>
      <c r="M218" s="1"/>
      <c r="N218" s="3"/>
    </row>
    <row r="219" spans="1:24" x14ac:dyDescent="0.2">
      <c r="A219" s="3"/>
      <c r="C219" s="1"/>
      <c r="D219" s="1"/>
      <c r="E219" s="1"/>
      <c r="F219" s="1"/>
      <c r="G219" s="1"/>
      <c r="H219" s="1"/>
      <c r="I219" s="1"/>
      <c r="J219" s="1"/>
      <c r="K219" s="1"/>
      <c r="L219" s="1"/>
      <c r="M219" s="1"/>
      <c r="N219" s="3"/>
    </row>
    <row r="220" spans="1:24" x14ac:dyDescent="0.2">
      <c r="C220" s="1"/>
      <c r="D220" s="1"/>
      <c r="E220" s="1"/>
      <c r="F220" s="1"/>
      <c r="G220" s="1"/>
      <c r="H220" s="1"/>
      <c r="I220" s="1"/>
      <c r="J220" s="1"/>
      <c r="K220" s="1"/>
      <c r="L220" s="1"/>
      <c r="M220" s="1"/>
    </row>
    <row r="221" spans="1:24" x14ac:dyDescent="0.2">
      <c r="A221" s="2" t="s">
        <v>803</v>
      </c>
      <c r="C221" s="1"/>
      <c r="D221" s="1">
        <f t="array" ref="D221:M221" ca="1">fgt_b+alb_fsaf_diff_b</f>
        <v>3.0219879892211905</v>
      </c>
      <c r="E221" s="1">
        <f ca="1"/>
        <v>3.303544158002647</v>
      </c>
      <c r="F221" s="1">
        <f ca="1"/>
        <v>3.6007749853871629</v>
      </c>
      <c r="G221" s="1">
        <f ca="1"/>
        <v>4.2627128192588799</v>
      </c>
      <c r="H221" s="1">
        <f ca="1"/>
        <v>4.9858468865734622</v>
      </c>
      <c r="I221" s="1">
        <f ca="1"/>
        <v>5.7320336171044293</v>
      </c>
      <c r="J221" s="1">
        <f ca="1"/>
        <v>6.5083418973310208</v>
      </c>
      <c r="K221" s="1">
        <f ca="1"/>
        <v>7.2623155287752539</v>
      </c>
      <c r="L221" s="1">
        <f ca="1"/>
        <v>7.8897967228024077</v>
      </c>
      <c r="M221" s="1">
        <f ca="1"/>
        <v>8.3949906283884914</v>
      </c>
      <c r="N221" s="3" t="s">
        <v>42</v>
      </c>
    </row>
    <row r="222" spans="1:24" x14ac:dyDescent="0.2">
      <c r="A222" s="3"/>
      <c r="C222" s="1"/>
      <c r="D222" s="1"/>
      <c r="E222" s="1"/>
      <c r="F222" s="1"/>
      <c r="G222" s="1"/>
      <c r="H222" s="1"/>
      <c r="I222" s="1"/>
      <c r="J222" s="1"/>
      <c r="K222" s="1"/>
      <c r="L222" s="1"/>
      <c r="M222" s="1"/>
      <c r="N222" s="3"/>
    </row>
    <row r="223" spans="1:24" x14ac:dyDescent="0.2">
      <c r="A223" s="3"/>
      <c r="C223" s="1"/>
      <c r="D223" s="1"/>
      <c r="E223" s="1"/>
      <c r="F223" s="1"/>
      <c r="G223" s="1"/>
      <c r="H223" s="1"/>
      <c r="I223" s="1"/>
      <c r="J223" s="1"/>
      <c r="K223" s="1"/>
      <c r="L223" s="1"/>
      <c r="M223" s="1"/>
      <c r="N223" s="3"/>
    </row>
    <row r="224" spans="1:24" ht="15" x14ac:dyDescent="0.25">
      <c r="C224" s="324" t="s">
        <v>1092</v>
      </c>
      <c r="D224" s="325">
        <v>2020</v>
      </c>
      <c r="E224" s="325">
        <v>2025</v>
      </c>
      <c r="F224" s="325">
        <v>2030</v>
      </c>
      <c r="G224" s="325">
        <v>2040</v>
      </c>
      <c r="H224" s="325">
        <v>2050</v>
      </c>
      <c r="I224" s="325">
        <v>2060</v>
      </c>
      <c r="J224" s="325">
        <v>2070</v>
      </c>
      <c r="K224" s="325">
        <v>2080</v>
      </c>
      <c r="L224" s="325">
        <v>2090</v>
      </c>
      <c r="M224" s="325">
        <v>2100</v>
      </c>
    </row>
    <row r="225" spans="1:14" ht="15" x14ac:dyDescent="0.25">
      <c r="A225" s="3"/>
      <c r="B225" s="131"/>
      <c r="C225" s="324" t="s">
        <v>0</v>
      </c>
      <c r="D225" s="323">
        <v>0.66286</v>
      </c>
      <c r="E225" s="323">
        <v>0.62582300000000002</v>
      </c>
      <c r="F225" s="323">
        <v>0.72472499999999995</v>
      </c>
      <c r="G225" s="323">
        <v>0.82256099999999999</v>
      </c>
      <c r="H225" s="323">
        <v>0.814558</v>
      </c>
      <c r="I225" s="323">
        <v>0.91559900000000005</v>
      </c>
      <c r="J225" s="323">
        <v>1.0302500000000001</v>
      </c>
      <c r="K225" s="323">
        <v>1.25047</v>
      </c>
      <c r="L225" s="323">
        <v>1.3754</v>
      </c>
      <c r="M225" s="323">
        <v>1.5093300000000001</v>
      </c>
    </row>
    <row r="226" spans="1:14" x14ac:dyDescent="0.2">
      <c r="A226" s="3"/>
      <c r="C226" s="326" t="s">
        <v>2</v>
      </c>
      <c r="D226" s="323">
        <v>0.59204500000000004</v>
      </c>
      <c r="E226" s="323">
        <v>0.69110799999999994</v>
      </c>
      <c r="F226" s="323">
        <v>0.62116099999999996</v>
      </c>
      <c r="G226" s="323">
        <v>0.79469800000000002</v>
      </c>
      <c r="H226" s="323">
        <v>0.93159599999999998</v>
      </c>
      <c r="I226" s="323">
        <v>0.94592500000000002</v>
      </c>
      <c r="J226" s="323">
        <v>1.12287</v>
      </c>
      <c r="K226" s="323">
        <v>1.29627</v>
      </c>
      <c r="L226" s="323">
        <v>1.41917</v>
      </c>
      <c r="M226" s="323">
        <v>1.68072</v>
      </c>
      <c r="N226" s="3"/>
    </row>
    <row r="227" spans="1:14" x14ac:dyDescent="0.2">
      <c r="A227" s="3"/>
      <c r="C227" s="326" t="s">
        <v>10</v>
      </c>
      <c r="D227" s="323">
        <v>0.54432999999999998</v>
      </c>
      <c r="E227" s="323">
        <v>0.59204400000000001</v>
      </c>
      <c r="F227" s="323">
        <v>0.53460600000000003</v>
      </c>
      <c r="G227" s="323">
        <v>0.68963600000000003</v>
      </c>
      <c r="H227" s="323">
        <v>0.80080399999999996</v>
      </c>
      <c r="I227" s="323">
        <v>0.89421899999999999</v>
      </c>
      <c r="J227" s="323">
        <v>1.02688</v>
      </c>
      <c r="K227" s="323">
        <v>1.3160700000000001</v>
      </c>
      <c r="L227" s="323">
        <v>1.58213</v>
      </c>
      <c r="M227" s="323">
        <v>1.7263500000000001</v>
      </c>
      <c r="N227" s="3"/>
    </row>
    <row r="228" spans="1:14" x14ac:dyDescent="0.2">
      <c r="C228" s="326" t="s">
        <v>1</v>
      </c>
      <c r="D228" s="323">
        <v>0.83856299999999995</v>
      </c>
      <c r="E228" s="323">
        <v>0.86523600000000001</v>
      </c>
      <c r="F228" s="323">
        <v>1.0124299999999999</v>
      </c>
      <c r="G228" s="323">
        <v>1.0581100000000001</v>
      </c>
      <c r="H228" s="323">
        <v>1.22607</v>
      </c>
      <c r="I228" s="323">
        <v>1.2677499999999999</v>
      </c>
      <c r="J228" s="323">
        <v>1.54131</v>
      </c>
      <c r="K228" s="323">
        <v>1.68371</v>
      </c>
      <c r="L228" s="323">
        <v>1.96848</v>
      </c>
      <c r="M228" s="323">
        <v>2.0967199999999999</v>
      </c>
    </row>
    <row r="229" spans="1:14" x14ac:dyDescent="0.2">
      <c r="C229" s="326" t="s">
        <v>4</v>
      </c>
      <c r="D229" s="323">
        <v>0.42652299999999999</v>
      </c>
      <c r="E229" s="323">
        <v>0.48267500000000002</v>
      </c>
      <c r="F229" s="323">
        <v>0.57587100000000002</v>
      </c>
      <c r="G229" s="323">
        <v>0.62217599999999995</v>
      </c>
      <c r="H229" s="323">
        <v>0.693303</v>
      </c>
      <c r="I229" s="323">
        <v>0.75327500000000003</v>
      </c>
      <c r="J229" s="323">
        <v>0.96839500000000001</v>
      </c>
      <c r="K229" s="323">
        <v>1.1308100000000001</v>
      </c>
      <c r="L229" s="323">
        <v>1.4089799999999999</v>
      </c>
      <c r="M229" s="323">
        <v>1.5458499999999999</v>
      </c>
    </row>
    <row r="230" spans="1:14" x14ac:dyDescent="0.2">
      <c r="A230" s="2"/>
      <c r="C230" s="326" t="s">
        <v>5</v>
      </c>
      <c r="D230" s="323">
        <v>0.31897900000000001</v>
      </c>
      <c r="E230" s="323">
        <v>0.30109599999999997</v>
      </c>
      <c r="F230" s="323">
        <v>0.41562199999999999</v>
      </c>
      <c r="G230" s="323">
        <v>0.47325400000000001</v>
      </c>
      <c r="H230" s="323">
        <v>0.50429400000000002</v>
      </c>
      <c r="I230" s="323">
        <v>0.58555500000000005</v>
      </c>
      <c r="J230" s="323">
        <v>0.74902999999999997</v>
      </c>
      <c r="K230" s="323">
        <v>0.88381399999999999</v>
      </c>
      <c r="L230" s="323">
        <v>1.05633</v>
      </c>
      <c r="M230" s="323">
        <v>1.21035</v>
      </c>
    </row>
    <row r="231" spans="1:14" x14ac:dyDescent="0.2">
      <c r="A231" s="3"/>
      <c r="C231" s="324" t="s">
        <v>6</v>
      </c>
      <c r="D231" s="323">
        <v>0.35893000000000003</v>
      </c>
      <c r="E231" s="323">
        <v>0.33381699999999997</v>
      </c>
      <c r="F231" s="323">
        <v>0.42883399999999999</v>
      </c>
      <c r="G231" s="323">
        <v>0.45816699999999999</v>
      </c>
      <c r="H231" s="323">
        <v>0.50559699999999996</v>
      </c>
      <c r="I231" s="323">
        <v>0.58776899999999999</v>
      </c>
      <c r="J231" s="323">
        <v>0.77199600000000002</v>
      </c>
      <c r="K231" s="323">
        <v>0.93304799999999999</v>
      </c>
      <c r="L231" s="323">
        <v>1.10266</v>
      </c>
      <c r="M231" s="323">
        <v>1.25539</v>
      </c>
    </row>
    <row r="232" spans="1:14" ht="15" x14ac:dyDescent="0.25">
      <c r="A232" s="57"/>
      <c r="C232" s="327" t="s">
        <v>8</v>
      </c>
      <c r="D232" s="323">
        <v>0.40315000000000001</v>
      </c>
      <c r="E232" s="323">
        <v>0.39019100000000001</v>
      </c>
      <c r="F232" s="323">
        <v>0.50328600000000001</v>
      </c>
      <c r="G232" s="323">
        <v>0.51599200000000001</v>
      </c>
      <c r="H232" s="323">
        <v>0.58009699999999997</v>
      </c>
      <c r="I232" s="323">
        <v>0.67070600000000002</v>
      </c>
      <c r="J232" s="323">
        <v>0.84792599999999996</v>
      </c>
      <c r="K232" s="323">
        <v>1.0743100000000001</v>
      </c>
      <c r="L232" s="323">
        <v>1.27929</v>
      </c>
      <c r="M232" s="323">
        <v>1.3714500000000001</v>
      </c>
    </row>
    <row r="233" spans="1:14" ht="15" x14ac:dyDescent="0.25">
      <c r="A233" s="3"/>
      <c r="C233" s="327"/>
      <c r="D233" s="325"/>
      <c r="E233" s="325"/>
      <c r="F233" s="325"/>
      <c r="G233" s="325"/>
      <c r="H233" s="325"/>
      <c r="I233" s="325"/>
      <c r="J233" s="325"/>
      <c r="K233" s="325"/>
      <c r="L233" s="325"/>
      <c r="M233" s="325"/>
    </row>
    <row r="234" spans="1:14" ht="15" x14ac:dyDescent="0.25">
      <c r="A234" s="3"/>
      <c r="C234" s="327"/>
      <c r="D234" s="325"/>
      <c r="E234" s="325"/>
      <c r="F234" s="325"/>
      <c r="G234" s="325"/>
      <c r="H234" s="325"/>
      <c r="I234" s="325"/>
      <c r="J234" s="325"/>
      <c r="K234" s="325"/>
      <c r="L234" s="325"/>
      <c r="M234" s="325"/>
    </row>
    <row r="235" spans="1:14" ht="15" x14ac:dyDescent="0.25">
      <c r="A235" s="3"/>
      <c r="C235" s="324" t="s">
        <v>1088</v>
      </c>
      <c r="D235" s="325">
        <v>2020</v>
      </c>
      <c r="E235" s="325">
        <v>2025</v>
      </c>
      <c r="F235" s="325">
        <v>2030</v>
      </c>
      <c r="G235" s="325">
        <v>2040</v>
      </c>
      <c r="H235" s="325">
        <v>2050</v>
      </c>
      <c r="I235" s="325">
        <v>2060</v>
      </c>
      <c r="J235" s="325">
        <v>2070</v>
      </c>
      <c r="K235" s="325">
        <v>2080</v>
      </c>
      <c r="L235" s="325">
        <v>2090</v>
      </c>
      <c r="M235" s="325">
        <v>2100</v>
      </c>
    </row>
    <row r="236" spans="1:14" x14ac:dyDescent="0.2">
      <c r="A236" s="3"/>
      <c r="B236" s="1"/>
      <c r="C236" s="324" t="s">
        <v>0</v>
      </c>
      <c r="D236" s="323">
        <v>1.8586464</v>
      </c>
      <c r="E236" s="323">
        <v>2.1260509999999999</v>
      </c>
      <c r="F236" s="323">
        <v>2.5255030000000001</v>
      </c>
      <c r="G236" s="323">
        <v>3.0116399999999999</v>
      </c>
      <c r="H236" s="323">
        <v>3.5820499999999997</v>
      </c>
      <c r="I236" s="323">
        <v>4.2274700000000003</v>
      </c>
      <c r="J236" s="323">
        <v>4.9228399999999999</v>
      </c>
      <c r="K236" s="323">
        <v>5.59971</v>
      </c>
      <c r="L236" s="323">
        <v>6.4646899999999992</v>
      </c>
      <c r="M236" s="323">
        <v>7.1050500000000003</v>
      </c>
    </row>
    <row r="237" spans="1:14" x14ac:dyDescent="0.2">
      <c r="A237" s="3"/>
      <c r="B237" s="1"/>
      <c r="C237" s="326" t="s">
        <v>2</v>
      </c>
      <c r="D237" s="323">
        <v>1.9465209999999999</v>
      </c>
      <c r="E237" s="323">
        <v>2.149613</v>
      </c>
      <c r="F237" s="323">
        <v>2.4943279999999999</v>
      </c>
      <c r="G237" s="323">
        <v>3.1511899999999997</v>
      </c>
      <c r="H237" s="323">
        <v>3.6917999999999997</v>
      </c>
      <c r="I237" s="323">
        <v>4.4676399999999994</v>
      </c>
      <c r="J237" s="323">
        <v>5.2941500000000001</v>
      </c>
      <c r="K237" s="323">
        <v>6.1270600000000002</v>
      </c>
      <c r="L237" s="323">
        <v>6.9297500000000003</v>
      </c>
      <c r="M237" s="323">
        <v>7.67598</v>
      </c>
    </row>
    <row r="238" spans="1:14" x14ac:dyDescent="0.2">
      <c r="A238" s="3"/>
      <c r="B238" s="1"/>
      <c r="C238" s="326" t="s">
        <v>10</v>
      </c>
      <c r="D238" s="323">
        <v>2.0534319999999999</v>
      </c>
      <c r="E238" s="323">
        <v>2.1858210000000002</v>
      </c>
      <c r="F238" s="323">
        <v>2.5705970000000002</v>
      </c>
      <c r="G238" s="323">
        <v>3.2910300000000001</v>
      </c>
      <c r="H238" s="323">
        <v>3.9224800000000002</v>
      </c>
      <c r="I238" s="323">
        <v>4.7130700000000001</v>
      </c>
      <c r="J238" s="323">
        <v>5.60433</v>
      </c>
      <c r="K238" s="323">
        <v>6.48611</v>
      </c>
      <c r="L238" s="323">
        <v>7.4313700000000003</v>
      </c>
      <c r="M238" s="323">
        <v>8.259879999999999</v>
      </c>
    </row>
    <row r="239" spans="1:14" x14ac:dyDescent="0.2">
      <c r="B239" s="1"/>
      <c r="C239" s="326" t="s">
        <v>1</v>
      </c>
      <c r="D239" s="323">
        <v>2.4211910000000003</v>
      </c>
      <c r="E239" s="323">
        <v>2.8444210000000001</v>
      </c>
      <c r="F239" s="323">
        <v>3.1766010000000002</v>
      </c>
      <c r="G239" s="323">
        <v>3.9287999999999998</v>
      </c>
      <c r="H239" s="323">
        <v>4.8029000000000002</v>
      </c>
      <c r="I239" s="323">
        <v>5.7068300000000001</v>
      </c>
      <c r="J239" s="323">
        <v>6.7319100000000001</v>
      </c>
      <c r="K239" s="323">
        <v>7.6653099999999998</v>
      </c>
      <c r="L239" s="323">
        <v>8.8982899999999994</v>
      </c>
      <c r="M239" s="323">
        <v>9.7735400000000006</v>
      </c>
    </row>
    <row r="240" spans="1:14" x14ac:dyDescent="0.2">
      <c r="A240" s="3"/>
      <c r="B240" s="1"/>
      <c r="C240" s="324" t="s">
        <v>4</v>
      </c>
      <c r="D240" s="323">
        <v>1.8616919999999999</v>
      </c>
      <c r="E240" s="323">
        <v>2.2019660000000001</v>
      </c>
      <c r="F240" s="323">
        <v>2.5173239999999999</v>
      </c>
      <c r="G240" s="323">
        <v>3.0831200000000001</v>
      </c>
      <c r="H240" s="323">
        <v>3.7205599999999999</v>
      </c>
      <c r="I240" s="323">
        <v>4.3679100000000002</v>
      </c>
      <c r="J240" s="323">
        <v>5.2407599999999999</v>
      </c>
      <c r="K240" s="323">
        <v>6.0268899999999999</v>
      </c>
      <c r="L240" s="323">
        <v>6.9486299999999996</v>
      </c>
      <c r="M240" s="323">
        <v>7.6792400000000001</v>
      </c>
    </row>
    <row r="241" spans="1:13" x14ac:dyDescent="0.2">
      <c r="A241" s="3"/>
      <c r="B241" s="1"/>
      <c r="C241" s="326" t="s">
        <v>5</v>
      </c>
      <c r="D241" s="323">
        <v>1.450291</v>
      </c>
      <c r="E241" s="323">
        <v>1.626954</v>
      </c>
      <c r="F241" s="323">
        <v>1.79427</v>
      </c>
      <c r="G241" s="323">
        <v>2.31698</v>
      </c>
      <c r="H241" s="323">
        <v>2.82402</v>
      </c>
      <c r="I241" s="323">
        <v>3.3809199999999997</v>
      </c>
      <c r="J241" s="323">
        <v>4.0746000000000002</v>
      </c>
      <c r="K241" s="323">
        <v>4.7346199999999996</v>
      </c>
      <c r="L241" s="323">
        <v>5.4500999999999999</v>
      </c>
      <c r="M241" s="323">
        <v>6.0600199999999997</v>
      </c>
    </row>
    <row r="242" spans="1:13" x14ac:dyDescent="0.2">
      <c r="A242" s="3"/>
      <c r="B242" s="1"/>
      <c r="C242" s="326" t="s">
        <v>6</v>
      </c>
      <c r="D242" s="323">
        <v>1.522694</v>
      </c>
      <c r="E242" s="323">
        <v>1.7791600000000001</v>
      </c>
      <c r="F242" s="323">
        <v>1.940636</v>
      </c>
      <c r="G242" s="323">
        <v>2.5269300000000001</v>
      </c>
      <c r="H242" s="323">
        <v>3.0226999999999999</v>
      </c>
      <c r="I242" s="323">
        <v>3.6719400000000002</v>
      </c>
      <c r="J242" s="323">
        <v>4.3887700000000001</v>
      </c>
      <c r="K242" s="323">
        <v>5.1050699999999996</v>
      </c>
      <c r="L242" s="323">
        <v>5.9097800000000005</v>
      </c>
      <c r="M242" s="323">
        <v>6.61531</v>
      </c>
    </row>
    <row r="243" spans="1:13" x14ac:dyDescent="0.2">
      <c r="B243" s="1"/>
      <c r="C243" s="326" t="s">
        <v>8</v>
      </c>
      <c r="D243" s="323">
        <v>1.6283719999999999</v>
      </c>
      <c r="E243" s="323">
        <v>1.7249989999999999</v>
      </c>
      <c r="F243" s="323">
        <v>1.9351039999999999</v>
      </c>
      <c r="G243" s="323">
        <v>2.5332499999999998</v>
      </c>
      <c r="H243" s="323">
        <v>2.9664200000000003</v>
      </c>
      <c r="I243" s="323">
        <v>3.5724900000000002</v>
      </c>
      <c r="J243" s="323">
        <v>4.2848499999999996</v>
      </c>
      <c r="K243" s="323">
        <v>5.0069299999999997</v>
      </c>
      <c r="L243" s="323">
        <v>5.6663399999999999</v>
      </c>
      <c r="M243" s="323">
        <v>6.2945799999999998</v>
      </c>
    </row>
    <row r="244" spans="1:13" ht="15" x14ac:dyDescent="0.25">
      <c r="A244" s="3"/>
      <c r="B244" s="1"/>
      <c r="C244" s="327"/>
      <c r="D244" s="325"/>
      <c r="E244" s="325"/>
      <c r="F244" s="325"/>
      <c r="G244" s="325"/>
      <c r="H244" s="325"/>
      <c r="I244" s="325"/>
      <c r="J244" s="325"/>
      <c r="K244" s="325"/>
      <c r="L244" s="325"/>
      <c r="M244" s="325"/>
    </row>
    <row r="245" spans="1:13" ht="15" x14ac:dyDescent="0.25">
      <c r="A245" s="3"/>
      <c r="C245" s="327"/>
      <c r="D245" s="325"/>
      <c r="E245" s="325"/>
      <c r="F245" s="325"/>
      <c r="G245" s="325"/>
      <c r="H245" s="325"/>
      <c r="I245" s="325"/>
      <c r="J245" s="325"/>
      <c r="K245" s="325"/>
      <c r="L245" s="325"/>
      <c r="M245" s="325"/>
    </row>
    <row r="246" spans="1:13" ht="15" x14ac:dyDescent="0.25">
      <c r="A246" s="3"/>
      <c r="C246" s="324"/>
      <c r="D246" s="325"/>
      <c r="E246" s="325"/>
      <c r="F246" s="325"/>
      <c r="G246" s="325"/>
      <c r="H246" s="325"/>
      <c r="I246" s="325"/>
      <c r="J246" s="325"/>
      <c r="K246" s="325"/>
      <c r="L246" s="325"/>
      <c r="M246" s="325"/>
    </row>
    <row r="247" spans="1:13" x14ac:dyDescent="0.2">
      <c r="C247" s="326"/>
      <c r="D247" s="323"/>
      <c r="E247" s="323"/>
      <c r="F247" s="323"/>
      <c r="G247" s="323"/>
      <c r="H247" s="323"/>
      <c r="I247" s="323"/>
      <c r="J247" s="323"/>
      <c r="K247" s="323"/>
      <c r="L247" s="323"/>
      <c r="M247" s="323"/>
    </row>
    <row r="248" spans="1:13" x14ac:dyDescent="0.2">
      <c r="C248" s="326"/>
      <c r="D248" s="323"/>
      <c r="E248" s="323"/>
      <c r="F248" s="323"/>
      <c r="G248" s="323"/>
      <c r="H248" s="323"/>
      <c r="I248" s="323"/>
      <c r="J248" s="323"/>
      <c r="K248" s="323"/>
      <c r="L248" s="323"/>
      <c r="M248" s="323"/>
    </row>
    <row r="249" spans="1:13" x14ac:dyDescent="0.2">
      <c r="C249" s="326"/>
      <c r="D249" s="323"/>
      <c r="E249" s="323"/>
      <c r="F249" s="323"/>
      <c r="G249" s="323"/>
      <c r="H249" s="323"/>
      <c r="I249" s="323"/>
      <c r="J249" s="323"/>
      <c r="K249" s="323"/>
      <c r="L249" s="323"/>
      <c r="M249" s="323"/>
    </row>
    <row r="250" spans="1:13" x14ac:dyDescent="0.2">
      <c r="C250" s="326"/>
      <c r="D250" s="323"/>
      <c r="E250" s="323"/>
      <c r="F250" s="323"/>
      <c r="G250" s="323"/>
      <c r="H250" s="323"/>
      <c r="I250" s="323"/>
      <c r="J250" s="323"/>
      <c r="K250" s="323"/>
      <c r="L250" s="323"/>
      <c r="M250" s="323"/>
    </row>
    <row r="251" spans="1:13" x14ac:dyDescent="0.2">
      <c r="C251" s="326"/>
      <c r="D251" s="323"/>
      <c r="E251" s="323"/>
      <c r="F251" s="323"/>
      <c r="G251" s="323"/>
      <c r="H251" s="323"/>
      <c r="I251" s="323"/>
      <c r="J251" s="323"/>
      <c r="K251" s="323"/>
      <c r="L251" s="323"/>
      <c r="M251" s="323"/>
    </row>
    <row r="252" spans="1:13" x14ac:dyDescent="0.2">
      <c r="C252" s="326"/>
      <c r="D252" s="323"/>
      <c r="E252" s="323"/>
      <c r="F252" s="323"/>
      <c r="G252" s="323"/>
      <c r="H252" s="323"/>
      <c r="I252" s="323"/>
      <c r="J252" s="323"/>
      <c r="K252" s="323"/>
      <c r="L252" s="323"/>
      <c r="M252" s="323"/>
    </row>
    <row r="253" spans="1:13" x14ac:dyDescent="0.2">
      <c r="C253" s="326"/>
      <c r="D253" s="323"/>
      <c r="E253" s="323"/>
      <c r="F253" s="323"/>
      <c r="G253" s="323"/>
      <c r="H253" s="323"/>
      <c r="I253" s="323"/>
      <c r="J253" s="323"/>
      <c r="K253" s="323"/>
      <c r="L253" s="323"/>
      <c r="M253" s="323"/>
    </row>
    <row r="254" spans="1:13" x14ac:dyDescent="0.2">
      <c r="C254" s="326"/>
      <c r="D254" s="323"/>
      <c r="E254" s="323"/>
      <c r="F254" s="323"/>
      <c r="G254" s="323"/>
      <c r="H254" s="323"/>
      <c r="I254" s="323"/>
      <c r="J254" s="323"/>
      <c r="K254" s="323"/>
      <c r="L254" s="323"/>
      <c r="M254" s="323"/>
    </row>
  </sheetData>
  <phoneticPr fontId="21" type="noConversion"/>
  <pageMargins left="0.75" right="0.75" top="1" bottom="1" header="0.5" footer="0.5"/>
  <pageSetup paperSize="9" orientation="portrait" horizontalDpi="4294967293" verticalDpi="4294967293"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Z249"/>
  <sheetViews>
    <sheetView zoomScaleNormal="100" workbookViewId="0">
      <selection activeCell="A26" sqref="A26:A31"/>
    </sheetView>
  </sheetViews>
  <sheetFormatPr defaultRowHeight="12.75" x14ac:dyDescent="0.2"/>
  <cols>
    <col min="1" max="1" width="33.5703125" customWidth="1"/>
    <col min="2" max="2" width="8.5703125" bestFit="1" customWidth="1"/>
    <col min="3" max="3" width="9.42578125" bestFit="1" customWidth="1"/>
    <col min="4" max="4" width="9.85546875" bestFit="1" customWidth="1"/>
    <col min="5" max="5" width="10.140625" bestFit="1" customWidth="1"/>
    <col min="6" max="6" width="9.85546875" bestFit="1" customWidth="1"/>
    <col min="7" max="13" width="10.5703125" bestFit="1" customWidth="1"/>
    <col min="14" max="14" width="11.5703125" bestFit="1" customWidth="1"/>
    <col min="15" max="24" width="2.140625" customWidth="1"/>
  </cols>
  <sheetData>
    <row r="1" spans="1:8" x14ac:dyDescent="0.2">
      <c r="A1" s="2" t="str">
        <f>MODEL_NAME</f>
        <v>PAGE-ICE Nonlinear Arctic Feedbacks</v>
      </c>
      <c r="B1" t="s">
        <v>37</v>
      </c>
      <c r="C1" s="51" t="str">
        <f>VERSION</f>
        <v>6.22</v>
      </c>
    </row>
    <row r="2" spans="1:8" x14ac:dyDescent="0.2">
      <c r="A2" s="2"/>
      <c r="C2" s="51"/>
    </row>
    <row r="3" spans="1:8" x14ac:dyDescent="0.2">
      <c r="A3" s="3" t="s">
        <v>549</v>
      </c>
      <c r="D3" s="1"/>
      <c r="E3" s="3"/>
    </row>
    <row r="4" spans="1:8" s="3" customFormat="1" x14ac:dyDescent="0.2">
      <c r="A4" s="3" t="s">
        <v>548</v>
      </c>
      <c r="D4" s="59"/>
    </row>
    <row r="5" spans="1:8" s="3" customFormat="1" x14ac:dyDescent="0.2">
      <c r="D5" s="59"/>
    </row>
    <row r="6" spans="1:8" s="3" customFormat="1" x14ac:dyDescent="0.2"/>
    <row r="7" spans="1:8" s="3" customFormat="1" x14ac:dyDescent="0.2">
      <c r="A7" s="3" t="s">
        <v>59</v>
      </c>
    </row>
    <row r="8" spans="1:8" s="3" customFormat="1" x14ac:dyDescent="0.2">
      <c r="A8" s="3" t="s">
        <v>60</v>
      </c>
    </row>
    <row r="9" spans="1:8" s="3" customFormat="1" x14ac:dyDescent="0.2">
      <c r="A9" s="3" t="s">
        <v>623</v>
      </c>
    </row>
    <row r="10" spans="1:8" x14ac:dyDescent="0.2">
      <c r="A10" s="3"/>
      <c r="D10" s="3"/>
      <c r="E10" s="3"/>
      <c r="F10" s="3"/>
      <c r="G10" s="3"/>
      <c r="H10" s="3"/>
    </row>
    <row r="11" spans="1:8" x14ac:dyDescent="0.2">
      <c r="A11" s="2" t="s">
        <v>754</v>
      </c>
      <c r="D11" s="3"/>
      <c r="E11" s="3"/>
      <c r="F11" s="3"/>
      <c r="G11" s="3"/>
      <c r="H11" s="3"/>
    </row>
    <row r="12" spans="1:8" x14ac:dyDescent="0.2">
      <c r="A12" t="s">
        <v>600</v>
      </c>
      <c r="B12" s="3"/>
      <c r="D12" s="3"/>
      <c r="E12" s="3"/>
      <c r="F12" s="3"/>
      <c r="G12" s="3"/>
      <c r="H12" s="3"/>
    </row>
    <row r="13" spans="1:8" x14ac:dyDescent="0.2">
      <c r="A13" t="s">
        <v>624</v>
      </c>
      <c r="B13" s="3"/>
      <c r="D13" s="3"/>
      <c r="E13" s="3"/>
      <c r="F13" s="3"/>
      <c r="G13" s="3"/>
      <c r="H13" s="3"/>
    </row>
    <row r="14" spans="1:8" x14ac:dyDescent="0.2">
      <c r="A14" t="s">
        <v>625</v>
      </c>
      <c r="B14" s="3"/>
      <c r="D14" s="3"/>
      <c r="E14" s="3"/>
      <c r="F14" s="3"/>
      <c r="G14" s="3"/>
      <c r="H14" s="3"/>
    </row>
    <row r="15" spans="1:8" x14ac:dyDescent="0.2">
      <c r="B15" s="3"/>
      <c r="D15" s="3"/>
      <c r="E15" s="3"/>
      <c r="F15" s="3"/>
      <c r="G15" s="3"/>
      <c r="H15" s="3"/>
    </row>
    <row r="16" spans="1:8" x14ac:dyDescent="0.2">
      <c r="A16" t="s">
        <v>820</v>
      </c>
      <c r="B16" s="3"/>
      <c r="D16" s="3"/>
      <c r="E16" s="3"/>
      <c r="F16" s="3"/>
      <c r="G16" s="3"/>
      <c r="H16" s="3"/>
    </row>
    <row r="17" spans="1:8" x14ac:dyDescent="0.2">
      <c r="A17" t="s">
        <v>620</v>
      </c>
      <c r="B17" s="3"/>
      <c r="D17" s="3"/>
      <c r="E17" s="3"/>
      <c r="F17" s="3"/>
      <c r="G17" s="3"/>
      <c r="H17" s="3"/>
    </row>
    <row r="18" spans="1:8" x14ac:dyDescent="0.2">
      <c r="A18" t="s">
        <v>621</v>
      </c>
      <c r="B18" s="3"/>
      <c r="D18" s="3"/>
      <c r="E18" s="3"/>
      <c r="F18" s="3"/>
      <c r="G18" s="3"/>
      <c r="H18" s="3"/>
    </row>
    <row r="19" spans="1:8" x14ac:dyDescent="0.2">
      <c r="A19" t="s">
        <v>622</v>
      </c>
      <c r="B19" s="3"/>
      <c r="D19" s="3"/>
      <c r="E19" s="3"/>
      <c r="F19" s="3"/>
      <c r="G19" s="3"/>
      <c r="H19" s="3"/>
    </row>
    <row r="20" spans="1:8" x14ac:dyDescent="0.2">
      <c r="B20" s="3"/>
      <c r="D20" s="3"/>
      <c r="E20" s="3"/>
      <c r="F20" s="3"/>
      <c r="G20" s="3"/>
      <c r="H20" s="3"/>
    </row>
    <row r="21" spans="1:8" x14ac:dyDescent="0.2">
      <c r="A21" t="s">
        <v>821</v>
      </c>
      <c r="B21" s="3"/>
      <c r="D21" s="3"/>
      <c r="E21" s="3"/>
      <c r="F21" s="3"/>
      <c r="G21" s="3"/>
      <c r="H21" s="3"/>
    </row>
    <row r="22" spans="1:8" x14ac:dyDescent="0.2">
      <c r="A22" s="3" t="s">
        <v>620</v>
      </c>
      <c r="B22" s="3"/>
      <c r="D22" s="3"/>
      <c r="E22" s="3"/>
      <c r="F22" s="3"/>
      <c r="G22" s="3"/>
      <c r="H22" s="3"/>
    </row>
    <row r="23" spans="1:8" x14ac:dyDescent="0.2">
      <c r="A23" s="3" t="s">
        <v>621</v>
      </c>
      <c r="B23" s="3"/>
      <c r="D23" s="3"/>
      <c r="E23" s="3"/>
      <c r="F23" s="3"/>
      <c r="G23" s="3"/>
      <c r="H23" s="3"/>
    </row>
    <row r="24" spans="1:8" x14ac:dyDescent="0.2">
      <c r="A24" s="3" t="s">
        <v>622</v>
      </c>
      <c r="B24" s="3"/>
      <c r="D24" s="3"/>
      <c r="E24" s="3"/>
      <c r="F24" s="3"/>
      <c r="G24" s="3"/>
      <c r="H24" s="3"/>
    </row>
    <row r="25" spans="1:8" x14ac:dyDescent="0.2">
      <c r="A25" s="3"/>
      <c r="B25" s="3"/>
      <c r="D25" s="3"/>
      <c r="E25" s="3"/>
      <c r="F25" s="3"/>
      <c r="G25" s="3"/>
      <c r="H25" s="3"/>
    </row>
    <row r="26" spans="1:8" x14ac:dyDescent="0.2">
      <c r="A26" t="s">
        <v>822</v>
      </c>
      <c r="B26" s="3"/>
      <c r="D26" s="3"/>
      <c r="E26" s="3"/>
      <c r="F26" s="3"/>
      <c r="G26" s="3"/>
      <c r="H26" s="3"/>
    </row>
    <row r="27" spans="1:8" x14ac:dyDescent="0.2">
      <c r="A27" s="3" t="s">
        <v>927</v>
      </c>
      <c r="B27" s="3"/>
      <c r="D27" s="3"/>
      <c r="E27" s="3"/>
      <c r="F27" s="3"/>
      <c r="G27" s="3"/>
      <c r="H27" s="3"/>
    </row>
    <row r="28" spans="1:8" x14ac:dyDescent="0.2">
      <c r="A28" s="3" t="s">
        <v>905</v>
      </c>
      <c r="B28" s="3"/>
      <c r="D28" s="3"/>
      <c r="E28" s="3"/>
      <c r="F28" s="3"/>
      <c r="G28" s="3"/>
      <c r="H28" s="3"/>
    </row>
    <row r="29" spans="1:8" x14ac:dyDescent="0.2">
      <c r="A29" s="3" t="s">
        <v>930</v>
      </c>
      <c r="B29" s="3"/>
      <c r="D29" s="3"/>
      <c r="E29" s="3"/>
      <c r="F29" s="3"/>
      <c r="G29" s="3"/>
      <c r="H29" s="3"/>
    </row>
    <row r="30" spans="1:8" x14ac:dyDescent="0.2">
      <c r="A30" s="3" t="s">
        <v>903</v>
      </c>
      <c r="B30" s="3"/>
      <c r="D30" s="3"/>
      <c r="E30" s="3"/>
      <c r="F30" s="3"/>
      <c r="G30" s="3"/>
      <c r="H30" s="3"/>
    </row>
    <row r="31" spans="1:8" x14ac:dyDescent="0.2">
      <c r="A31" s="3" t="s">
        <v>937</v>
      </c>
      <c r="B31" s="3"/>
    </row>
    <row r="32" spans="1:8" x14ac:dyDescent="0.2">
      <c r="A32" s="3"/>
      <c r="B32" s="3"/>
    </row>
    <row r="33" spans="1:14" x14ac:dyDescent="0.2">
      <c r="A33" s="3"/>
      <c r="B33" s="3"/>
    </row>
    <row r="34" spans="1:14" x14ac:dyDescent="0.2">
      <c r="C34">
        <f>Y_0</f>
        <v>2015</v>
      </c>
      <c r="D34">
        <f t="array" ref="D34:M34">Y</f>
        <v>2020</v>
      </c>
      <c r="E34">
        <v>2025</v>
      </c>
      <c r="F34">
        <v>2030</v>
      </c>
      <c r="G34">
        <v>2040</v>
      </c>
      <c r="H34">
        <v>2050</v>
      </c>
      <c r="I34">
        <v>2060</v>
      </c>
      <c r="J34">
        <v>2070</v>
      </c>
      <c r="K34">
        <v>2080</v>
      </c>
      <c r="L34">
        <v>2090</v>
      </c>
      <c r="M34">
        <v>2100</v>
      </c>
    </row>
    <row r="35" spans="1:14" s="4" customFormat="1" x14ac:dyDescent="0.2">
      <c r="A35" s="4" t="s">
        <v>57</v>
      </c>
      <c r="D35" s="14">
        <f>Y_1-Y_0</f>
        <v>5</v>
      </c>
      <c r="E35" s="14">
        <f t="array" ref="E35:M35">Y_NOT_1-Y</f>
        <v>5</v>
      </c>
      <c r="F35" s="14">
        <v>5</v>
      </c>
      <c r="G35" s="14">
        <v>10</v>
      </c>
      <c r="H35" s="14">
        <v>10</v>
      </c>
      <c r="I35" s="14">
        <v>10</v>
      </c>
      <c r="J35" s="14">
        <v>10</v>
      </c>
      <c r="K35" s="14">
        <v>10</v>
      </c>
      <c r="L35" s="14">
        <v>10</v>
      </c>
      <c r="M35" s="14">
        <v>10</v>
      </c>
      <c r="N35" s="4" t="s">
        <v>39</v>
      </c>
    </row>
    <row r="36" spans="1:14" s="4" customFormat="1" x14ac:dyDescent="0.2">
      <c r="A36" s="57"/>
      <c r="B36"/>
      <c r="C36"/>
      <c r="D36" s="110"/>
      <c r="E36" s="110"/>
      <c r="F36" s="110"/>
      <c r="G36" s="110"/>
      <c r="H36" s="110"/>
      <c r="I36" s="110"/>
      <c r="J36" s="110"/>
      <c r="K36" s="110"/>
      <c r="L36" s="110"/>
      <c r="M36" s="110"/>
      <c r="N36" s="58"/>
    </row>
    <row r="37" spans="1:14" s="4" customFormat="1" x14ac:dyDescent="0.2">
      <c r="A37" s="3" t="s">
        <v>823</v>
      </c>
      <c r="B37"/>
      <c r="C37"/>
      <c r="D37" s="110"/>
      <c r="E37" s="110"/>
      <c r="F37" s="110"/>
      <c r="G37" s="110"/>
      <c r="H37" s="110"/>
      <c r="I37" s="110"/>
      <c r="J37" s="110"/>
      <c r="K37" s="110"/>
      <c r="L37" s="110"/>
      <c r="M37" s="110"/>
      <c r="N37" s="58"/>
    </row>
    <row r="38" spans="1:14" s="4" customFormat="1" x14ac:dyDescent="0.2">
      <c r="A38" s="4" t="s">
        <v>506</v>
      </c>
      <c r="C38" s="57"/>
      <c r="D38" s="113">
        <f ca="1">'Climate A'!D38-'Climate B'!D38</f>
        <v>-1.2753872523366017E-2</v>
      </c>
      <c r="E38" s="113">
        <f ca="1">'Climate A'!E38-'Climate B'!E38</f>
        <v>-1.9762875702751703E-2</v>
      </c>
      <c r="F38" s="113">
        <f ca="1">'Climate A'!F38-'Climate B'!F38</f>
        <v>-5.4203958224303683E-3</v>
      </c>
      <c r="G38" s="113">
        <f ca="1">'Climate A'!G38-'Climate B'!G38</f>
        <v>-0.12008333651596148</v>
      </c>
      <c r="H38" s="113">
        <f ca="1">'Climate A'!H38-'Climate B'!H38</f>
        <v>-4.662665748983752E-2</v>
      </c>
      <c r="I38" s="113">
        <f ca="1">'Climate A'!I38-'Climate B'!I38</f>
        <v>-0.79661062894844559</v>
      </c>
      <c r="J38" s="113">
        <f ca="1">'Climate A'!J38-'Climate B'!J38</f>
        <v>-1.7689058519062657</v>
      </c>
      <c r="K38" s="113">
        <f ca="1">'Climate A'!K38-'Climate B'!K38</f>
        <v>-3.1352207130565581</v>
      </c>
      <c r="L38" s="113">
        <f ca="1">'Climate A'!L38-'Climate B'!L38</f>
        <v>-4.4919514141194412</v>
      </c>
      <c r="M38" s="113">
        <f ca="1">'Climate A'!M38-'Climate B'!M38</f>
        <v>-5.7676762689640571</v>
      </c>
      <c r="N38" s="4" t="s">
        <v>41</v>
      </c>
    </row>
    <row r="39" spans="1:14" s="4" customFormat="1" x14ac:dyDescent="0.2">
      <c r="A39" s="3" t="s">
        <v>742</v>
      </c>
      <c r="C39" s="57"/>
      <c r="D39" s="113">
        <f ca="1">'Climate A'!D39-'Climate B'!D39</f>
        <v>-8.0139000606593846E-4</v>
      </c>
      <c r="E39" s="113">
        <f ca="1">'Climate A'!E39-'Climate B'!E39</f>
        <v>-1.2418009549877151E-3</v>
      </c>
      <c r="F39" s="113">
        <f ca="1">'Climate A'!F39-'Climate B'!F39</f>
        <v>-3.4059075257808491E-4</v>
      </c>
      <c r="G39" s="113">
        <f ca="1">'Climate A'!G39-'Climate B'!G39</f>
        <v>-7.5454404615256099E-3</v>
      </c>
      <c r="H39" s="113">
        <f ca="1">'Climate A'!H39-'Climate B'!H39</f>
        <v>-2.9297875810000429E-3</v>
      </c>
      <c r="I39" s="113">
        <f ca="1">'Climate A'!I39-'Climate B'!I39</f>
        <v>-5.0055055481823096E-2</v>
      </c>
      <c r="J39" s="113">
        <f ca="1">'Climate A'!J39-'Climate B'!J39</f>
        <v>-0.1111492582972049</v>
      </c>
      <c r="K39" s="113">
        <f ca="1">'Climate A'!K39-'Climate B'!K39</f>
        <v>-0.19700169824116576</v>
      </c>
      <c r="L39" s="113">
        <f ca="1">'Climate A'!L39-'Climate B'!L39</f>
        <v>-0.28225191716586251</v>
      </c>
      <c r="M39" s="113">
        <f ca="1">'Climate A'!M39-'Climate B'!M39</f>
        <v>-0.36241213103732528</v>
      </c>
      <c r="N39" s="4" t="s">
        <v>504</v>
      </c>
    </row>
    <row r="40" spans="1:14" s="4" customFormat="1" x14ac:dyDescent="0.2">
      <c r="A40" s="3" t="s">
        <v>741</v>
      </c>
      <c r="C40" s="57"/>
      <c r="D40" s="113">
        <f ca="1">'Climate A'!D40-'Climate B'!D40</f>
        <v>-4.7624011940616828E-4</v>
      </c>
      <c r="E40" s="113">
        <f ca="1">'Climate A'!E40-'Climate B'!E40</f>
        <v>-7.3796207914444967E-4</v>
      </c>
      <c r="F40" s="113">
        <f ca="1">'Climate A'!F40-'Climate B'!F40</f>
        <v>-2.0240205074761874E-4</v>
      </c>
      <c r="G40" s="113">
        <f ca="1">'Climate A'!G40-'Climate B'!G40</f>
        <v>-4.4840108301441584E-3</v>
      </c>
      <c r="H40" s="113">
        <f ca="1">'Climate A'!H40-'Climate B'!H40</f>
        <v>-1.741077848299577E-3</v>
      </c>
      <c r="I40" s="113">
        <f ca="1">'Climate A'!I40-'Climate B'!I40</f>
        <v>-2.9746097928732729E-2</v>
      </c>
      <c r="J40" s="113">
        <f ca="1">'Climate A'!J40-'Climate B'!J40</f>
        <v>-6.6052403502285473E-2</v>
      </c>
      <c r="K40" s="113">
        <f ca="1">'Climate A'!K40-'Climate B'!K40</f>
        <v>-0.11707172735302185</v>
      </c>
      <c r="L40" s="113">
        <f ca="1">'Climate A'!L40-'Climate B'!L40</f>
        <v>-0.16773317076108685</v>
      </c>
      <c r="M40" s="113">
        <f ca="1">'Climate A'!M40-'Climate B'!M40</f>
        <v>-0.2153697890578059</v>
      </c>
      <c r="N40" s="4" t="s">
        <v>504</v>
      </c>
    </row>
    <row r="41" spans="1:14" s="4" customFormat="1" x14ac:dyDescent="0.2">
      <c r="A41" s="3" t="s">
        <v>743</v>
      </c>
      <c r="C41" s="57"/>
      <c r="D41" s="113">
        <f ca="1">'Climate A'!D41-'Climate B'!D41</f>
        <v>1.9152166890634703E-5</v>
      </c>
      <c r="E41" s="113">
        <f ca="1">'Climate A'!E41-'Climate B'!E41</f>
        <v>2.967740919523898E-5</v>
      </c>
      <c r="F41" s="113">
        <f ca="1">'Climate A'!F41-'Climate B'!F41</f>
        <v>8.1396709286085667E-6</v>
      </c>
      <c r="G41" s="113">
        <f ca="1">'Climate A'!G41-'Climate B'!G41</f>
        <v>1.8032610076135214E-4</v>
      </c>
      <c r="H41" s="113">
        <f ca="1">'Climate A'!H41-'Climate B'!H41</f>
        <v>7.0018068956345658E-5</v>
      </c>
      <c r="I41" s="113">
        <f ca="1">'Climate A'!I41-'Climate B'!I41</f>
        <v>1.1962499769846424E-3</v>
      </c>
      <c r="J41" s="113">
        <f ca="1">'Climate A'!J41-'Climate B'!J41</f>
        <v>2.6563210528887105E-3</v>
      </c>
      <c r="K41" s="113">
        <f ca="1">'Climate A'!K41-'Climate B'!K41</f>
        <v>4.7080814259110593E-3</v>
      </c>
      <c r="L41" s="113">
        <f ca="1">'Climate A'!L41-'Climate B'!L41</f>
        <v>6.7454495088141719E-3</v>
      </c>
      <c r="M41" s="113">
        <f ca="1">'Climate A'!M41-'Climate B'!M41</f>
        <v>8.6611731670094283E-3</v>
      </c>
      <c r="N41" s="4" t="s">
        <v>504</v>
      </c>
    </row>
    <row r="42" spans="1:14" s="4" customFormat="1" x14ac:dyDescent="0.2">
      <c r="A42" s="58" t="s">
        <v>744</v>
      </c>
      <c r="B42"/>
      <c r="C42" s="57"/>
      <c r="D42" s="113">
        <f ca="1">'Climate A'!D42-'Climate B'!D42</f>
        <v>-243.87204367775121</v>
      </c>
      <c r="E42" s="113">
        <f ca="1">'Climate A'!E42-'Climate B'!E42</f>
        <v>-404.92685635946691</v>
      </c>
      <c r="F42" s="113">
        <f ca="1">'Climate A'!F42-'Climate B'!F42</f>
        <v>-118.34556345951569</v>
      </c>
      <c r="G42" s="113">
        <f ca="1">'Climate A'!G42-'Climate B'!G42</f>
        <v>-3022.534387483116</v>
      </c>
      <c r="H42" s="113">
        <f ca="1">'Climate A'!H42-'Climate B'!H42</f>
        <v>-1333.551717899667</v>
      </c>
      <c r="I42" s="113">
        <f ca="1">'Climate A'!I42-'Climate B'!I42</f>
        <v>-24831.909929665781</v>
      </c>
      <c r="J42" s="113">
        <f ca="1">'Climate A'!J42-'Climate B'!J42</f>
        <v>-59539.602450887483</v>
      </c>
      <c r="K42" s="113">
        <f ca="1">'Climate A'!K42-'Climate B'!K42</f>
        <v>-111055.47481720355</v>
      </c>
      <c r="L42" s="113">
        <f ca="1">'Climate A'!L42-'Climate B'!L42</f>
        <v>-168324.28232393964</v>
      </c>
      <c r="M42" s="113">
        <f ca="1">'Climate A'!M42-'Climate B'!M42</f>
        <v>-225920.15554772114</v>
      </c>
      <c r="N42" s="58" t="s">
        <v>498</v>
      </c>
    </row>
    <row r="43" spans="1:14" s="4" customFormat="1" x14ac:dyDescent="0.2">
      <c r="A43" s="57" t="s">
        <v>745</v>
      </c>
      <c r="C43" s="57"/>
      <c r="D43" s="113">
        <f ca="1">'Climate A'!D43-'Climate B'!D43</f>
        <v>-15.098093109652837</v>
      </c>
      <c r="E43" s="113">
        <f ca="1">'Climate A'!E43-'Climate B'!E43</f>
        <v>-39.658899371403095</v>
      </c>
      <c r="F43" s="113">
        <f ca="1">'Climate A'!F43-'Climate B'!F43</f>
        <v>-44.521238758301479</v>
      </c>
      <c r="G43" s="113">
        <f ca="1">'Climate A'!G43-'Climate B'!G43</f>
        <v>-425.38623976087547</v>
      </c>
      <c r="H43" s="113">
        <f ca="1">'Climate A'!H43-'Climate B'!H43</f>
        <v>-538.46611303625104</v>
      </c>
      <c r="I43" s="113">
        <f ca="1">'Climate A'!I43-'Climate B'!I43</f>
        <v>-3709.9708941430436</v>
      </c>
      <c r="J43" s="113">
        <f ca="1">'Climate A'!J43-'Climate B'!J43</f>
        <v>-10972.215338630645</v>
      </c>
      <c r="K43" s="113">
        <f ca="1">'Climate A'!K43-'Climate B'!K43</f>
        <v>-23853.206259322418</v>
      </c>
      <c r="L43" s="113">
        <f ca="1">'Climate A'!L43-'Climate B'!L43</f>
        <v>-42252.199091920447</v>
      </c>
      <c r="M43" s="113">
        <f ca="1">'Climate A'!M43-'Climate B'!M43</f>
        <v>-65311.524677197667</v>
      </c>
      <c r="N43" s="58" t="s">
        <v>498</v>
      </c>
    </row>
    <row r="44" spans="1:14" s="4" customFormat="1" x14ac:dyDescent="0.2">
      <c r="A44" s="57" t="s">
        <v>746</v>
      </c>
      <c r="C44" s="57"/>
      <c r="D44" s="113">
        <f ca="1">'Climate A'!D44-'Climate B'!D44</f>
        <v>-55.359674735394947</v>
      </c>
      <c r="E44" s="113">
        <f ca="1">'Climate A'!E44-'Climate B'!E44</f>
        <v>-145.41596436181135</v>
      </c>
      <c r="F44" s="113">
        <f ca="1">'Climate A'!F44-'Climate B'!F44</f>
        <v>-163.24454211376724</v>
      </c>
      <c r="G44" s="113">
        <f ca="1">'Climate A'!G44-'Climate B'!G44</f>
        <v>-1559.7495457898767</v>
      </c>
      <c r="H44" s="113">
        <f ca="1">'Climate A'!H44-'Climate B'!H44</f>
        <v>-1974.3757477995969</v>
      </c>
      <c r="I44" s="113">
        <f ca="1">'Climate A'!I44-'Climate B'!I44</f>
        <v>-13603.226611857826</v>
      </c>
      <c r="J44" s="113">
        <f ca="1">'Climate A'!J44-'Climate B'!J44</f>
        <v>-40231.456241645705</v>
      </c>
      <c r="K44" s="113">
        <f ca="1">'Climate A'!K44-'Climate B'!K44</f>
        <v>-87461.756284182193</v>
      </c>
      <c r="L44" s="113">
        <f ca="1">'Climate A'!L44-'Climate B'!L44</f>
        <v>-154924.7300037083</v>
      </c>
      <c r="M44" s="113">
        <f ca="1">'Climate A'!M44-'Climate B'!M44</f>
        <v>-239475.5904830581</v>
      </c>
      <c r="N44" s="3" t="s">
        <v>455</v>
      </c>
    </row>
    <row r="45" spans="1:14" s="4" customFormat="1" x14ac:dyDescent="0.2">
      <c r="A45" s="4" t="s">
        <v>605</v>
      </c>
      <c r="C45" s="115">
        <f ca="1">'Climate A'!C45-'Climate B'!C45</f>
        <v>0</v>
      </c>
      <c r="D45" s="115">
        <f ca="1">'Climate A'!D45-'Climate B'!D45</f>
        <v>-10.640407708518524</v>
      </c>
      <c r="E45" s="115">
        <f ca="1">'Climate A'!E45-'Climate B'!E45</f>
        <v>-17.295562004653448</v>
      </c>
      <c r="F45" s="115">
        <f ca="1">'Climate A'!F45-'Climate B'!F45</f>
        <v>-3.4256715694098148</v>
      </c>
      <c r="G45" s="115">
        <f ca="1">'Climate A'!G45-'Climate B'!G45</f>
        <v>-128.15672705134921</v>
      </c>
      <c r="H45" s="115">
        <f ca="1">'Climate A'!H45-'Climate B'!H45</f>
        <v>-38.11706000686263</v>
      </c>
      <c r="I45" s="115">
        <f ca="1">'Climate A'!I45-'Climate B'!I45</f>
        <v>-1065.0697152702305</v>
      </c>
      <c r="J45" s="115">
        <f ca="1">'Climate A'!J45-'Climate B'!J45</f>
        <v>-2439.6028622116105</v>
      </c>
      <c r="K45" s="115">
        <f ca="1">'Climate A'!K45-'Climate B'!K45</f>
        <v>-4331.4973390324949</v>
      </c>
      <c r="L45" s="115">
        <f ca="1">'Climate A'!L45-'Climate B'!L45</f>
        <v>-6192.9810392945674</v>
      </c>
      <c r="M45" s="115">
        <f ca="1">'Climate A'!M45-'Climate B'!M45</f>
        <v>-7771.7108718646305</v>
      </c>
      <c r="N45" s="58" t="s">
        <v>585</v>
      </c>
    </row>
    <row r="46" spans="1:14" s="4" customFormat="1" x14ac:dyDescent="0.2">
      <c r="A46" s="57"/>
      <c r="C46" s="57"/>
      <c r="D46" s="57"/>
      <c r="E46" s="57"/>
      <c r="F46" s="57"/>
      <c r="G46" s="57"/>
      <c r="H46" s="57"/>
      <c r="I46" s="57"/>
      <c r="J46" s="57"/>
      <c r="K46" s="57"/>
      <c r="L46" s="57"/>
      <c r="M46" s="57"/>
      <c r="N46" s="58"/>
    </row>
    <row r="47" spans="1:14" s="4" customFormat="1" x14ac:dyDescent="0.2">
      <c r="A47" s="3" t="s">
        <v>748</v>
      </c>
      <c r="B47" s="59"/>
      <c r="C47" s="57"/>
      <c r="D47" s="113">
        <f ca="1">'Climate A'!D47-'Climate B'!D47</f>
        <v>3.6674670001834997E-4</v>
      </c>
      <c r="E47" s="113">
        <f ca="1">'Climate A'!E47-'Climate B'!E47</f>
        <v>4.9242651573400131E-4</v>
      </c>
      <c r="F47" s="113">
        <f ca="1">'Climate A'!F47-'Climate B'!F47</f>
        <v>1.1928740982503072E-4</v>
      </c>
      <c r="G47" s="113">
        <f ca="1">'Climate A'!G47-'Climate B'!G47</f>
        <v>2.0437241443889143E-3</v>
      </c>
      <c r="H47" s="113">
        <f ca="1">'Climate A'!H47-'Climate B'!H47</f>
        <v>6.4185658104820575E-4</v>
      </c>
      <c r="I47" s="113">
        <f ca="1">'Climate A'!I47-'Climate B'!I47</f>
        <v>9.5993335777222466E-3</v>
      </c>
      <c r="J47" s="113">
        <f ca="1">'Climate A'!J47-'Climate B'!J47</f>
        <v>1.909365270397867E-2</v>
      </c>
      <c r="K47" s="113">
        <f ca="1">'Climate A'!K47-'Climate B'!K47</f>
        <v>3.1840589119455309E-2</v>
      </c>
      <c r="L47" s="113">
        <f ca="1">'Climate A'!L47-'Climate B'!L47</f>
        <v>4.2815331133043699E-2</v>
      </c>
      <c r="M47" s="113">
        <f ca="1">'Climate A'!M47-'Climate B'!M47</f>
        <v>5.2672216830281338E-2</v>
      </c>
      <c r="N47" s="4" t="s">
        <v>504</v>
      </c>
    </row>
    <row r="48" spans="1:14" s="4" customFormat="1" x14ac:dyDescent="0.2">
      <c r="A48" s="3" t="s">
        <v>844</v>
      </c>
      <c r="B48" s="59"/>
      <c r="C48" s="57"/>
      <c r="D48" s="113">
        <f ca="1">'Climate A'!D48-'Climate B'!D48</f>
        <v>0.75286101500604019</v>
      </c>
      <c r="E48" s="113">
        <f ca="1">'Climate A'!E48-'Climate B'!E48</f>
        <v>0.72002552584962842</v>
      </c>
      <c r="F48" s="113">
        <f ca="1">'Climate A'!F48-'Climate B'!F48</f>
        <v>0.12999018746254976</v>
      </c>
      <c r="G48" s="113">
        <f ca="1">'Climate A'!G48-'Climate B'!G48</f>
        <v>1.2122915833814236</v>
      </c>
      <c r="H48" s="113">
        <f ca="1">'Climate A'!H48-'Climate B'!H48</f>
        <v>0.23032210635677863</v>
      </c>
      <c r="I48" s="113">
        <f ca="1">'Climate A'!I48-'Climate B'!I48</f>
        <v>2.5342699636508437</v>
      </c>
      <c r="J48" s="113">
        <f ca="1">'Climate A'!J48-'Climate B'!J48</f>
        <v>3.9818577490121707</v>
      </c>
      <c r="K48" s="113">
        <f ca="1">'Climate A'!K48-'Climate B'!K48</f>
        <v>6.0968419060139745</v>
      </c>
      <c r="L48" s="113">
        <f ca="1">'Climate A'!L48-'Climate B'!L48</f>
        <v>7.5975112028672163</v>
      </c>
      <c r="M48" s="113">
        <f ca="1">'Climate A'!M48-'Climate B'!M48</f>
        <v>9.1855993773748317</v>
      </c>
      <c r="N48" s="4" t="s">
        <v>504</v>
      </c>
    </row>
    <row r="49" spans="1:14" s="4" customFormat="1" x14ac:dyDescent="0.2">
      <c r="A49" s="3" t="s">
        <v>845</v>
      </c>
      <c r="B49" s="59"/>
      <c r="C49" s="57"/>
      <c r="D49" s="113">
        <f ca="1">'Climate A'!D49-'Climate B'!D49</f>
        <v>-8.0360698635273398E-4</v>
      </c>
      <c r="E49" s="113">
        <f ca="1">'Climate A'!E49-'Climate B'!E49</f>
        <v>-1.2452362963528696E-3</v>
      </c>
      <c r="F49" s="113">
        <f ca="1">'Climate A'!F49-'Climate B'!F49</f>
        <v>-3.4153296919992027E-4</v>
      </c>
      <c r="G49" s="113">
        <f ca="1">'Climate A'!G49-'Climate B'!G49</f>
        <v>-7.5663143090052287E-3</v>
      </c>
      <c r="H49" s="113">
        <f ca="1">'Climate A'!H49-'Climate B'!H49</f>
        <v>-2.9378926001073502E-3</v>
      </c>
      <c r="I49" s="113">
        <f ca="1">'Climate A'!I49-'Climate B'!I49</f>
        <v>-5.0193528722589864E-2</v>
      </c>
      <c r="J49" s="113">
        <f ca="1">'Climate A'!J49-'Climate B'!J49</f>
        <v>-0.11145674368218927</v>
      </c>
      <c r="K49" s="113">
        <f ca="1">'Climate A'!K49-'Climate B'!K49</f>
        <v>-0.19754668742016968</v>
      </c>
      <c r="L49" s="113">
        <f ca="1">'Climate A'!L49-'Climate B'!L49</f>
        <v>-0.2830327441434054</v>
      </c>
      <c r="M49" s="113">
        <f ca="1">'Climate A'!M49-'Climate B'!M49</f>
        <v>-0.3634147147283211</v>
      </c>
      <c r="N49" s="4" t="s">
        <v>504</v>
      </c>
    </row>
    <row r="50" spans="1:14" s="4" customFormat="1" x14ac:dyDescent="0.2">
      <c r="A50" s="58" t="s">
        <v>747</v>
      </c>
      <c r="B50" s="59"/>
      <c r="C50" s="57"/>
      <c r="D50" s="113">
        <f ca="1">'Climate A'!D50-'Climate B'!D50</f>
        <v>-30.208224341731693</v>
      </c>
      <c r="E50" s="113">
        <f ca="1">'Climate A'!E50-'Climate B'!E50</f>
        <v>-46.421616478038231</v>
      </c>
      <c r="F50" s="113">
        <f ca="1">'Climate A'!F50-'Climate B'!F50</f>
        <v>-12.640677826206229</v>
      </c>
      <c r="G50" s="113">
        <f ca="1">'Climate A'!G50-'Climate B'!G50</f>
        <v>-275.89295271345327</v>
      </c>
      <c r="H50" s="113">
        <f ca="1">'Climate A'!H50-'Climate B'!H50</f>
        <v>-105.8142340315444</v>
      </c>
      <c r="I50" s="113">
        <f ca="1">'Climate A'!I50-'Climate B'!I50</f>
        <v>-1793.8047571110637</v>
      </c>
      <c r="J50" s="113">
        <f ca="1">'Climate A'!J50-'Climate B'!J50</f>
        <v>-3957.1633318857257</v>
      </c>
      <c r="K50" s="113">
        <f ca="1">'Climate A'!K50-'Climate B'!K50</f>
        <v>-6986.0840026280021</v>
      </c>
      <c r="L50" s="113">
        <f ca="1">'Climate A'!L50-'Climate B'!L50</f>
        <v>-9967.305176877855</v>
      </c>
      <c r="M50" s="113">
        <f ca="1">'Climate A'!M50-'Climate B'!M50</f>
        <v>-12758.789349478895</v>
      </c>
      <c r="N50" s="58" t="s">
        <v>498</v>
      </c>
    </row>
    <row r="51" spans="1:14" s="4" customFormat="1" x14ac:dyDescent="0.2">
      <c r="A51" s="57" t="s">
        <v>749</v>
      </c>
      <c r="B51"/>
      <c r="C51" s="57"/>
      <c r="D51" s="113">
        <f ca="1">'Climate A'!D51-'Climate B'!D51</f>
        <v>-0.23554612896168692</v>
      </c>
      <c r="E51" s="113">
        <f ca="1">'Climate A'!E51-'Climate B'!E51</f>
        <v>-0.65185085852954217</v>
      </c>
      <c r="F51" s="113">
        <f ca="1">'Climate A'!F51-'Climate B'!F51</f>
        <v>-0.77681234951432998</v>
      </c>
      <c r="G51" s="113">
        <f ca="1">'Climate A'!G51-'Climate B'!G51</f>
        <v>-7.4606110916865873</v>
      </c>
      <c r="H51" s="113">
        <f ca="1">'Climate A'!H51-'Climate B'!H51</f>
        <v>-10.247126504009429</v>
      </c>
      <c r="I51" s="113">
        <f ca="1">'Climate A'!I51-'Climate B'!I51</f>
        <v>-60.781507765303104</v>
      </c>
      <c r="J51" s="113">
        <f ca="1">'Climate A'!J51-'Climate B'!J51</f>
        <v>-173.25486741030181</v>
      </c>
      <c r="K51" s="113">
        <f ca="1">'Climate A'!K51-'Climate B'!K51</f>
        <v>-368.43783139419611</v>
      </c>
      <c r="L51" s="113">
        <f ca="1">'Climate A'!L51-'Climate B'!L51</f>
        <v>-638.68124742590044</v>
      </c>
      <c r="M51" s="113">
        <f ca="1">'Climate A'!M51-'Climate B'!M51</f>
        <v>-971.09256729673689</v>
      </c>
      <c r="N51" s="58" t="s">
        <v>498</v>
      </c>
    </row>
    <row r="52" spans="1:14" s="4" customFormat="1" x14ac:dyDescent="0.2">
      <c r="A52" s="57" t="s">
        <v>750</v>
      </c>
      <c r="B52" s="59"/>
      <c r="C52" s="57"/>
      <c r="D52" s="113">
        <f ca="1">'Climate A'!D52-'Climate B'!D52</f>
        <v>-0.31406150528221133</v>
      </c>
      <c r="E52" s="113">
        <f ca="1">'Climate A'!E52-'Climate B'!E52</f>
        <v>-0.86913447803942745</v>
      </c>
      <c r="F52" s="113">
        <f ca="1">'Climate A'!F52-'Climate B'!F52</f>
        <v>-1.0357497993524589</v>
      </c>
      <c r="G52" s="113">
        <f ca="1">'Climate A'!G52-'Climate B'!G52</f>
        <v>-9.9474814555821354</v>
      </c>
      <c r="H52" s="113">
        <f ca="1">'Climate A'!H52-'Climate B'!H52</f>
        <v>-13.662835338679201</v>
      </c>
      <c r="I52" s="113">
        <f ca="1">'Climate A'!I52-'Climate B'!I52</f>
        <v>-81.04201035373751</v>
      </c>
      <c r="J52" s="113">
        <f ca="1">'Climate A'!J52-'Climate B'!J52</f>
        <v>-231.00648988040234</v>
      </c>
      <c r="K52" s="113">
        <f ca="1">'Climate A'!K52-'Climate B'!K52</f>
        <v>-491.2504418589283</v>
      </c>
      <c r="L52" s="113">
        <f ca="1">'Climate A'!L52-'Climate B'!L52</f>
        <v>-851.5749965678674</v>
      </c>
      <c r="M52" s="113">
        <f ca="1">'Climate A'!M52-'Climate B'!M52</f>
        <v>-1294.7900897289824</v>
      </c>
      <c r="N52" s="3" t="s">
        <v>456</v>
      </c>
    </row>
    <row r="53" spans="1:14" s="4" customFormat="1" x14ac:dyDescent="0.2">
      <c r="B53"/>
      <c r="C53" s="59"/>
      <c r="D53" s="57"/>
      <c r="E53" s="57"/>
      <c r="F53" s="57"/>
      <c r="G53" s="57"/>
      <c r="H53" s="57"/>
      <c r="I53" s="57"/>
      <c r="J53" s="57"/>
      <c r="K53" s="57"/>
      <c r="L53" s="57"/>
      <c r="M53" s="57"/>
    </row>
    <row r="54" spans="1:14" s="4" customFormat="1" x14ac:dyDescent="0.2">
      <c r="A54" s="4" t="s">
        <v>824</v>
      </c>
      <c r="B54"/>
      <c r="C54" s="59"/>
      <c r="D54" s="57"/>
      <c r="E54" s="57"/>
      <c r="F54" s="57"/>
      <c r="G54" s="57"/>
      <c r="H54" s="57"/>
      <c r="I54" s="57"/>
      <c r="J54" s="57"/>
      <c r="K54" s="57"/>
      <c r="L54" s="57"/>
      <c r="M54" s="57"/>
    </row>
    <row r="55" spans="1:14" s="4" customFormat="1" x14ac:dyDescent="0.2">
      <c r="A55" s="4" t="s">
        <v>506</v>
      </c>
      <c r="B55"/>
      <c r="C55" s="59"/>
      <c r="D55" s="113">
        <f ca="1">'Climate A'!D55-'Climate B'!D55</f>
        <v>-1.3164173527642653E-2</v>
      </c>
      <c r="E55" s="113">
        <f ca="1">'Climate A'!E55-'Climate B'!E55</f>
        <v>-2.0398661244231509E-2</v>
      </c>
      <c r="F55" s="113">
        <f ca="1">'Climate A'!F55-'Climate B'!F55</f>
        <v>-5.5947737492481053E-3</v>
      </c>
      <c r="G55" s="113">
        <f ca="1">'Climate A'!G55-'Climate B'!G55</f>
        <v>-0.12394650148637609</v>
      </c>
      <c r="H55" s="113">
        <f ca="1">'Climate A'!H55-'Climate B'!H55</f>
        <v>-4.8126669690767621E-2</v>
      </c>
      <c r="I55" s="113">
        <f ca="1">'Climate A'!I55-'Climate B'!I55</f>
        <v>-0.82223815035233994</v>
      </c>
      <c r="J55" s="113">
        <f ca="1">'Climate A'!J55-'Climate B'!J55</f>
        <v>-1.8258127910479685</v>
      </c>
      <c r="K55" s="113">
        <f ca="1">'Climate A'!K55-'Climate B'!K55</f>
        <v>-3.2360829574329024</v>
      </c>
      <c r="L55" s="113">
        <f ca="1">'Climate A'!L55-'Climate B'!L55</f>
        <v>-4.6364606345933863</v>
      </c>
      <c r="M55" s="113">
        <f ca="1">'Climate A'!M55-'Climate B'!M55</f>
        <v>-5.9532264507746202</v>
      </c>
      <c r="N55" s="4" t="s">
        <v>41</v>
      </c>
    </row>
    <row r="56" spans="1:14" s="4" customFormat="1" x14ac:dyDescent="0.2">
      <c r="A56" s="4" t="s">
        <v>742</v>
      </c>
      <c r="B56"/>
      <c r="C56" s="59"/>
      <c r="D56" s="113">
        <f ca="1">'Climate A'!D56-'Climate B'!D56</f>
        <v>7.7742791213308848E-4</v>
      </c>
      <c r="E56" s="113">
        <f ca="1">'Climate A'!E56-'Climate B'!E56</f>
        <v>1.0353910936540256E-3</v>
      </c>
      <c r="F56" s="113">
        <f ca="1">'Climate A'!F56-'Climate B'!F56</f>
        <v>2.4905645829087497E-4</v>
      </c>
      <c r="G56" s="113">
        <f ca="1">'Climate A'!G56-'Climate B'!G56</f>
        <v>4.2052648862040964E-3</v>
      </c>
      <c r="H56" s="113">
        <f ca="1">'Climate A'!H56-'Climate B'!H56</f>
        <v>1.3049096508961355E-3</v>
      </c>
      <c r="I56" s="113">
        <f ca="1">'Climate A'!I56-'Climate B'!I56</f>
        <v>1.9370042603119142E-2</v>
      </c>
      <c r="J56" s="113">
        <f ca="1">'Climate A'!J56-'Climate B'!J56</f>
        <v>3.8295457004059452E-2</v>
      </c>
      <c r="K56" s="113">
        <f ca="1">'Climate A'!K56-'Climate B'!K56</f>
        <v>6.3669614692419829E-2</v>
      </c>
      <c r="L56" s="113">
        <f ca="1">'Climate A'!L56-'Climate B'!L56</f>
        <v>8.5356228676956247E-2</v>
      </c>
      <c r="M56" s="113">
        <f ca="1">'Climate A'!M56-'Climate B'!M56</f>
        <v>0.10482090437532054</v>
      </c>
      <c r="N56" s="4" t="s">
        <v>504</v>
      </c>
    </row>
    <row r="57" spans="1:14" s="4" customFormat="1" x14ac:dyDescent="0.2">
      <c r="A57" s="4" t="s">
        <v>741</v>
      </c>
      <c r="B57"/>
      <c r="C57" s="59"/>
      <c r="D57" s="113">
        <f ca="1">'Climate A'!D57-'Climate B'!D57</f>
        <v>8.6032468410093266E-3</v>
      </c>
      <c r="E57" s="113">
        <f ca="1">'Climate A'!E57-'Climate B'!E57</f>
        <v>1.0662383961909772E-2</v>
      </c>
      <c r="F57" s="113">
        <f ca="1">'Climate A'!F57-'Climate B'!F57</f>
        <v>2.4097105547338238E-3</v>
      </c>
      <c r="G57" s="113">
        <f ca="1">'Climate A'!G57-'Climate B'!G57</f>
        <v>3.5761832751613376E-2</v>
      </c>
      <c r="H57" s="113">
        <f ca="1">'Climate A'!H57-'Climate B'!H57</f>
        <v>9.9752258318133169E-3</v>
      </c>
      <c r="I57" s="113">
        <f ca="1">'Climate A'!I57-'Climate B'!I57</f>
        <v>0.13861397216342697</v>
      </c>
      <c r="J57" s="113">
        <f ca="1">'Climate A'!J57-'Climate B'!J57</f>
        <v>0.25996533885557782</v>
      </c>
      <c r="K57" s="113">
        <f ca="1">'Climate A'!K57-'Climate B'!K57</f>
        <v>0.42173898521641795</v>
      </c>
      <c r="L57" s="113">
        <f ca="1">'Climate A'!L57-'Climate B'!L57</f>
        <v>0.5519092503640084</v>
      </c>
      <c r="M57" s="113">
        <f ca="1">'Climate A'!M57-'Climate B'!M57</f>
        <v>0.66927564483482749</v>
      </c>
      <c r="N57" s="4" t="s">
        <v>504</v>
      </c>
    </row>
    <row r="58" spans="1:14" s="4" customFormat="1" x14ac:dyDescent="0.2">
      <c r="A58" s="4" t="s">
        <v>743</v>
      </c>
      <c r="B58"/>
      <c r="C58" s="59"/>
      <c r="D58" s="113">
        <f ca="1">'Climate A'!D58-'Climate B'!D58</f>
        <v>-1.1296977146338927E-3</v>
      </c>
      <c r="E58" s="113">
        <f ca="1">'Climate A'!E58-'Climate B'!E58</f>
        <v>-1.7505330616323089E-3</v>
      </c>
      <c r="F58" s="113">
        <f ca="1">'Climate A'!F58-'Climate B'!F58</f>
        <v>-4.8012152871945712E-4</v>
      </c>
      <c r="G58" s="113">
        <f ca="1">'Climate A'!G58-'Climate B'!G58</f>
        <v>-1.0636602379330617E-2</v>
      </c>
      <c r="H58" s="113">
        <f ca="1">'Climate A'!H58-'Climate B'!H58</f>
        <v>-4.1300419390890575E-3</v>
      </c>
      <c r="I58" s="113">
        <f ca="1">'Climate A'!I58-'Climate B'!I58</f>
        <v>-7.0561251520079527E-2</v>
      </c>
      <c r="J58" s="113">
        <f ca="1">'Climate A'!J58-'Climate B'!J58</f>
        <v>-0.15668408905924391</v>
      </c>
      <c r="K58" s="113">
        <f ca="1">'Climate A'!K58-'Climate B'!K58</f>
        <v>-0.27770794069992732</v>
      </c>
      <c r="L58" s="113">
        <f ca="1">'Climate A'!L58-'Climate B'!L58</f>
        <v>-0.39788285773446674</v>
      </c>
      <c r="M58" s="113">
        <f ca="1">'Climate A'!M58-'Climate B'!M58</f>
        <v>-0.51088253296091091</v>
      </c>
      <c r="N58" s="4" t="s">
        <v>504</v>
      </c>
    </row>
    <row r="59" spans="1:14" s="4" customFormat="1" x14ac:dyDescent="0.2">
      <c r="A59" s="4" t="s">
        <v>744</v>
      </c>
      <c r="B59"/>
      <c r="C59" s="59"/>
      <c r="D59" s="113">
        <f ca="1">'Climate A'!D59-'Climate B'!D59</f>
        <v>-843.5527051014069</v>
      </c>
      <c r="E59" s="113">
        <f ca="1">'Climate A'!E59-'Climate B'!E59</f>
        <v>-1285.8085544850037</v>
      </c>
      <c r="F59" s="113">
        <f ca="1">'Climate A'!F59-'Climate B'!F59</f>
        <v>-347.66960881600971</v>
      </c>
      <c r="G59" s="113">
        <f ca="1">'Climate A'!G59-'Climate B'!G59</f>
        <v>-7478.2978378743283</v>
      </c>
      <c r="H59" s="113">
        <f ca="1">'Climate A'!H59-'Climate B'!H59</f>
        <v>-2833.8672245698981</v>
      </c>
      <c r="I59" s="113">
        <f ca="1">'Climate A'!I59-'Climate B'!I59</f>
        <v>-47677.066694424546</v>
      </c>
      <c r="J59" s="113">
        <f ca="1">'Climate A'!J59-'Climate B'!J59</f>
        <v>-104506.19255607598</v>
      </c>
      <c r="K59" s="113">
        <f ca="1">'Climate A'!K59-'Climate B'!K59</f>
        <v>-183796.85847946967</v>
      </c>
      <c r="L59" s="113">
        <f ca="1">'Climate A'!L59-'Climate B'!L59</f>
        <v>-261172.03969919437</v>
      </c>
      <c r="M59" s="113">
        <f ca="1">'Climate A'!M59-'Climate B'!M59</f>
        <v>-333337.5429550875</v>
      </c>
      <c r="N59" s="58" t="s">
        <v>498</v>
      </c>
    </row>
    <row r="60" spans="1:14" s="4" customFormat="1" x14ac:dyDescent="0.2">
      <c r="A60" s="4" t="s">
        <v>745</v>
      </c>
      <c r="B60"/>
      <c r="C60" s="59"/>
      <c r="D60" s="113">
        <f ca="1">'Climate A'!D60-'Climate B'!D60</f>
        <v>-4.6710383349563926</v>
      </c>
      <c r="E60" s="113">
        <f ca="1">'Climate A'!E60-'Climate B'!E60</f>
        <v>-11.770645332784625</v>
      </c>
      <c r="F60" s="113">
        <f ca="1">'Climate A'!F60-'Climate B'!F60</f>
        <v>-13.661033459968166</v>
      </c>
      <c r="G60" s="113">
        <f ca="1">'Climate A'!G60-'Climate B'!G60</f>
        <v>-102.1720568719611</v>
      </c>
      <c r="H60" s="113">
        <f ca="1">'Climate A'!H60-'Climate B'!H60</f>
        <v>-137.95210327603854</v>
      </c>
      <c r="I60" s="113">
        <f ca="1">'Climate A'!I60-'Climate B'!I60</f>
        <v>-813.98036804061849</v>
      </c>
      <c r="J60" s="113">
        <f ca="1">'Climate A'!J60-'Climate B'!J60</f>
        <v>-2434.3059081427054</v>
      </c>
      <c r="K60" s="113">
        <f ca="1">'Climate A'!K60-'Climate B'!K60</f>
        <v>-5488.1603236781084</v>
      </c>
      <c r="L60" s="113">
        <f ca="1">'Climate A'!L60-'Climate B'!L60</f>
        <v>-10221.233027804759</v>
      </c>
      <c r="M60" s="113">
        <f ca="1">'Climate A'!M60-'Climate B'!M60</f>
        <v>-16724.803841232439</v>
      </c>
      <c r="N60" s="58" t="s">
        <v>498</v>
      </c>
    </row>
    <row r="61" spans="1:14" s="4" customFormat="1" x14ac:dyDescent="0.2">
      <c r="A61" s="4" t="s">
        <v>746</v>
      </c>
      <c r="B61"/>
      <c r="C61" s="59"/>
      <c r="D61" s="113">
        <f ca="1">'Climate A'!D61-'Climate B'!D61</f>
        <v>-17.127140561497072</v>
      </c>
      <c r="E61" s="113">
        <f ca="1">'Climate A'!E61-'Climate B'!E61</f>
        <v>-43.159032886876957</v>
      </c>
      <c r="F61" s="113">
        <f ca="1">'Climate A'!F61-'Climate B'!F61</f>
        <v>-50.090456019883277</v>
      </c>
      <c r="G61" s="113">
        <f ca="1">'Climate A'!G61-'Climate B'!G61</f>
        <v>-374.63087519719556</v>
      </c>
      <c r="H61" s="113">
        <f ca="1">'Climate A'!H61-'Climate B'!H61</f>
        <v>-505.82437867880799</v>
      </c>
      <c r="I61" s="113">
        <f ca="1">'Climate A'!I61-'Climate B'!I61</f>
        <v>-2984.5946828156011</v>
      </c>
      <c r="J61" s="113">
        <f ca="1">'Climate A'!J61-'Climate B'!J61</f>
        <v>-8925.7883298565866</v>
      </c>
      <c r="K61" s="113">
        <f ca="1">'Climate A'!K61-'Climate B'!K61</f>
        <v>-20123.254520153074</v>
      </c>
      <c r="L61" s="113">
        <f ca="1">'Climate A'!L61-'Climate B'!L61</f>
        <v>-37477.854435284098</v>
      </c>
      <c r="M61" s="113">
        <f ca="1">'Climate A'!M61-'Climate B'!M61</f>
        <v>-61324.280751185608</v>
      </c>
      <c r="N61" s="3" t="s">
        <v>455</v>
      </c>
    </row>
    <row r="62" spans="1:14" s="4" customFormat="1" x14ac:dyDescent="0.2">
      <c r="A62" s="4" t="s">
        <v>605</v>
      </c>
      <c r="B62"/>
      <c r="C62" s="59"/>
      <c r="D62" s="113">
        <f ca="1">'Climate A'!D62-'Climate B'!D62</f>
        <v>-3.4154509416748624</v>
      </c>
      <c r="E62" s="113">
        <f ca="1">'Climate A'!E62-'Climate B'!E62</f>
        <v>-5.1897247720689847</v>
      </c>
      <c r="F62" s="113">
        <f ca="1">'Climate A'!F62-'Climate B'!F62</f>
        <v>-1.381379130498317</v>
      </c>
      <c r="G62" s="113">
        <f ca="1">'Climate A'!G62-'Climate B'!G62</f>
        <v>-32.180676636876569</v>
      </c>
      <c r="H62" s="113">
        <f ca="1">'Climate A'!H62-'Climate B'!H62</f>
        <v>-12.985681177108063</v>
      </c>
      <c r="I62" s="113">
        <f ca="1">'Climate A'!I62-'Climate B'!I62</f>
        <v>-245.06512940397056</v>
      </c>
      <c r="J62" s="113">
        <f ca="1">'Climate A'!J62-'Climate B'!J62</f>
        <v>-586.5116817717801</v>
      </c>
      <c r="K62" s="113">
        <f ca="1">'Climate A'!K62-'Climate B'!K62</f>
        <v>-1103.9165031667799</v>
      </c>
      <c r="L62" s="113">
        <f ca="1">'Climate A'!L62-'Climate B'!L62</f>
        <v>-1707.6882813988057</v>
      </c>
      <c r="M62" s="113">
        <f ca="1">'Climate A'!M62-'Climate B'!M62</f>
        <v>-2341.8080761325391</v>
      </c>
      <c r="N62" s="58" t="s">
        <v>585</v>
      </c>
    </row>
    <row r="63" spans="1:14" s="4" customFormat="1" x14ac:dyDescent="0.2">
      <c r="B63"/>
      <c r="C63" s="59"/>
      <c r="D63" s="57"/>
      <c r="E63" s="57"/>
      <c r="F63" s="57"/>
      <c r="G63" s="57"/>
      <c r="H63" s="57"/>
      <c r="I63" s="57"/>
      <c r="J63" s="57"/>
      <c r="K63" s="57"/>
      <c r="L63" s="57"/>
      <c r="M63" s="57"/>
    </row>
    <row r="64" spans="1:14" s="4" customFormat="1" x14ac:dyDescent="0.2">
      <c r="A64" s="57" t="s">
        <v>750</v>
      </c>
      <c r="B64"/>
      <c r="C64" s="59"/>
      <c r="D64" s="115">
        <f ca="1">'Climate A'!D64-'Climate B'!D64</f>
        <v>-0.3809177124865073</v>
      </c>
      <c r="E64" s="115">
        <f ca="1">'Climate A'!E64-'Climate B'!E64</f>
        <v>-0.95988235872482619</v>
      </c>
      <c r="F64" s="115">
        <f ca="1">'Climate A'!F64-'Climate B'!F64</f>
        <v>-1.1140412993033806</v>
      </c>
      <c r="G64" s="115">
        <f ca="1">'Climate A'!G64-'Climate B'!G64</f>
        <v>-8.332011726908604</v>
      </c>
      <c r="H64" s="115">
        <f ca="1">'Climate A'!H64-'Climate B'!H64</f>
        <v>-11.249832659119875</v>
      </c>
      <c r="I64" s="115">
        <f ca="1">'Climate A'!I64-'Climate B'!I64</f>
        <v>-66.379146898128056</v>
      </c>
      <c r="J64" s="115">
        <f ca="1">'Climate A'!J64-'Climate B'!J64</f>
        <v>-198.51479939319688</v>
      </c>
      <c r="K64" s="115">
        <f ca="1">'Climate A'!K64-'Climate B'!K64</f>
        <v>-447.5530548762863</v>
      </c>
      <c r="L64" s="115">
        <f ca="1">'Climate A'!L64-'Climate B'!L64</f>
        <v>-833.52959760669091</v>
      </c>
      <c r="M64" s="115">
        <f ca="1">'Climate A'!M64-'Climate B'!M64</f>
        <v>-1363.8881901929772</v>
      </c>
      <c r="N64" s="3" t="s">
        <v>456</v>
      </c>
    </row>
    <row r="65" spans="1:14" s="4" customFormat="1" x14ac:dyDescent="0.2">
      <c r="B65"/>
      <c r="C65" s="59"/>
      <c r="D65" s="57"/>
      <c r="E65" s="57"/>
      <c r="F65" s="57"/>
      <c r="G65" s="57"/>
      <c r="H65" s="57"/>
      <c r="I65" s="57"/>
      <c r="J65" s="57"/>
      <c r="K65" s="57"/>
      <c r="L65" s="57"/>
      <c r="M65" s="57"/>
    </row>
    <row r="66" spans="1:14" s="4" customFormat="1" x14ac:dyDescent="0.2">
      <c r="A66" s="4" t="s">
        <v>895</v>
      </c>
      <c r="B66"/>
      <c r="C66" s="59"/>
      <c r="D66" s="57"/>
      <c r="E66" s="57"/>
      <c r="F66" s="57"/>
      <c r="G66" s="57"/>
      <c r="H66" s="57"/>
      <c r="I66" s="57"/>
      <c r="J66" s="57"/>
      <c r="K66" s="57"/>
      <c r="L66" s="57"/>
      <c r="M66" s="57"/>
    </row>
    <row r="67" spans="1:14" s="4" customFormat="1" x14ac:dyDescent="0.2">
      <c r="A67" s="4" t="s">
        <v>841</v>
      </c>
      <c r="B67"/>
      <c r="C67" s="59"/>
      <c r="D67" s="113">
        <f ca="1">'Climate A'!D67-'Climate B'!D67</f>
        <v>-36.243407648449647</v>
      </c>
      <c r="E67" s="113">
        <f ca="1">'Climate A'!E67-'Climate B'!E67</f>
        <v>-94.287498624347791</v>
      </c>
      <c r="F67" s="113">
        <f ca="1">'Climate A'!F67-'Climate B'!F67</f>
        <v>-106.66749906682526</v>
      </c>
      <c r="G67" s="113">
        <f ca="1">'Climate A'!G67-'Climate B'!G67</f>
        <v>-967.19021049352887</v>
      </c>
      <c r="H67" s="113">
        <f ca="1">'Climate A'!H67-'Climate B'!H67</f>
        <v>-1240.1000632392097</v>
      </c>
      <c r="I67" s="113">
        <f ca="1">'Climate A'!I67-'Climate B'!I67</f>
        <v>-8293.9106473367137</v>
      </c>
      <c r="J67" s="113">
        <f ca="1">'Climate A'!J67-'Climate B'!J67</f>
        <v>-24578.62228575116</v>
      </c>
      <c r="K67" s="113">
        <f ca="1">'Climate A'!K67-'Climate B'!K67</f>
        <v>-53792.505402167648</v>
      </c>
      <c r="L67" s="113">
        <f ca="1">'Climate A'!L67-'Climate B'!L67</f>
        <v>-96201.292219496157</v>
      </c>
      <c r="M67" s="113">
        <f ca="1">'Climate A'!M67-'Climate B'!M67</f>
        <v>-150399.93561712187</v>
      </c>
      <c r="N67" s="3" t="s">
        <v>455</v>
      </c>
    </row>
    <row r="68" spans="1:14" s="4" customFormat="1" x14ac:dyDescent="0.2">
      <c r="A68" s="4" t="s">
        <v>605</v>
      </c>
      <c r="B68"/>
      <c r="C68" s="59"/>
      <c r="D68" s="113">
        <f ca="1">'Climate A'!D68-'Climate B'!D68</f>
        <v>-7.027929325096693</v>
      </c>
      <c r="E68" s="113">
        <f ca="1">'Climate A'!E68-'Climate B'!E68</f>
        <v>-11.24264338836133</v>
      </c>
      <c r="F68" s="113">
        <f ca="1">'Climate A'!F68-'Climate B'!F68</f>
        <v>-2.4035253499541795</v>
      </c>
      <c r="G68" s="113">
        <f ca="1">'Climate A'!G68-'Climate B'!G68</f>
        <v>-80.168701844112775</v>
      </c>
      <c r="H68" s="113">
        <f ca="1">'Climate A'!H68-'Climate B'!H68</f>
        <v>-25.551370591985233</v>
      </c>
      <c r="I68" s="113">
        <f ca="1">'Climate A'!I68-'Climate B'!I68</f>
        <v>-655.06742233710065</v>
      </c>
      <c r="J68" s="113">
        <f ca="1">'Climate A'!J68-'Climate B'!J68</f>
        <v>-1513.057271991695</v>
      </c>
      <c r="K68" s="113">
        <f ca="1">'Climate A'!K68-'Climate B'!K68</f>
        <v>-2717.7069210996374</v>
      </c>
      <c r="L68" s="113">
        <f ca="1">'Climate A'!L68-'Climate B'!L68</f>
        <v>-3950.3346603466866</v>
      </c>
      <c r="M68" s="113">
        <f ca="1">'Climate A'!M68-'Climate B'!M68</f>
        <v>-5056.7594739985852</v>
      </c>
      <c r="N68" s="58" t="s">
        <v>585</v>
      </c>
    </row>
    <row r="69" spans="1:14" s="4" customFormat="1" x14ac:dyDescent="0.2">
      <c r="B69"/>
      <c r="C69" s="59"/>
      <c r="D69" s="59"/>
      <c r="E69" s="59"/>
      <c r="F69" s="59"/>
      <c r="G69" s="59"/>
      <c r="H69" s="59"/>
      <c r="I69" s="59"/>
      <c r="J69" s="59"/>
      <c r="K69" s="59"/>
      <c r="L69" s="59"/>
      <c r="M69" s="59"/>
    </row>
    <row r="70" spans="1:14" s="4" customFormat="1" x14ac:dyDescent="0.2">
      <c r="A70" s="57" t="s">
        <v>861</v>
      </c>
      <c r="B70" s="59"/>
      <c r="C70"/>
      <c r="D70" s="115">
        <f ca="1">'Climate A'!D70-'Climate B'!D70</f>
        <v>-0.34748960888441616</v>
      </c>
      <c r="E70" s="115">
        <f ca="1">'Climate A'!E70-'Climate B'!E70</f>
        <v>-0.91450841838195629</v>
      </c>
      <c r="F70" s="115">
        <f ca="1">'Climate A'!F70-'Climate B'!F70</f>
        <v>-1.0748955493279482</v>
      </c>
      <c r="G70" s="115">
        <f ca="1">'Climate A'!G70-'Climate B'!G70</f>
        <v>-9.1397465912455118</v>
      </c>
      <c r="H70" s="115">
        <f ca="1">'Climate A'!H70-'Climate B'!H70</f>
        <v>-12.456333998899481</v>
      </c>
      <c r="I70" s="115">
        <f ca="1">'Climate A'!I70-'Climate B'!I70</f>
        <v>-73.71057862593284</v>
      </c>
      <c r="J70" s="115">
        <f ca="1">'Climate A'!J70-'Climate B'!J70</f>
        <v>-214.76064463679995</v>
      </c>
      <c r="K70" s="115">
        <f ca="1">'Climate A'!K70-'Climate B'!K70</f>
        <v>-469.40174836760752</v>
      </c>
      <c r="L70" s="115">
        <f ca="1">'Climate A'!L70-'Climate B'!L70</f>
        <v>-842.55229708727893</v>
      </c>
      <c r="M70" s="115">
        <f ca="1">'Climate A'!M70-'Climate B'!M70</f>
        <v>-1329.33913996098</v>
      </c>
      <c r="N70" s="3" t="s">
        <v>456</v>
      </c>
    </row>
    <row r="71" spans="1:14" s="4" customFormat="1" x14ac:dyDescent="0.2">
      <c r="B71"/>
      <c r="C71" s="59"/>
      <c r="D71" s="59"/>
      <c r="E71" s="59"/>
      <c r="F71" s="59"/>
      <c r="G71" s="59"/>
      <c r="H71" s="59"/>
      <c r="I71" s="59"/>
      <c r="J71" s="59"/>
      <c r="K71" s="59"/>
      <c r="L71" s="59"/>
      <c r="M71" s="59"/>
    </row>
    <row r="72" spans="1:14" s="4" customFormat="1" x14ac:dyDescent="0.2">
      <c r="A72" s="57" t="s">
        <v>754</v>
      </c>
      <c r="B72"/>
      <c r="C72" s="59"/>
      <c r="D72" s="59"/>
      <c r="E72" s="59"/>
      <c r="F72" s="59"/>
      <c r="G72" s="59"/>
      <c r="H72" s="59"/>
      <c r="I72" s="59"/>
      <c r="J72" s="59"/>
      <c r="K72" s="59"/>
      <c r="L72" s="59"/>
      <c r="M72" s="59"/>
    </row>
    <row r="73" spans="1:14" s="4" customFormat="1" x14ac:dyDescent="0.2">
      <c r="A73" s="57" t="s">
        <v>601</v>
      </c>
      <c r="C73" s="115">
        <f ca="1">'Climate A'!C73-'Climate B'!C73</f>
        <v>0</v>
      </c>
      <c r="D73" s="115">
        <f ca="1">'Climate A'!D73-'Climate B'!D73</f>
        <v>-7.4757999200373888</v>
      </c>
      <c r="E73" s="115">
        <f ca="1">'Climate A'!E73-'Climate B'!E73</f>
        <v>-18.270030544605106</v>
      </c>
      <c r="F73" s="115">
        <f ca="1">'Climate A'!F73-'Climate B'!F73</f>
        <v>-37.378999599255621</v>
      </c>
      <c r="G73" s="115">
        <f ca="1">'Climate A'!G73-'Climate B'!G73</f>
        <v>-116.66519009321928</v>
      </c>
      <c r="H73" s="115">
        <f ca="1">'Climate A'!H73-'Climate B'!H73</f>
        <v>-199602.1883983505</v>
      </c>
      <c r="I73" s="115">
        <f ca="1">'Climate A'!I73-'Climate B'!I73</f>
        <v>-928752.59266592655</v>
      </c>
      <c r="J73" s="115">
        <f ca="1">'Climate A'!J73-'Climate B'!J73</f>
        <v>-2212264.3170153517</v>
      </c>
      <c r="K73" s="115">
        <f ca="1">'Climate A'!K73-'Climate B'!K73</f>
        <v>-3843931.3455139347</v>
      </c>
      <c r="L73" s="115">
        <f ca="1">'Climate A'!L73-'Climate B'!L73</f>
        <v>-5626971.4160804814</v>
      </c>
      <c r="M73" s="115">
        <f ca="1">'Climate A'!M73-'Climate B'!M73</f>
        <v>-7426657.5900775157</v>
      </c>
      <c r="N73" s="3" t="s">
        <v>455</v>
      </c>
    </row>
    <row r="75" spans="1:14" s="4" customFormat="1" x14ac:dyDescent="0.2">
      <c r="A75" s="57" t="s">
        <v>602</v>
      </c>
      <c r="C75" s="115">
        <f ca="1">'Climate A'!C75-'Climate B'!C75</f>
        <v>0</v>
      </c>
      <c r="D75" s="115">
        <f ca="1">'Climate A'!D75-'Climate B'!D75</f>
        <v>-43.719207568094134</v>
      </c>
      <c r="E75" s="115">
        <f ca="1">'Climate A'!E75-'Climate B'!E75</f>
        <v>-112.55752916866913</v>
      </c>
      <c r="F75" s="115">
        <f ca="1">'Climate A'!F75-'Climate B'!F75</f>
        <v>-144.04649866605178</v>
      </c>
      <c r="G75" s="115">
        <f ca="1">'Climate A'!G75-'Climate B'!G75</f>
        <v>-1083.8554005869664</v>
      </c>
      <c r="H75" s="115">
        <f ca="1">'Climate A'!H75-'Climate B'!H75</f>
        <v>-200842.28846159019</v>
      </c>
      <c r="I75" s="115">
        <f ca="1">'Climate A'!I75-'Climate B'!I75</f>
        <v>-937046.50331326388</v>
      </c>
      <c r="J75" s="115">
        <f ca="1">'Climate A'!J75-'Climate B'!J75</f>
        <v>-2236842.9393011034</v>
      </c>
      <c r="K75" s="115">
        <f ca="1">'Climate A'!K75-'Climate B'!K75</f>
        <v>-3897723.8509161025</v>
      </c>
      <c r="L75" s="115">
        <f ca="1">'Climate A'!L75-'Climate B'!L75</f>
        <v>-5723172.7082999777</v>
      </c>
      <c r="M75" s="115">
        <f ca="1">'Climate A'!M75-'Climate B'!M75</f>
        <v>-7577057.5256946366</v>
      </c>
      <c r="N75" s="3" t="s">
        <v>455</v>
      </c>
    </row>
    <row r="76" spans="1:14" s="4" customFormat="1" x14ac:dyDescent="0.2">
      <c r="A76" s="57" t="s">
        <v>606</v>
      </c>
      <c r="C76" s="115">
        <f ca="1">'Climate A'!C76-'Climate B'!C76</f>
        <v>0</v>
      </c>
      <c r="D76" s="115">
        <f ca="1">'Climate A'!D76-'Climate B'!D76</f>
        <v>-8.3553016069199657</v>
      </c>
      <c r="E76" s="115">
        <f ca="1">'Climate A'!E76-'Climate B'!E76</f>
        <v>-14.232963356276741</v>
      </c>
      <c r="F76" s="115">
        <f ca="1">'Climate A'!F76-'Climate B'!F76</f>
        <v>-7.056793003976054</v>
      </c>
      <c r="G76" s="115">
        <f ca="1">'Climate A'!G76-'Climate B'!G76</f>
        <v>-91.372672288765898</v>
      </c>
      <c r="H76" s="115">
        <f ca="1">'Climate A'!H76-'Climate B'!H76</f>
        <v>-39911.452041798766</v>
      </c>
      <c r="I76" s="115">
        <f ca="1">'Climate A'!I76-'Climate B'!I76</f>
        <v>-106599.24760464548</v>
      </c>
      <c r="J76" s="115">
        <f ca="1">'Climate A'!J76-'Climate B'!J76</f>
        <v>-152271.2219595683</v>
      </c>
      <c r="K76" s="115">
        <f ca="1">'Climate A'!K76-'Climate B'!K76</f>
        <v>-178292.94793323957</v>
      </c>
      <c r="L76" s="115">
        <f ca="1">'Climate A'!L76-'Climate B'!L76</f>
        <v>-184983.10776151612</v>
      </c>
      <c r="M76" s="115">
        <f ca="1">'Climate A'!M76-'Climate B'!M76</f>
        <v>-183961.22117223582</v>
      </c>
      <c r="N76" s="4" t="s">
        <v>566</v>
      </c>
    </row>
    <row r="77" spans="1:14" s="4" customFormat="1" x14ac:dyDescent="0.2">
      <c r="A77" s="57"/>
      <c r="C77" s="59"/>
      <c r="D77" s="59"/>
      <c r="E77" s="59"/>
      <c r="F77" s="59"/>
      <c r="G77" s="59"/>
      <c r="H77" s="59"/>
      <c r="I77" s="59"/>
      <c r="J77" s="59"/>
      <c r="K77" s="59"/>
      <c r="L77" s="59"/>
      <c r="M77" s="59"/>
      <c r="N77"/>
    </row>
    <row r="78" spans="1:14" s="4" customFormat="1" x14ac:dyDescent="0.2">
      <c r="A78" s="57" t="s">
        <v>610</v>
      </c>
      <c r="C78" s="115">
        <f ca="1">'Climate A'!C78-'Climate B'!C78</f>
        <v>0</v>
      </c>
      <c r="D78" s="115">
        <f ca="1">'Climate A'!D78-'Climate B'!D78</f>
        <v>0</v>
      </c>
      <c r="E78" s="115">
        <f ca="1">'Climate A'!E78-'Climate B'!E78</f>
        <v>0</v>
      </c>
      <c r="F78" s="115">
        <f ca="1">'Climate A'!F78-'Climate B'!F78</f>
        <v>0</v>
      </c>
      <c r="G78" s="115">
        <f ca="1">'Climate A'!G78-'Climate B'!G78</f>
        <v>0</v>
      </c>
      <c r="H78" s="115">
        <f ca="1">'Climate A'!H78-'Climate B'!H78</f>
        <v>0</v>
      </c>
      <c r="I78" s="115">
        <f ca="1">'Climate A'!I78-'Climate B'!I78</f>
        <v>0</v>
      </c>
      <c r="J78" s="115">
        <f ca="1">'Climate A'!J78-'Climate B'!J78</f>
        <v>0</v>
      </c>
      <c r="K78" s="115">
        <f ca="1">'Climate A'!K78-'Climate B'!K78</f>
        <v>0</v>
      </c>
      <c r="L78" s="115">
        <f ca="1">'Climate A'!L78-'Climate B'!L78</f>
        <v>0</v>
      </c>
      <c r="M78" s="115">
        <f ca="1">'Climate A'!M78-'Climate B'!M78</f>
        <v>0</v>
      </c>
      <c r="N78" s="3" t="s">
        <v>455</v>
      </c>
    </row>
    <row r="79" spans="1:14" s="4" customFormat="1" x14ac:dyDescent="0.2">
      <c r="A79" s="57" t="s">
        <v>618</v>
      </c>
      <c r="C79" s="115">
        <f ca="1">'Climate A'!C79-'Climate B'!C79</f>
        <v>0</v>
      </c>
      <c r="D79" s="115">
        <f ca="1">'Climate A'!D79-'Climate B'!D79</f>
        <v>0</v>
      </c>
      <c r="E79" s="115">
        <f ca="1">'Climate A'!E79-'Climate B'!E79</f>
        <v>0</v>
      </c>
      <c r="F79" s="115">
        <f ca="1">'Climate A'!F79-'Climate B'!F79</f>
        <v>0</v>
      </c>
      <c r="G79" s="115">
        <f ca="1">'Climate A'!G79-'Climate B'!G79</f>
        <v>0</v>
      </c>
      <c r="H79" s="115">
        <f ca="1">'Climate A'!H79-'Climate B'!H79</f>
        <v>0</v>
      </c>
      <c r="I79" s="115">
        <f ca="1">'Climate A'!I79-'Climate B'!I79</f>
        <v>0</v>
      </c>
      <c r="J79" s="115">
        <f ca="1">'Climate A'!J79-'Climate B'!J79</f>
        <v>0</v>
      </c>
      <c r="K79" s="115">
        <f ca="1">'Climate A'!K79-'Climate B'!K79</f>
        <v>0</v>
      </c>
      <c r="L79" s="115">
        <f ca="1">'Climate A'!L79-'Climate B'!L79</f>
        <v>0</v>
      </c>
      <c r="M79" s="115">
        <f ca="1">'Climate A'!M79-'Climate B'!M79</f>
        <v>0</v>
      </c>
      <c r="N79" s="3" t="s">
        <v>455</v>
      </c>
    </row>
    <row r="80" spans="1:14" s="4" customFormat="1" x14ac:dyDescent="0.2">
      <c r="A80" s="57" t="s">
        <v>616</v>
      </c>
      <c r="B80" s="59"/>
      <c r="C80" s="115">
        <f ca="1">'Climate A'!C80-'Climate B'!C80</f>
        <v>0</v>
      </c>
      <c r="D80" s="115">
        <f ca="1">'Climate A'!D80-'Climate B'!D80</f>
        <v>0</v>
      </c>
      <c r="E80" s="115">
        <f ca="1">'Climate A'!E80-'Climate B'!E80</f>
        <v>0</v>
      </c>
      <c r="F80" s="115">
        <f ca="1">'Climate A'!F80-'Climate B'!F80</f>
        <v>0</v>
      </c>
      <c r="G80" s="115">
        <f ca="1">'Climate A'!G80-'Climate B'!G80</f>
        <v>0</v>
      </c>
      <c r="H80" s="115">
        <f ca="1">'Climate A'!H80-'Climate B'!H80</f>
        <v>0</v>
      </c>
      <c r="I80" s="115">
        <f ca="1">'Climate A'!I80-'Climate B'!I80</f>
        <v>0</v>
      </c>
      <c r="J80" s="115">
        <f ca="1">'Climate A'!J80-'Climate B'!J80</f>
        <v>0</v>
      </c>
      <c r="K80" s="115">
        <f ca="1">'Climate A'!K80-'Climate B'!K80</f>
        <v>0</v>
      </c>
      <c r="L80" s="115">
        <f ca="1">'Climate A'!L80-'Climate B'!L80</f>
        <v>0</v>
      </c>
      <c r="M80" s="115">
        <f ca="1">'Climate A'!M80-'Climate B'!M80</f>
        <v>0</v>
      </c>
      <c r="N80" s="3" t="s">
        <v>455</v>
      </c>
    </row>
    <row r="81" spans="1:24" s="4" customFormat="1" x14ac:dyDescent="0.2">
      <c r="A81" s="4" t="s">
        <v>607</v>
      </c>
      <c r="C81" s="115">
        <f ca="1">'Climate A'!C81-'Climate B'!C81</f>
        <v>0</v>
      </c>
      <c r="D81" s="115">
        <f ca="1">'Climate A'!D81-'Climate B'!D81</f>
        <v>0</v>
      </c>
      <c r="E81" s="115">
        <f ca="1">'Climate A'!E81-'Climate B'!E81</f>
        <v>0</v>
      </c>
      <c r="F81" s="115">
        <f ca="1">'Climate A'!F81-'Climate B'!F81</f>
        <v>0</v>
      </c>
      <c r="G81" s="115">
        <f ca="1">'Climate A'!G81-'Climate B'!G81</f>
        <v>0</v>
      </c>
      <c r="H81" s="115">
        <f ca="1">'Climate A'!H81-'Climate B'!H81</f>
        <v>0</v>
      </c>
      <c r="I81" s="115">
        <f ca="1">'Climate A'!I81-'Climate B'!I81</f>
        <v>0</v>
      </c>
      <c r="J81" s="115">
        <f ca="1">'Climate A'!J81-'Climate B'!J81</f>
        <v>0</v>
      </c>
      <c r="K81" s="115">
        <f ca="1">'Climate A'!K81-'Climate B'!K81</f>
        <v>0</v>
      </c>
      <c r="L81" s="115">
        <f ca="1">'Climate A'!L81-'Climate B'!L81</f>
        <v>0</v>
      </c>
      <c r="M81" s="115">
        <f ca="1">'Climate A'!M81-'Climate B'!M81</f>
        <v>0</v>
      </c>
      <c r="N81" s="3" t="s">
        <v>455</v>
      </c>
    </row>
    <row r="82" spans="1:24" s="4" customFormat="1" x14ac:dyDescent="0.2">
      <c r="A82" s="4" t="s">
        <v>608</v>
      </c>
      <c r="C82" s="115">
        <f>'Climate A'!C82-'Climate B'!C82</f>
        <v>0</v>
      </c>
      <c r="D82" s="115">
        <f ca="1">'Climate A'!D82-'Climate B'!D82</f>
        <v>-4.8916158556239679</v>
      </c>
      <c r="E82" s="115">
        <f ca="1">'Climate A'!E82-'Climate B'!E82</f>
        <v>-18.115927824605023</v>
      </c>
      <c r="F82" s="115">
        <f ca="1">'Climate A'!F82-'Climate B'!F82</f>
        <v>-30.58002722801757</v>
      </c>
      <c r="G82" s="115">
        <f ca="1">'Climate A'!G82-'Climate B'!G82</f>
        <v>-145.83119486703072</v>
      </c>
      <c r="H82" s="115">
        <f ca="1">'Climate A'!H82-'Climate B'!H82</f>
        <v>-46985.182027900883</v>
      </c>
      <c r="I82" s="115">
        <f ca="1">'Climate A'!I82-'Climate B'!I82</f>
        <v>-218534.71910637489</v>
      </c>
      <c r="J82" s="115">
        <f ca="1">'Climate A'!J82-'Climate B'!J82</f>
        <v>-521646.43261395465</v>
      </c>
      <c r="K82" s="115">
        <f ca="1">'Climate A'!K82-'Climate B'!K82</f>
        <v>-908704.37757420528</v>
      </c>
      <c r="L82" s="115">
        <f ca="1">'Climate A'!L82-'Climate B'!L82</f>
        <v>-1334064.7050896557</v>
      </c>
      <c r="M82" s="115">
        <f ca="1">'Climate A'!M82-'Climate B'!M82</f>
        <v>-1766062.0198867903</v>
      </c>
      <c r="N82" s="3" t="s">
        <v>455</v>
      </c>
    </row>
    <row r="83" spans="1:24" s="4" customFormat="1" x14ac:dyDescent="0.2">
      <c r="A83" s="57" t="s">
        <v>619</v>
      </c>
      <c r="B83" s="6"/>
      <c r="C83" s="115">
        <f>'Climate A'!C83-'Climate B'!C83</f>
        <v>0</v>
      </c>
      <c r="D83" s="115">
        <f ca="1">'Climate A'!D83-'Climate B'!D83</f>
        <v>-4.7605782102691592</v>
      </c>
      <c r="E83" s="115">
        <f ca="1">'Climate A'!E83-'Climate B'!E83</f>
        <v>-17.555081454192987</v>
      </c>
      <c r="F83" s="115">
        <f ca="1">'Climate A'!F83-'Climate B'!F83</f>
        <v>-29.406680929387221</v>
      </c>
      <c r="G83" s="115">
        <f ca="1">'Climate A'!G83-'Climate B'!G83</f>
        <v>-139.75443041516701</v>
      </c>
      <c r="H83" s="115">
        <f ca="1">'Climate A'!H83-'Climate B'!H83</f>
        <v>-45358.235370543902</v>
      </c>
      <c r="I83" s="115">
        <f ca="1">'Climate A'!I83-'Climate B'!I83</f>
        <v>-209559.14329212892</v>
      </c>
      <c r="J83" s="115">
        <f ca="1">'Climate A'!J83-'Climate B'!J83</f>
        <v>-495611.33291671734</v>
      </c>
      <c r="K83" s="115">
        <f ca="1">'Climate A'!K83-'Climate B'!K83</f>
        <v>-853705.12433371274</v>
      </c>
      <c r="L83" s="115">
        <f ca="1">'Climate A'!L83-'Climate B'!L83</f>
        <v>-1237503.3441478978</v>
      </c>
      <c r="M83" s="115">
        <f ca="1">'Climate A'!M83-'Climate B'!M83</f>
        <v>-1615623.9859554039</v>
      </c>
      <c r="N83" s="3" t="s">
        <v>455</v>
      </c>
      <c r="O83" s="6"/>
      <c r="P83" s="6"/>
      <c r="Q83" s="6"/>
      <c r="R83" s="6"/>
      <c r="S83" s="6"/>
      <c r="T83" s="6"/>
      <c r="U83" s="6"/>
      <c r="V83" s="6"/>
      <c r="W83" s="6"/>
      <c r="X83" s="6"/>
    </row>
    <row r="84" spans="1:24" s="6" customFormat="1" x14ac:dyDescent="0.2">
      <c r="A84" s="4" t="s">
        <v>617</v>
      </c>
      <c r="B84" s="4"/>
      <c r="C84" s="115">
        <f>'Climate A'!C84-'Climate B'!C84</f>
        <v>0</v>
      </c>
      <c r="D84" s="115">
        <f ca="1">'Climate A'!D84-'Climate B'!D84</f>
        <v>-5.1850001469647395</v>
      </c>
      <c r="E84" s="115">
        <f ca="1">'Climate A'!E84-'Climate B'!E84</f>
        <v>-18.50989863963332</v>
      </c>
      <c r="F84" s="115">
        <f ca="1">'Climate A'!F84-'Climate B'!F84</f>
        <v>-29.249164248642046</v>
      </c>
      <c r="G84" s="115">
        <f ca="1">'Climate A'!G84-'Climate B'!G84</f>
        <v>-135.96210946963402</v>
      </c>
      <c r="H84" s="115">
        <f ca="1">'Climate A'!H84-'Climate B'!H84</f>
        <v>-46434.881466938998</v>
      </c>
      <c r="I84" s="115">
        <f ca="1">'Climate A'!I84-'Climate B'!I84</f>
        <v>-204552.94316397846</v>
      </c>
      <c r="J84" s="115">
        <f ca="1">'Climate A'!J84-'Climate B'!J84</f>
        <v>-453391.3639209565</v>
      </c>
      <c r="K84" s="115">
        <f ca="1">'Climate A'!K84-'Climate B'!K84</f>
        <v>-723232.41637731309</v>
      </c>
      <c r="L84" s="115">
        <f ca="1">'Climate A'!L84-'Climate B'!L84</f>
        <v>-963689.87257320492</v>
      </c>
      <c r="M84" s="115">
        <f ca="1">'Climate A'!M84-'Climate B'!M84</f>
        <v>-1150766.1501072489</v>
      </c>
      <c r="N84" s="3" t="s">
        <v>455</v>
      </c>
      <c r="O84" s="4"/>
      <c r="P84" s="4"/>
      <c r="Q84" s="4"/>
      <c r="R84" s="4"/>
      <c r="S84" s="4"/>
      <c r="T84" s="4"/>
      <c r="U84" s="4"/>
      <c r="V84" s="4"/>
      <c r="W84" s="4"/>
      <c r="X84" s="4"/>
    </row>
    <row r="85" spans="1:24" s="6" customFormat="1" x14ac:dyDescent="0.2">
      <c r="A85" s="4" t="s">
        <v>609</v>
      </c>
      <c r="B85" s="4"/>
      <c r="C85" s="115">
        <f>'Climate A'!C85-'Climate B'!C85</f>
        <v>0</v>
      </c>
      <c r="D85" s="115">
        <f ca="1">'Climate A'!D85-'Climate B'!D85</f>
        <v>-3.314019377961813</v>
      </c>
      <c r="E85" s="115">
        <f ca="1">'Climate A'!E85-'Climate B'!E85</f>
        <v>-9.9834403788336203</v>
      </c>
      <c r="F85" s="115">
        <f ca="1">'Climate A'!F85-'Climate B'!F85</f>
        <v>-11.529402575906715</v>
      </c>
      <c r="G85" s="115">
        <f ca="1">'Climate A'!G85-'Climate B'!G85</f>
        <v>-52.206186762166908</v>
      </c>
      <c r="H85" s="115">
        <f ca="1">'Climate A'!H85-'Climate B'!H85</f>
        <v>-20774.700779506908</v>
      </c>
      <c r="I85" s="115">
        <f ca="1">'Climate A'!I85-'Climate B'!I85</f>
        <v>-78053.139161200568</v>
      </c>
      <c r="J85" s="115">
        <f ca="1">'Climate A'!J85-'Climate B'!J85</f>
        <v>-141860.81483258042</v>
      </c>
      <c r="K85" s="115">
        <f ca="1">'Climate A'!K85-'Climate B'!K85</f>
        <v>-185177.92149521198</v>
      </c>
      <c r="L85" s="115">
        <f ca="1">'Climate A'!L85-'Climate B'!L85</f>
        <v>-206298.68793375231</v>
      </c>
      <c r="M85" s="115">
        <f ca="1">'Climate A'!M85-'Climate B'!M85</f>
        <v>-211258.6108276434</v>
      </c>
      <c r="N85" s="3" t="s">
        <v>455</v>
      </c>
      <c r="O85" s="4"/>
      <c r="P85" s="4"/>
      <c r="Q85" s="4"/>
      <c r="R85" s="4"/>
      <c r="S85" s="4"/>
      <c r="T85" s="4"/>
      <c r="U85" s="4"/>
      <c r="V85" s="4"/>
      <c r="W85" s="4"/>
      <c r="X85" s="4"/>
    </row>
    <row r="86" spans="1:24" s="4" customFormat="1" x14ac:dyDescent="0.2">
      <c r="C86" s="59"/>
      <c r="D86" s="59"/>
      <c r="E86" s="59"/>
      <c r="F86" s="59"/>
      <c r="G86" s="59"/>
      <c r="H86" s="59"/>
      <c r="I86" s="59"/>
      <c r="J86" s="59"/>
      <c r="K86" s="59"/>
      <c r="L86" s="59"/>
      <c r="M86" s="59"/>
    </row>
    <row r="87" spans="1:24" s="4" customFormat="1" x14ac:dyDescent="0.2">
      <c r="A87" s="58" t="s">
        <v>165</v>
      </c>
      <c r="C87" s="115">
        <f ca="1">'Climate A'!C87-'Climate B'!C87</f>
        <v>0</v>
      </c>
      <c r="D87" s="115">
        <f ca="1">'Climate A'!D87-'Climate B'!D87</f>
        <v>-18.151213590987027</v>
      </c>
      <c r="E87" s="115">
        <f ca="1">'Climate A'!E87-'Climate B'!E87</f>
        <v>-64.164348297053948</v>
      </c>
      <c r="F87" s="115">
        <f ca="1">'Climate A'!F87-'Climate B'!F87</f>
        <v>-100.7652749819681</v>
      </c>
      <c r="G87" s="115">
        <f ca="1">'Climate A'!G87-'Climate B'!G87</f>
        <v>-473.753921514377</v>
      </c>
      <c r="H87" s="115">
        <f ca="1">'Climate A'!H87-'Climate B'!H87</f>
        <v>-159552.99964489089</v>
      </c>
      <c r="I87" s="115">
        <f ca="1">'Climate A'!I87-'Climate B'!I87</f>
        <v>-710699.94472368341</v>
      </c>
      <c r="J87" s="115">
        <f ca="1">'Climate A'!J87-'Climate B'!J87</f>
        <v>-1612509.9442842093</v>
      </c>
      <c r="K87" s="115">
        <f ca="1">'Climate A'!K87-'Climate B'!K87</f>
        <v>-2670819.8397804433</v>
      </c>
      <c r="L87" s="115">
        <f ca="1">'Climate A'!L87-'Climate B'!L87</f>
        <v>-3741556.6097445106</v>
      </c>
      <c r="M87" s="115">
        <f ca="1">'Climate A'!M87-'Climate B'!M87</f>
        <v>-4743710.766777087</v>
      </c>
      <c r="N87" s="4" t="str">
        <f>'Base data'!$F$35</f>
        <v>Mtonne</v>
      </c>
    </row>
    <row r="88" spans="1:24" s="4" customFormat="1" x14ac:dyDescent="0.2">
      <c r="A88" s="58" t="s">
        <v>164</v>
      </c>
      <c r="C88" s="1"/>
      <c r="D88" s="109">
        <f ca="1">'Climate A'!D88-'Climate B'!D88</f>
        <v>-2.3270786654902622</v>
      </c>
      <c r="E88" s="109">
        <f ca="1">'Climate A'!E88-'Climate B'!E88</f>
        <v>-8.2261984996148385</v>
      </c>
      <c r="F88" s="109">
        <f ca="1">'Climate A'!F88-'Climate B'!F88</f>
        <v>-12.918624997721054</v>
      </c>
      <c r="G88" s="109">
        <f ca="1">'Climate A'!G88-'Climate B'!G88</f>
        <v>-60.737682245438918</v>
      </c>
      <c r="H88" s="109">
        <f ca="1">'Climate A'!H88-'Climate B'!H88</f>
        <v>-20455.512774985982</v>
      </c>
      <c r="I88" s="109">
        <f ca="1">'Climate A'!I88-'Climate B'!I88</f>
        <v>-91115.377528677229</v>
      </c>
      <c r="J88" s="109">
        <f ca="1">'Climate A'!J88-'Climate B'!J88</f>
        <v>-206732.04413900117</v>
      </c>
      <c r="K88" s="109">
        <f ca="1">'Climate A'!K88-'Climate B'!K88</f>
        <v>-342412.79997185175</v>
      </c>
      <c r="L88" s="109">
        <f ca="1">'Climate A'!L88-'Climate B'!L88</f>
        <v>-479686.74483903981</v>
      </c>
      <c r="M88" s="109">
        <f ca="1">'Climate A'!M88-'Climate B'!M88</f>
        <v>-608168.04702270345</v>
      </c>
      <c r="N88" s="4" t="str">
        <f>'Base data'!$F$13</f>
        <v>ppb</v>
      </c>
    </row>
    <row r="89" spans="1:24" s="4" customFormat="1" x14ac:dyDescent="0.2">
      <c r="A89" s="58" t="s">
        <v>418</v>
      </c>
      <c r="B89" s="58" t="s">
        <v>419</v>
      </c>
      <c r="C89" s="51">
        <f ca="1">'Climate A'!C89-'Climate B'!C89</f>
        <v>0</v>
      </c>
      <c r="D89" s="109">
        <f ca="1">'Climate A'!D89-'Climate B'!D89</f>
        <v>0</v>
      </c>
      <c r="E89" s="109">
        <f ca="1">'Climate A'!E89-'Climate B'!E89</f>
        <v>0</v>
      </c>
      <c r="F89" s="109">
        <f ca="1">'Climate A'!F89-'Climate B'!F89</f>
        <v>0</v>
      </c>
      <c r="G89" s="109">
        <f ca="1">'Climate A'!G89-'Climate B'!G89</f>
        <v>0</v>
      </c>
      <c r="H89" s="109">
        <f ca="1">'Climate A'!H89-'Climate B'!H89</f>
        <v>0</v>
      </c>
      <c r="I89" s="109">
        <f ca="1">'Climate A'!I89-'Climate B'!I89</f>
        <v>0</v>
      </c>
      <c r="J89" s="109">
        <f ca="1">'Climate A'!J89-'Climate B'!J89</f>
        <v>0</v>
      </c>
      <c r="K89" s="109">
        <f ca="1">'Climate A'!K89-'Climate B'!K89</f>
        <v>0</v>
      </c>
      <c r="L89" s="109">
        <f ca="1">'Climate A'!L89-'Climate B'!L89</f>
        <v>0</v>
      </c>
      <c r="M89" s="109">
        <f ca="1">'Climate A'!M89-'Climate B'!M89</f>
        <v>0</v>
      </c>
      <c r="N89" s="58" t="s">
        <v>38</v>
      </c>
    </row>
    <row r="90" spans="1:24" s="4" customFormat="1" x14ac:dyDescent="0.2">
      <c r="A90" s="58" t="s">
        <v>162</v>
      </c>
      <c r="B90" s="58" t="s">
        <v>163</v>
      </c>
      <c r="C90" s="51">
        <f ca="1">'Climate A'!C90-'Climate B'!C90</f>
        <v>0</v>
      </c>
      <c r="D90" s="109">
        <f ca="1">'Climate A'!D90-'Climate B'!D90</f>
        <v>0</v>
      </c>
      <c r="E90" s="109">
        <f ca="1">'Climate A'!E90-'Climate B'!E90</f>
        <v>0</v>
      </c>
      <c r="F90" s="109">
        <f ca="1">'Climate A'!F90-'Climate B'!F90</f>
        <v>0</v>
      </c>
      <c r="G90" s="109">
        <f ca="1">'Climate A'!G90-'Climate B'!G90</f>
        <v>0</v>
      </c>
      <c r="H90" s="109">
        <f ca="1">'Climate A'!H90-'Climate B'!H90</f>
        <v>0</v>
      </c>
      <c r="I90" s="109">
        <f ca="1">'Climate A'!I90-'Climate B'!I90</f>
        <v>0</v>
      </c>
      <c r="J90" s="109">
        <f ca="1">'Climate A'!J90-'Climate B'!J90</f>
        <v>0</v>
      </c>
      <c r="K90" s="109">
        <f ca="1">'Climate A'!K90-'Climate B'!K90</f>
        <v>0</v>
      </c>
      <c r="L90" s="109">
        <f ca="1">'Climate A'!L90-'Climate B'!L90</f>
        <v>0</v>
      </c>
      <c r="M90" s="109">
        <f ca="1">'Climate A'!M90-'Climate B'!M90</f>
        <v>0</v>
      </c>
      <c r="N90" s="4" t="str">
        <f>'Base data'!$F$13</f>
        <v>ppb</v>
      </c>
    </row>
    <row r="91" spans="1:24" s="4" customFormat="1" ht="15.75" x14ac:dyDescent="0.3">
      <c r="A91" s="58" t="s">
        <v>62</v>
      </c>
      <c r="B91" s="4" t="s">
        <v>63</v>
      </c>
      <c r="C91" s="28">
        <f>'Climate A'!C91-'Climate B'!C91</f>
        <v>0</v>
      </c>
      <c r="D91" s="109">
        <f ca="1">'Climate A'!D91-'Climate B'!D91</f>
        <v>-2.3270786654902622</v>
      </c>
      <c r="E91" s="109">
        <f ca="1">'Climate A'!E91-'Climate B'!E91</f>
        <v>-8.2261984996148385</v>
      </c>
      <c r="F91" s="109">
        <f ca="1">'Climate A'!F91-'Climate B'!F91</f>
        <v>-12.918624997721054</v>
      </c>
      <c r="G91" s="109">
        <f ca="1">'Climate A'!G91-'Climate B'!G91</f>
        <v>-60.737682245438918</v>
      </c>
      <c r="H91" s="109">
        <f ca="1">'Climate A'!H91-'Climate B'!H91</f>
        <v>-20455.512774985982</v>
      </c>
      <c r="I91" s="109">
        <f ca="1">'Climate A'!I91-'Climate B'!I91</f>
        <v>-91115.377528677229</v>
      </c>
      <c r="J91" s="109">
        <f ca="1">'Climate A'!J91-'Climate B'!J91</f>
        <v>-206732.04413900117</v>
      </c>
      <c r="K91" s="109">
        <f ca="1">'Climate A'!K91-'Climate B'!K91</f>
        <v>-342412.79997185175</v>
      </c>
      <c r="L91" s="109">
        <f ca="1">'Climate A'!L91-'Climate B'!L91</f>
        <v>-479686.74483903981</v>
      </c>
      <c r="M91" s="109">
        <f ca="1">'Climate A'!M91-'Climate B'!M91</f>
        <v>-608168.04702270345</v>
      </c>
      <c r="N91" s="4" t="str">
        <f>'Base data'!$F$13</f>
        <v>ppb</v>
      </c>
      <c r="O91" s="58"/>
      <c r="P91" s="58"/>
      <c r="Q91" s="58"/>
      <c r="R91" s="58"/>
      <c r="S91" s="58"/>
      <c r="T91" s="58"/>
      <c r="U91" s="58"/>
      <c r="V91" s="58"/>
      <c r="W91" s="58"/>
      <c r="X91" s="58"/>
    </row>
    <row r="92" spans="1:24" s="4" customFormat="1" ht="16.5" thickBot="1" x14ac:dyDescent="0.35">
      <c r="A92" s="6" t="s">
        <v>64</v>
      </c>
      <c r="B92" s="6" t="s">
        <v>65</v>
      </c>
      <c r="C92" s="35">
        <f>'Climate A'!C92-'Climate B'!C92</f>
        <v>0</v>
      </c>
      <c r="D92" s="109">
        <f ca="1">'Climate A'!D92-'Climate B'!D92</f>
        <v>-3.0650604931015124E-5</v>
      </c>
      <c r="E92" s="109">
        <f ca="1">'Climate A'!E92-'Climate B'!E92</f>
        <v>-1.0376442564474786E-4</v>
      </c>
      <c r="F92" s="109">
        <f ca="1">'Climate A'!F92-'Climate B'!F92</f>
        <v>-1.5556640533231914E-4</v>
      </c>
      <c r="G92" s="109">
        <f ca="1">'Climate A'!G92-'Climate B'!G92</f>
        <v>-6.5928980658913616E-4</v>
      </c>
      <c r="H92" s="109">
        <f ca="1">'Climate A'!H92-'Climate B'!H92</f>
        <v>-0.20072799095860461</v>
      </c>
      <c r="I92" s="109">
        <f ca="1">'Climate A'!I92-'Climate B'!I92</f>
        <v>-0.82944046851223785</v>
      </c>
      <c r="J92" s="109">
        <f ca="1">'Climate A'!J92-'Climate B'!J92</f>
        <v>-1.7822885476020853</v>
      </c>
      <c r="K92" s="109">
        <f ca="1">'Climate A'!K92-'Climate B'!K92</f>
        <v>-2.8172942829688701</v>
      </c>
      <c r="L92" s="109">
        <f ca="1">'Climate A'!L92-'Climate B'!L92</f>
        <v>-3.7918107538602959</v>
      </c>
      <c r="M92" s="109">
        <f ca="1">'Climate A'!M92-'Climate B'!M92</f>
        <v>-4.6580108050972724</v>
      </c>
      <c r="N92" s="6" t="str">
        <f>'Base data'!$F$21</f>
        <v>W/m2</v>
      </c>
      <c r="O92" s="6"/>
      <c r="P92" s="6"/>
      <c r="Q92" s="6"/>
      <c r="R92" s="6"/>
      <c r="S92" s="6"/>
      <c r="T92" s="6"/>
      <c r="U92" s="6"/>
      <c r="V92" s="6"/>
      <c r="W92" s="6"/>
      <c r="X92" s="6"/>
    </row>
    <row r="93" spans="1:24" s="4" customFormat="1" ht="13.5" thickTop="1" x14ac:dyDescent="0.2">
      <c r="A93" s="6"/>
      <c r="B93" s="6"/>
      <c r="C93" s="6"/>
      <c r="D93" s="110"/>
      <c r="E93" s="110"/>
      <c r="F93" s="110"/>
      <c r="G93" s="110"/>
      <c r="H93" s="110"/>
      <c r="I93" s="110"/>
      <c r="J93" s="110"/>
      <c r="K93" s="110"/>
      <c r="L93" s="110"/>
      <c r="M93" s="110"/>
      <c r="N93" s="6"/>
      <c r="O93" s="6"/>
      <c r="P93" s="6"/>
      <c r="Q93" s="6"/>
      <c r="R93" s="6"/>
      <c r="S93" s="6"/>
      <c r="T93" s="6"/>
      <c r="U93" s="6"/>
      <c r="V93" s="6"/>
      <c r="W93" s="6"/>
      <c r="X93" s="6"/>
    </row>
    <row r="94" spans="1:24" s="6" customFormat="1" ht="15.75" x14ac:dyDescent="0.3">
      <c r="A94" s="4" t="s">
        <v>61</v>
      </c>
      <c r="B94" s="58" t="s">
        <v>170</v>
      </c>
      <c r="C94" s="27">
        <f>'Climate A'!C94-'Climate B'!C94</f>
        <v>0</v>
      </c>
      <c r="D94" s="109">
        <f ca="1">'Climate A'!D94-'Climate B'!D94</f>
        <v>0</v>
      </c>
      <c r="E94" s="109">
        <f ca="1">'Climate A'!E94-'Climate B'!E94</f>
        <v>0</v>
      </c>
      <c r="F94" s="109">
        <f ca="1">'Climate A'!F94-'Climate B'!F94</f>
        <v>0</v>
      </c>
      <c r="G94" s="109">
        <f ca="1">'Climate A'!G94-'Climate B'!G94</f>
        <v>0</v>
      </c>
      <c r="H94" s="109">
        <f ca="1">'Climate A'!H94-'Climate B'!H94</f>
        <v>0</v>
      </c>
      <c r="I94" s="109">
        <f ca="1">'Climate A'!I94-'Climate B'!I94</f>
        <v>0</v>
      </c>
      <c r="J94" s="109">
        <f ca="1">'Climate A'!J94-'Climate B'!J94</f>
        <v>0</v>
      </c>
      <c r="K94" s="109">
        <f ca="1">'Climate A'!K94-'Climate B'!K94</f>
        <v>0</v>
      </c>
      <c r="L94" s="109">
        <f ca="1">'Climate A'!L94-'Climate B'!L94</f>
        <v>0</v>
      </c>
      <c r="M94" s="109">
        <f ca="1">'Climate A'!M94-'Climate B'!M94</f>
        <v>0</v>
      </c>
      <c r="N94" s="4" t="str">
        <f>'Base data'!$G$35</f>
        <v>Mtonne</v>
      </c>
      <c r="O94" s="4"/>
      <c r="P94" s="4"/>
      <c r="Q94" s="4"/>
      <c r="R94" s="4"/>
      <c r="S94" s="4"/>
      <c r="T94" s="4"/>
      <c r="U94" s="4"/>
      <c r="V94" s="4"/>
      <c r="W94" s="4"/>
      <c r="X94" s="4"/>
    </row>
    <row r="95" spans="1:24" s="6" customFormat="1" ht="15.75" x14ac:dyDescent="0.3">
      <c r="A95" s="4" t="s">
        <v>447</v>
      </c>
      <c r="B95" s="4" t="s">
        <v>56</v>
      </c>
      <c r="C95" s="28">
        <f>'Climate A'!C95-'Climate B'!C95</f>
        <v>0</v>
      </c>
      <c r="D95" s="109">
        <f>'Climate A'!D95-'Climate B'!D95</f>
        <v>0</v>
      </c>
      <c r="E95" s="109">
        <f>'Climate A'!E95-'Climate B'!E95</f>
        <v>0</v>
      </c>
      <c r="F95" s="109">
        <f>'Climate A'!F95-'Climate B'!F95</f>
        <v>0</v>
      </c>
      <c r="G95" s="109">
        <f>'Climate A'!G95-'Climate B'!G95</f>
        <v>0</v>
      </c>
      <c r="H95" s="109">
        <f>'Climate A'!H95-'Climate B'!H95</f>
        <v>-328.48456568471119</v>
      </c>
      <c r="I95" s="109">
        <f>'Climate A'!I95-'Climate B'!I95</f>
        <v>-434.32303539708522</v>
      </c>
      <c r="J95" s="109">
        <f>'Climate A'!J95-'Climate B'!J95</f>
        <v>-461.77583647692177</v>
      </c>
      <c r="K95" s="109">
        <f>'Climate A'!K95-'Climate B'!K95</f>
        <v>-448.45057652345929</v>
      </c>
      <c r="L95" s="109">
        <f>'Climate A'!L95-'Climate B'!L95</f>
        <v>-405.5843382612556</v>
      </c>
      <c r="M95" s="109">
        <f>'Climate A'!M95-'Climate B'!M95</f>
        <v>-379.43105759616185</v>
      </c>
      <c r="N95" s="4" t="str">
        <f>'Base data'!$G$35</f>
        <v>Mtonne</v>
      </c>
      <c r="O95" s="4"/>
      <c r="P95" s="4"/>
      <c r="Q95" s="4"/>
      <c r="R95" s="4"/>
      <c r="S95" s="4"/>
      <c r="T95" s="4"/>
      <c r="U95" s="4"/>
      <c r="V95" s="4"/>
      <c r="W95" s="4"/>
      <c r="X95" s="4"/>
    </row>
    <row r="96" spans="1:24" s="6" customFormat="1" x14ac:dyDescent="0.2">
      <c r="A96" s="118" t="s">
        <v>446</v>
      </c>
      <c r="B96" s="116"/>
      <c r="C96" s="104">
        <f>'Climate A'!C96-'Climate B'!C96</f>
        <v>0</v>
      </c>
      <c r="D96" s="117">
        <f ca="1">'Climate A'!D96-'Climate B'!D96</f>
        <v>0</v>
      </c>
      <c r="E96" s="117">
        <f ca="1">'Climate A'!E96-'Climate B'!E96</f>
        <v>0</v>
      </c>
      <c r="F96" s="117">
        <f ca="1">'Climate A'!F96-'Climate B'!F96</f>
        <v>0</v>
      </c>
      <c r="G96" s="117">
        <f ca="1">'Climate A'!G96-'Climate B'!G96</f>
        <v>0</v>
      </c>
      <c r="H96" s="117">
        <f ca="1">'Climate A'!H96-'Climate B'!H96</f>
        <v>0</v>
      </c>
      <c r="I96" s="117">
        <f ca="1">'Climate A'!I96-'Climate B'!I96</f>
        <v>0</v>
      </c>
      <c r="J96" s="117">
        <f ca="1">'Climate A'!J96-'Climate B'!J96</f>
        <v>0</v>
      </c>
      <c r="K96" s="117">
        <f ca="1">'Climate A'!K96-'Climate B'!K96</f>
        <v>0</v>
      </c>
      <c r="L96" s="117">
        <f ca="1">'Climate A'!L96-'Climate B'!L96</f>
        <v>0</v>
      </c>
      <c r="M96" s="117">
        <f ca="1">'Climate A'!M96-'Climate B'!M96</f>
        <v>0</v>
      </c>
      <c r="N96" s="4" t="str">
        <f>'Base data'!$G$35</f>
        <v>Mtonne</v>
      </c>
      <c r="O96" s="4"/>
      <c r="P96" s="4"/>
      <c r="Q96" s="4"/>
      <c r="R96" s="4"/>
      <c r="S96" s="4"/>
      <c r="T96" s="4"/>
      <c r="U96" s="4"/>
      <c r="V96" s="4"/>
      <c r="W96" s="4"/>
      <c r="X96" s="4"/>
    </row>
    <row r="97" spans="1:24" s="4" customFormat="1" x14ac:dyDescent="0.2">
      <c r="A97" s="113" t="s">
        <v>444</v>
      </c>
      <c r="B97" s="116"/>
      <c r="C97" s="116">
        <f>'Climate A'!C97-'Climate B'!C97</f>
        <v>0</v>
      </c>
      <c r="D97" s="117">
        <f>'Climate A'!D97-'Climate B'!D97</f>
        <v>0</v>
      </c>
      <c r="E97" s="117">
        <f>'Climate A'!E97-'Climate B'!E97</f>
        <v>0</v>
      </c>
      <c r="F97" s="117">
        <f>'Climate A'!F97-'Climate B'!F97</f>
        <v>0</v>
      </c>
      <c r="G97" s="117">
        <f>'Climate A'!G97-'Climate B'!G97</f>
        <v>0</v>
      </c>
      <c r="H97" s="117">
        <f>'Climate A'!H97-'Climate B'!H97</f>
        <v>-1642.4228284235569</v>
      </c>
      <c r="I97" s="117">
        <f>'Climate A'!I97-'Climate B'!I97</f>
        <v>-3814.0380054089828</v>
      </c>
      <c r="J97" s="117">
        <f>'Climate A'!J97-'Climate B'!J97</f>
        <v>-4480.4943593700345</v>
      </c>
      <c r="K97" s="117">
        <f>'Climate A'!K97-'Climate B'!K97</f>
        <v>-4551.1320650019052</v>
      </c>
      <c r="L97" s="117">
        <f>'Climate A'!L97-'Climate B'!L97</f>
        <v>-4270.1745739235748</v>
      </c>
      <c r="M97" s="117">
        <f>'Climate A'!M97-'Climate B'!M97</f>
        <v>-3925.0769792870869</v>
      </c>
      <c r="N97" s="4" t="str">
        <f>'Base data'!$G$35</f>
        <v>Mtonne</v>
      </c>
    </row>
    <row r="98" spans="1:24" s="4" customFormat="1" x14ac:dyDescent="0.2">
      <c r="A98" s="113" t="s">
        <v>445</v>
      </c>
      <c r="B98" s="116"/>
      <c r="C98" s="116">
        <f>'Climate A'!C98-'Climate B'!C98</f>
        <v>0</v>
      </c>
      <c r="D98" s="117">
        <f ca="1">'Climate A'!D98-'Climate B'!D98</f>
        <v>-0.34748960888441616</v>
      </c>
      <c r="E98" s="117">
        <f ca="1">'Climate A'!E98-'Climate B'!E98</f>
        <v>-0.56701880949754013</v>
      </c>
      <c r="F98" s="117">
        <f ca="1">'Climate A'!F98-'Climate B'!F98</f>
        <v>-0.16038713094599188</v>
      </c>
      <c r="G98" s="117">
        <f ca="1">'Climate A'!G98-'Climate B'!G98</f>
        <v>-8.0648510419175636</v>
      </c>
      <c r="H98" s="117">
        <f ca="1">'Climate A'!H98-'Climate B'!H98</f>
        <v>-3.3165874076539694</v>
      </c>
      <c r="I98" s="117">
        <f ca="1">'Climate A'!I98-'Climate B'!I98</f>
        <v>-61.254244627033358</v>
      </c>
      <c r="J98" s="117">
        <f ca="1">'Climate A'!J98-'Climate B'!J98</f>
        <v>-141.05006601086711</v>
      </c>
      <c r="K98" s="117">
        <f ca="1">'Climate A'!K98-'Climate B'!K98</f>
        <v>-254.64110373080757</v>
      </c>
      <c r="L98" s="117">
        <f ca="1">'Climate A'!L98-'Climate B'!L98</f>
        <v>-373.15054871967141</v>
      </c>
      <c r="M98" s="117">
        <f ca="1">'Climate A'!M98-'Climate B'!M98</f>
        <v>-486.78684287370106</v>
      </c>
      <c r="N98" s="4" t="str">
        <f>'Base data'!$G$35</f>
        <v>Mtonne</v>
      </c>
    </row>
    <row r="99" spans="1:24" s="4" customFormat="1" ht="15.75" x14ac:dyDescent="0.3">
      <c r="A99" s="116" t="s">
        <v>448</v>
      </c>
      <c r="B99" s="116" t="s">
        <v>58</v>
      </c>
      <c r="C99" s="115">
        <f>'Climate A'!C99-'Climate B'!C99</f>
        <v>0</v>
      </c>
      <c r="D99" s="117">
        <f ca="1">'Climate A'!D99-'Climate B'!D99</f>
        <v>-0.34748960888418878</v>
      </c>
      <c r="E99" s="117">
        <f ca="1">'Climate A'!E99-'Climate B'!E99</f>
        <v>-0.56701880949776751</v>
      </c>
      <c r="F99" s="117">
        <f ca="1">'Climate A'!F99-'Climate B'!F99</f>
        <v>-0.16038713094576451</v>
      </c>
      <c r="G99" s="117">
        <f ca="1">'Climate A'!G99-'Climate B'!G99</f>
        <v>-8.064851041917791</v>
      </c>
      <c r="H99" s="117">
        <f ca="1">'Climate A'!H99-'Climate B'!H99</f>
        <v>-1645.7394158312109</v>
      </c>
      <c r="I99" s="117">
        <f ca="1">'Climate A'!I99-'Climate B'!I99</f>
        <v>-3875.2922500360164</v>
      </c>
      <c r="J99" s="117">
        <f ca="1">'Climate A'!J99-'Climate B'!J99</f>
        <v>-4621.5444253809019</v>
      </c>
      <c r="K99" s="117">
        <f ca="1">'Climate A'!K99-'Climate B'!K99</f>
        <v>-4805.7731687327132</v>
      </c>
      <c r="L99" s="117">
        <f ca="1">'Climate A'!L99-'Climate B'!L99</f>
        <v>-4643.3251226432458</v>
      </c>
      <c r="M99" s="117">
        <f ca="1">'Climate A'!M99-'Climate B'!M99</f>
        <v>-4411.863822160788</v>
      </c>
      <c r="N99" s="4" t="str">
        <f>'Base data'!$G$35</f>
        <v>Mtonne</v>
      </c>
    </row>
    <row r="100" spans="1:24" s="4" customFormat="1" x14ac:dyDescent="0.2">
      <c r="A100" s="6" t="s">
        <v>66</v>
      </c>
      <c r="B100" s="6"/>
      <c r="C100" s="6">
        <f>'Climate A'!C100-'Climate B'!C100</f>
        <v>0</v>
      </c>
      <c r="D100" s="109">
        <f>'Climate A'!D100-'Climate B'!D100</f>
        <v>0</v>
      </c>
      <c r="E100" s="109">
        <f>'Climate A'!E100-'Climate B'!E100</f>
        <v>0</v>
      </c>
      <c r="F100" s="109">
        <f>'Climate A'!F100-'Climate B'!F100</f>
        <v>0</v>
      </c>
      <c r="G100" s="109">
        <f>'Climate A'!G100-'Climate B'!G100</f>
        <v>0</v>
      </c>
      <c r="H100" s="109">
        <f>'Climate A'!H100-'Climate B'!H100</f>
        <v>0</v>
      </c>
      <c r="I100" s="109">
        <f>'Climate A'!I100-'Climate B'!I100</f>
        <v>0</v>
      </c>
      <c r="J100" s="109">
        <f>'Climate A'!J100-'Climate B'!J100</f>
        <v>0</v>
      </c>
      <c r="K100" s="109">
        <f>'Climate A'!K100-'Climate B'!K100</f>
        <v>0</v>
      </c>
      <c r="L100" s="109">
        <f>'Climate A'!L100-'Climate B'!L100</f>
        <v>0</v>
      </c>
      <c r="M100" s="109">
        <f>'Climate A'!M100-'Climate B'!M100</f>
        <v>0</v>
      </c>
      <c r="N100" s="6"/>
      <c r="O100" s="6"/>
      <c r="P100" s="6"/>
      <c r="Q100" s="6"/>
      <c r="R100" s="6"/>
      <c r="S100" s="6"/>
      <c r="T100" s="6"/>
      <c r="U100" s="6"/>
      <c r="V100" s="6"/>
      <c r="W100" s="6"/>
      <c r="X100" s="6"/>
    </row>
    <row r="101" spans="1:24" s="4" customFormat="1" x14ac:dyDescent="0.2">
      <c r="A101" s="4" t="s">
        <v>67</v>
      </c>
      <c r="C101" s="4">
        <f>'Climate A'!C101-'Climate B'!C101</f>
        <v>0</v>
      </c>
      <c r="D101" s="109">
        <f>'Climate A'!D101-'Climate B'!D101</f>
        <v>0</v>
      </c>
      <c r="E101" s="109">
        <f ca="1">'Climate A'!E101-'Climate B'!E101</f>
        <v>-0.17172244502899048</v>
      </c>
      <c r="F101" s="109">
        <f ca="1">'Climate A'!F101-'Climate B'!F101</f>
        <v>-0.38687396959403486</v>
      </c>
      <c r="G101" s="109">
        <f ca="1">'Climate A'!G101-'Climate B'!G101</f>
        <v>-0.19849626415043531</v>
      </c>
      <c r="H101" s="109">
        <f ca="1">'Climate A'!H101-'Climate B'!H101</f>
        <v>-2.0832108643612628</v>
      </c>
      <c r="I101" s="109">
        <f ca="1">'Climate A'!I101-'Climate B'!I101</f>
        <v>-410.28245436991142</v>
      </c>
      <c r="J101" s="109">
        <f ca="1">'Climate A'!J101-'Climate B'!J101</f>
        <v>-1122.5125537434042</v>
      </c>
      <c r="K101" s="109">
        <f ca="1">'Climate A'!K101-'Climate B'!K101</f>
        <v>-1582.9821404901352</v>
      </c>
      <c r="L101" s="109">
        <f ca="1">'Climate A'!L101-'Climate B'!L101</f>
        <v>-1806.4793274227145</v>
      </c>
      <c r="M101" s="109">
        <f ca="1">'Climate A'!M101-'Climate B'!M101</f>
        <v>-1852.2903804415814</v>
      </c>
      <c r="N101" s="4" t="str">
        <f>'Base data'!$G$35</f>
        <v>Mtonne</v>
      </c>
    </row>
    <row r="102" spans="1:24" s="6" customFormat="1" x14ac:dyDescent="0.2">
      <c r="A102" s="4" t="s">
        <v>68</v>
      </c>
      <c r="B102" s="4"/>
      <c r="C102" s="4">
        <f>'Climate A'!C102-'Climate B'!C102</f>
        <v>0</v>
      </c>
      <c r="D102" s="109">
        <f ca="1">'Climate A'!D102-'Climate B'!D102</f>
        <v>-0.27646105410849486</v>
      </c>
      <c r="E102" s="109">
        <f ca="1">'Climate A'!E102-'Climate B'!E102</f>
        <v>-0.45111742557241996</v>
      </c>
      <c r="F102" s="109">
        <f ca="1">'Climate A'!F102-'Climate B'!F102</f>
        <v>-0.12760322655140044</v>
      </c>
      <c r="G102" s="109">
        <f ca="1">'Climate A'!G102-'Climate B'!G102</f>
        <v>-5.2009226572199623</v>
      </c>
      <c r="H102" s="109">
        <f ca="1">'Climate A'!H102-'Climate B'!H102</f>
        <v>-1061.3169879007651</v>
      </c>
      <c r="I102" s="109">
        <f ca="1">'Climate A'!I102-'Climate B'!I102</f>
        <v>-2499.1280262714608</v>
      </c>
      <c r="J102" s="109">
        <f ca="1">'Climate A'!J102-'Climate B'!J102</f>
        <v>-2980.3768213921689</v>
      </c>
      <c r="K102" s="109">
        <f ca="1">'Climate A'!K102-'Climate B'!K102</f>
        <v>-3099.183658670313</v>
      </c>
      <c r="L102" s="109">
        <f ca="1">'Climate A'!L102-'Climate B'!L102</f>
        <v>-2994.4229235821522</v>
      </c>
      <c r="M102" s="109">
        <f ca="1">'Climate A'!M102-'Climate B'!M102</f>
        <v>-2845.1563945797079</v>
      </c>
      <c r="N102" s="4" t="str">
        <f>'Base data'!$G$35</f>
        <v>Mtonne</v>
      </c>
      <c r="O102" s="4"/>
      <c r="P102" s="4"/>
      <c r="Q102" s="4"/>
      <c r="R102" s="4"/>
      <c r="S102" s="4"/>
      <c r="T102" s="4"/>
      <c r="U102" s="4"/>
      <c r="V102" s="4"/>
      <c r="W102" s="4"/>
      <c r="X102" s="4"/>
    </row>
    <row r="103" spans="1:24" s="4" customFormat="1" ht="15.75" x14ac:dyDescent="0.3">
      <c r="A103" s="4" t="s">
        <v>52</v>
      </c>
      <c r="B103" s="4" t="s">
        <v>53</v>
      </c>
      <c r="C103" s="14">
        <f>'Climate A'!C103-'Climate B'!C103</f>
        <v>0</v>
      </c>
      <c r="D103" s="109">
        <f ca="1">'Climate A'!D103-'Climate B'!D103</f>
        <v>-0.27646105410849486</v>
      </c>
      <c r="E103" s="109">
        <f ca="1">'Climate A'!E103-'Climate B'!E103</f>
        <v>-0.62283987060163781</v>
      </c>
      <c r="F103" s="109">
        <f ca="1">'Climate A'!F103-'Climate B'!F103</f>
        <v>-0.51447719614498055</v>
      </c>
      <c r="G103" s="109">
        <f ca="1">'Climate A'!G103-'Climate B'!G103</f>
        <v>-5.3994189213708523</v>
      </c>
      <c r="H103" s="109">
        <f ca="1">'Climate A'!H103-'Climate B'!H103</f>
        <v>-1063.4001987651263</v>
      </c>
      <c r="I103" s="109">
        <f ca="1">'Climate A'!I103-'Climate B'!I103</f>
        <v>-2909.410480641372</v>
      </c>
      <c r="J103" s="109">
        <f ca="1">'Climate A'!J103-'Climate B'!J103</f>
        <v>-4102.8893751355736</v>
      </c>
      <c r="K103" s="109">
        <f ca="1">'Climate A'!K103-'Climate B'!K103</f>
        <v>-4682.1657991604479</v>
      </c>
      <c r="L103" s="109">
        <f ca="1">'Climate A'!L103-'Climate B'!L103</f>
        <v>-4800.9022510048671</v>
      </c>
      <c r="M103" s="109">
        <f ca="1">'Climate A'!M103-'Climate B'!M103</f>
        <v>-4697.4467750212898</v>
      </c>
      <c r="N103" s="4" t="str">
        <f>'Base data'!$G$35</f>
        <v>Mtonne</v>
      </c>
    </row>
    <row r="104" spans="1:24" s="4" customFormat="1" ht="15.75" x14ac:dyDescent="0.3">
      <c r="A104" s="4" t="s">
        <v>69</v>
      </c>
      <c r="B104" s="4" t="s">
        <v>70</v>
      </c>
      <c r="C104" s="14">
        <f>'Climate A'!C104-'Climate B'!C104</f>
        <v>0</v>
      </c>
      <c r="D104" s="109">
        <f ca="1">'Climate A'!D104-'Climate B'!D104</f>
        <v>-9.9446422341316065E-2</v>
      </c>
      <c r="E104" s="109">
        <f ca="1">'Climate A'!E104-'Climate B'!E104</f>
        <v>-0.22404311892159967</v>
      </c>
      <c r="F104" s="109">
        <f ca="1">'Climate A'!F104-'Climate B'!F104</f>
        <v>-0.18506373962100042</v>
      </c>
      <c r="G104" s="109">
        <f ca="1">'Climate A'!G104-'Climate B'!G104</f>
        <v>-1.9422370220759149</v>
      </c>
      <c r="H104" s="109">
        <f ca="1">'Climate A'!H104-'Climate B'!H104</f>
        <v>-382.51805710975805</v>
      </c>
      <c r="I104" s="109">
        <f ca="1">'Climate A'!I104-'Climate B'!I104</f>
        <v>-1046.5505326048105</v>
      </c>
      <c r="J104" s="109">
        <f ca="1">'Climate A'!J104-'Climate B'!J104</f>
        <v>-1475.8594874588393</v>
      </c>
      <c r="K104" s="109">
        <f ca="1">'Climate A'!K104-'Climate B'!K104</f>
        <v>-1684.2323018562763</v>
      </c>
      <c r="L104" s="109">
        <f ca="1">'Climate A'!L104-'Climate B'!L104</f>
        <v>-1726.9432557571463</v>
      </c>
      <c r="M104" s="109">
        <f ca="1">'Climate A'!M104-'Climate B'!M104</f>
        <v>-1689.729055763054</v>
      </c>
      <c r="N104" s="4" t="str">
        <f>'Base data'!$F$19</f>
        <v>ppb</v>
      </c>
    </row>
    <row r="105" spans="1:24" s="4" customFormat="1" ht="13.5" thickBot="1" x14ac:dyDescent="0.25">
      <c r="A105" s="6" t="s">
        <v>157</v>
      </c>
      <c r="B105" s="6"/>
      <c r="C105" s="35">
        <f>'Climate A'!C105-'Climate B'!C105</f>
        <v>0</v>
      </c>
      <c r="D105" s="109">
        <f ca="1">'Climate A'!D105-'Climate B'!D105</f>
        <v>-4.0391459457334022E-5</v>
      </c>
      <c r="E105" s="109">
        <f ca="1">'Climate A'!E105-'Climate B'!E105</f>
        <v>-8.8137169730551079E-5</v>
      </c>
      <c r="F105" s="109">
        <f ca="1">'Climate A'!F105-'Climate B'!F105</f>
        <v>-7.0744582292281422E-5</v>
      </c>
      <c r="G105" s="109">
        <f ca="1">'Climate A'!G105-'Climate B'!G105</f>
        <v>-7.0106137834036186E-4</v>
      </c>
      <c r="H105" s="109">
        <f ca="1">'Climate A'!H105-'Climate B'!H105</f>
        <v>-0.1359228698642998</v>
      </c>
      <c r="I105" s="109">
        <f ca="1">'Climate A'!I105-'Climate B'!I105</f>
        <v>-0.38466365622857313</v>
      </c>
      <c r="J105" s="109">
        <f ca="1">'Climate A'!J105-'Climate B'!J105</f>
        <v>-0.55885088727258392</v>
      </c>
      <c r="K105" s="109">
        <f ca="1">'Climate A'!K105-'Climate B'!K105</f>
        <v>-0.6503572619366681</v>
      </c>
      <c r="L105" s="109">
        <f ca="1">'Climate A'!L105-'Climate B'!L105</f>
        <v>-0.67940650340392672</v>
      </c>
      <c r="M105" s="109">
        <f ca="1">'Climate A'!M105-'Climate B'!M105</f>
        <v>-0.67813645352859542</v>
      </c>
      <c r="N105" s="6" t="str">
        <f>'Base data'!$F$21</f>
        <v>W/m2</v>
      </c>
      <c r="O105" s="6"/>
      <c r="P105" s="6"/>
      <c r="Q105" s="6"/>
      <c r="R105" s="6"/>
      <c r="S105" s="6"/>
      <c r="T105" s="6"/>
      <c r="U105" s="6"/>
      <c r="V105" s="6"/>
      <c r="W105" s="6"/>
      <c r="X105" s="6"/>
    </row>
    <row r="106" spans="1:24" s="4" customFormat="1" ht="13.5" thickTop="1" x14ac:dyDescent="0.2">
      <c r="A106" s="6"/>
      <c r="B106" s="6"/>
      <c r="C106" s="6"/>
      <c r="D106" s="110"/>
      <c r="E106" s="110"/>
      <c r="F106" s="110"/>
      <c r="G106" s="110"/>
      <c r="H106" s="110"/>
      <c r="I106" s="110"/>
      <c r="J106" s="110"/>
      <c r="K106" s="110"/>
      <c r="L106" s="110"/>
      <c r="M106" s="110"/>
      <c r="N106" s="6"/>
      <c r="O106" s="6"/>
      <c r="P106" s="6"/>
      <c r="Q106" s="6"/>
      <c r="R106" s="6"/>
      <c r="S106" s="6"/>
      <c r="T106" s="6"/>
      <c r="U106" s="6"/>
      <c r="V106" s="6"/>
      <c r="W106" s="6"/>
      <c r="X106" s="6"/>
    </row>
    <row r="107" spans="1:24" s="6" customFormat="1" ht="15.75" x14ac:dyDescent="0.3">
      <c r="A107" s="4" t="s">
        <v>146</v>
      </c>
      <c r="B107" s="58" t="s">
        <v>171</v>
      </c>
      <c r="C107" s="27">
        <f>'Climate A'!C107-'Climate B'!C107</f>
        <v>0</v>
      </c>
      <c r="D107" s="109">
        <f ca="1">'Climate A'!D107-'Climate B'!D107</f>
        <v>0</v>
      </c>
      <c r="E107" s="109">
        <f ca="1">'Climate A'!E107-'Climate B'!E107</f>
        <v>0</v>
      </c>
      <c r="F107" s="109">
        <f ca="1">'Climate A'!F107-'Climate B'!F107</f>
        <v>0</v>
      </c>
      <c r="G107" s="109">
        <f ca="1">'Climate A'!G107-'Climate B'!G107</f>
        <v>0</v>
      </c>
      <c r="H107" s="109">
        <f ca="1">'Climate A'!H107-'Climate B'!H107</f>
        <v>0</v>
      </c>
      <c r="I107" s="109">
        <f ca="1">'Climate A'!I107-'Climate B'!I107</f>
        <v>0</v>
      </c>
      <c r="J107" s="109">
        <f ca="1">'Climate A'!J107-'Climate B'!J107</f>
        <v>0</v>
      </c>
      <c r="K107" s="109">
        <f ca="1">'Climate A'!K107-'Climate B'!K107</f>
        <v>0</v>
      </c>
      <c r="L107" s="109">
        <f ca="1">'Climate A'!L107-'Climate B'!L107</f>
        <v>0</v>
      </c>
      <c r="M107" s="109">
        <f ca="1">'Climate A'!M107-'Climate B'!M107</f>
        <v>0</v>
      </c>
      <c r="N107" s="4" t="str">
        <f>'Base data'!$G$35</f>
        <v>Mtonne</v>
      </c>
      <c r="O107" s="4"/>
      <c r="P107" s="4"/>
      <c r="Q107" s="4"/>
      <c r="R107" s="4"/>
      <c r="S107" s="4"/>
      <c r="T107" s="4"/>
      <c r="U107" s="4"/>
      <c r="V107" s="4"/>
      <c r="W107" s="4"/>
      <c r="X107" s="4"/>
    </row>
    <row r="108" spans="1:24" s="6" customFormat="1" ht="15.75" x14ac:dyDescent="0.3">
      <c r="A108" s="4" t="s">
        <v>147</v>
      </c>
      <c r="B108" s="58" t="s">
        <v>118</v>
      </c>
      <c r="C108" s="28">
        <f>'Climate A'!C108-'Climate B'!C108</f>
        <v>0</v>
      </c>
      <c r="D108" s="109">
        <f ca="1">'Climate A'!D108-'Climate B'!D108</f>
        <v>0</v>
      </c>
      <c r="E108" s="109">
        <f ca="1">'Climate A'!E108-'Climate B'!E108</f>
        <v>0</v>
      </c>
      <c r="F108" s="109">
        <f ca="1">'Climate A'!F108-'Climate B'!F108</f>
        <v>0</v>
      </c>
      <c r="G108" s="109">
        <f ca="1">'Climate A'!G108-'Climate B'!G108</f>
        <v>0</v>
      </c>
      <c r="H108" s="109">
        <f ca="1">'Climate A'!H108-'Climate B'!H108</f>
        <v>-3.4729738388926048</v>
      </c>
      <c r="I108" s="109">
        <f ca="1">'Climate A'!I108-'Climate B'!I108</f>
        <v>-1.2249752514718431</v>
      </c>
      <c r="J108" s="109">
        <f ca="1">'Climate A'!J108-'Climate B'!J108</f>
        <v>-0.66388631788397667</v>
      </c>
      <c r="K108" s="109">
        <f ca="1">'Climate A'!K108-'Climate B'!K108</f>
        <v>-1.1531883702924528</v>
      </c>
      <c r="L108" s="109">
        <f ca="1">'Climate A'!L108-'Climate B'!L108</f>
        <v>-1.3838645643499596</v>
      </c>
      <c r="M108" s="109">
        <f ca="1">'Climate A'!M108-'Climate B'!M108</f>
        <v>-1.2397123680634916</v>
      </c>
      <c r="N108" s="4" t="str">
        <f>'Base data'!$G$35</f>
        <v>Mtonne</v>
      </c>
      <c r="O108" s="4"/>
      <c r="P108" s="4"/>
      <c r="Q108" s="4"/>
      <c r="R108" s="4"/>
      <c r="S108" s="4"/>
      <c r="T108" s="4"/>
      <c r="U108" s="4"/>
      <c r="V108" s="4"/>
      <c r="W108" s="4"/>
      <c r="X108" s="4"/>
    </row>
    <row r="109" spans="1:24" s="4" customFormat="1" ht="15.75" x14ac:dyDescent="0.3">
      <c r="A109" s="4" t="s">
        <v>148</v>
      </c>
      <c r="B109" s="58" t="s">
        <v>119</v>
      </c>
      <c r="C109" s="4">
        <f>'Climate A'!C109-'Climate B'!C109</f>
        <v>0</v>
      </c>
      <c r="D109" s="109">
        <f ca="1">'Climate A'!D109-'Climate B'!D109</f>
        <v>0</v>
      </c>
      <c r="E109" s="109">
        <f ca="1">'Climate A'!E109-'Climate B'!E109</f>
        <v>0</v>
      </c>
      <c r="F109" s="109">
        <f ca="1">'Climate A'!F109-'Climate B'!F109</f>
        <v>0</v>
      </c>
      <c r="G109" s="109">
        <f ca="1">'Climate A'!G109-'Climate B'!G109</f>
        <v>0</v>
      </c>
      <c r="H109" s="109">
        <f ca="1">'Climate A'!H109-'Climate B'!H109</f>
        <v>-17.36486919446304</v>
      </c>
      <c r="I109" s="109">
        <f ca="1">'Climate A'!I109-'Climate B'!I109</f>
        <v>-23.489745451822245</v>
      </c>
      <c r="J109" s="109">
        <f ca="1">'Climate A'!J109-'Climate B'!J109</f>
        <v>-9.4443078467791111</v>
      </c>
      <c r="K109" s="109">
        <f ca="1">'Climate A'!K109-'Climate B'!K109</f>
        <v>-9.0853734408821367</v>
      </c>
      <c r="L109" s="109">
        <f ca="1">'Climate A'!L109-'Climate B'!L109</f>
        <v>-12.68526467321206</v>
      </c>
      <c r="M109" s="109">
        <f ca="1">'Climate A'!M109-'Climate B'!M109</f>
        <v>-13.117884662067254</v>
      </c>
      <c r="N109" s="4" t="str">
        <f>'Base data'!$G$35</f>
        <v>Mtonne</v>
      </c>
    </row>
    <row r="110" spans="1:24" s="4" customFormat="1" x14ac:dyDescent="0.2">
      <c r="A110" s="6" t="s">
        <v>149</v>
      </c>
      <c r="B110" s="6"/>
      <c r="C110" s="6">
        <f>'Climate A'!C110-'Climate B'!C110</f>
        <v>0</v>
      </c>
      <c r="D110" s="109">
        <f>'Climate A'!D110-'Climate B'!D110</f>
        <v>0</v>
      </c>
      <c r="E110" s="109">
        <f>'Climate A'!E110-'Climate B'!E110</f>
        <v>0</v>
      </c>
      <c r="F110" s="109">
        <f>'Climate A'!F110-'Climate B'!F110</f>
        <v>0</v>
      </c>
      <c r="G110" s="109">
        <f>'Climate A'!G110-'Climate B'!G110</f>
        <v>0</v>
      </c>
      <c r="H110" s="109">
        <f>'Climate A'!H110-'Climate B'!H110</f>
        <v>0</v>
      </c>
      <c r="I110" s="109">
        <f>'Climate A'!I110-'Climate B'!I110</f>
        <v>0</v>
      </c>
      <c r="J110" s="109">
        <f>'Climate A'!J110-'Climate B'!J110</f>
        <v>0</v>
      </c>
      <c r="K110" s="109">
        <f>'Climate A'!K110-'Climate B'!K110</f>
        <v>0</v>
      </c>
      <c r="L110" s="109">
        <f>'Climate A'!L110-'Climate B'!L110</f>
        <v>0</v>
      </c>
      <c r="M110" s="109">
        <f>'Climate A'!M110-'Climate B'!M110</f>
        <v>0</v>
      </c>
      <c r="N110" s="6"/>
      <c r="O110" s="6"/>
      <c r="P110" s="6"/>
      <c r="Q110" s="6"/>
      <c r="R110" s="6"/>
      <c r="S110" s="6"/>
      <c r="T110" s="6"/>
      <c r="U110" s="6"/>
      <c r="V110" s="6"/>
      <c r="W110" s="6"/>
      <c r="X110" s="6"/>
    </row>
    <row r="111" spans="1:24" s="4" customFormat="1" x14ac:dyDescent="0.2">
      <c r="A111" s="4" t="s">
        <v>150</v>
      </c>
      <c r="C111" s="4">
        <f>'Climate A'!C111-'Climate B'!C111</f>
        <v>0</v>
      </c>
      <c r="D111" s="109">
        <f>'Climate A'!D111-'Climate B'!D111</f>
        <v>0</v>
      </c>
      <c r="E111" s="109">
        <f ca="1">'Climate A'!E111-'Climate B'!E111</f>
        <v>0</v>
      </c>
      <c r="F111" s="109">
        <f ca="1">'Climate A'!F111-'Climate B'!F111</f>
        <v>0</v>
      </c>
      <c r="G111" s="109">
        <f ca="1">'Climate A'!G111-'Climate B'!G111</f>
        <v>0</v>
      </c>
      <c r="H111" s="109">
        <f ca="1">'Climate A'!H111-'Climate B'!H111</f>
        <v>0</v>
      </c>
      <c r="I111" s="109">
        <f ca="1">'Climate A'!I111-'Climate B'!I111</f>
        <v>-15.228836930758348</v>
      </c>
      <c r="J111" s="109">
        <f ca="1">'Climate A'!J111-'Climate B'!J111</f>
        <v>-34.550187586170409</v>
      </c>
      <c r="K111" s="109">
        <f ca="1">'Climate A'!K111-'Climate B'!K111</f>
        <v>-39.931167220581642</v>
      </c>
      <c r="L111" s="109">
        <f ca="1">'Climate A'!L111-'Climate B'!L111</f>
        <v>-44.545458949630756</v>
      </c>
      <c r="M111" s="109">
        <f ca="1">'Climate A'!M111-'Climate B'!M111</f>
        <v>-51.929305904653802</v>
      </c>
      <c r="N111" s="4" t="str">
        <f>'Base data'!$G$35</f>
        <v>Mtonne</v>
      </c>
    </row>
    <row r="112" spans="1:24" s="6" customFormat="1" x14ac:dyDescent="0.2">
      <c r="A112" s="4" t="s">
        <v>151</v>
      </c>
      <c r="B112" s="4"/>
      <c r="C112" s="4">
        <f>'Climate A'!C112-'Climate B'!C112</f>
        <v>0</v>
      </c>
      <c r="D112" s="109">
        <f ca="1">'Climate A'!D112-'Climate B'!D112</f>
        <v>0</v>
      </c>
      <c r="E112" s="109">
        <f ca="1">'Climate A'!E112-'Climate B'!E112</f>
        <v>0</v>
      </c>
      <c r="F112" s="109">
        <f ca="1">'Climate A'!F112-'Climate B'!F112</f>
        <v>0</v>
      </c>
      <c r="G112" s="109">
        <f ca="1">'Climate A'!G112-'Climate B'!G112</f>
        <v>0</v>
      </c>
      <c r="H112" s="109">
        <f ca="1">'Climate A'!H112-'Climate B'!H112</f>
        <v>-16.625041707284637</v>
      </c>
      <c r="I112" s="109">
        <f ca="1">'Climate A'!I112-'Climate B'!I112</f>
        <v>-22.48896858690793</v>
      </c>
      <c r="J112" s="109">
        <f ca="1">'Climate A'!J112-'Climate B'!J112</f>
        <v>-9.0419346146991586</v>
      </c>
      <c r="K112" s="109">
        <f ca="1">'Climate A'!K112-'Climate B'!K112</f>
        <v>-8.6982925520155305</v>
      </c>
      <c r="L112" s="109">
        <f ca="1">'Climate A'!L112-'Climate B'!L112</f>
        <v>-12.144810991570282</v>
      </c>
      <c r="M112" s="109">
        <f ca="1">'Climate A'!M112-'Climate B'!M112</f>
        <v>-12.558999274682492</v>
      </c>
      <c r="N112" s="4" t="str">
        <f>'Base data'!$G$35</f>
        <v>Mtonne</v>
      </c>
      <c r="O112" s="4"/>
      <c r="P112" s="4"/>
      <c r="Q112" s="4"/>
      <c r="R112" s="4"/>
      <c r="S112" s="4"/>
      <c r="T112" s="4"/>
      <c r="U112" s="4"/>
      <c r="V112" s="4"/>
      <c r="W112" s="4"/>
      <c r="X112" s="4"/>
    </row>
    <row r="113" spans="1:24" s="4" customFormat="1" ht="15.75" x14ac:dyDescent="0.3">
      <c r="A113" s="4" t="s">
        <v>152</v>
      </c>
      <c r="B113" s="58" t="s">
        <v>120</v>
      </c>
      <c r="C113" s="14">
        <f>'Climate A'!C113-'Climate B'!C113</f>
        <v>0</v>
      </c>
      <c r="D113" s="109">
        <f ca="1">'Climate A'!D113-'Climate B'!D113</f>
        <v>0</v>
      </c>
      <c r="E113" s="109">
        <f ca="1">'Climate A'!E113-'Climate B'!E113</f>
        <v>0</v>
      </c>
      <c r="F113" s="109">
        <f ca="1">'Climate A'!F113-'Climate B'!F113</f>
        <v>0</v>
      </c>
      <c r="G113" s="109">
        <f ca="1">'Climate A'!G113-'Climate B'!G113</f>
        <v>0</v>
      </c>
      <c r="H113" s="109">
        <f ca="1">'Climate A'!H113-'Climate B'!H113</f>
        <v>-16.625041707284709</v>
      </c>
      <c r="I113" s="109">
        <f ca="1">'Climate A'!I113-'Climate B'!I113</f>
        <v>-37.717805517666307</v>
      </c>
      <c r="J113" s="109">
        <f ca="1">'Climate A'!J113-'Climate B'!J113</f>
        <v>-43.592122200869539</v>
      </c>
      <c r="K113" s="109">
        <f ca="1">'Climate A'!K113-'Climate B'!K113</f>
        <v>-48.629459772597102</v>
      </c>
      <c r="L113" s="109">
        <f ca="1">'Climate A'!L113-'Climate B'!L113</f>
        <v>-56.690269941200995</v>
      </c>
      <c r="M113" s="109">
        <f ca="1">'Climate A'!M113-'Climate B'!M113</f>
        <v>-64.488305179336294</v>
      </c>
      <c r="N113" s="4" t="str">
        <f>'Base data'!$G$35</f>
        <v>Mtonne</v>
      </c>
    </row>
    <row r="114" spans="1:24" s="4" customFormat="1" ht="15.75" x14ac:dyDescent="0.3">
      <c r="A114" s="4" t="s">
        <v>153</v>
      </c>
      <c r="B114" s="58" t="s">
        <v>121</v>
      </c>
      <c r="C114" s="14">
        <f>'Climate A'!C114-'Climate B'!C114</f>
        <v>0</v>
      </c>
      <c r="D114" s="109">
        <f ca="1">'Climate A'!D114-'Climate B'!D114</f>
        <v>0</v>
      </c>
      <c r="E114" s="109">
        <f ca="1">'Climate A'!E114-'Climate B'!E114</f>
        <v>0</v>
      </c>
      <c r="F114" s="109">
        <f ca="1">'Climate A'!F114-'Climate B'!F114</f>
        <v>0</v>
      </c>
      <c r="G114" s="109">
        <f ca="1">'Climate A'!G114-'Climate B'!G114</f>
        <v>0</v>
      </c>
      <c r="H114" s="109">
        <f ca="1">'Climate A'!H114-'Climate B'!H114</f>
        <v>-2.1314156034980556</v>
      </c>
      <c r="I114" s="109">
        <f ca="1">'Climate A'!I114-'Climate B'!I114</f>
        <v>-4.835616092008479</v>
      </c>
      <c r="J114" s="109">
        <f ca="1">'Climate A'!J114-'Climate B'!J114</f>
        <v>-5.5887336154960963</v>
      </c>
      <c r="K114" s="109">
        <f ca="1">'Climate A'!K114-'Climate B'!K114</f>
        <v>-6.2345461246919172</v>
      </c>
      <c r="L114" s="109">
        <f ca="1">'Climate A'!L114-'Climate B'!L114</f>
        <v>-7.2679833257950008</v>
      </c>
      <c r="M114" s="109">
        <f ca="1">'Climate A'!M114-'Climate B'!M114</f>
        <v>-8.2677314332482865</v>
      </c>
      <c r="N114" s="4" t="str">
        <f>'Base data'!$F$19</f>
        <v>ppb</v>
      </c>
    </row>
    <row r="115" spans="1:24" s="4" customFormat="1" x14ac:dyDescent="0.2">
      <c r="A115" s="6" t="s">
        <v>158</v>
      </c>
      <c r="B115" s="6"/>
      <c r="C115" s="26">
        <f>'Climate A'!C115-'Climate B'!C115</f>
        <v>0</v>
      </c>
      <c r="D115" s="109">
        <f ca="1">'Climate A'!D115-'Climate B'!D115</f>
        <v>0</v>
      </c>
      <c r="E115" s="109">
        <f ca="1">'Climate A'!E115-'Climate B'!E115</f>
        <v>0</v>
      </c>
      <c r="F115" s="109">
        <f ca="1">'Climate A'!F115-'Climate B'!F115</f>
        <v>0</v>
      </c>
      <c r="G115" s="109">
        <f ca="1">'Climate A'!G115-'Climate B'!G115</f>
        <v>0</v>
      </c>
      <c r="H115" s="109">
        <f ca="1">'Climate A'!H115-'Climate B'!H115</f>
        <v>-6.7627175812881024E-3</v>
      </c>
      <c r="I115" s="109">
        <f ca="1">'Climate A'!I115-'Climate B'!I115</f>
        <v>-1.518382264607554E-2</v>
      </c>
      <c r="J115" s="109">
        <f ca="1">'Climate A'!J115-'Climate B'!J115</f>
        <v>-1.7361309060648589E-2</v>
      </c>
      <c r="K115" s="109">
        <f ca="1">'Climate A'!K115-'Climate B'!K115</f>
        <v>-1.9180518101681643E-2</v>
      </c>
      <c r="L115" s="109">
        <f ca="1">'Climate A'!L115-'Climate B'!L115</f>
        <v>-2.2175692098036992E-2</v>
      </c>
      <c r="M115" s="109">
        <f ca="1">'Climate A'!M115-'Climate B'!M115</f>
        <v>-2.5054437497562809E-2</v>
      </c>
      <c r="N115" s="6" t="str">
        <f>'Base data'!$F$21</f>
        <v>W/m2</v>
      </c>
      <c r="O115" s="6"/>
      <c r="P115" s="6"/>
      <c r="Q115" s="6"/>
      <c r="R115" s="6"/>
      <c r="S115" s="6"/>
      <c r="T115" s="6"/>
      <c r="U115" s="6"/>
      <c r="V115" s="6"/>
      <c r="W115" s="6"/>
      <c r="X115" s="6"/>
    </row>
    <row r="116" spans="1:24" s="4" customFormat="1" x14ac:dyDescent="0.2">
      <c r="A116" s="6" t="s">
        <v>155</v>
      </c>
      <c r="B116" s="6"/>
      <c r="C116" s="26">
        <f>'Climate A'!C116-'Climate B'!C116</f>
        <v>0</v>
      </c>
      <c r="D116" s="109">
        <f ca="1">'Climate A'!D116-'Climate B'!D116</f>
        <v>5.8021300193278336E-6</v>
      </c>
      <c r="E116" s="109">
        <f ca="1">'Climate A'!E116-'Climate B'!E116</f>
        <v>1.2736113562727969E-5</v>
      </c>
      <c r="F116" s="109">
        <f ca="1">'Climate A'!F116-'Climate B'!F116</f>
        <v>1.0277887395659935E-5</v>
      </c>
      <c r="G116" s="109">
        <f ca="1">'Climate A'!G116-'Climate B'!G116</f>
        <v>1.0297668950451366E-4</v>
      </c>
      <c r="H116" s="109">
        <f ca="1">'Climate A'!H116-'Climate B'!H116</f>
        <v>2.0027255893036222E-2</v>
      </c>
      <c r="I116" s="109">
        <f ca="1">'Climate A'!I116-'Climate B'!I116</f>
        <v>5.630200222861978E-2</v>
      </c>
      <c r="J116" s="109">
        <f ca="1">'Climate A'!J116-'Climate B'!J116</f>
        <v>8.1314344937591904E-2</v>
      </c>
      <c r="K116" s="109">
        <f ca="1">'Climate A'!K116-'Climate B'!K116</f>
        <v>9.4253589143412364E-2</v>
      </c>
      <c r="L116" s="109">
        <f ca="1">'Climate A'!L116-'Climate B'!L116</f>
        <v>9.8096193773128282E-2</v>
      </c>
      <c r="M116" s="109">
        <f ca="1">'Climate A'!M116-'Climate B'!M116</f>
        <v>9.753002282478862E-2</v>
      </c>
      <c r="N116" s="6" t="str">
        <f>'Base data'!$F$21</f>
        <v>W/m2</v>
      </c>
      <c r="O116" s="6"/>
      <c r="P116" s="6"/>
      <c r="Q116" s="6"/>
      <c r="R116" s="6"/>
      <c r="S116" s="6"/>
      <c r="T116" s="6"/>
      <c r="U116" s="6"/>
      <c r="V116" s="6"/>
      <c r="W116" s="6"/>
      <c r="X116" s="6"/>
    </row>
    <row r="117" spans="1:24" s="6" customFormat="1" x14ac:dyDescent="0.2">
      <c r="A117" s="6" t="s">
        <v>156</v>
      </c>
      <c r="C117" s="26">
        <f>'Climate A'!C117-'Climate B'!C117</f>
        <v>0</v>
      </c>
      <c r="D117" s="109">
        <f ca="1">'Climate A'!D117-'Climate B'!D117</f>
        <v>0</v>
      </c>
      <c r="E117" s="109">
        <f ca="1">'Climate A'!E117-'Climate B'!E117</f>
        <v>0</v>
      </c>
      <c r="F117" s="109">
        <f ca="1">'Climate A'!F117-'Climate B'!F117</f>
        <v>0</v>
      </c>
      <c r="G117" s="109">
        <f ca="1">'Climate A'!G117-'Climate B'!G117</f>
        <v>0</v>
      </c>
      <c r="H117" s="109">
        <f ca="1">'Climate A'!H117-'Climate B'!H117</f>
        <v>6.7301417781412409E-4</v>
      </c>
      <c r="I117" s="109">
        <f ca="1">'Climate A'!I117-'Climate B'!I117</f>
        <v>1.5120162522140601E-3</v>
      </c>
      <c r="J117" s="109">
        <f ca="1">'Climate A'!J117-'Climate B'!J117</f>
        <v>1.7298821337150272E-3</v>
      </c>
      <c r="K117" s="109">
        <f ca="1">'Climate A'!K117-'Climate B'!K117</f>
        <v>1.9120924335772893E-3</v>
      </c>
      <c r="L117" s="109">
        <f ca="1">'Climate A'!L117-'Climate B'!L117</f>
        <v>2.2115352980050795E-3</v>
      </c>
      <c r="M117" s="109">
        <f ca="1">'Climate A'!M117-'Climate B'!M117</f>
        <v>2.4993662630809765E-3</v>
      </c>
      <c r="N117" s="6" t="str">
        <f>'Base data'!$F$21</f>
        <v>W/m2</v>
      </c>
    </row>
    <row r="118" spans="1:24" s="6" customFormat="1" ht="15.75" x14ac:dyDescent="0.3">
      <c r="A118" s="6" t="s">
        <v>71</v>
      </c>
      <c r="B118" s="6" t="s">
        <v>72</v>
      </c>
      <c r="C118" s="26">
        <f>'Climate A'!C118-'Climate B'!C118</f>
        <v>0</v>
      </c>
      <c r="D118" s="109">
        <f ca="1">'Climate A'!D118-'Climate B'!D118</f>
        <v>-3.4589329438006189E-5</v>
      </c>
      <c r="E118" s="109">
        <f ca="1">'Climate A'!E118-'Climate B'!E118</f>
        <v>-7.5401056167878622E-5</v>
      </c>
      <c r="F118" s="109">
        <f ca="1">'Climate A'!F118-'Climate B'!F118</f>
        <v>-6.0466694896676998E-5</v>
      </c>
      <c r="G118" s="109">
        <f ca="1">'Climate A'!G118-'Climate B'!G118</f>
        <v>-5.9808468883582044E-4</v>
      </c>
      <c r="H118" s="109">
        <f ca="1">'Climate A'!H118-'Climate B'!H118</f>
        <v>-0.11589561397126358</v>
      </c>
      <c r="I118" s="109">
        <f ca="1">'Climate A'!I118-'Climate B'!I118</f>
        <v>-0.32836165399995332</v>
      </c>
      <c r="J118" s="109">
        <f ca="1">'Climate A'!J118-'Climate B'!J118</f>
        <v>-0.47753654233499199</v>
      </c>
      <c r="K118" s="109">
        <f ca="1">'Climate A'!K118-'Climate B'!K118</f>
        <v>-0.55610367279325568</v>
      </c>
      <c r="L118" s="109">
        <f ca="1">'Climate A'!L118-'Climate B'!L118</f>
        <v>-0.58131030963079855</v>
      </c>
      <c r="M118" s="109">
        <f ca="1">'Climate A'!M118-'Climate B'!M118</f>
        <v>-0.5806064307038068</v>
      </c>
      <c r="N118" s="6" t="str">
        <f>'Base data'!$F$21</f>
        <v>W/m2</v>
      </c>
    </row>
    <row r="119" spans="1:24" s="6" customFormat="1" ht="16.5" thickBot="1" x14ac:dyDescent="0.35">
      <c r="A119" s="6" t="s">
        <v>154</v>
      </c>
      <c r="B119" s="57" t="s">
        <v>122</v>
      </c>
      <c r="C119" s="35">
        <f>'Climate A'!C119-'Climate B'!C119</f>
        <v>0</v>
      </c>
      <c r="D119" s="109">
        <f ca="1">'Climate A'!D119-'Climate B'!D119</f>
        <v>0</v>
      </c>
      <c r="E119" s="109">
        <f ca="1">'Climate A'!E119-'Climate B'!E119</f>
        <v>0</v>
      </c>
      <c r="F119" s="109">
        <f ca="1">'Climate A'!F119-'Climate B'!F119</f>
        <v>0</v>
      </c>
      <c r="G119" s="109">
        <f ca="1">'Climate A'!G119-'Climate B'!G119</f>
        <v>0</v>
      </c>
      <c r="H119" s="109">
        <f ca="1">'Climate A'!H119-'Climate B'!H119</f>
        <v>-6.0897034034739228E-3</v>
      </c>
      <c r="I119" s="109">
        <f ca="1">'Climate A'!I119-'Climate B'!I119</f>
        <v>-1.3671806393861508E-2</v>
      </c>
      <c r="J119" s="109">
        <f ca="1">'Climate A'!J119-'Climate B'!J119</f>
        <v>-1.5631426926933534E-2</v>
      </c>
      <c r="K119" s="109">
        <f ca="1">'Climate A'!K119-'Climate B'!K119</f>
        <v>-1.7268425668104326E-2</v>
      </c>
      <c r="L119" s="109">
        <f ca="1">'Climate A'!L119-'Climate B'!L119</f>
        <v>-1.996415680003194E-2</v>
      </c>
      <c r="M119" s="109">
        <f ca="1">'Climate A'!M119-'Climate B'!M119</f>
        <v>-2.2555071234481805E-2</v>
      </c>
    </row>
    <row r="120" spans="1:24" s="6" customFormat="1" ht="13.5" thickTop="1" x14ac:dyDescent="0.2">
      <c r="D120" s="110"/>
      <c r="E120" s="110"/>
      <c r="F120" s="110"/>
      <c r="G120" s="110"/>
      <c r="H120" s="110"/>
      <c r="I120" s="110"/>
      <c r="J120" s="110"/>
      <c r="K120" s="110"/>
      <c r="L120" s="110"/>
      <c r="M120" s="110"/>
    </row>
    <row r="121" spans="1:24" s="6" customFormat="1" ht="15.75" x14ac:dyDescent="0.3">
      <c r="A121" s="4" t="str">
        <f>"Natural emissions of "&amp;GLIN_NAME</f>
        <v>Natural emissions of Lin</v>
      </c>
      <c r="B121" s="58" t="s">
        <v>172</v>
      </c>
      <c r="C121" s="27">
        <f>'Climate A'!C121-'Climate B'!C121</f>
        <v>0</v>
      </c>
      <c r="D121" s="109">
        <f ca="1">'Climate A'!D121-'Climate B'!D121</f>
        <v>0</v>
      </c>
      <c r="E121" s="109">
        <f ca="1">'Climate A'!E121-'Climate B'!E121</f>
        <v>0</v>
      </c>
      <c r="F121" s="109">
        <f ca="1">'Climate A'!F121-'Climate B'!F121</f>
        <v>0</v>
      </c>
      <c r="G121" s="109">
        <f ca="1">'Climate A'!G121-'Climate B'!G121</f>
        <v>0</v>
      </c>
      <c r="H121" s="109">
        <f ca="1">'Climate A'!H121-'Climate B'!H121</f>
        <v>0</v>
      </c>
      <c r="I121" s="109">
        <f ca="1">'Climate A'!I121-'Climate B'!I121</f>
        <v>0</v>
      </c>
      <c r="J121" s="109">
        <f ca="1">'Climate A'!J121-'Climate B'!J121</f>
        <v>0</v>
      </c>
      <c r="K121" s="109">
        <f ca="1">'Climate A'!K121-'Climate B'!K121</f>
        <v>0</v>
      </c>
      <c r="L121" s="109">
        <f ca="1">'Climate A'!L121-'Climate B'!L121</f>
        <v>0</v>
      </c>
      <c r="M121" s="109">
        <f ca="1">'Climate A'!M121-'Climate B'!M121</f>
        <v>0</v>
      </c>
      <c r="N121" s="4" t="str">
        <f>'Base data'!$G$35</f>
        <v>Mtonne</v>
      </c>
      <c r="O121" s="4"/>
      <c r="P121" s="4"/>
      <c r="Q121" s="4"/>
      <c r="R121" s="4"/>
      <c r="S121" s="4"/>
      <c r="T121" s="4"/>
      <c r="U121" s="4"/>
      <c r="V121" s="4"/>
      <c r="W121" s="4"/>
      <c r="X121" s="4"/>
    </row>
    <row r="122" spans="1:24" s="6" customFormat="1" ht="15.75" x14ac:dyDescent="0.3">
      <c r="A122" s="4" t="str">
        <f>"Total emissions to air of "&amp;GLIN_NAME</f>
        <v>Total emissions to air of Lin</v>
      </c>
      <c r="B122" s="58" t="s">
        <v>173</v>
      </c>
      <c r="C122" s="28">
        <f>'Climate A'!C122-'Climate B'!C122</f>
        <v>0</v>
      </c>
      <c r="D122" s="109">
        <f ca="1">'Climate A'!D122-'Climate B'!D122</f>
        <v>0</v>
      </c>
      <c r="E122" s="109">
        <f ca="1">'Climate A'!E122-'Climate B'!E122</f>
        <v>0</v>
      </c>
      <c r="F122" s="109">
        <f ca="1">'Climate A'!F122-'Climate B'!F122</f>
        <v>0</v>
      </c>
      <c r="G122" s="109">
        <f ca="1">'Climate A'!G122-'Climate B'!G122</f>
        <v>0</v>
      </c>
      <c r="H122" s="109">
        <f ca="1">'Climate A'!H122-'Climate B'!H122</f>
        <v>-435.07837509084584</v>
      </c>
      <c r="I122" s="109">
        <f ca="1">'Climate A'!I122-'Climate B'!I122</f>
        <v>-998.04560848792164</v>
      </c>
      <c r="J122" s="109">
        <f ca="1">'Climate A'!J122-'Climate B'!J122</f>
        <v>-1141.925206151549</v>
      </c>
      <c r="K122" s="109">
        <f ca="1">'Climate A'!K122-'Climate B'!K122</f>
        <v>-1204.931424493677</v>
      </c>
      <c r="L122" s="109">
        <f ca="1">'Climate A'!L122-'Climate B'!L122</f>
        <v>-1158.8668861950964</v>
      </c>
      <c r="M122" s="109">
        <f ca="1">'Climate A'!M122-'Climate B'!M122</f>
        <v>-1107.2596956562709</v>
      </c>
      <c r="N122" s="4" t="str">
        <f>'Base data'!$G$35</f>
        <v>Mtonne</v>
      </c>
      <c r="O122" s="4"/>
      <c r="P122" s="4"/>
      <c r="Q122" s="4"/>
      <c r="R122" s="4"/>
      <c r="S122" s="4"/>
      <c r="T122" s="4"/>
      <c r="U122" s="4"/>
      <c r="V122" s="4"/>
      <c r="W122" s="4"/>
      <c r="X122" s="4"/>
    </row>
    <row r="123" spans="1:24" s="4" customFormat="1" ht="15.75" x14ac:dyDescent="0.3">
      <c r="A123" s="4" t="str">
        <f>"Total this period of "&amp;GLIN_NAME</f>
        <v>Total this period of Lin</v>
      </c>
      <c r="B123" s="58" t="s">
        <v>174</v>
      </c>
      <c r="C123" s="4">
        <f>'Climate A'!C123-'Climate B'!C123</f>
        <v>0</v>
      </c>
      <c r="D123" s="109">
        <f ca="1">'Climate A'!D123-'Climate B'!D123</f>
        <v>0</v>
      </c>
      <c r="E123" s="109">
        <f ca="1">'Climate A'!E123-'Climate B'!E123</f>
        <v>0</v>
      </c>
      <c r="F123" s="109">
        <f ca="1">'Climate A'!F123-'Climate B'!F123</f>
        <v>0</v>
      </c>
      <c r="G123" s="109">
        <f ca="1">'Climate A'!G123-'Climate B'!G123</f>
        <v>0</v>
      </c>
      <c r="H123" s="109">
        <f ca="1">'Climate A'!H123-'Climate B'!H123</f>
        <v>-2175.3918754542283</v>
      </c>
      <c r="I123" s="109">
        <f ca="1">'Climate A'!I123-'Climate B'!I123</f>
        <v>-7165.6199178938368</v>
      </c>
      <c r="J123" s="109">
        <f ca="1">'Climate A'!J123-'Climate B'!J123</f>
        <v>-10699.854073197354</v>
      </c>
      <c r="K123" s="109">
        <f ca="1">'Climate A'!K123-'Climate B'!K123</f>
        <v>-11734.283153226128</v>
      </c>
      <c r="L123" s="109">
        <f ca="1">'Climate A'!L123-'Climate B'!L123</f>
        <v>-11818.991553443868</v>
      </c>
      <c r="M123" s="109">
        <f ca="1">'Climate A'!M123-'Climate B'!M123</f>
        <v>-11330.632909256838</v>
      </c>
      <c r="N123" s="4" t="str">
        <f>'Base data'!$G$35</f>
        <v>Mtonne</v>
      </c>
    </row>
    <row r="124" spans="1:24" s="4" customFormat="1" x14ac:dyDescent="0.2">
      <c r="A124" s="6" t="str">
        <f>"Exponential factor for "&amp;GLIN_NAME</f>
        <v>Exponential factor for Lin</v>
      </c>
      <c r="B124" s="6"/>
      <c r="C124" s="6">
        <f>'Climate A'!C124-'Climate B'!C124</f>
        <v>0</v>
      </c>
      <c r="D124" s="109">
        <f>'Climate A'!D124-'Climate B'!D124</f>
        <v>0</v>
      </c>
      <c r="E124" s="109">
        <f>'Climate A'!E124-'Climate B'!E124</f>
        <v>0</v>
      </c>
      <c r="F124" s="109">
        <f>'Climate A'!F124-'Climate B'!F124</f>
        <v>0</v>
      </c>
      <c r="G124" s="109">
        <f>'Climate A'!G124-'Climate B'!G124</f>
        <v>0</v>
      </c>
      <c r="H124" s="109">
        <f>'Climate A'!H124-'Climate B'!H124</f>
        <v>0</v>
      </c>
      <c r="I124" s="109">
        <f>'Climate A'!I124-'Climate B'!I124</f>
        <v>0</v>
      </c>
      <c r="J124" s="109">
        <f>'Climate A'!J124-'Climate B'!J124</f>
        <v>0</v>
      </c>
      <c r="K124" s="109">
        <f>'Climate A'!K124-'Climate B'!K124</f>
        <v>0</v>
      </c>
      <c r="L124" s="109">
        <f>'Climate A'!L124-'Climate B'!L124</f>
        <v>0</v>
      </c>
      <c r="M124" s="109">
        <f>'Climate A'!M124-'Climate B'!M124</f>
        <v>0</v>
      </c>
      <c r="N124" s="6"/>
      <c r="O124" s="6"/>
      <c r="P124" s="6"/>
      <c r="Q124" s="6"/>
      <c r="R124" s="6"/>
      <c r="S124" s="6"/>
      <c r="T124" s="6"/>
      <c r="U124" s="6"/>
      <c r="V124" s="6"/>
      <c r="W124" s="6"/>
      <c r="X124" s="6"/>
    </row>
    <row r="125" spans="1:24" s="4" customFormat="1" x14ac:dyDescent="0.2">
      <c r="A125" s="4" t="str">
        <f>"Remaining emissions factor for "&amp;GLIN_NAME</f>
        <v>Remaining emissions factor for Lin</v>
      </c>
      <c r="C125" s="4">
        <f>'Climate A'!C125-'Climate B'!C125</f>
        <v>0</v>
      </c>
      <c r="D125" s="109">
        <f>'Climate A'!D125-'Climate B'!D125</f>
        <v>0</v>
      </c>
      <c r="E125" s="109">
        <f ca="1">'Climate A'!E125-'Climate B'!E125</f>
        <v>0</v>
      </c>
      <c r="F125" s="109">
        <f ca="1">'Climate A'!F125-'Climate B'!F125</f>
        <v>0</v>
      </c>
      <c r="G125" s="109">
        <f ca="1">'Climate A'!G125-'Climate B'!G125</f>
        <v>0</v>
      </c>
      <c r="H125" s="109">
        <f ca="1">'Climate A'!H125-'Climate B'!H125</f>
        <v>0</v>
      </c>
      <c r="I125" s="109">
        <f ca="1">'Climate A'!I125-'Climate B'!I125</f>
        <v>-2143.0134390220628</v>
      </c>
      <c r="J125" s="109">
        <f ca="1">'Climate A'!J125-'Climate B'!J125</f>
        <v>-9180.657247078052</v>
      </c>
      <c r="K125" s="109">
        <f ca="1">'Climate A'!K125-'Climate B'!K125</f>
        <v>-19629.906099724736</v>
      </c>
      <c r="L125" s="109">
        <f ca="1">'Climate A'!L125-'Climate B'!L125</f>
        <v>-30994.21587245736</v>
      </c>
      <c r="M125" s="109">
        <f ca="1">'Climate A'!M125-'Climate B'!M125</f>
        <v>-42328.896477761846</v>
      </c>
      <c r="N125" s="4" t="str">
        <f>'Base data'!$G$35</f>
        <v>Mtonne</v>
      </c>
    </row>
    <row r="126" spans="1:24" s="6" customFormat="1" x14ac:dyDescent="0.2">
      <c r="A126" s="4" t="str">
        <f>"Total this period factor for "&amp;GLIN_NAME</f>
        <v>Total this period factor for Lin</v>
      </c>
      <c r="B126" s="4"/>
      <c r="C126" s="4">
        <f>'Climate A'!C126-'Climate B'!C126</f>
        <v>0</v>
      </c>
      <c r="D126" s="109">
        <f ca="1">'Climate A'!D126-'Climate B'!D126</f>
        <v>0</v>
      </c>
      <c r="E126" s="109">
        <f ca="1">'Climate A'!E126-'Climate B'!E126</f>
        <v>0</v>
      </c>
      <c r="F126" s="109">
        <f ca="1">'Climate A'!F126-'Climate B'!F126</f>
        <v>0</v>
      </c>
      <c r="G126" s="109">
        <f ca="1">'Climate A'!G126-'Climate B'!G126</f>
        <v>0</v>
      </c>
      <c r="H126" s="109">
        <f ca="1">'Climate A'!H126-'Climate B'!H126</f>
        <v>-2164.5510821478547</v>
      </c>
      <c r="I126" s="109">
        <f ca="1">'Climate A'!I126-'Climate B'!I126</f>
        <v>-7129.9109473316057</v>
      </c>
      <c r="J126" s="109">
        <f ca="1">'Climate A'!J126-'Climate B'!J126</f>
        <v>-10646.532688795445</v>
      </c>
      <c r="K126" s="109">
        <f ca="1">'Climate A'!K126-'Climate B'!K126</f>
        <v>-11675.806820893586</v>
      </c>
      <c r="L126" s="109">
        <f ca="1">'Climate A'!L126-'Climate B'!L126</f>
        <v>-11760.093087394438</v>
      </c>
      <c r="M126" s="109">
        <f ca="1">'Climate A'!M126-'Climate B'!M126</f>
        <v>-11274.168117425259</v>
      </c>
      <c r="N126" s="4" t="str">
        <f>'Base data'!$G$35</f>
        <v>Mtonne</v>
      </c>
      <c r="O126" s="4"/>
      <c r="P126" s="4"/>
      <c r="Q126" s="4"/>
      <c r="R126" s="4"/>
      <c r="S126" s="4"/>
      <c r="T126" s="4"/>
      <c r="U126" s="4"/>
      <c r="V126" s="4"/>
      <c r="W126" s="4"/>
      <c r="X126" s="4"/>
    </row>
    <row r="127" spans="1:24" s="4" customFormat="1" ht="15.75" x14ac:dyDescent="0.3">
      <c r="A127" s="4" t="str">
        <f>"Remaining emissions of "&amp;GLIN_NAME</f>
        <v>Remaining emissions of Lin</v>
      </c>
      <c r="B127" s="58" t="s">
        <v>175</v>
      </c>
      <c r="C127" s="28">
        <f>'Climate A'!C127-'Climate B'!C127</f>
        <v>0</v>
      </c>
      <c r="D127" s="109">
        <f ca="1">'Climate A'!D127-'Climate B'!D127</f>
        <v>0</v>
      </c>
      <c r="E127" s="109">
        <f ca="1">'Climate A'!E127-'Climate B'!E127</f>
        <v>0</v>
      </c>
      <c r="F127" s="109">
        <f ca="1">'Climate A'!F127-'Climate B'!F127</f>
        <v>0</v>
      </c>
      <c r="G127" s="109">
        <f ca="1">'Climate A'!G127-'Climate B'!G127</f>
        <v>0</v>
      </c>
      <c r="H127" s="109">
        <f ca="1">'Climate A'!H127-'Climate B'!H127</f>
        <v>-2164.5510821478529</v>
      </c>
      <c r="I127" s="109">
        <f ca="1">'Climate A'!I127-'Climate B'!I127</f>
        <v>-9272.9243863536685</v>
      </c>
      <c r="J127" s="109">
        <f ca="1">'Climate A'!J127-'Climate B'!J127</f>
        <v>-19827.189935873503</v>
      </c>
      <c r="K127" s="109">
        <f ca="1">'Climate A'!K127-'Climate B'!K127</f>
        <v>-31305.712920618324</v>
      </c>
      <c r="L127" s="109">
        <f ca="1">'Climate A'!L127-'Climate B'!L127</f>
        <v>-42754.308959851805</v>
      </c>
      <c r="M127" s="109">
        <f ca="1">'Climate A'!M127-'Climate B'!M127</f>
        <v>-53603.064595187112</v>
      </c>
      <c r="N127" s="4" t="str">
        <f>'Base data'!$G$35</f>
        <v>Mtonne</v>
      </c>
    </row>
    <row r="128" spans="1:24" s="4" customFormat="1" ht="15.75" x14ac:dyDescent="0.3">
      <c r="A128" s="4" t="str">
        <f>"Concentration of "&amp;GLIN_NAME</f>
        <v>Concentration of Lin</v>
      </c>
      <c r="B128" s="58" t="s">
        <v>176</v>
      </c>
      <c r="C128" s="28">
        <f>'Climate A'!C128-'Climate B'!C128</f>
        <v>0</v>
      </c>
      <c r="D128" s="109">
        <f ca="1">'Climate A'!D128-'Climate B'!D128</f>
        <v>0</v>
      </c>
      <c r="E128" s="109">
        <f ca="1">'Climate A'!E128-'Climate B'!E128</f>
        <v>0</v>
      </c>
      <c r="F128" s="109">
        <f ca="1">'Climate A'!F128-'Climate B'!F128</f>
        <v>0</v>
      </c>
      <c r="G128" s="109">
        <f ca="1">'Climate A'!G128-'Climate B'!G128</f>
        <v>0</v>
      </c>
      <c r="H128" s="109">
        <f ca="1">'Climate A'!H128-'Climate B'!H128</f>
        <v>-2.1645510821478531E-2</v>
      </c>
      <c r="I128" s="109">
        <f ca="1">'Climate A'!I128-'Climate B'!I128</f>
        <v>-9.2729243863536648E-2</v>
      </c>
      <c r="J128" s="109">
        <f ca="1">'Climate A'!J128-'Climate B'!J128</f>
        <v>-0.19827189935873502</v>
      </c>
      <c r="K128" s="109">
        <f ca="1">'Climate A'!K128-'Climate B'!K128</f>
        <v>-0.31305712920618328</v>
      </c>
      <c r="L128" s="109">
        <f ca="1">'Climate A'!L128-'Climate B'!L128</f>
        <v>-0.427543089598518</v>
      </c>
      <c r="M128" s="109">
        <f ca="1">'Climate A'!M128-'Climate B'!M128</f>
        <v>-0.53603064595187122</v>
      </c>
      <c r="N128" s="4" t="str">
        <f>'Base data'!$F$19</f>
        <v>ppb</v>
      </c>
    </row>
    <row r="129" spans="1:24" s="4" customFormat="1" ht="15.75" x14ac:dyDescent="0.3">
      <c r="A129" s="6" t="str">
        <f>"Forcing from "&amp;GLIN_NAME</f>
        <v>Forcing from Lin</v>
      </c>
      <c r="B129" s="57" t="s">
        <v>177</v>
      </c>
      <c r="C129" s="28">
        <f>'Climate A'!C129-'Climate B'!C129</f>
        <v>0</v>
      </c>
      <c r="D129" s="109">
        <f ca="1">'Climate A'!D129-'Climate B'!D129</f>
        <v>0</v>
      </c>
      <c r="E129" s="109">
        <f ca="1">'Climate A'!E129-'Climate B'!E129</f>
        <v>0</v>
      </c>
      <c r="F129" s="109">
        <f ca="1">'Climate A'!F129-'Climate B'!F129</f>
        <v>0</v>
      </c>
      <c r="G129" s="109">
        <f ca="1">'Climate A'!G129-'Climate B'!G129</f>
        <v>0</v>
      </c>
      <c r="H129" s="109">
        <f ca="1">'Climate A'!H129-'Climate B'!H129</f>
        <v>-4.3291021642957173E-3</v>
      </c>
      <c r="I129" s="109">
        <f ca="1">'Climate A'!I129-'Climate B'!I129</f>
        <v>-1.8545848772707332E-2</v>
      </c>
      <c r="J129" s="109">
        <f ca="1">'Climate A'!J129-'Climate B'!J129</f>
        <v>-3.9654379871746998E-2</v>
      </c>
      <c r="K129" s="109">
        <f ca="1">'Climate A'!K129-'Climate B'!K129</f>
        <v>-6.2611425841236662E-2</v>
      </c>
      <c r="L129" s="109">
        <f ca="1">'Climate A'!L129-'Climate B'!L129</f>
        <v>-8.55086179197036E-2</v>
      </c>
      <c r="M129" s="109">
        <f ca="1">'Climate A'!M129-'Climate B'!M129</f>
        <v>-0.10720612919037426</v>
      </c>
      <c r="N129" s="6" t="str">
        <f>'Base data'!$F$21</f>
        <v>W/m2</v>
      </c>
      <c r="O129" s="6"/>
      <c r="P129" s="6"/>
      <c r="Q129" s="6"/>
      <c r="R129" s="6"/>
      <c r="S129" s="6"/>
      <c r="T129" s="6"/>
      <c r="U129" s="6"/>
      <c r="V129" s="6"/>
      <c r="W129" s="6"/>
      <c r="X129" s="6"/>
    </row>
    <row r="130" spans="1:24" s="4" customFormat="1" x14ac:dyDescent="0.2">
      <c r="A130" s="6"/>
      <c r="B130" s="57"/>
      <c r="C130" s="1"/>
      <c r="D130" s="110"/>
      <c r="E130" s="110"/>
      <c r="F130" s="110"/>
      <c r="G130" s="110"/>
      <c r="H130" s="110"/>
      <c r="I130" s="110"/>
      <c r="J130" s="110"/>
      <c r="K130" s="110"/>
      <c r="L130" s="110"/>
      <c r="M130" s="110"/>
      <c r="N130" s="6"/>
      <c r="O130" s="6"/>
      <c r="P130" s="6"/>
      <c r="Q130" s="6"/>
      <c r="R130" s="6"/>
      <c r="S130" s="6"/>
      <c r="T130" s="6"/>
      <c r="U130" s="6"/>
      <c r="V130" s="6"/>
      <c r="W130" s="6"/>
      <c r="X130" s="6"/>
    </row>
    <row r="131" spans="1:24" s="6" customFormat="1" ht="13.5" thickBot="1" x14ac:dyDescent="0.25">
      <c r="A131" s="4" t="s">
        <v>123</v>
      </c>
      <c r="B131" s="4" t="s">
        <v>73</v>
      </c>
      <c r="C131" s="35">
        <f>'Climate A'!C131-'Climate B'!C131</f>
        <v>0</v>
      </c>
      <c r="D131" s="109">
        <f ca="1">'Climate A'!D131-'Climate B'!D131</f>
        <v>-6.5239934369465402E-5</v>
      </c>
      <c r="E131" s="109">
        <f ca="1">'Climate A'!E131-'Climate B'!E131</f>
        <v>-1.7916548181284853E-4</v>
      </c>
      <c r="F131" s="109">
        <f ca="1">'Climate A'!F131-'Climate B'!F131</f>
        <v>-2.1603310022921818E-4</v>
      </c>
      <c r="G131" s="109">
        <f ca="1">'Climate A'!G131-'Climate B'!G131</f>
        <v>-1.2573744954256227E-3</v>
      </c>
      <c r="H131" s="109">
        <f ca="1">'Climate A'!H131-'Climate B'!H131</f>
        <v>-0.46064241049763854</v>
      </c>
      <c r="I131" s="109">
        <f ca="1">'Climate A'!I131-'Climate B'!I131</f>
        <v>-1.3828197776787592</v>
      </c>
      <c r="J131" s="109">
        <f ca="1">'Climate A'!J131-'Climate B'!J131</f>
        <v>-2.5547108967357577</v>
      </c>
      <c r="K131" s="109">
        <f ca="1">'Climate A'!K131-'Climate B'!K131</f>
        <v>-3.7075778072714671</v>
      </c>
      <c r="L131" s="109">
        <f ca="1">'Climate A'!L131-'Climate B'!L131</f>
        <v>-4.678193838210829</v>
      </c>
      <c r="M131" s="109">
        <f ca="1">'Climate A'!M131-'Climate B'!M131</f>
        <v>-5.4819784362259352</v>
      </c>
      <c r="N131" s="6" t="str">
        <f>'Base data'!$F$21</f>
        <v>W/m2</v>
      </c>
    </row>
    <row r="132" spans="1:24" s="6" customFormat="1" ht="13.5" thickTop="1" x14ac:dyDescent="0.2">
      <c r="A132" s="4"/>
      <c r="B132" s="4"/>
      <c r="D132" s="110"/>
      <c r="E132" s="110"/>
      <c r="F132" s="110"/>
      <c r="G132" s="110"/>
      <c r="H132" s="110"/>
      <c r="I132" s="110"/>
      <c r="J132" s="110"/>
      <c r="K132" s="110"/>
      <c r="L132" s="110"/>
      <c r="M132" s="110"/>
      <c r="O132"/>
      <c r="P132"/>
      <c r="Q132"/>
      <c r="R132"/>
      <c r="S132"/>
      <c r="T132"/>
      <c r="U132"/>
      <c r="V132"/>
      <c r="W132"/>
      <c r="X132"/>
    </row>
    <row r="133" spans="1:24" s="1" customFormat="1" x14ac:dyDescent="0.2">
      <c r="A133" s="57" t="s">
        <v>191</v>
      </c>
      <c r="B133" s="1" t="str">
        <f t="array" ref="B133:B140">R_CODE</f>
        <v>EU</v>
      </c>
      <c r="C133" s="26">
        <f ca="1">'Climate A'!C133-'Climate B'!C133</f>
        <v>0</v>
      </c>
      <c r="D133" s="109">
        <f ca="1">'Climate A'!D133-'Climate B'!D133</f>
        <v>0</v>
      </c>
      <c r="E133" s="109">
        <f ca="1">'Climate A'!E133-'Climate B'!E133</f>
        <v>0</v>
      </c>
      <c r="F133" s="109">
        <f ca="1">'Climate A'!F133-'Climate B'!F133</f>
        <v>0</v>
      </c>
      <c r="G133" s="109">
        <f ca="1">'Climate A'!G133-'Climate B'!G133</f>
        <v>0</v>
      </c>
      <c r="H133" s="109">
        <f ca="1">'Climate A'!H133-'Climate B'!H133</f>
        <v>0.67230087875467337</v>
      </c>
      <c r="I133" s="109">
        <f ca="1">'Climate A'!I133-'Climate B'!I133</f>
        <v>1.5421168230719755</v>
      </c>
      <c r="J133" s="109">
        <f ca="1">'Climate A'!J133-'Climate B'!J133</f>
        <v>2.2090296810548233</v>
      </c>
      <c r="K133" s="109">
        <f ca="1">'Climate A'!K133-'Climate B'!K133</f>
        <v>2.539435844201031</v>
      </c>
      <c r="L133" s="109">
        <f ca="1">'Climate A'!L133-'Climate B'!L133</f>
        <v>2.3667949669899708</v>
      </c>
      <c r="M133" s="109">
        <f ca="1">'Climate A'!M133-'Climate B'!M133</f>
        <v>1.8313563645373456</v>
      </c>
      <c r="N133" s="6" t="str">
        <f>'Base data'!$F$21</f>
        <v>W/m2</v>
      </c>
      <c r="O133" s="6"/>
      <c r="P133" s="6"/>
      <c r="Q133" s="6"/>
      <c r="R133" s="6"/>
      <c r="S133" s="6"/>
      <c r="T133" s="6"/>
      <c r="U133" s="6"/>
      <c r="V133" s="6"/>
      <c r="W133" s="6"/>
      <c r="X133" s="6"/>
    </row>
    <row r="134" spans="1:24" s="1" customFormat="1" x14ac:dyDescent="0.2">
      <c r="A134" s="6"/>
      <c r="B134" s="1" t="str">
        <v>US</v>
      </c>
      <c r="C134" s="26">
        <f ca="1">'Climate A'!C134-'Climate B'!C134</f>
        <v>0</v>
      </c>
      <c r="D134" s="109">
        <f ca="1">'Climate A'!D134-'Climate B'!D134</f>
        <v>0</v>
      </c>
      <c r="E134" s="109">
        <f ca="1">'Climate A'!E134-'Climate B'!E134</f>
        <v>0</v>
      </c>
      <c r="F134" s="109">
        <f ca="1">'Climate A'!F134-'Climate B'!F134</f>
        <v>0</v>
      </c>
      <c r="G134" s="109">
        <f ca="1">'Climate A'!G134-'Climate B'!G134</f>
        <v>0</v>
      </c>
      <c r="H134" s="109">
        <f ca="1">'Climate A'!H134-'Climate B'!H134</f>
        <v>0.15016393927482474</v>
      </c>
      <c r="I134" s="109">
        <f ca="1">'Climate A'!I134-'Climate B'!I134</f>
        <v>0.29424634113765785</v>
      </c>
      <c r="J134" s="109">
        <f ca="1">'Climate A'!J134-'Climate B'!J134</f>
        <v>0.3757463571149115</v>
      </c>
      <c r="K134" s="109">
        <f ca="1">'Climate A'!K134-'Climate B'!K134</f>
        <v>0.41246699839293066</v>
      </c>
      <c r="L134" s="109">
        <f ca="1">'Climate A'!L134-'Climate B'!L134</f>
        <v>0.39672362403549466</v>
      </c>
      <c r="M134" s="109">
        <f ca="1">'Climate A'!M134-'Climate B'!M134</f>
        <v>0.34558022839075681</v>
      </c>
      <c r="N134" s="6" t="str">
        <f>'Base data'!$F$21</f>
        <v>W/m2</v>
      </c>
      <c r="O134" s="6"/>
      <c r="P134" s="6"/>
      <c r="Q134" s="6"/>
      <c r="R134" s="6"/>
      <c r="S134" s="6"/>
      <c r="T134" s="6"/>
      <c r="U134" s="6"/>
      <c r="V134" s="6"/>
      <c r="W134" s="6"/>
      <c r="X134" s="6"/>
    </row>
    <row r="135" spans="1:24" s="6" customFormat="1" x14ac:dyDescent="0.2">
      <c r="B135" s="1" t="str">
        <v>OT</v>
      </c>
      <c r="C135" s="26">
        <f ca="1">'Climate A'!C135-'Climate B'!C135</f>
        <v>0</v>
      </c>
      <c r="D135" s="109">
        <f ca="1">'Climate A'!D135-'Climate B'!D135</f>
        <v>0</v>
      </c>
      <c r="E135" s="109">
        <f ca="1">'Climate A'!E135-'Climate B'!E135</f>
        <v>0</v>
      </c>
      <c r="F135" s="109">
        <f ca="1">'Climate A'!F135-'Climate B'!F135</f>
        <v>0</v>
      </c>
      <c r="G135" s="109">
        <f ca="1">'Climate A'!G135-'Climate B'!G135</f>
        <v>0</v>
      </c>
      <c r="H135" s="109">
        <f ca="1">'Climate A'!H135-'Climate B'!H135</f>
        <v>2.5558049327578575E-2</v>
      </c>
      <c r="I135" s="109">
        <f ca="1">'Climate A'!I135-'Climate B'!I135</f>
        <v>4.791884581371092E-2</v>
      </c>
      <c r="J135" s="109">
        <f ca="1">'Climate A'!J135-'Climate B'!J135</f>
        <v>6.8505570065367893E-2</v>
      </c>
      <c r="K135" s="109">
        <f ca="1">'Climate A'!K135-'Climate B'!K135</f>
        <v>8.1908336699378137E-2</v>
      </c>
      <c r="L135" s="109">
        <f ca="1">'Climate A'!L135-'Climate B'!L135</f>
        <v>8.9547253171919194E-2</v>
      </c>
      <c r="M135" s="109">
        <f ca="1">'Climate A'!M135-'Climate B'!M135</f>
        <v>8.8234327125040618E-2</v>
      </c>
      <c r="N135" s="6" t="str">
        <f>'Base data'!$F$21</f>
        <v>W/m2</v>
      </c>
    </row>
    <row r="136" spans="1:24" s="6" customFormat="1" x14ac:dyDescent="0.2">
      <c r="B136" s="1" t="str">
        <v>EE</v>
      </c>
      <c r="C136" s="26">
        <f ca="1">'Climate A'!C136-'Climate B'!C136</f>
        <v>0</v>
      </c>
      <c r="D136" s="109">
        <f ca="1">'Climate A'!D136-'Climate B'!D136</f>
        <v>0</v>
      </c>
      <c r="E136" s="109">
        <f ca="1">'Climate A'!E136-'Climate B'!E136</f>
        <v>0</v>
      </c>
      <c r="F136" s="109">
        <f ca="1">'Climate A'!F136-'Climate B'!F136</f>
        <v>0</v>
      </c>
      <c r="G136" s="109">
        <f ca="1">'Climate A'!G136-'Climate B'!G136</f>
        <v>0</v>
      </c>
      <c r="H136" s="109">
        <f ca="1">'Climate A'!H136-'Climate B'!H136</f>
        <v>2.6767538724226658E-2</v>
      </c>
      <c r="I136" s="109">
        <f ca="1">'Climate A'!I136-'Climate B'!I136</f>
        <v>3.6649447062837182E-2</v>
      </c>
      <c r="J136" s="109">
        <f ca="1">'Climate A'!J136-'Climate B'!J136</f>
        <v>3.8514093230078345E-2</v>
      </c>
      <c r="K136" s="109">
        <f ca="1">'Climate A'!K136-'Climate B'!K136</f>
        <v>3.6546208615722359E-2</v>
      </c>
      <c r="L136" s="109">
        <f ca="1">'Climate A'!L136-'Climate B'!L136</f>
        <v>3.0384498870857923E-2</v>
      </c>
      <c r="M136" s="109">
        <f ca="1">'Climate A'!M136-'Climate B'!M136</f>
        <v>1.9440619626179684E-2</v>
      </c>
      <c r="N136" s="6" t="str">
        <f>'Base data'!$F$21</f>
        <v>W/m2</v>
      </c>
    </row>
    <row r="137" spans="1:24" s="6" customFormat="1" x14ac:dyDescent="0.2">
      <c r="B137" s="1" t="str">
        <v>CA</v>
      </c>
      <c r="C137" s="26">
        <f ca="1">'Climate A'!C137-'Climate B'!C137</f>
        <v>0</v>
      </c>
      <c r="D137" s="109">
        <f ca="1">'Climate A'!D137-'Climate B'!D137</f>
        <v>0</v>
      </c>
      <c r="E137" s="109">
        <f ca="1">'Climate A'!E137-'Climate B'!E137</f>
        <v>0</v>
      </c>
      <c r="F137" s="109">
        <f ca="1">'Climate A'!F137-'Climate B'!F137</f>
        <v>0</v>
      </c>
      <c r="G137" s="109">
        <f ca="1">'Climate A'!G137-'Climate B'!G137</f>
        <v>0</v>
      </c>
      <c r="H137" s="109">
        <f ca="1">'Climate A'!H137-'Climate B'!H137</f>
        <v>0.47271058138859834</v>
      </c>
      <c r="I137" s="109">
        <f ca="1">'Climate A'!I137-'Climate B'!I137</f>
        <v>0.60299958185317437</v>
      </c>
      <c r="J137" s="109">
        <f ca="1">'Climate A'!J137-'Climate B'!J137</f>
        <v>0.67345979456063243</v>
      </c>
      <c r="K137" s="109">
        <f ca="1">'Climate A'!K137-'Climate B'!K137</f>
        <v>0.58817256814452801</v>
      </c>
      <c r="L137" s="109">
        <f ca="1">'Climate A'!L137-'Climate B'!L137</f>
        <v>0.4305714730952937</v>
      </c>
      <c r="M137" s="109">
        <f ca="1">'Climate A'!M137-'Climate B'!M137</f>
        <v>0.3084182554862378</v>
      </c>
      <c r="N137" s="6" t="str">
        <f>'Base data'!$F$21</f>
        <v>W/m2</v>
      </c>
    </row>
    <row r="138" spans="1:24" s="6" customFormat="1" x14ac:dyDescent="0.2">
      <c r="B138" s="1" t="str">
        <v>IA</v>
      </c>
      <c r="C138" s="26">
        <f ca="1">'Climate A'!C138-'Climate B'!C138</f>
        <v>0</v>
      </c>
      <c r="D138" s="109">
        <f ca="1">'Climate A'!D138-'Climate B'!D138</f>
        <v>0</v>
      </c>
      <c r="E138" s="109">
        <f ca="1">'Climate A'!E138-'Climate B'!E138</f>
        <v>0</v>
      </c>
      <c r="F138" s="109">
        <f ca="1">'Climate A'!F138-'Climate B'!F138</f>
        <v>0</v>
      </c>
      <c r="G138" s="109">
        <f ca="1">'Climate A'!G138-'Climate B'!G138</f>
        <v>0</v>
      </c>
      <c r="H138" s="109">
        <f ca="1">'Climate A'!H138-'Climate B'!H138</f>
        <v>2.9410730434165719</v>
      </c>
      <c r="I138" s="109">
        <f ca="1">'Climate A'!I138-'Climate B'!I138</f>
        <v>4.4893227420376434</v>
      </c>
      <c r="J138" s="109">
        <f ca="1">'Climate A'!J138-'Climate B'!J138</f>
        <v>4.3035676535599716</v>
      </c>
      <c r="K138" s="109">
        <f ca="1">'Climate A'!K138-'Climate B'!K138</f>
        <v>3.2153016867952795</v>
      </c>
      <c r="L138" s="109">
        <f ca="1">'Climate A'!L138-'Climate B'!L138</f>
        <v>1.9685772402195199</v>
      </c>
      <c r="M138" s="109">
        <f ca="1">'Climate A'!M138-'Climate B'!M138</f>
        <v>0.83107318554178589</v>
      </c>
      <c r="N138" s="6" t="str">
        <f>'Base data'!$F$21</f>
        <v>W/m2</v>
      </c>
    </row>
    <row r="139" spans="1:24" s="6" customFormat="1" x14ac:dyDescent="0.2">
      <c r="B139" s="1" t="str">
        <v>AF</v>
      </c>
      <c r="C139" s="26">
        <f ca="1">'Climate A'!C139-'Climate B'!C139</f>
        <v>0</v>
      </c>
      <c r="D139" s="109">
        <f ca="1">'Climate A'!D139-'Climate B'!D139</f>
        <v>0</v>
      </c>
      <c r="E139" s="109">
        <f ca="1">'Climate A'!E139-'Climate B'!E139</f>
        <v>0</v>
      </c>
      <c r="F139" s="109">
        <f ca="1">'Climate A'!F139-'Climate B'!F139</f>
        <v>0</v>
      </c>
      <c r="G139" s="109">
        <f ca="1">'Climate A'!G139-'Climate B'!G139</f>
        <v>0</v>
      </c>
      <c r="H139" s="109">
        <f ca="1">'Climate A'!H139-'Climate B'!H139</f>
        <v>0.38930740381113083</v>
      </c>
      <c r="I139" s="109">
        <f ca="1">'Climate A'!I139-'Climate B'!I139</f>
        <v>0.84593559893593184</v>
      </c>
      <c r="J139" s="109">
        <f ca="1">'Climate A'!J139-'Climate B'!J139</f>
        <v>1.0861079456022367</v>
      </c>
      <c r="K139" s="109">
        <f ca="1">'Climate A'!K139-'Climate B'!K139</f>
        <v>1.0518864344634902</v>
      </c>
      <c r="L139" s="109">
        <f ca="1">'Climate A'!L139-'Climate B'!L139</f>
        <v>0.77898658264068099</v>
      </c>
      <c r="M139" s="109">
        <f ca="1">'Climate A'!M139-'Climate B'!M139</f>
        <v>0.38094659952476995</v>
      </c>
      <c r="N139" s="6" t="str">
        <f>'Base data'!$F$21</f>
        <v>W/m2</v>
      </c>
    </row>
    <row r="140" spans="1:24" s="6" customFormat="1" x14ac:dyDescent="0.2">
      <c r="B140" s="1" t="str">
        <v>LA</v>
      </c>
      <c r="C140" s="26">
        <f ca="1">'Climate A'!C140-'Climate B'!C140</f>
        <v>0</v>
      </c>
      <c r="D140" s="109">
        <f ca="1">'Climate A'!D140-'Climate B'!D140</f>
        <v>0</v>
      </c>
      <c r="E140" s="109">
        <f ca="1">'Climate A'!E140-'Climate B'!E140</f>
        <v>0</v>
      </c>
      <c r="F140" s="109">
        <f ca="1">'Climate A'!F140-'Climate B'!F140</f>
        <v>0</v>
      </c>
      <c r="G140" s="109">
        <f ca="1">'Climate A'!G140-'Climate B'!G140</f>
        <v>0</v>
      </c>
      <c r="H140" s="109">
        <f ca="1">'Climate A'!H140-'Climate B'!H140</f>
        <v>0.3327831629844048</v>
      </c>
      <c r="I140" s="109">
        <f ca="1">'Climate A'!I140-'Climate B'!I140</f>
        <v>0.60052742072564591</v>
      </c>
      <c r="J140" s="109">
        <f ca="1">'Climate A'!J140-'Climate B'!J140</f>
        <v>0.70670654997135041</v>
      </c>
      <c r="K140" s="109">
        <f ca="1">'Climate A'!K140-'Climate B'!K140</f>
        <v>0.69063616646444648</v>
      </c>
      <c r="L140" s="109">
        <f ca="1">'Climate A'!L140-'Climate B'!L140</f>
        <v>0.61000418167475357</v>
      </c>
      <c r="M140" s="109">
        <f ca="1">'Climate A'!M140-'Climate B'!M140</f>
        <v>0.48453162225837965</v>
      </c>
      <c r="N140" s="6" t="str">
        <f>'Base data'!$F$21</f>
        <v>W/m2</v>
      </c>
    </row>
    <row r="141" spans="1:24" s="6" customFormat="1" x14ac:dyDescent="0.2">
      <c r="B141" s="6" t="s">
        <v>136</v>
      </c>
      <c r="C141" s="256">
        <f ca="1">'Climate A'!C141-'Climate B'!C141</f>
        <v>0</v>
      </c>
      <c r="D141" s="256">
        <f ca="1">'Climate A'!D141-'Climate B'!D141</f>
        <v>0</v>
      </c>
      <c r="E141" s="256">
        <f ca="1">'Climate A'!E141-'Climate B'!E141</f>
        <v>0</v>
      </c>
      <c r="F141" s="256">
        <f ca="1">'Climate A'!F141-'Climate B'!F141</f>
        <v>0</v>
      </c>
      <c r="G141" s="256">
        <f ca="1">'Climate A'!G141-'Climate B'!G141</f>
        <v>0</v>
      </c>
      <c r="H141" s="256">
        <f ca="1">'Climate A'!H141-'Climate B'!H141</f>
        <v>0.12569535241215046</v>
      </c>
      <c r="I141" s="256">
        <f ca="1">'Climate A'!I141-'Climate B'!I141</f>
        <v>0.2183521423995306</v>
      </c>
      <c r="J141" s="256">
        <f ca="1">'Climate A'!J141-'Climate B'!J141</f>
        <v>0.24623598178420109</v>
      </c>
      <c r="K141" s="256">
        <f ca="1">'Climate A'!K141-'Climate B'!K141</f>
        <v>0.22172022917642026</v>
      </c>
      <c r="L141" s="256">
        <f ca="1">'Climate A'!L141-'Climate B'!L141</f>
        <v>0.1658105658306962</v>
      </c>
      <c r="M141" s="256">
        <f ca="1">'Climate A'!M141-'Climate B'!M141</f>
        <v>9.726684030111149E-2</v>
      </c>
      <c r="N141" s="6" t="s">
        <v>42</v>
      </c>
    </row>
    <row r="142" spans="1:24" s="6" customFormat="1" x14ac:dyDescent="0.2">
      <c r="A142" s="57" t="s">
        <v>192</v>
      </c>
      <c r="B142" s="1" t="str">
        <f t="array" ref="B142:B149">R_CODE</f>
        <v>EU</v>
      </c>
      <c r="C142" s="26"/>
      <c r="D142" s="26">
        <f ca="1">'Climate A'!D142-'Climate B'!D142</f>
        <v>0</v>
      </c>
      <c r="E142" s="26">
        <f ca="1">'Climate A'!E142-'Climate B'!E142</f>
        <v>0</v>
      </c>
      <c r="F142" s="26">
        <f ca="1">'Climate A'!F142-'Climate B'!F142</f>
        <v>0</v>
      </c>
      <c r="G142" s="26">
        <f ca="1">'Climate A'!G142-'Climate B'!G142</f>
        <v>0</v>
      </c>
      <c r="H142" s="26">
        <f ca="1">'Climate A'!H142-'Climate B'!H142</f>
        <v>0.14265193407554211</v>
      </c>
      <c r="I142" s="26">
        <f ca="1">'Climate A'!I142-'Climate B'!I142</f>
        <v>0.33300895643087047</v>
      </c>
      <c r="J142" s="26">
        <f ca="1">'Climate A'!J142-'Climate B'!J142</f>
        <v>0.48140264896496204</v>
      </c>
      <c r="K142" s="26">
        <f ca="1">'Climate A'!K142-'Climate B'!K142</f>
        <v>0.55433290475406172</v>
      </c>
      <c r="L142" s="26">
        <f ca="1">'Climate A'!L142-'Climate B'!L142</f>
        <v>0.5505132003826515</v>
      </c>
      <c r="M142" s="26">
        <f ca="1">'Climate A'!M142-'Climate B'!M142</f>
        <v>0.48552579608011198</v>
      </c>
      <c r="N142" s="6" t="str">
        <f>'Base data'!$F$21</f>
        <v>W/m2</v>
      </c>
    </row>
    <row r="143" spans="1:24" s="6" customFormat="1" x14ac:dyDescent="0.2">
      <c r="B143" s="1" t="str">
        <v>US</v>
      </c>
      <c r="C143" s="26"/>
      <c r="D143" s="26">
        <f ca="1">'Climate A'!D143-'Climate B'!D143</f>
        <v>0</v>
      </c>
      <c r="E143" s="26">
        <f ca="1">'Climate A'!E143-'Climate B'!E143</f>
        <v>0</v>
      </c>
      <c r="F143" s="26">
        <f ca="1">'Climate A'!F143-'Climate B'!F143</f>
        <v>0</v>
      </c>
      <c r="G143" s="26">
        <f ca="1">'Climate A'!G143-'Climate B'!G143</f>
        <v>0</v>
      </c>
      <c r="H143" s="26">
        <f ca="1">'Climate A'!H143-'Climate B'!H143</f>
        <v>7.8680734394325214E-2</v>
      </c>
      <c r="I143" s="26">
        <f ca="1">'Climate A'!I143-'Climate B'!I143</f>
        <v>0.17554462437119323</v>
      </c>
      <c r="J143" s="26">
        <f ca="1">'Climate A'!J143-'Climate B'!J143</f>
        <v>0.24436004329214336</v>
      </c>
      <c r="K143" s="26">
        <f ca="1">'Climate A'!K143-'Climate B'!K143</f>
        <v>0.28038274041283229</v>
      </c>
      <c r="L143" s="26">
        <f ca="1">'Climate A'!L143-'Climate B'!L143</f>
        <v>0.28254113381386686</v>
      </c>
      <c r="M143" s="26">
        <f ca="1">'Climate A'!M143-'Climate B'!M143</f>
        <v>0.25980033098632443</v>
      </c>
      <c r="N143" s="6" t="str">
        <f>'Base data'!$F$21</f>
        <v>W/m2</v>
      </c>
    </row>
    <row r="144" spans="1:24" s="6" customFormat="1" x14ac:dyDescent="0.2">
      <c r="B144" s="1" t="str">
        <v>OT</v>
      </c>
      <c r="C144" s="26"/>
      <c r="D144" s="26">
        <f ca="1">'Climate A'!D144-'Climate B'!D144</f>
        <v>0</v>
      </c>
      <c r="E144" s="26">
        <f ca="1">'Climate A'!E144-'Climate B'!E144</f>
        <v>0</v>
      </c>
      <c r="F144" s="26">
        <f ca="1">'Climate A'!F144-'Climate B'!F144</f>
        <v>0</v>
      </c>
      <c r="G144" s="26">
        <f ca="1">'Climate A'!G144-'Climate B'!G144</f>
        <v>0</v>
      </c>
      <c r="H144" s="26">
        <f ca="1">'Climate A'!H144-'Climate B'!H144</f>
        <v>2.1914090548353582E-2</v>
      </c>
      <c r="I144" s="26">
        <f ca="1">'Climate A'!I144-'Climate B'!I144</f>
        <v>4.2924255229164349E-2</v>
      </c>
      <c r="J144" s="26">
        <f ca="1">'Climate A'!J144-'Climate B'!J144</f>
        <v>6.3828122734984255E-2</v>
      </c>
      <c r="K144" s="26">
        <f ca="1">'Climate A'!K144-'Climate B'!K144</f>
        <v>7.8287018985467777E-2</v>
      </c>
      <c r="L144" s="26">
        <f ca="1">'Climate A'!L144-'Climate B'!L144</f>
        <v>8.6381662128717895E-2</v>
      </c>
      <c r="M144" s="26">
        <f ca="1">'Climate A'!M144-'Climate B'!M144</f>
        <v>8.6281700610700868E-2</v>
      </c>
      <c r="N144" s="6" t="str">
        <f>'Base data'!$F$21</f>
        <v>W/m2</v>
      </c>
    </row>
    <row r="145" spans="1:24" s="6" customFormat="1" x14ac:dyDescent="0.2">
      <c r="B145" s="1" t="str">
        <v>EE</v>
      </c>
      <c r="C145" s="26"/>
      <c r="D145" s="26">
        <f ca="1">'Climate A'!D145-'Climate B'!D145</f>
        <v>0</v>
      </c>
      <c r="E145" s="26">
        <f ca="1">'Climate A'!E145-'Climate B'!E145</f>
        <v>0</v>
      </c>
      <c r="F145" s="26">
        <f ca="1">'Climate A'!F145-'Climate B'!F145</f>
        <v>0</v>
      </c>
      <c r="G145" s="26">
        <f ca="1">'Climate A'!G145-'Climate B'!G145</f>
        <v>0</v>
      </c>
      <c r="H145" s="26">
        <f ca="1">'Climate A'!H145-'Climate B'!H145</f>
        <v>1.8029836302211666E-2</v>
      </c>
      <c r="I145" s="26">
        <f ca="1">'Climate A'!I145-'Climate B'!I145</f>
        <v>2.6171372603911447E-2</v>
      </c>
      <c r="J145" s="26">
        <f ca="1">'Climate A'!J145-'Climate B'!J145</f>
        <v>2.9292662788736934E-2</v>
      </c>
      <c r="K145" s="26">
        <f ca="1">'Climate A'!K145-'Climate B'!K145</f>
        <v>2.9430355313574408E-2</v>
      </c>
      <c r="L145" s="26">
        <f ca="1">'Climate A'!L145-'Climate B'!L145</f>
        <v>2.4841731144104595E-2</v>
      </c>
      <c r="M145" s="26">
        <f ca="1">'Climate A'!M145-'Climate B'!M145</f>
        <v>1.624193959566661E-2</v>
      </c>
      <c r="N145" s="6" t="str">
        <f>'Base data'!$F$21</f>
        <v>W/m2</v>
      </c>
    </row>
    <row r="146" spans="1:24" s="6" customFormat="1" x14ac:dyDescent="0.2">
      <c r="B146" s="1" t="str">
        <v>CA</v>
      </c>
      <c r="C146" s="26"/>
      <c r="D146" s="26">
        <f ca="1">'Climate A'!D146-'Climate B'!D146</f>
        <v>0</v>
      </c>
      <c r="E146" s="26">
        <f ca="1">'Climate A'!E146-'Climate B'!E146</f>
        <v>0</v>
      </c>
      <c r="F146" s="26">
        <f ca="1">'Climate A'!F146-'Climate B'!F146</f>
        <v>0</v>
      </c>
      <c r="G146" s="26">
        <f ca="1">'Climate A'!G146-'Climate B'!G146</f>
        <v>0</v>
      </c>
      <c r="H146" s="26">
        <f ca="1">'Climate A'!H146-'Climate B'!H146</f>
        <v>9.5660884135281066E-2</v>
      </c>
      <c r="I146" s="26">
        <f ca="1">'Climate A'!I146-'Climate B'!I146</f>
        <v>0.14796925796834004</v>
      </c>
      <c r="J146" s="26">
        <f ca="1">'Climate A'!J146-'Climate B'!J146</f>
        <v>0.2019009900727613</v>
      </c>
      <c r="K146" s="26">
        <f ca="1">'Climate A'!K146-'Climate B'!K146</f>
        <v>0.21025202932904241</v>
      </c>
      <c r="L146" s="26">
        <f ca="1">'Climate A'!L146-'Climate B'!L146</f>
        <v>0.17513575692206529</v>
      </c>
      <c r="M146" s="26">
        <f ca="1">'Climate A'!M146-'Climate B'!M146</f>
        <v>0.14032568508370874</v>
      </c>
      <c r="N146" s="6" t="str">
        <f>'Base data'!$F$21</f>
        <v>W/m2</v>
      </c>
    </row>
    <row r="147" spans="1:24" s="6" customFormat="1" x14ac:dyDescent="0.2">
      <c r="B147" s="1" t="str">
        <v>IA</v>
      </c>
      <c r="C147" s="26"/>
      <c r="D147" s="26">
        <f ca="1">'Climate A'!D147-'Climate B'!D147</f>
        <v>0</v>
      </c>
      <c r="E147" s="26">
        <f ca="1">'Climate A'!E147-'Climate B'!E147</f>
        <v>0</v>
      </c>
      <c r="F147" s="26">
        <f ca="1">'Climate A'!F147-'Climate B'!F147</f>
        <v>0</v>
      </c>
      <c r="G147" s="26">
        <f ca="1">'Climate A'!G147-'Climate B'!G147</f>
        <v>0</v>
      </c>
      <c r="H147" s="26">
        <f ca="1">'Climate A'!H147-'Climate B'!H147</f>
        <v>0.2070765596056201</v>
      </c>
      <c r="I147" s="26">
        <f ca="1">'Climate A'!I147-'Climate B'!I147</f>
        <v>0.40945811868313819</v>
      </c>
      <c r="J147" s="26">
        <f ca="1">'Climate A'!J147-'Climate B'!J147</f>
        <v>0.51598841562482101</v>
      </c>
      <c r="K147" s="26">
        <f ca="1">'Climate A'!K147-'Climate B'!K147</f>
        <v>0.52158199907293712</v>
      </c>
      <c r="L147" s="26">
        <f ca="1">'Climate A'!L147-'Climate B'!L147</f>
        <v>0.45098693840387533</v>
      </c>
      <c r="M147" s="26">
        <f ca="1">'Climate A'!M147-'Climate B'!M147</f>
        <v>0.28908375122082536</v>
      </c>
      <c r="N147" s="6" t="str">
        <f>'Base data'!$F$21</f>
        <v>W/m2</v>
      </c>
    </row>
    <row r="148" spans="1:24" s="6" customFormat="1" x14ac:dyDescent="0.2">
      <c r="B148" s="1" t="str">
        <v>AF</v>
      </c>
      <c r="C148" s="26"/>
      <c r="D148" s="26">
        <f ca="1">'Climate A'!D148-'Climate B'!D148</f>
        <v>0</v>
      </c>
      <c r="E148" s="26">
        <f ca="1">'Climate A'!E148-'Climate B'!E148</f>
        <v>0</v>
      </c>
      <c r="F148" s="26">
        <f ca="1">'Climate A'!F148-'Climate B'!F148</f>
        <v>0</v>
      </c>
      <c r="G148" s="26">
        <f ca="1">'Climate A'!G148-'Climate B'!G148</f>
        <v>0</v>
      </c>
      <c r="H148" s="26">
        <f ca="1">'Climate A'!H148-'Climate B'!H148</f>
        <v>0.14909555172422762</v>
      </c>
      <c r="I148" s="26">
        <f ca="1">'Climate A'!I148-'Climate B'!I148</f>
        <v>0.30337035680479318</v>
      </c>
      <c r="J148" s="26">
        <f ca="1">'Climate A'!J148-'Climate B'!J148</f>
        <v>0.38630645510837869</v>
      </c>
      <c r="K148" s="26">
        <f ca="1">'Climate A'!K148-'Climate B'!K148</f>
        <v>0.40991427338375575</v>
      </c>
      <c r="L148" s="26">
        <f ca="1">'Climate A'!L148-'Climate B'!L148</f>
        <v>0.3626795750482838</v>
      </c>
      <c r="M148" s="26">
        <f ca="1">'Climate A'!M148-'Climate B'!M148</f>
        <v>0.22872980272856719</v>
      </c>
      <c r="N148" s="6" t="str">
        <f>'Base data'!$F$21</f>
        <v>W/m2</v>
      </c>
    </row>
    <row r="149" spans="1:24" s="6" customFormat="1" x14ac:dyDescent="0.2">
      <c r="B149" s="1" t="str">
        <v>LA</v>
      </c>
      <c r="C149" s="26"/>
      <c r="D149" s="26">
        <f ca="1">'Climate A'!D149-'Climate B'!D149</f>
        <v>0</v>
      </c>
      <c r="E149" s="26">
        <f ca="1">'Climate A'!E149-'Climate B'!E149</f>
        <v>0</v>
      </c>
      <c r="F149" s="26">
        <f ca="1">'Climate A'!F149-'Climate B'!F149</f>
        <v>0</v>
      </c>
      <c r="G149" s="26">
        <f ca="1">'Climate A'!G149-'Climate B'!G149</f>
        <v>0</v>
      </c>
      <c r="H149" s="26">
        <f ca="1">'Climate A'!H149-'Climate B'!H149</f>
        <v>0.11362668140522081</v>
      </c>
      <c r="I149" s="26">
        <f ca="1">'Climate A'!I149-'Climate B'!I149</f>
        <v>0.24165474542755028</v>
      </c>
      <c r="J149" s="26">
        <f ca="1">'Climate A'!J149-'Climate B'!J149</f>
        <v>0.34186699815869032</v>
      </c>
      <c r="K149" s="26">
        <f ca="1">'Climate A'!K149-'Climate B'!K149</f>
        <v>0.39037080775403599</v>
      </c>
      <c r="L149" s="26">
        <f ca="1">'Climate A'!L149-'Climate B'!L149</f>
        <v>0.37981145042111653</v>
      </c>
      <c r="M149" s="26">
        <f ca="1">'Climate A'!M149-'Climate B'!M149</f>
        <v>0.33810550736706085</v>
      </c>
      <c r="N149" s="6" t="str">
        <f>'Base data'!$F$21</f>
        <v>W/m2</v>
      </c>
    </row>
    <row r="150" spans="1:24" s="6" customFormat="1" x14ac:dyDescent="0.2">
      <c r="B150" s="6" t="s">
        <v>136</v>
      </c>
      <c r="C150" s="256"/>
      <c r="D150" s="256">
        <f ca="1">'Climate A'!D150-'Climate B'!D150</f>
        <v>0</v>
      </c>
      <c r="E150" s="256">
        <f ca="1">'Climate A'!E150-'Climate B'!E150</f>
        <v>0</v>
      </c>
      <c r="F150" s="256">
        <f ca="1">'Climate A'!F150-'Climate B'!F150</f>
        <v>0</v>
      </c>
      <c r="G150" s="256">
        <f ca="1">'Climate A'!G150-'Climate B'!G150</f>
        <v>0</v>
      </c>
      <c r="H150" s="256">
        <f ca="1">'Climate A'!H150-'Climate B'!H150</f>
        <v>2.6190253811272074E-2</v>
      </c>
      <c r="I150" s="256">
        <f ca="1">'Climate A'!I150-'Climate B'!I150</f>
        <v>5.2690884227987872E-2</v>
      </c>
      <c r="J150" s="256">
        <f ca="1">'Climate A'!J150-'Climate B'!J150</f>
        <v>6.9481060371795772E-2</v>
      </c>
      <c r="K150" s="256">
        <f ca="1">'Climate A'!K150-'Climate B'!K150</f>
        <v>7.5121975583059775E-2</v>
      </c>
      <c r="L150" s="256">
        <f ca="1">'Climate A'!L150-'Climate B'!L150</f>
        <v>6.8915886452082811E-2</v>
      </c>
      <c r="M150" s="256">
        <f ca="1">'Climate A'!M150-'Climate B'!M150</f>
        <v>5.14688396121223E-2</v>
      </c>
      <c r="N150" s="6" t="s">
        <v>42</v>
      </c>
    </row>
    <row r="151" spans="1:24" s="6" customFormat="1" x14ac:dyDescent="0.2">
      <c r="A151" t="s">
        <v>74</v>
      </c>
      <c r="B151" t="s">
        <v>75</v>
      </c>
      <c r="C151" s="1"/>
      <c r="D151" s="26">
        <f ca="1">'Climate A'!D151-'Climate B'!D151</f>
        <v>0</v>
      </c>
      <c r="E151" s="26">
        <f ca="1">'Climate A'!E151-'Climate B'!E151</f>
        <v>0</v>
      </c>
      <c r="F151" s="26">
        <f ca="1">'Climate A'!F151-'Climate B'!F151</f>
        <v>0</v>
      </c>
      <c r="G151" s="26">
        <f ca="1">'Climate A'!G151-'Climate B'!G151</f>
        <v>0</v>
      </c>
      <c r="H151" s="26">
        <f ca="1">'Climate A'!H151-'Climate B'!H151</f>
        <v>0.81495281283021548</v>
      </c>
      <c r="I151" s="26">
        <f ca="1">'Climate A'!I151-'Climate B'!I151</f>
        <v>1.875125779502846</v>
      </c>
      <c r="J151" s="26">
        <f ca="1">'Climate A'!J151-'Climate B'!J151</f>
        <v>2.6904323300197852</v>
      </c>
      <c r="K151" s="26">
        <f ca="1">'Climate A'!K151-'Climate B'!K151</f>
        <v>3.0937687489550929</v>
      </c>
      <c r="L151" s="26">
        <f ca="1">'Climate A'!L151-'Climate B'!L151</f>
        <v>2.9173081673726227</v>
      </c>
      <c r="M151" s="26">
        <f ca="1">'Climate A'!M151-'Climate B'!M151</f>
        <v>2.3168821606174577</v>
      </c>
      <c r="N151" s="6" t="str">
        <f>'Base data'!$F$21</f>
        <v>W/m2</v>
      </c>
      <c r="O151"/>
      <c r="P151"/>
      <c r="Q151"/>
      <c r="R151"/>
      <c r="S151"/>
      <c r="T151"/>
      <c r="U151"/>
      <c r="V151"/>
      <c r="W151"/>
      <c r="X151"/>
    </row>
    <row r="152" spans="1:24" s="6" customFormat="1" x14ac:dyDescent="0.2">
      <c r="A152"/>
      <c r="B152"/>
      <c r="C152" s="1"/>
      <c r="D152" s="26">
        <f ca="1">'Climate A'!D152-'Climate B'!D152</f>
        <v>0</v>
      </c>
      <c r="E152" s="26">
        <f ca="1">'Climate A'!E152-'Climate B'!E152</f>
        <v>0</v>
      </c>
      <c r="F152" s="26">
        <f ca="1">'Climate A'!F152-'Climate B'!F152</f>
        <v>0</v>
      </c>
      <c r="G152" s="26">
        <f ca="1">'Climate A'!G152-'Climate B'!G152</f>
        <v>0</v>
      </c>
      <c r="H152" s="26">
        <f ca="1">'Climate A'!H152-'Climate B'!H152</f>
        <v>0.22884467366914996</v>
      </c>
      <c r="I152" s="26">
        <f ca="1">'Climate A'!I152-'Climate B'!I152</f>
        <v>0.46979096550885102</v>
      </c>
      <c r="J152" s="26">
        <f ca="1">'Climate A'!J152-'Climate B'!J152</f>
        <v>0.62010640040705489</v>
      </c>
      <c r="K152" s="26">
        <f ca="1">'Climate A'!K152-'Climate B'!K152</f>
        <v>0.69284973880576284</v>
      </c>
      <c r="L152" s="26">
        <f ca="1">'Climate A'!L152-'Climate B'!L152</f>
        <v>0.67926475784936158</v>
      </c>
      <c r="M152" s="26">
        <f ca="1">'Climate A'!M152-'Climate B'!M152</f>
        <v>0.60538055937708124</v>
      </c>
      <c r="N152" s="6" t="str">
        <f>'Base data'!$F$21</f>
        <v>W/m2</v>
      </c>
      <c r="O152"/>
      <c r="P152"/>
      <c r="Q152"/>
      <c r="R152"/>
      <c r="S152"/>
      <c r="T152"/>
      <c r="U152"/>
      <c r="V152"/>
      <c r="W152"/>
      <c r="X152"/>
    </row>
    <row r="153" spans="1:24" x14ac:dyDescent="0.2">
      <c r="C153" s="1"/>
      <c r="D153" s="26">
        <f ca="1">'Climate A'!D153-'Climate B'!D153</f>
        <v>0</v>
      </c>
      <c r="E153" s="26">
        <f ca="1">'Climate A'!E153-'Climate B'!E153</f>
        <v>0</v>
      </c>
      <c r="F153" s="26">
        <f ca="1">'Climate A'!F153-'Climate B'!F153</f>
        <v>0</v>
      </c>
      <c r="G153" s="26">
        <f ca="1">'Climate A'!G153-'Climate B'!G153</f>
        <v>0</v>
      </c>
      <c r="H153" s="26">
        <f ca="1">'Climate A'!H153-'Climate B'!H153</f>
        <v>4.7472139875932129E-2</v>
      </c>
      <c r="I153" s="26">
        <f ca="1">'Climate A'!I153-'Climate B'!I153</f>
        <v>9.0843101042875241E-2</v>
      </c>
      <c r="J153" s="26">
        <f ca="1">'Climate A'!J153-'Climate B'!J153</f>
        <v>0.13233369280035218</v>
      </c>
      <c r="K153" s="26">
        <f ca="1">'Climate A'!K153-'Climate B'!K153</f>
        <v>0.16019535568484594</v>
      </c>
      <c r="L153" s="26">
        <f ca="1">'Climate A'!L153-'Climate B'!L153</f>
        <v>0.17592891530063703</v>
      </c>
      <c r="M153" s="26">
        <f ca="1">'Climate A'!M153-'Climate B'!M153</f>
        <v>0.17451602773574149</v>
      </c>
      <c r="N153" s="6" t="str">
        <f>'Base data'!$F$21</f>
        <v>W/m2</v>
      </c>
    </row>
    <row r="154" spans="1:24" x14ac:dyDescent="0.2">
      <c r="C154" s="1"/>
      <c r="D154" s="26">
        <f ca="1">'Climate A'!D154-'Climate B'!D154</f>
        <v>0</v>
      </c>
      <c r="E154" s="26">
        <f ca="1">'Climate A'!E154-'Climate B'!E154</f>
        <v>0</v>
      </c>
      <c r="F154" s="26">
        <f ca="1">'Climate A'!F154-'Climate B'!F154</f>
        <v>0</v>
      </c>
      <c r="G154" s="26">
        <f ca="1">'Climate A'!G154-'Climate B'!G154</f>
        <v>0</v>
      </c>
      <c r="H154" s="26">
        <f ca="1">'Climate A'!H154-'Climate B'!H154</f>
        <v>4.4797375026438324E-2</v>
      </c>
      <c r="I154" s="26">
        <f ca="1">'Climate A'!I154-'Climate B'!I154</f>
        <v>6.2820819666748684E-2</v>
      </c>
      <c r="J154" s="26">
        <f ca="1">'Climate A'!J154-'Climate B'!J154</f>
        <v>6.7806756018815251E-2</v>
      </c>
      <c r="K154" s="26">
        <f ca="1">'Climate A'!K154-'Climate B'!K154</f>
        <v>6.5976563929296739E-2</v>
      </c>
      <c r="L154" s="26">
        <f ca="1">'Climate A'!L154-'Climate B'!L154</f>
        <v>5.5226230014962518E-2</v>
      </c>
      <c r="M154" s="26">
        <f ca="1">'Climate A'!M154-'Climate B'!M154</f>
        <v>3.5682559221846266E-2</v>
      </c>
      <c r="N154" s="6" t="str">
        <f>'Base data'!$F$21</f>
        <v>W/m2</v>
      </c>
    </row>
    <row r="155" spans="1:24" x14ac:dyDescent="0.2">
      <c r="C155" s="1"/>
      <c r="D155" s="26">
        <f ca="1">'Climate A'!D155-'Climate B'!D155</f>
        <v>0</v>
      </c>
      <c r="E155" s="26">
        <f ca="1">'Climate A'!E155-'Climate B'!E155</f>
        <v>0</v>
      </c>
      <c r="F155" s="26">
        <f ca="1">'Climate A'!F155-'Climate B'!F155</f>
        <v>0</v>
      </c>
      <c r="G155" s="26">
        <f ca="1">'Climate A'!G155-'Climate B'!G155</f>
        <v>0</v>
      </c>
      <c r="H155" s="26">
        <f ca="1">'Climate A'!H155-'Climate B'!H155</f>
        <v>0.5683714655238794</v>
      </c>
      <c r="I155" s="26">
        <f ca="1">'Climate A'!I155-'Climate B'!I155</f>
        <v>0.75096883982151441</v>
      </c>
      <c r="J155" s="26">
        <f ca="1">'Climate A'!J155-'Climate B'!J155</f>
        <v>0.87536078463339373</v>
      </c>
      <c r="K155" s="26">
        <f ca="1">'Climate A'!K155-'Climate B'!K155</f>
        <v>0.79842459747357042</v>
      </c>
      <c r="L155" s="26">
        <f ca="1">'Climate A'!L155-'Climate B'!L155</f>
        <v>0.60570723001735893</v>
      </c>
      <c r="M155" s="26">
        <f ca="1">'Climate A'!M155-'Climate B'!M155</f>
        <v>0.44874394056994649</v>
      </c>
      <c r="N155" s="6" t="str">
        <f>'Base data'!$F$21</f>
        <v>W/m2</v>
      </c>
    </row>
    <row r="156" spans="1:24" x14ac:dyDescent="0.2">
      <c r="C156" s="1"/>
      <c r="D156" s="26">
        <f ca="1">'Climate A'!D156-'Climate B'!D156</f>
        <v>0</v>
      </c>
      <c r="E156" s="26">
        <f ca="1">'Climate A'!E156-'Climate B'!E156</f>
        <v>0</v>
      </c>
      <c r="F156" s="26">
        <f ca="1">'Climate A'!F156-'Climate B'!F156</f>
        <v>0</v>
      </c>
      <c r="G156" s="26">
        <f ca="1">'Climate A'!G156-'Climate B'!G156</f>
        <v>0</v>
      </c>
      <c r="H156" s="26">
        <f ca="1">'Climate A'!H156-'Climate B'!H156</f>
        <v>3.1481496030221914</v>
      </c>
      <c r="I156" s="26">
        <f ca="1">'Climate A'!I156-'Climate B'!I156</f>
        <v>4.8987808607207803</v>
      </c>
      <c r="J156" s="26">
        <f ca="1">'Climate A'!J156-'Climate B'!J156</f>
        <v>4.8195560691847925</v>
      </c>
      <c r="K156" s="26">
        <f ca="1">'Climate A'!K156-'Climate B'!K156</f>
        <v>3.7368836858682166</v>
      </c>
      <c r="L156" s="26">
        <f ca="1">'Climate A'!L156-'Climate B'!L156</f>
        <v>2.419564178623395</v>
      </c>
      <c r="M156" s="26">
        <f ca="1">'Climate A'!M156-'Climate B'!M156</f>
        <v>1.1201569367626112</v>
      </c>
      <c r="N156" s="6" t="str">
        <f>'Base data'!$F$21</f>
        <v>W/m2</v>
      </c>
    </row>
    <row r="157" spans="1:24" x14ac:dyDescent="0.2">
      <c r="C157" s="1"/>
      <c r="D157" s="26">
        <f ca="1">'Climate A'!D157-'Climate B'!D157</f>
        <v>0</v>
      </c>
      <c r="E157" s="26">
        <f ca="1">'Climate A'!E157-'Climate B'!E157</f>
        <v>0</v>
      </c>
      <c r="F157" s="26">
        <f ca="1">'Climate A'!F157-'Climate B'!F157</f>
        <v>0</v>
      </c>
      <c r="G157" s="26">
        <f ca="1">'Climate A'!G157-'Climate B'!G157</f>
        <v>0</v>
      </c>
      <c r="H157" s="26">
        <f ca="1">'Climate A'!H157-'Climate B'!H157</f>
        <v>0.53840295553535844</v>
      </c>
      <c r="I157" s="26">
        <f ca="1">'Climate A'!I157-'Climate B'!I157</f>
        <v>1.149305955740725</v>
      </c>
      <c r="J157" s="26">
        <f ca="1">'Climate A'!J157-'Climate B'!J157</f>
        <v>1.4724144007106157</v>
      </c>
      <c r="K157" s="26">
        <f ca="1">'Climate A'!K157-'Climate B'!K157</f>
        <v>1.4618007078472457</v>
      </c>
      <c r="L157" s="26">
        <f ca="1">'Climate A'!L157-'Climate B'!L157</f>
        <v>1.1416661576889648</v>
      </c>
      <c r="M157" s="26">
        <f ca="1">'Climate A'!M157-'Climate B'!M157</f>
        <v>0.60967640225333708</v>
      </c>
      <c r="N157" s="6" t="str">
        <f>'Base data'!$F$21</f>
        <v>W/m2</v>
      </c>
    </row>
    <row r="158" spans="1:24" x14ac:dyDescent="0.2">
      <c r="C158" s="1"/>
      <c r="D158" s="26">
        <f ca="1">'Climate A'!D158-'Climate B'!D158</f>
        <v>0</v>
      </c>
      <c r="E158" s="26">
        <f ca="1">'Climate A'!E158-'Climate B'!E158</f>
        <v>0</v>
      </c>
      <c r="F158" s="26">
        <f ca="1">'Climate A'!F158-'Climate B'!F158</f>
        <v>0</v>
      </c>
      <c r="G158" s="26">
        <f ca="1">'Climate A'!G158-'Climate B'!G158</f>
        <v>0</v>
      </c>
      <c r="H158" s="26">
        <f ca="1">'Climate A'!H158-'Climate B'!H158</f>
        <v>0.44640984438962539</v>
      </c>
      <c r="I158" s="26">
        <f ca="1">'Climate A'!I158-'Climate B'!I158</f>
        <v>0.8421821661531963</v>
      </c>
      <c r="J158" s="26">
        <f ca="1">'Climate A'!J158-'Climate B'!J158</f>
        <v>1.0485735481300407</v>
      </c>
      <c r="K158" s="26">
        <f ca="1">'Climate A'!K158-'Climate B'!K158</f>
        <v>1.0810069742184822</v>
      </c>
      <c r="L158" s="26">
        <f ca="1">'Climate A'!L158-'Climate B'!L158</f>
        <v>0.98981563209586998</v>
      </c>
      <c r="M158" s="26">
        <f ca="1">'Climate A'!M158-'Climate B'!M158</f>
        <v>0.82263712962544044</v>
      </c>
      <c r="N158" s="6" t="str">
        <f>'Base data'!$F$21</f>
        <v>W/m2</v>
      </c>
    </row>
    <row r="159" spans="1:24" ht="13.5" thickBot="1" x14ac:dyDescent="0.25">
      <c r="C159" t="s">
        <v>136</v>
      </c>
      <c r="D159" s="257">
        <f ca="1">'Climate A'!D159-'Climate B'!D159</f>
        <v>0</v>
      </c>
      <c r="E159" s="257">
        <f ca="1">'Climate A'!E159-'Climate B'!E159</f>
        <v>0</v>
      </c>
      <c r="F159" s="257">
        <f ca="1">'Climate A'!F159-'Climate B'!F159</f>
        <v>0</v>
      </c>
      <c r="G159" s="257">
        <f ca="1">'Climate A'!G159-'Climate B'!G159</f>
        <v>0</v>
      </c>
      <c r="H159" s="257">
        <f ca="1">'Climate A'!H159-'Climate B'!H159</f>
        <v>0.15188560622342256</v>
      </c>
      <c r="I159" s="257">
        <f ca="1">'Climate A'!I159-'Climate B'!I159</f>
        <v>0.27104302662751845</v>
      </c>
      <c r="J159" s="257">
        <f ca="1">'Climate A'!J159-'Climate B'!J159</f>
        <v>0.31571704215599689</v>
      </c>
      <c r="K159" s="257">
        <f ca="1">'Climate A'!K159-'Climate B'!K159</f>
        <v>0.29684220475948014</v>
      </c>
      <c r="L159" s="257">
        <f ca="1">'Climate A'!L159-'Climate B'!L159</f>
        <v>0.23472645228277897</v>
      </c>
      <c r="M159" s="257">
        <f ca="1">'Climate A'!M159-'Climate B'!M159</f>
        <v>0.14873567991323378</v>
      </c>
      <c r="N159" s="6" t="s">
        <v>42</v>
      </c>
    </row>
    <row r="160" spans="1:24" ht="13.5" thickTop="1" x14ac:dyDescent="0.2">
      <c r="D160" s="6"/>
      <c r="E160" s="6"/>
      <c r="F160" s="6"/>
      <c r="G160" s="6"/>
      <c r="H160" s="6"/>
      <c r="I160" s="6"/>
      <c r="J160" s="6"/>
      <c r="K160" s="6"/>
      <c r="L160" s="6"/>
      <c r="M160" s="6"/>
      <c r="N160" s="6"/>
    </row>
    <row r="161" spans="1:24" x14ac:dyDescent="0.2">
      <c r="A161" t="s">
        <v>560</v>
      </c>
      <c r="B161" t="s">
        <v>557</v>
      </c>
      <c r="C161" s="213">
        <f ca="1">'Climate A'!C161-'Climate B'!C161</f>
        <v>0</v>
      </c>
      <c r="D161" s="213">
        <f ca="1">'Climate A'!D161-'Climate B'!D161</f>
        <v>-6.5239934369465402E-5</v>
      </c>
      <c r="E161" s="213">
        <f ca="1">'Climate A'!E161-'Climate B'!E161</f>
        <v>-1.7916548181284853E-4</v>
      </c>
      <c r="F161" s="213">
        <f ca="1">'Climate A'!F161-'Climate B'!F161</f>
        <v>-2.1603310022921818E-4</v>
      </c>
      <c r="G161" s="213">
        <f ca="1">'Climate A'!G161-'Climate B'!G161</f>
        <v>-1.2573744954256227E-3</v>
      </c>
      <c r="H161" s="213">
        <f ca="1">'Climate A'!H161-'Climate B'!H161</f>
        <v>-0.30875680427421592</v>
      </c>
      <c r="I161" s="213">
        <f ca="1">'Climate A'!I161-'Climate B'!I161</f>
        <v>-1.1117767510512406</v>
      </c>
      <c r="J161" s="213">
        <f ca="1">'Climate A'!J161-'Climate B'!J161</f>
        <v>-2.2389938545797605</v>
      </c>
      <c r="K161" s="213">
        <f ca="1">'Climate A'!K161-'Climate B'!K161</f>
        <v>-3.4107356025119873</v>
      </c>
      <c r="L161" s="213">
        <f ca="1">'Climate A'!L161-'Climate B'!L161</f>
        <v>-4.4434673859280505</v>
      </c>
      <c r="M161" s="213">
        <f ca="1">'Climate A'!M161-'Climate B'!M161</f>
        <v>-5.3332427563127016</v>
      </c>
      <c r="N161" s="6" t="s">
        <v>42</v>
      </c>
      <c r="O161" s="1"/>
      <c r="P161" s="1"/>
      <c r="Q161" s="1"/>
      <c r="R161" s="1"/>
      <c r="S161" s="1"/>
      <c r="T161" s="1"/>
      <c r="U161" s="1"/>
      <c r="V161" s="1"/>
      <c r="W161" s="1"/>
      <c r="X161" s="1"/>
    </row>
    <row r="162" spans="1:24" x14ac:dyDescent="0.2">
      <c r="A162" t="s">
        <v>558</v>
      </c>
      <c r="B162" s="3"/>
      <c r="D162" s="222">
        <f ca="1">'Climate A'!D162-'Climate B'!D162</f>
        <v>-1.3047986873890305E-5</v>
      </c>
      <c r="E162" s="222">
        <f ca="1">'Climate A'!E162-'Climate B'!E162</f>
        <v>-2.27851094886794E-5</v>
      </c>
      <c r="F162" s="222">
        <f ca="1">'Climate A'!F162-'Climate B'!F162</f>
        <v>-7.3735236832753182E-6</v>
      </c>
      <c r="G162" s="222">
        <f ca="1">'Climate A'!G162-'Climate B'!G162</f>
        <v>-1.0413413951963768E-4</v>
      </c>
      <c r="H162" s="222">
        <f ca="1">'Climate A'!H162-'Climate B'!H162</f>
        <v>-3.074994297787903E-2</v>
      </c>
      <c r="I162" s="222">
        <f ca="1">'Climate A'!I162-'Climate B'!I162</f>
        <v>-8.0301994677702479E-2</v>
      </c>
      <c r="J162" s="222">
        <f ca="1">'Climate A'!J162-'Climate B'!J162</f>
        <v>-0.11272171035285199</v>
      </c>
      <c r="K162" s="222">
        <f ca="1">'Climate A'!K162-'Climate B'!K162</f>
        <v>-0.11717417479322267</v>
      </c>
      <c r="L162" s="222">
        <f ca="1">'Climate A'!L162-'Climate B'!L162</f>
        <v>-0.10327317834160628</v>
      </c>
      <c r="M162" s="222">
        <f ca="1">'Climate A'!M162-'Climate B'!M162</f>
        <v>-8.8977537038465115E-2</v>
      </c>
      <c r="N162" s="57" t="s">
        <v>559</v>
      </c>
    </row>
    <row r="163" spans="1:24" x14ac:dyDescent="0.2">
      <c r="D163" s="6"/>
      <c r="E163" s="6"/>
      <c r="F163" s="6"/>
      <c r="G163" s="6"/>
      <c r="H163" s="6"/>
      <c r="I163" s="6"/>
      <c r="J163" s="6"/>
      <c r="K163" s="6"/>
      <c r="L163" s="6"/>
      <c r="M163" s="6"/>
      <c r="N163" s="6"/>
    </row>
    <row r="164" spans="1:24" ht="15" x14ac:dyDescent="0.25">
      <c r="A164" s="3" t="s">
        <v>911</v>
      </c>
      <c r="B164" s="3" t="s">
        <v>443</v>
      </c>
      <c r="C164" s="213">
        <f>'Climate A'!C164-'Climate B'!C164</f>
        <v>0</v>
      </c>
      <c r="D164" s="258">
        <f ca="1">'Climate A'!D164-'Climate B'!D164</f>
        <v>0</v>
      </c>
      <c r="E164" s="213">
        <f ca="1">'Climate A'!E164-'Climate B'!E164</f>
        <v>-1.1769479249190695E-5</v>
      </c>
      <c r="F164" s="213">
        <f ca="1">'Climate A'!F164-'Climate B'!F164</f>
        <v>-3.8188143494100046E-5</v>
      </c>
      <c r="G164" s="213">
        <f ca="1">'Climate A'!G164-'Climate B'!G164</f>
        <v>-8.2674424881190589E-5</v>
      </c>
      <c r="H164" s="213">
        <f ca="1">'Climate A'!H164-'Climate B'!H164</f>
        <v>-4.5405714595725399E-4</v>
      </c>
      <c r="I164" s="213">
        <f ca="1">'Climate A'!I164-'Climate B'!I164</f>
        <v>-0.10355403384440187</v>
      </c>
      <c r="J164" s="213">
        <f ca="1">'Climate A'!J164-'Climate B'!J164</f>
        <v>-0.40923111521233446</v>
      </c>
      <c r="K164" s="213">
        <f ca="1">'Climate A'!K164-'Climate B'!K164</f>
        <v>-0.90836555779221628</v>
      </c>
      <c r="L164" s="213">
        <f ca="1">'Climate A'!L164-'Climate B'!L164</f>
        <v>-1.5207624834367834</v>
      </c>
      <c r="M164" s="213">
        <f ca="1">'Climate A'!M164-'Climate B'!M164</f>
        <v>-2.1610350402161917</v>
      </c>
      <c r="N164" t="str">
        <f>'Base data'!$L$35</f>
        <v>degC</v>
      </c>
      <c r="O164" s="6"/>
      <c r="P164" s="6"/>
      <c r="Q164" s="6"/>
      <c r="R164" s="6"/>
      <c r="S164" s="6"/>
      <c r="T164" s="6"/>
      <c r="U164" s="6"/>
      <c r="V164" s="6"/>
      <c r="W164" s="6"/>
      <c r="X164" s="6"/>
    </row>
    <row r="165" spans="1:24" ht="15" x14ac:dyDescent="0.25">
      <c r="A165" s="3"/>
      <c r="B165" s="3"/>
      <c r="C165" s="6"/>
      <c r="D165" s="112"/>
      <c r="E165" s="6"/>
      <c r="F165" s="6"/>
      <c r="G165" s="6"/>
      <c r="H165" s="6"/>
      <c r="I165" s="6"/>
      <c r="J165" s="6"/>
      <c r="K165" s="6"/>
      <c r="L165" s="6"/>
      <c r="M165" s="6"/>
      <c r="O165" s="6"/>
      <c r="P165" s="6"/>
      <c r="Q165" s="6"/>
      <c r="R165" s="6"/>
      <c r="S165" s="6"/>
      <c r="T165" s="6"/>
      <c r="U165" s="6"/>
      <c r="V165" s="6"/>
      <c r="W165" s="6"/>
      <c r="X165" s="6"/>
    </row>
    <row r="166" spans="1:24" ht="15" x14ac:dyDescent="0.25">
      <c r="A166" s="3" t="s">
        <v>904</v>
      </c>
      <c r="B166" s="103"/>
      <c r="C166" s="249"/>
      <c r="D166" s="250">
        <f ca="1">'Climate A'!D166-'Climate B'!D166</f>
        <v>0</v>
      </c>
      <c r="E166" s="249">
        <f ca="1">'Climate A'!E166-'Climate B'!E166</f>
        <v>3.9215292381433731E-5</v>
      </c>
      <c r="F166" s="249">
        <f ca="1">'Climate A'!F166-'Climate B'!F166</f>
        <v>6.464085409180198E-5</v>
      </c>
      <c r="G166" s="249">
        <f ca="1">'Climate A'!G166-'Climate B'!G166</f>
        <v>1.9621029936134349E-5</v>
      </c>
      <c r="H166" s="249">
        <f ca="1">'Climate A'!H166-'Climate B'!H166</f>
        <v>4.8031107861123967E-4</v>
      </c>
      <c r="I166" s="249">
        <f ca="1">'Climate A'!I166-'Climate B'!I166</f>
        <v>1.0868035566374279E-3</v>
      </c>
      <c r="J166" s="249">
        <f ca="1">'Climate A'!J166-'Climate B'!J166</f>
        <v>7.5658966609029044E-3</v>
      </c>
      <c r="K166" s="249">
        <f ca="1">'Climate A'!K166-'Climate B'!K166</f>
        <v>1.7896569107516636E-2</v>
      </c>
      <c r="L166" s="249">
        <f ca="1">'Climate A'!L166-'Climate B'!L166</f>
        <v>3.2307031466892011E-2</v>
      </c>
      <c r="M166" s="249">
        <f ca="1">'Climate A'!M166-'Climate B'!M166</f>
        <v>4.817291026831183E-2</v>
      </c>
      <c r="N166" s="57" t="s">
        <v>538</v>
      </c>
      <c r="O166" s="6"/>
      <c r="P166" s="6"/>
      <c r="Q166" s="6"/>
      <c r="R166" s="6"/>
      <c r="S166" s="6"/>
      <c r="T166" s="6"/>
      <c r="U166" s="6"/>
      <c r="V166" s="6"/>
      <c r="W166" s="6"/>
      <c r="X166" s="6"/>
    </row>
    <row r="167" spans="1:24" ht="15" x14ac:dyDescent="0.25">
      <c r="A167" s="3" t="s">
        <v>906</v>
      </c>
      <c r="B167" s="103"/>
      <c r="C167" s="249"/>
      <c r="D167" s="250">
        <f ca="1">'Climate A'!D167-'Climate B'!D167</f>
        <v>0</v>
      </c>
      <c r="E167" s="249">
        <f ca="1">'Climate A'!E167-'Climate B'!E167</f>
        <v>3.9215292381433731E-5</v>
      </c>
      <c r="F167" s="249">
        <f ca="1">'Climate A'!F167-'Climate B'!F167</f>
        <v>6.464085409180198E-5</v>
      </c>
      <c r="G167" s="249">
        <f ca="1">'Climate A'!G167-'Climate B'!G167</f>
        <v>1.9621029936134349E-5</v>
      </c>
      <c r="H167" s="249">
        <f ca="1">'Climate A'!H167-'Climate B'!H167</f>
        <v>4.8031107861123967E-4</v>
      </c>
      <c r="I167" s="249">
        <f ca="1">'Climate A'!I167-'Climate B'!I167</f>
        <v>1.0868035566374279E-3</v>
      </c>
      <c r="J167" s="249">
        <f ca="1">'Climate A'!J167-'Climate B'!J167</f>
        <v>7.5658966609029044E-3</v>
      </c>
      <c r="K167" s="249">
        <f ca="1">'Climate A'!K167-'Climate B'!K167</f>
        <v>1.7896569107516636E-2</v>
      </c>
      <c r="L167" s="249">
        <f ca="1">'Climate A'!L167-'Climate B'!L167</f>
        <v>3.2307031466892011E-2</v>
      </c>
      <c r="M167" s="249">
        <f ca="1">'Climate A'!M167-'Climate B'!M167</f>
        <v>4.817291026831183E-2</v>
      </c>
      <c r="N167" s="57" t="s">
        <v>538</v>
      </c>
      <c r="O167" s="6"/>
      <c r="P167" s="6"/>
      <c r="Q167" s="6"/>
      <c r="R167" s="6"/>
      <c r="S167" s="6"/>
      <c r="T167" s="6"/>
      <c r="U167" s="6"/>
      <c r="V167" s="6"/>
      <c r="W167" s="6"/>
      <c r="X167" s="6"/>
    </row>
    <row r="168" spans="1:24" ht="15" x14ac:dyDescent="0.25">
      <c r="A168" s="3" t="s">
        <v>914</v>
      </c>
      <c r="B168" s="103"/>
      <c r="C168" s="206"/>
      <c r="D168" s="250">
        <f ca="1">'Climate A'!D168-'Climate B'!D168</f>
        <v>0</v>
      </c>
      <c r="E168" s="249">
        <f ca="1">'Climate A'!E168-'Climate B'!E168</f>
        <v>-5.5351887464416549E-5</v>
      </c>
      <c r="F168" s="249">
        <f ca="1">'Climate A'!F168-'Climate B'!F168</f>
        <v>-1.0291396051753665E-4</v>
      </c>
      <c r="G168" s="249">
        <f ca="1">'Climate A'!G168-'Climate B'!G168</f>
        <v>-3.8524650256888116E-5</v>
      </c>
      <c r="H168" s="249">
        <f ca="1">'Climate A'!H168-'Climate B'!H168</f>
        <v>-1.1490284072528389E-3</v>
      </c>
      <c r="I168" s="249">
        <f ca="1">'Climate A'!I168-'Climate B'!I168</f>
        <v>-2.7947244301648189E-3</v>
      </c>
      <c r="J168" s="249">
        <f ca="1">'Climate A'!J168-'Climate B'!J168</f>
        <v>-2.2749490183438636E-2</v>
      </c>
      <c r="K168" s="249">
        <f ca="1">'Climate A'!K168-'Climate B'!K168</f>
        <v>-5.9439693721889952E-2</v>
      </c>
      <c r="L168" s="249">
        <f ca="1">'Climate A'!L168-'Climate B'!L168</f>
        <v>-0.11579163313619534</v>
      </c>
      <c r="M168" s="249">
        <f ca="1">'Climate A'!M168-'Climate B'!M168</f>
        <v>-0.185601635334665</v>
      </c>
      <c r="N168" s="3" t="s">
        <v>42</v>
      </c>
      <c r="O168" s="6"/>
      <c r="P168" s="6"/>
      <c r="Q168" s="6"/>
      <c r="R168" s="6"/>
      <c r="S168" s="6"/>
      <c r="T168" s="6"/>
      <c r="U168" s="6"/>
      <c r="V168" s="6"/>
      <c r="W168" s="6"/>
      <c r="X168" s="6"/>
    </row>
    <row r="169" spans="1:24" ht="15" x14ac:dyDescent="0.25">
      <c r="A169" s="3" t="s">
        <v>915</v>
      </c>
      <c r="B169" s="103"/>
      <c r="C169" s="250"/>
      <c r="D169" s="250">
        <f ca="1">'Climate A'!D169-'Climate B'!D169</f>
        <v>0</v>
      </c>
      <c r="E169" s="249">
        <f ca="1">'Climate A'!E169-'Climate B'!E169</f>
        <v>8.1280278700912589E-5</v>
      </c>
      <c r="F169" s="249">
        <f ca="1">'Climate A'!F169-'Climate B'!F169</f>
        <v>1.335513121989429E-4</v>
      </c>
      <c r="G169" s="249">
        <f ca="1">'Climate A'!G169-'Climate B'!G169</f>
        <v>4.0322946828208472E-5</v>
      </c>
      <c r="H169" s="249">
        <f ca="1">'Climate A'!H169-'Climate B'!H169</f>
        <v>9.782086598106865E-4</v>
      </c>
      <c r="I169" s="249">
        <f ca="1">'Climate A'!I169-'Climate B'!I169</f>
        <v>2.1911944025920782E-3</v>
      </c>
      <c r="J169" s="249">
        <f ca="1">'Climate A'!J169-'Climate B'!J169</f>
        <v>1.5120988276413172E-2</v>
      </c>
      <c r="K169" s="249">
        <f ca="1">'Climate A'!K169-'Climate B'!K169</f>
        <v>3.5459586496108031E-2</v>
      </c>
      <c r="L169" s="249">
        <f ca="1">'Climate A'!L169-'Climate B'!L169</f>
        <v>6.3518824227722259E-2</v>
      </c>
      <c r="M169" s="249">
        <f ca="1">'Climate A'!M169-'Climate B'!M169</f>
        <v>9.3907595438403657E-2</v>
      </c>
      <c r="N169" s="57" t="s">
        <v>41</v>
      </c>
      <c r="O169" s="6"/>
      <c r="P169" s="6"/>
      <c r="Q169" s="6"/>
      <c r="R169" s="6"/>
      <c r="S169" s="6"/>
      <c r="T169" s="6"/>
      <c r="U169" s="6"/>
      <c r="V169" s="6"/>
      <c r="W169" s="6"/>
      <c r="X169" s="6"/>
    </row>
    <row r="170" spans="1:24" ht="15" x14ac:dyDescent="0.25">
      <c r="A170" s="3" t="s">
        <v>916</v>
      </c>
      <c r="B170" s="103"/>
      <c r="C170" s="251"/>
      <c r="D170" s="251">
        <f ca="1">'Climate A'!D170-'Climate B'!D170</f>
        <v>0</v>
      </c>
      <c r="E170" s="202">
        <f ca="1">'Climate A'!E170-'Climate B'!E170</f>
        <v>8.20526693889434E-4</v>
      </c>
      <c r="F170" s="202">
        <f ca="1">'Climate A'!F170-'Climate B'!F170</f>
        <v>1.348204243562634E-3</v>
      </c>
      <c r="G170" s="202">
        <f ca="1">'Climate A'!G170-'Climate B'!G170</f>
        <v>4.0706127952816473E-4</v>
      </c>
      <c r="H170" s="202">
        <f ca="1">'Climate A'!H170-'Climate B'!H170</f>
        <v>9.87504386542426E-3</v>
      </c>
      <c r="I170" s="202">
        <f ca="1">'Climate A'!I170-'Climate B'!I170</f>
        <v>2.2120168970353404E-2</v>
      </c>
      <c r="J170" s="202">
        <f ca="1">'Climate A'!J170-'Climate B'!J170</f>
        <v>0.15264680088507987</v>
      </c>
      <c r="K170" s="202">
        <f ca="1">'Climate A'!K170-'Climate B'!K170</f>
        <v>0.35796552053293951</v>
      </c>
      <c r="L170" s="202">
        <f ca="1">'Climate A'!L170-'Climate B'!L170</f>
        <v>0.64122431266401136</v>
      </c>
      <c r="M170" s="202">
        <f ca="1">'Climate A'!M170-'Climate B'!M170</f>
        <v>0.94799981062369199</v>
      </c>
      <c r="N170" s="57" t="s">
        <v>457</v>
      </c>
      <c r="O170" s="6"/>
      <c r="P170" s="6"/>
      <c r="Q170" s="6"/>
      <c r="R170" s="6"/>
      <c r="S170" s="6"/>
      <c r="T170" s="6"/>
      <c r="U170" s="6"/>
      <c r="V170" s="6"/>
      <c r="W170" s="6"/>
      <c r="X170" s="6"/>
    </row>
    <row r="171" spans="1:24" ht="15" x14ac:dyDescent="0.25">
      <c r="A171" s="3"/>
      <c r="B171" s="103"/>
      <c r="C171" s="202"/>
      <c r="D171" s="112"/>
      <c r="E171" s="6"/>
      <c r="F171" s="6"/>
      <c r="G171" s="6"/>
      <c r="H171" s="6"/>
      <c r="I171" s="6"/>
      <c r="J171" s="6"/>
      <c r="K171" s="6"/>
      <c r="L171" s="6"/>
      <c r="M171" s="6"/>
      <c r="N171" s="3"/>
      <c r="O171" s="6"/>
      <c r="P171" s="6"/>
      <c r="Q171" s="6"/>
      <c r="R171" s="6"/>
      <c r="S171" s="6"/>
      <c r="T171" s="6"/>
      <c r="U171" s="6"/>
      <c r="V171" s="6"/>
      <c r="W171" s="6"/>
      <c r="X171" s="6"/>
    </row>
    <row r="172" spans="1:24" x14ac:dyDescent="0.2">
      <c r="A172" s="57" t="s">
        <v>910</v>
      </c>
      <c r="B172" s="113" t="s">
        <v>179</v>
      </c>
      <c r="C172" s="252">
        <f>'Climate A'!C172-'Climate B'!C172</f>
        <v>0</v>
      </c>
      <c r="D172" s="252">
        <f ca="1">'Climate A'!D172-'Climate B'!D172</f>
        <v>-6.7999999999996952E-3</v>
      </c>
      <c r="E172" s="252">
        <f ca="1">'Climate A'!E172-'Climate B'!E172</f>
        <v>-1.0536999999999797E-2</v>
      </c>
      <c r="F172" s="252">
        <f ca="1">'Climate A'!F172-'Climate B'!F172</f>
        <v>-2.8899999999998371E-3</v>
      </c>
      <c r="G172" s="252">
        <f ca="1">'Climate A'!G172-'Climate B'!G172</f>
        <v>-6.4024999999999999E-2</v>
      </c>
      <c r="H172" s="252">
        <f ca="1">'Climate A'!H172-'Climate B'!H172</f>
        <v>-2.4860000000000326E-2</v>
      </c>
      <c r="I172" s="252">
        <f ca="1">'Climate A'!I172-'Climate B'!I172</f>
        <v>-0.42472999999999939</v>
      </c>
      <c r="J172" s="252">
        <f ca="1">'Climate A'!J172-'Climate B'!J172</f>
        <v>-0.94313000000000002</v>
      </c>
      <c r="K172" s="252">
        <f ca="1">'Climate A'!K172-'Climate B'!K172</f>
        <v>-1.6716099999999994</v>
      </c>
      <c r="L172" s="252">
        <f ca="1">'Climate A'!L172-'Climate B'!L172</f>
        <v>-2.3949799999999994</v>
      </c>
      <c r="M172" s="252">
        <f ca="1">'Climate A'!M172-'Climate B'!M172</f>
        <v>-3.0751599999999994</v>
      </c>
      <c r="N172" t="str">
        <f>'Base data'!$L$35</f>
        <v>degC</v>
      </c>
      <c r="O172" s="6"/>
      <c r="P172" s="6"/>
      <c r="Q172" s="6"/>
      <c r="R172" s="6"/>
      <c r="S172" s="6"/>
      <c r="T172" s="6"/>
      <c r="U172" s="6"/>
      <c r="V172" s="6"/>
      <c r="W172" s="6"/>
      <c r="X172" s="6"/>
    </row>
    <row r="173" spans="1:24" x14ac:dyDescent="0.2">
      <c r="O173" s="6"/>
      <c r="P173" s="6"/>
      <c r="Q173" s="6"/>
      <c r="R173" s="6"/>
      <c r="S173" s="6"/>
      <c r="T173" s="6"/>
      <c r="U173" s="6"/>
      <c r="V173" s="6"/>
      <c r="W173" s="6"/>
      <c r="X173" s="6"/>
    </row>
    <row r="174" spans="1:24" ht="15" x14ac:dyDescent="0.25">
      <c r="A174" s="3" t="s">
        <v>908</v>
      </c>
      <c r="B174" s="103"/>
      <c r="C174" s="251"/>
      <c r="D174" s="251">
        <f ca="1">'Climate A'!D174-'Climate B'!D174</f>
        <v>-2.3974748557996084E-3</v>
      </c>
      <c r="E174" s="202">
        <f ca="1">'Climate A'!E174-'Climate B'!E174</f>
        <v>-3.6926899016297421E-3</v>
      </c>
      <c r="F174" s="202">
        <f ca="1">'Climate A'!F174-'Climate B'!F174</f>
        <v>-1.0064156233008381E-3</v>
      </c>
      <c r="G174" s="202">
        <f ca="1">'Climate A'!G174-'Climate B'!G174</f>
        <v>-2.1910364257309967E-2</v>
      </c>
      <c r="H174" s="202">
        <f ca="1">'Climate A'!H174-'Climate B'!H174</f>
        <v>-8.3336007690324454E-3</v>
      </c>
      <c r="I174" s="202">
        <f ca="1">'Climate A'!I174-'Climate B'!I174</f>
        <v>-0.13991253622767752</v>
      </c>
      <c r="J174" s="202">
        <f ca="1">'Climate A'!J174-'Climate B'!J174</f>
        <v>-0.30489264918471137</v>
      </c>
      <c r="K174" s="202">
        <f ca="1">'Climate A'!K174-'Climate B'!K174</f>
        <v>-0.53230584263716629</v>
      </c>
      <c r="L174" s="202">
        <f ca="1">'Climate A'!L174-'Climate B'!L174</f>
        <v>-0.74824560774187021</v>
      </c>
      <c r="M174" s="202">
        <f ca="1">'Climate A'!M174-'Climate B'!M174</f>
        <v>-0.94411022472107331</v>
      </c>
      <c r="N174" s="3" t="s">
        <v>42</v>
      </c>
      <c r="O174" s="6"/>
      <c r="P174" s="6"/>
      <c r="Q174" s="6"/>
      <c r="R174" s="6"/>
      <c r="S174" s="6"/>
      <c r="T174" s="6"/>
      <c r="U174" s="6"/>
      <c r="V174" s="6"/>
      <c r="W174" s="6"/>
      <c r="X174" s="6"/>
    </row>
    <row r="175" spans="1:24" ht="15" x14ac:dyDescent="0.25">
      <c r="A175" s="3" t="s">
        <v>909</v>
      </c>
      <c r="B175" s="103"/>
      <c r="C175" s="251"/>
      <c r="D175" s="251">
        <f ca="1">'Climate A'!D175-'Climate B'!D175</f>
        <v>6.017709980471464E-5</v>
      </c>
      <c r="E175" s="202">
        <f ca="1">'Climate A'!E175-'Climate B'!E175</f>
        <v>9.6997510759755379E-5</v>
      </c>
      <c r="F175" s="202">
        <f ca="1">'Climate A'!F175-'Climate B'!F175</f>
        <v>2.7614208665094342E-5</v>
      </c>
      <c r="G175" s="202">
        <f ca="1">'Climate A'!G175-'Climate B'!G175</f>
        <v>6.6734458120543128E-4</v>
      </c>
      <c r="H175" s="202">
        <f ca="1">'Climate A'!H175-'Climate B'!H175</f>
        <v>2.8130537880849404E-4</v>
      </c>
      <c r="I175" s="202">
        <f ca="1">'Climate A'!I175-'Climate B'!I175</f>
        <v>5.0901809930022912E-3</v>
      </c>
      <c r="J175" s="202">
        <f ca="1">'Climate A'!J175-'Climate B'!J175</f>
        <v>1.1913158589841544E-2</v>
      </c>
      <c r="K175" s="202">
        <f ca="1">'Climate A'!K175-'Climate B'!K175</f>
        <v>2.1881591135541945E-2</v>
      </c>
      <c r="L175" s="202">
        <f ca="1">'Climate A'!L175-'Climate B'!L175</f>
        <v>3.2628176778299156E-2</v>
      </c>
      <c r="M175" s="202">
        <f ca="1">'Climate A'!M175-'Climate B'!M175</f>
        <v>4.3252759698029331E-2</v>
      </c>
      <c r="N175" s="57" t="s">
        <v>538</v>
      </c>
      <c r="O175" s="6"/>
      <c r="P175" s="6"/>
      <c r="Q175" s="6"/>
      <c r="R175" s="6"/>
      <c r="S175" s="6"/>
      <c r="T175" s="6"/>
      <c r="U175" s="6"/>
      <c r="V175" s="6"/>
      <c r="W175" s="6"/>
      <c r="X175" s="6"/>
    </row>
    <row r="176" spans="1:24" x14ac:dyDescent="0.2">
      <c r="O176" s="6"/>
      <c r="P176" s="6"/>
      <c r="Q176" s="6"/>
      <c r="R176" s="6"/>
      <c r="S176" s="6"/>
      <c r="T176" s="6"/>
      <c r="U176" s="6"/>
      <c r="V176" s="6"/>
      <c r="W176" s="6"/>
      <c r="X176" s="6"/>
    </row>
    <row r="177" spans="1:25" x14ac:dyDescent="0.2">
      <c r="A177" s="57" t="s">
        <v>425</v>
      </c>
      <c r="B177" s="57" t="s">
        <v>168</v>
      </c>
      <c r="C177" s="1" t="str">
        <f t="array" ref="C177:C184">R_CODE</f>
        <v>EU</v>
      </c>
      <c r="D177" s="213">
        <f ca="1">'Climate A'!D177-'Climate B'!D177</f>
        <v>0.15872459999999977</v>
      </c>
      <c r="E177" s="213">
        <f ca="1">'Climate A'!E177-'Climate B'!E177</f>
        <v>0.11088500000000012</v>
      </c>
      <c r="F177" s="213">
        <f ca="1">'Climate A'!F177-'Climate B'!F177</f>
        <v>-8.4313000000000304E-2</v>
      </c>
      <c r="G177" s="213">
        <f ca="1">'Climate A'!G177-'Climate B'!G177</f>
        <v>3.157000000000032E-2</v>
      </c>
      <c r="H177" s="213">
        <f ca="1">'Climate A'!H177-'Climate B'!H177</f>
        <v>-8.2319999999999727E-2</v>
      </c>
      <c r="I177" s="213">
        <f ca="1">'Climate A'!I177-'Climate B'!I177</f>
        <v>-0.71825000000000028</v>
      </c>
      <c r="J177" s="213">
        <f ca="1">'Climate A'!J177-'Climate B'!J177</f>
        <v>-1.4068899999999998</v>
      </c>
      <c r="K177" s="213">
        <f ca="1">'Climate A'!K177-'Climate B'!K177</f>
        <v>-2.1996899999999999</v>
      </c>
      <c r="L177" s="213">
        <f ca="1">'Climate A'!L177-'Climate B'!L177</f>
        <v>-3.1856599999999995</v>
      </c>
      <c r="M177" s="213">
        <f ca="1">'Climate A'!M177-'Climate B'!M177</f>
        <v>-4.0264700000000007</v>
      </c>
      <c r="N177" t="str">
        <f>'Base data'!$L$35</f>
        <v>degC</v>
      </c>
      <c r="O177" s="6"/>
      <c r="P177" s="6"/>
      <c r="Q177" s="6"/>
      <c r="R177" s="6"/>
      <c r="S177" s="6"/>
      <c r="T177" s="6"/>
      <c r="U177" s="6"/>
      <c r="V177" s="6"/>
      <c r="W177" s="6"/>
      <c r="X177" s="6"/>
    </row>
    <row r="178" spans="1:25" x14ac:dyDescent="0.2">
      <c r="A178" s="6"/>
      <c r="B178" s="6"/>
      <c r="C178" s="1" t="str">
        <v>US</v>
      </c>
      <c r="D178" s="213">
        <f ca="1">'Climate A'!D178-'Climate B'!D178</f>
        <v>-7.7737999999999863E-2</v>
      </c>
      <c r="E178" s="213">
        <f ca="1">'Climate A'!E178-'Climate B'!E178</f>
        <v>-1.9750000000000156E-2</v>
      </c>
      <c r="F178" s="213">
        <f ca="1">'Climate A'!F178-'Climate B'!F178</f>
        <v>-0.144841</v>
      </c>
      <c r="G178" s="213">
        <f ca="1">'Climate A'!G178-'Climate B'!G178</f>
        <v>-0.16053999999999968</v>
      </c>
      <c r="H178" s="213">
        <f ca="1">'Climate A'!H178-'Climate B'!H178</f>
        <v>3.5550000000000193E-2</v>
      </c>
      <c r="I178" s="213">
        <f ca="1">'Climate A'!I178-'Climate B'!I178</f>
        <v>-0.50611999999999924</v>
      </c>
      <c r="J178" s="213">
        <f ca="1">'Climate A'!J178-'Climate B'!J178</f>
        <v>-1.2853300000000001</v>
      </c>
      <c r="K178" s="213">
        <f ca="1">'Climate A'!K178-'Climate B'!K178</f>
        <v>-2.3397800000000002</v>
      </c>
      <c r="L178" s="213">
        <f ca="1">'Climate A'!L178-'Climate B'!L178</f>
        <v>-3.3633200000000003</v>
      </c>
      <c r="M178" s="213">
        <f ca="1">'Climate A'!M178-'Climate B'!M178</f>
        <v>-4.20242</v>
      </c>
      <c r="N178" t="str">
        <f>'Base data'!$L$35</f>
        <v>degC</v>
      </c>
      <c r="O178" s="6"/>
      <c r="P178" s="6"/>
      <c r="Q178" s="6"/>
      <c r="R178" s="6"/>
      <c r="S178" s="6"/>
      <c r="T178" s="6"/>
      <c r="U178" s="6"/>
      <c r="V178" s="6"/>
      <c r="W178" s="6"/>
      <c r="X178" s="6"/>
      <c r="Y178" s="6"/>
    </row>
    <row r="179" spans="1:25" x14ac:dyDescent="0.2">
      <c r="A179" s="6"/>
      <c r="B179" s="6"/>
      <c r="C179" s="1" t="str">
        <v>OT</v>
      </c>
      <c r="D179" s="213">
        <f ca="1">'Climate A'!D179-'Climate B'!D179</f>
        <v>1.9420000000000215E-2</v>
      </c>
      <c r="E179" s="213">
        <f ca="1">'Climate A'!E179-'Climate B'!E179</f>
        <v>8.5726999999999887E-2</v>
      </c>
      <c r="F179" s="213">
        <f ca="1">'Climate A'!F179-'Climate B'!F179</f>
        <v>-5.6070000000003617E-3</v>
      </c>
      <c r="G179" s="213">
        <f ca="1">'Climate A'!G179-'Climate B'!G179</f>
        <v>-0.11545000000000005</v>
      </c>
      <c r="H179" s="213">
        <f ca="1">'Climate A'!H179-'Climate B'!H179</f>
        <v>-5.3340000000000387E-2</v>
      </c>
      <c r="I179" s="213">
        <f ca="1">'Climate A'!I179-'Climate B'!I179</f>
        <v>-0.75448000000000004</v>
      </c>
      <c r="J179" s="213">
        <f ca="1">'Climate A'!J179-'Climate B'!J179</f>
        <v>-1.3233499999999996</v>
      </c>
      <c r="K179" s="213">
        <f ca="1">'Climate A'!K179-'Climate B'!K179</f>
        <v>-2.5651599999999997</v>
      </c>
      <c r="L179" s="213">
        <f ca="1">'Climate A'!L179-'Climate B'!L179</f>
        <v>-3.7017199999999999</v>
      </c>
      <c r="M179" s="213">
        <f ca="1">'Climate A'!M179-'Climate B'!M179</f>
        <v>-4.6545299999999994</v>
      </c>
      <c r="N179" t="str">
        <f>'Base data'!$L$35</f>
        <v>degC</v>
      </c>
      <c r="O179" s="6"/>
      <c r="P179" s="6"/>
      <c r="Q179" s="6"/>
      <c r="R179" s="6"/>
      <c r="S179" s="6"/>
      <c r="T179" s="6"/>
      <c r="U179" s="6"/>
      <c r="V179" s="6"/>
      <c r="W179" s="6"/>
      <c r="X179" s="6"/>
      <c r="Y179" s="6"/>
    </row>
    <row r="180" spans="1:25" x14ac:dyDescent="0.2">
      <c r="A180" s="6"/>
      <c r="B180" s="6"/>
      <c r="C180" s="1" t="str">
        <v>EE</v>
      </c>
      <c r="D180" s="213">
        <f ca="1">'Climate A'!D180-'Climate B'!D180</f>
        <v>0.13209800000000005</v>
      </c>
      <c r="E180" s="213">
        <f ca="1">'Climate A'!E180-'Climate B'!E180</f>
        <v>0.10437699999999994</v>
      </c>
      <c r="F180" s="213">
        <f ca="1">'Climate A'!F180-'Climate B'!F180</f>
        <v>-9.0608000000000022E-2</v>
      </c>
      <c r="G180" s="213">
        <f ca="1">'Climate A'!G180-'Climate B'!G180</f>
        <v>1.6890000000000072E-2</v>
      </c>
      <c r="H180" s="213">
        <f ca="1">'Climate A'!H180-'Climate B'!H180</f>
        <v>-0.13378000000000068</v>
      </c>
      <c r="I180" s="213">
        <f ca="1">'Climate A'!I180-'Climate B'!I180</f>
        <v>-0.91502000000000017</v>
      </c>
      <c r="J180" s="213">
        <f ca="1">'Climate A'!J180-'Climate B'!J180</f>
        <v>-1.9881699999999993</v>
      </c>
      <c r="K180" s="213">
        <f ca="1">'Climate A'!K180-'Climate B'!K180</f>
        <v>-3.0276300000000003</v>
      </c>
      <c r="L180" s="213">
        <f ca="1">'Climate A'!L180-'Climate B'!L180</f>
        <v>-4.4876599999999991</v>
      </c>
      <c r="M180" s="213">
        <f ca="1">'Climate A'!M180-'Climate B'!M180</f>
        <v>-5.7320700000000002</v>
      </c>
      <c r="N180" t="str">
        <f>'Base data'!$L$35</f>
        <v>degC</v>
      </c>
      <c r="O180" s="6"/>
      <c r="P180" s="6"/>
      <c r="Q180" s="6"/>
      <c r="R180" s="6"/>
      <c r="S180" s="6"/>
      <c r="T180" s="6"/>
      <c r="U180" s="6"/>
      <c r="V180" s="6"/>
      <c r="W180" s="6"/>
      <c r="X180" s="6"/>
      <c r="Y180" s="6"/>
    </row>
    <row r="181" spans="1:25" x14ac:dyDescent="0.2">
      <c r="A181" s="6"/>
      <c r="B181" s="6"/>
      <c r="C181" s="1" t="str">
        <v>CA</v>
      </c>
      <c r="D181" s="213">
        <f ca="1">'Climate A'!D181-'Climate B'!D181</f>
        <v>4.8704999999999998E-2</v>
      </c>
      <c r="E181" s="213">
        <f ca="1">'Climate A'!E181-'Climate B'!E181</f>
        <v>-4.0050000000002584E-3</v>
      </c>
      <c r="F181" s="213">
        <f ca="1">'Climate A'!F181-'Climate B'!F181</f>
        <v>-0.10158200000000006</v>
      </c>
      <c r="G181" s="213">
        <f ca="1">'Climate A'!G181-'Climate B'!G181</f>
        <v>-0.12234999999999996</v>
      </c>
      <c r="H181" s="213">
        <f ca="1">'Climate A'!H181-'Climate B'!H181</f>
        <v>3.1340000000000146E-2</v>
      </c>
      <c r="I181" s="213">
        <f ca="1">'Climate A'!I181-'Climate B'!I181</f>
        <v>-0.61551</v>
      </c>
      <c r="J181" s="213">
        <f ca="1">'Climate A'!J181-'Climate B'!J181</f>
        <v>-1.5577699999999997</v>
      </c>
      <c r="K181" s="213">
        <f ca="1">'Climate A'!K181-'Climate B'!K181</f>
        <v>-2.4101900000000001</v>
      </c>
      <c r="L181" s="213">
        <f ca="1">'Climate A'!L181-'Climate B'!L181</f>
        <v>-3.4679699999999993</v>
      </c>
      <c r="M181" s="213">
        <f ca="1">'Climate A'!M181-'Climate B'!M181</f>
        <v>-4.4094499999999996</v>
      </c>
      <c r="N181" t="str">
        <f>'Base data'!$L$35</f>
        <v>degC</v>
      </c>
      <c r="O181" s="6"/>
      <c r="P181" s="6"/>
      <c r="Q181" s="6"/>
      <c r="R181" s="6"/>
      <c r="S181" s="6"/>
      <c r="T181" s="6"/>
      <c r="U181" s="6"/>
      <c r="V181" s="6"/>
      <c r="W181" s="6"/>
      <c r="X181" s="6"/>
      <c r="Y181" s="6"/>
    </row>
    <row r="182" spans="1:25" x14ac:dyDescent="0.2">
      <c r="A182" s="6"/>
      <c r="B182" s="6"/>
      <c r="C182" s="1" t="str">
        <v>IA</v>
      </c>
      <c r="D182" s="213">
        <f ca="1">'Climate A'!D182-'Climate B'!D182</f>
        <v>-6.4988999999999963E-2</v>
      </c>
      <c r="E182" s="213">
        <f ca="1">'Climate A'!E182-'Climate B'!E182</f>
        <v>-4.1225999999999985E-2</v>
      </c>
      <c r="F182" s="213">
        <f ca="1">'Climate A'!F182-'Climate B'!F182</f>
        <v>-3.3578000000000108E-2</v>
      </c>
      <c r="G182" s="213">
        <f ca="1">'Climate A'!G182-'Climate B'!G182</f>
        <v>-9.4359999999999999E-2</v>
      </c>
      <c r="H182" s="213">
        <f ca="1">'Climate A'!H182-'Climate B'!H182</f>
        <v>6.836999999999982E-2</v>
      </c>
      <c r="I182" s="213">
        <f ca="1">'Climate A'!I182-'Climate B'!I182</f>
        <v>-0.44459999999999944</v>
      </c>
      <c r="J182" s="213">
        <f ca="1">'Climate A'!J182-'Climate B'!J182</f>
        <v>-1.0731100000000002</v>
      </c>
      <c r="K182" s="213">
        <f ca="1">'Climate A'!K182-'Climate B'!K182</f>
        <v>-1.8842299999999996</v>
      </c>
      <c r="L182" s="213">
        <f ca="1">'Climate A'!L182-'Climate B'!L182</f>
        <v>-2.66628</v>
      </c>
      <c r="M182" s="213">
        <f ca="1">'Climate A'!M182-'Climate B'!M182</f>
        <v>-3.4329099999999997</v>
      </c>
      <c r="N182" t="str">
        <f>'Base data'!$L$35</f>
        <v>degC</v>
      </c>
      <c r="O182" s="6"/>
      <c r="P182" s="6"/>
      <c r="Q182" s="6"/>
      <c r="R182" s="6"/>
      <c r="S182" s="6"/>
      <c r="T182" s="6"/>
      <c r="U182" s="6"/>
      <c r="V182" s="6"/>
      <c r="W182" s="6"/>
      <c r="X182" s="6"/>
      <c r="Y182" s="6"/>
    </row>
    <row r="183" spans="1:25" x14ac:dyDescent="0.2">
      <c r="A183" s="6"/>
      <c r="B183" s="6"/>
      <c r="C183" s="1" t="str">
        <v>AF</v>
      </c>
      <c r="D183" s="213">
        <f ca="1">'Climate A'!D183-'Climate B'!D183</f>
        <v>-4.5916999999999986E-2</v>
      </c>
      <c r="E183" s="213">
        <f ca="1">'Climate A'!E183-'Climate B'!E183</f>
        <v>-7.1886000000000116E-2</v>
      </c>
      <c r="F183" s="213">
        <f ca="1">'Climate A'!F183-'Climate B'!F183</f>
        <v>-4.0360000000001506E-3</v>
      </c>
      <c r="G183" s="213">
        <f ca="1">'Climate A'!G183-'Climate B'!G183</f>
        <v>-0.12569000000000008</v>
      </c>
      <c r="H183" s="213">
        <f ca="1">'Climate A'!H183-'Climate B'!H183</f>
        <v>6.2329999999999774E-2</v>
      </c>
      <c r="I183" s="213">
        <f ca="1">'Climate A'!I183-'Climate B'!I183</f>
        <v>-0.42980000000000018</v>
      </c>
      <c r="J183" s="213">
        <f ca="1">'Climate A'!J183-'Climate B'!J183</f>
        <v>-1.1513499999999999</v>
      </c>
      <c r="K183" s="213">
        <f ca="1">'Climate A'!K183-'Climate B'!K183</f>
        <v>-2.0644299999999998</v>
      </c>
      <c r="L183" s="213">
        <f ca="1">'Climate A'!L183-'Climate B'!L183</f>
        <v>-2.9593600000000002</v>
      </c>
      <c r="M183" s="213">
        <f ca="1">'Climate A'!M183-'Climate B'!M183</f>
        <v>-3.8357600000000001</v>
      </c>
      <c r="N183" t="str">
        <f>'Base data'!$L$35</f>
        <v>degC</v>
      </c>
      <c r="O183" s="6"/>
      <c r="P183" s="6"/>
      <c r="Q183" s="6"/>
      <c r="R183" s="6"/>
      <c r="S183" s="6"/>
      <c r="T183" s="6"/>
      <c r="U183" s="6"/>
      <c r="V183" s="6"/>
      <c r="W183" s="6"/>
      <c r="X183" s="6"/>
      <c r="Y183" s="6"/>
    </row>
    <row r="184" spans="1:25" x14ac:dyDescent="0.2">
      <c r="A184" s="6"/>
      <c r="B184" s="6"/>
      <c r="C184" s="1" t="str">
        <v>LA</v>
      </c>
      <c r="D184" s="213">
        <f ca="1">'Climate A'!D184-'Climate B'!D184</f>
        <v>-0.16292700000000004</v>
      </c>
      <c r="E184" s="213">
        <f ca="1">'Climate A'!E184-'Climate B'!E184</f>
        <v>-5.0371999999999861E-2</v>
      </c>
      <c r="F184" s="213">
        <f ca="1">'Climate A'!F184-'Climate B'!F184</f>
        <v>-1.4946000000000126E-2</v>
      </c>
      <c r="G184" s="213">
        <f ca="1">'Climate A'!G184-'Climate B'!G184</f>
        <v>-0.14605999999999986</v>
      </c>
      <c r="H184" s="213">
        <f ca="1">'Climate A'!H184-'Climate B'!H184</f>
        <v>2.0779999999999355E-2</v>
      </c>
      <c r="I184" s="213">
        <f ca="1">'Climate A'!I184-'Climate B'!I184</f>
        <v>-0.47827000000000019</v>
      </c>
      <c r="J184" s="213">
        <f ca="1">'Climate A'!J184-'Climate B'!J184</f>
        <v>-1.0907599999999995</v>
      </c>
      <c r="K184" s="213">
        <f ca="1">'Climate A'!K184-'Climate B'!K184</f>
        <v>-2.0611699999999997</v>
      </c>
      <c r="L184" s="213">
        <f ca="1">'Climate A'!L184-'Climate B'!L184</f>
        <v>-2.8057400000000001</v>
      </c>
      <c r="M184" s="213">
        <f ca="1">'Climate A'!M184-'Climate B'!M184</f>
        <v>-3.55992</v>
      </c>
      <c r="N184" t="str">
        <f>'Base data'!$L$35</f>
        <v>degC</v>
      </c>
      <c r="O184" s="6"/>
      <c r="P184" s="6"/>
      <c r="Q184" s="6"/>
      <c r="R184" s="6"/>
      <c r="S184" s="6"/>
      <c r="T184" s="6"/>
      <c r="U184" s="6"/>
      <c r="V184" s="6"/>
      <c r="W184" s="6"/>
      <c r="X184" s="6"/>
      <c r="Y184" s="6"/>
    </row>
    <row r="185" spans="1:25" x14ac:dyDescent="0.2">
      <c r="A185" s="57" t="s">
        <v>169</v>
      </c>
      <c r="B185" s="57" t="s">
        <v>178</v>
      </c>
      <c r="C185" s="256">
        <f ca="1">'Climate A'!C185-'Climate B'!C185</f>
        <v>0</v>
      </c>
      <c r="D185" s="256">
        <f ca="1">'Climate A'!D185-'Climate B'!D185</f>
        <v>-1.4589014964815794E-2</v>
      </c>
      <c r="E185" s="256">
        <f ca="1">'Climate A'!E185-'Climate B'!E185</f>
        <v>-2.8301871216545038E-3</v>
      </c>
      <c r="F185" s="256">
        <f ca="1">'Climate A'!F185-'Climate B'!F185</f>
        <v>-4.3645108302861058E-2</v>
      </c>
      <c r="G185" s="256">
        <f ca="1">'Climate A'!G185-'Climate B'!G185</f>
        <v>-9.6664251375103927E-2</v>
      </c>
      <c r="H185" s="256">
        <f ca="1">'Climate A'!H185-'Climate B'!H185</f>
        <v>3.7548236179762995E-4</v>
      </c>
      <c r="I185" s="256">
        <f ca="1">'Climate A'!I185-'Climate B'!I185</f>
        <v>-0.58815476815290513</v>
      </c>
      <c r="J185" s="256">
        <f ca="1">'Climate A'!J185-'Climate B'!J185</f>
        <v>-1.3502004587007965</v>
      </c>
      <c r="K185" s="256">
        <f ca="1">'Climate A'!K185-'Climate B'!K185</f>
        <v>-2.3227480780813079</v>
      </c>
      <c r="L185" s="256">
        <f ca="1">'Climate A'!L185-'Climate B'!L185</f>
        <v>-3.3361153033678521</v>
      </c>
      <c r="M185" s="256">
        <f ca="1">'Climate A'!M185-'Climate B'!M185</f>
        <v>-4.2591444657069104</v>
      </c>
      <c r="N185" t="str">
        <f>'Base data'!$L$35</f>
        <v>degC</v>
      </c>
      <c r="O185" s="6"/>
      <c r="P185" s="6"/>
      <c r="Q185" s="6"/>
      <c r="R185" s="6"/>
      <c r="S185" s="6"/>
      <c r="T185" s="6"/>
      <c r="U185" s="6"/>
      <c r="V185" s="6"/>
      <c r="W185" s="6"/>
      <c r="X185" s="6"/>
      <c r="Y185" s="6"/>
    </row>
    <row r="186" spans="1:25" s="6" customFormat="1" x14ac:dyDescent="0.2">
      <c r="N186"/>
    </row>
    <row r="187" spans="1:25" s="6" customFormat="1" x14ac:dyDescent="0.2">
      <c r="A187" s="57" t="s">
        <v>442</v>
      </c>
      <c r="B187" s="57" t="s">
        <v>441</v>
      </c>
      <c r="C187" s="213">
        <f ca="1">'Climate A'!C187-'Climate B'!C187</f>
        <v>0</v>
      </c>
      <c r="D187" s="213">
        <f ca="1">'Climate A'!D187-'Climate B'!D187</f>
        <v>-4.130603178280623E-3</v>
      </c>
      <c r="E187" s="213">
        <f ca="1">'Climate A'!E187-'Climate B'!E187</f>
        <v>-1.3178225096622365E-2</v>
      </c>
      <c r="F187" s="213">
        <f ca="1">'Climate A'!F187-'Climate B'!F187</f>
        <v>1.1077306143834065E-2</v>
      </c>
      <c r="G187" s="213">
        <f ca="1">'Climate A'!G187-'Climate B'!G187</f>
        <v>-5.2839103673241627E-2</v>
      </c>
      <c r="H187" s="213">
        <f ca="1">'Climate A'!H187-'Climate B'!H187</f>
        <v>-3.3508528307550023E-2</v>
      </c>
      <c r="I187" s="213">
        <f ca="1">'Climate A'!I187-'Climate B'!I187</f>
        <v>-0.36872220457680793</v>
      </c>
      <c r="J187" s="213">
        <f ca="1">'Climate A'!J187-'Climate B'!J187</f>
        <v>-0.80362165477531899</v>
      </c>
      <c r="K187" s="213">
        <f ca="1">'Climate A'!K187-'Climate B'!K187</f>
        <v>-1.4484565044704443</v>
      </c>
      <c r="L187" s="213">
        <f ca="1">'Climate A'!L187-'Climate B'!L187</f>
        <v>-2.0724406803342554</v>
      </c>
      <c r="M187" s="213">
        <f ca="1">'Climate A'!M187-'Climate B'!M187</f>
        <v>-2.6693931111187168</v>
      </c>
      <c r="N187" s="3" t="s">
        <v>41</v>
      </c>
    </row>
    <row r="188" spans="1:25" s="6" customFormat="1" x14ac:dyDescent="0.2">
      <c r="A188" s="57"/>
      <c r="B188" s="57"/>
      <c r="N188" s="3"/>
    </row>
    <row r="189" spans="1:25" s="6" customFormat="1" x14ac:dyDescent="0.2">
      <c r="A189" s="57" t="s">
        <v>184</v>
      </c>
      <c r="B189" s="57" t="s">
        <v>185</v>
      </c>
      <c r="C189" s="26">
        <f ca="1">'Climate A'!C189-'Climate B'!C189</f>
        <v>0</v>
      </c>
      <c r="D189" s="26">
        <f ca="1">'Climate A'!D189-'Climate B'!D189</f>
        <v>-1.1786666666666168E-2</v>
      </c>
      <c r="E189" s="26">
        <f ca="1">'Climate A'!E189-'Climate B'!E189</f>
        <v>-1.8264133333333099E-2</v>
      </c>
      <c r="F189" s="26">
        <f ca="1">'Climate A'!F189-'Climate B'!F189</f>
        <v>-5.0093333333331991E-3</v>
      </c>
      <c r="G189" s="26">
        <f ca="1">'Climate A'!G189-'Climate B'!G189</f>
        <v>-0.11097666666666761</v>
      </c>
      <c r="H189" s="26">
        <f ca="1">'Climate A'!H189-'Climate B'!H189</f>
        <v>-4.3090666666667055E-2</v>
      </c>
      <c r="I189" s="26">
        <f ca="1">'Climate A'!I189-'Climate B'!I189</f>
        <v>-0.73619866666666578</v>
      </c>
      <c r="J189" s="26">
        <f ca="1">'Climate A'!J189-'Climate B'!J189</f>
        <v>-1.6347586666666674</v>
      </c>
      <c r="K189" s="26">
        <f ca="1">'Climate A'!K189-'Climate B'!K189</f>
        <v>-2.8974573333333327</v>
      </c>
      <c r="L189" s="26">
        <f ca="1">'Climate A'!L189-'Climate B'!L189</f>
        <v>-4.1512986666666647</v>
      </c>
      <c r="M189" s="26">
        <f ca="1">'Climate A'!M189-'Climate B'!M189</f>
        <v>-5.3302773333333331</v>
      </c>
      <c r="N189" s="3" t="s">
        <v>180</v>
      </c>
    </row>
    <row r="190" spans="1:25" s="6" customFormat="1" x14ac:dyDescent="0.2">
      <c r="A190" s="57" t="s">
        <v>186</v>
      </c>
      <c r="B190" s="57" t="s">
        <v>187</v>
      </c>
      <c r="C190" s="6">
        <f>'Climate A'!C190-'Climate B'!C190</f>
        <v>0</v>
      </c>
      <c r="D190" s="26">
        <f ca="1">'Climate A'!D190-'Climate B'!D190</f>
        <v>0</v>
      </c>
      <c r="E190" s="26">
        <f ca="1">'Climate A'!E190-'Climate B'!E190</f>
        <v>0</v>
      </c>
      <c r="F190" s="26">
        <f ca="1">'Climate A'!F190-'Climate B'!F190</f>
        <v>0</v>
      </c>
      <c r="G190" s="26">
        <f ca="1">'Climate A'!G190-'Climate B'!G190</f>
        <v>0</v>
      </c>
      <c r="H190" s="26">
        <f ca="1">'Climate A'!H190-'Climate B'!H190</f>
        <v>0</v>
      </c>
      <c r="I190" s="26">
        <f ca="1">'Climate A'!I190-'Climate B'!I190</f>
        <v>0</v>
      </c>
      <c r="J190" s="26">
        <f ca="1">'Climate A'!J190-'Climate B'!J190</f>
        <v>0</v>
      </c>
      <c r="K190" s="26">
        <f ca="1">'Climate A'!K190-'Climate B'!K190</f>
        <v>0</v>
      </c>
      <c r="L190" s="26">
        <f ca="1">'Climate A'!L190-'Climate B'!L190</f>
        <v>0</v>
      </c>
      <c r="M190" s="26">
        <f ca="1">'Climate A'!M190-'Climate B'!M190</f>
        <v>0</v>
      </c>
      <c r="N190"/>
    </row>
    <row r="191" spans="1:25" s="6" customFormat="1" ht="13.5" thickBot="1" x14ac:dyDescent="0.25">
      <c r="A191" s="57" t="s">
        <v>188</v>
      </c>
      <c r="B191" s="57" t="s">
        <v>189</v>
      </c>
      <c r="C191" s="35">
        <f ca="1">'Climate A'!C191-'Climate B'!C191</f>
        <v>0</v>
      </c>
      <c r="D191" s="35">
        <f ca="1">'Climate A'!D191-'Climate B'!D191</f>
        <v>-1.5169244431301188E-4</v>
      </c>
      <c r="E191" s="35">
        <f ca="1">'Climate A'!E191-'Climate B'!E191</f>
        <v>-3.8479655327205986E-4</v>
      </c>
      <c r="F191" s="35">
        <f ca="1">'Climate A'!F191-'Climate B'!F191</f>
        <v>-4.4431357431135021E-4</v>
      </c>
      <c r="G191" s="35">
        <f ca="1">'Climate A'!G191-'Climate B'!G191</f>
        <v>-3.2710718987923326E-3</v>
      </c>
      <c r="H191" s="35">
        <f ca="1">'Climate A'!H191-'Climate B'!H191</f>
        <v>-4.2894196299178011E-3</v>
      </c>
      <c r="I191" s="35">
        <f ca="1">'Climate A'!I191-'Climate B'!I191</f>
        <v>-2.3007292713620675E-2</v>
      </c>
      <c r="J191" s="35">
        <f ca="1">'Climate A'!J191-'Climate B'!J191</f>
        <v>-6.4226279606161008E-2</v>
      </c>
      <c r="K191" s="35">
        <f ca="1">'Climate A'!K191-'Climate B'!K191</f>
        <v>-0.13668343122048976</v>
      </c>
      <c r="L191" s="35">
        <f ca="1">'Climate A'!L191-'Climate B'!L191</f>
        <v>-0.23935334386501261</v>
      </c>
      <c r="M191" s="35">
        <f ca="1">'Climate A'!M191-'Climate B'!M191</f>
        <v>-0.36954881481916191</v>
      </c>
      <c r="N191" s="3" t="s">
        <v>180</v>
      </c>
    </row>
    <row r="192" spans="1:25" s="6" customFormat="1" ht="13.5" thickTop="1" x14ac:dyDescent="0.2">
      <c r="A192" s="57"/>
      <c r="B192" s="57"/>
      <c r="D192"/>
      <c r="E192"/>
      <c r="F192"/>
      <c r="G192"/>
      <c r="H192"/>
      <c r="I192"/>
      <c r="J192"/>
      <c r="K192"/>
      <c r="L192"/>
      <c r="M192"/>
      <c r="N192"/>
      <c r="O192"/>
      <c r="P192"/>
      <c r="Q192"/>
      <c r="R192"/>
      <c r="S192"/>
      <c r="T192"/>
      <c r="U192"/>
      <c r="V192"/>
      <c r="W192"/>
      <c r="X192"/>
    </row>
    <row r="193" spans="1:24" s="6" customFormat="1" x14ac:dyDescent="0.2">
      <c r="A193" s="57"/>
      <c r="B193" s="57"/>
      <c r="D193"/>
      <c r="E193"/>
      <c r="F193"/>
      <c r="G193"/>
      <c r="H193"/>
      <c r="I193"/>
      <c r="J193"/>
      <c r="K193"/>
      <c r="L193"/>
      <c r="M193"/>
      <c r="N193"/>
      <c r="O193"/>
      <c r="P193"/>
      <c r="Q193"/>
      <c r="R193"/>
      <c r="S193"/>
      <c r="T193"/>
      <c r="U193"/>
      <c r="V193"/>
      <c r="W193"/>
      <c r="X193"/>
    </row>
    <row r="194" spans="1:24" s="6" customFormat="1" x14ac:dyDescent="0.2">
      <c r="A194" s="57"/>
      <c r="B194" s="57"/>
      <c r="N194"/>
      <c r="O194"/>
      <c r="P194"/>
      <c r="Q194"/>
      <c r="R194"/>
      <c r="S194"/>
      <c r="T194"/>
      <c r="U194"/>
      <c r="V194"/>
      <c r="W194"/>
      <c r="X194"/>
    </row>
    <row r="195" spans="1:24" s="6" customFormat="1" x14ac:dyDescent="0.2">
      <c r="A195" s="2" t="s">
        <v>920</v>
      </c>
      <c r="B195" s="57"/>
      <c r="D195" s="200">
        <f ca="1">'Climate A-B'!D$172/'Climate B'!D$172</f>
        <v>-5.3938544960154449E-3</v>
      </c>
      <c r="E195" s="200">
        <f ca="1">'Climate A-B'!E$172/'Climate B'!E$172</f>
        <v>-7.2957878716959131E-3</v>
      </c>
      <c r="F195" s="200">
        <f ca="1">'Climate A-B'!F$172/'Climate B'!F$172</f>
        <v>-1.7850789634928728E-3</v>
      </c>
      <c r="G195" s="200">
        <f ca="1">'Climate A-B'!G$172/'Climate B'!G$172</f>
        <v>-3.0593058565220193E-2</v>
      </c>
      <c r="H195" s="200">
        <f ca="1">'Climate A-B'!H$172/'Climate B'!H$172</f>
        <v>-9.8304776441653086E-3</v>
      </c>
      <c r="I195" s="200">
        <f ca="1">'Climate A-B'!I$172/'Climate B'!I$172</f>
        <v>-0.13833231282325179</v>
      </c>
      <c r="J195" s="200">
        <f ca="1">'Climate A-B'!J$172/'Climate B'!J$172</f>
        <v>-0.25769142494917918</v>
      </c>
      <c r="K195" s="200">
        <f ca="1">'Climate A-B'!K$172/'Climate B'!K$172</f>
        <v>-0.39255060082238796</v>
      </c>
      <c r="L195" s="200">
        <f ca="1">'Climate A-B'!L$172/'Climate B'!L$172</f>
        <v>-0.48953170127483697</v>
      </c>
      <c r="M195" s="200">
        <f ca="1">'Climate A-B'!M$172/'Climate B'!M$172</f>
        <v>-0.56342456366641125</v>
      </c>
      <c r="N195"/>
      <c r="O195" s="156"/>
      <c r="P195" s="156"/>
      <c r="Q195" s="156"/>
      <c r="R195" s="156"/>
      <c r="S195" s="156"/>
      <c r="T195" s="156"/>
      <c r="U195" s="156"/>
      <c r="V195" s="156"/>
      <c r="W195" s="156"/>
      <c r="X195" s="156"/>
    </row>
    <row r="196" spans="1:24" s="6" customFormat="1" x14ac:dyDescent="0.2">
      <c r="A196" s="57"/>
      <c r="B196"/>
      <c r="C196"/>
      <c r="E196"/>
      <c r="F196"/>
      <c r="G196"/>
      <c r="H196"/>
      <c r="I196"/>
      <c r="J196"/>
      <c r="K196"/>
      <c r="L196"/>
      <c r="M196"/>
      <c r="N196"/>
      <c r="O196"/>
      <c r="P196"/>
      <c r="Q196"/>
      <c r="R196"/>
      <c r="S196"/>
      <c r="T196"/>
      <c r="U196"/>
      <c r="V196"/>
      <c r="W196"/>
      <c r="X196"/>
    </row>
    <row r="197" spans="1:24" s="6" customFormat="1" x14ac:dyDescent="0.2">
      <c r="A197" s="57"/>
      <c r="B197"/>
      <c r="C197"/>
      <c r="E197"/>
      <c r="F197"/>
      <c r="G197"/>
      <c r="H197"/>
      <c r="I197"/>
      <c r="J197"/>
      <c r="K197"/>
      <c r="L197"/>
      <c r="M197"/>
      <c r="N197"/>
      <c r="O197"/>
      <c r="P197"/>
      <c r="Q197"/>
      <c r="R197"/>
      <c r="S197"/>
      <c r="T197"/>
      <c r="U197"/>
      <c r="V197"/>
      <c r="W197"/>
      <c r="X197"/>
    </row>
    <row r="198" spans="1:24" s="6" customFormat="1" x14ac:dyDescent="0.2">
      <c r="A198" s="2" t="s">
        <v>891</v>
      </c>
      <c r="B198"/>
      <c r="C198"/>
      <c r="E198"/>
      <c r="F198"/>
      <c r="G198"/>
      <c r="H198"/>
      <c r="I198"/>
      <c r="J198"/>
      <c r="K198"/>
      <c r="L198"/>
      <c r="M198"/>
      <c r="N198"/>
      <c r="O198"/>
      <c r="P198"/>
      <c r="Q198"/>
      <c r="R198"/>
      <c r="S198"/>
      <c r="T198"/>
      <c r="U198"/>
      <c r="V198"/>
      <c r="W198"/>
      <c r="X198"/>
    </row>
    <row r="199" spans="1:24" s="6" customFormat="1" x14ac:dyDescent="0.2">
      <c r="A199" s="3" t="s">
        <v>921</v>
      </c>
      <c r="B199"/>
      <c r="C199"/>
      <c r="D199"/>
      <c r="E199"/>
      <c r="F199"/>
      <c r="G199"/>
      <c r="H199"/>
      <c r="I199"/>
      <c r="J199"/>
      <c r="K199"/>
      <c r="L199"/>
      <c r="M199"/>
      <c r="N199"/>
      <c r="O199"/>
      <c r="P199"/>
      <c r="Q199"/>
      <c r="R199"/>
      <c r="S199"/>
      <c r="T199"/>
      <c r="U199"/>
      <c r="V199"/>
      <c r="W199"/>
      <c r="X199"/>
    </row>
    <row r="200" spans="1:24" s="6" customFormat="1" x14ac:dyDescent="0.2">
      <c r="A200" s="3" t="s">
        <v>922</v>
      </c>
      <c r="B200"/>
      <c r="C200"/>
      <c r="D200"/>
      <c r="E200"/>
      <c r="F200"/>
      <c r="G200"/>
      <c r="H200"/>
      <c r="I200"/>
      <c r="J200"/>
      <c r="K200"/>
      <c r="L200"/>
      <c r="M200"/>
      <c r="N200"/>
      <c r="O200"/>
      <c r="P200"/>
      <c r="Q200"/>
      <c r="R200"/>
      <c r="S200"/>
      <c r="T200"/>
      <c r="U200"/>
      <c r="V200"/>
      <c r="W200"/>
      <c r="X200"/>
    </row>
    <row r="201" spans="1:24" s="6" customFormat="1" x14ac:dyDescent="0.2">
      <c r="A201" s="3" t="s">
        <v>556</v>
      </c>
      <c r="B201"/>
      <c r="C201"/>
      <c r="D201"/>
      <c r="E201"/>
      <c r="F201"/>
      <c r="G201"/>
      <c r="H201"/>
      <c r="I201"/>
      <c r="J201"/>
      <c r="K201"/>
      <c r="L201"/>
      <c r="M201"/>
      <c r="N201" s="3" t="s">
        <v>42</v>
      </c>
      <c r="O201"/>
      <c r="P201"/>
      <c r="Q201"/>
      <c r="R201"/>
      <c r="S201"/>
      <c r="T201"/>
      <c r="U201"/>
      <c r="V201"/>
      <c r="W201"/>
      <c r="X201"/>
    </row>
    <row r="202" spans="1:24" s="6" customFormat="1" x14ac:dyDescent="0.2">
      <c r="A202" s="3" t="s">
        <v>550</v>
      </c>
      <c r="B202"/>
      <c r="C202"/>
      <c r="D202"/>
      <c r="E202"/>
      <c r="F202"/>
      <c r="G202"/>
      <c r="H202"/>
      <c r="I202"/>
      <c r="J202"/>
      <c r="K202"/>
      <c r="L202"/>
      <c r="M202"/>
      <c r="N202" s="3" t="s">
        <v>42</v>
      </c>
      <c r="O202"/>
      <c r="P202"/>
      <c r="Q202"/>
      <c r="R202"/>
      <c r="S202"/>
      <c r="T202"/>
      <c r="U202"/>
      <c r="V202"/>
      <c r="W202"/>
      <c r="X202"/>
    </row>
    <row r="203" spans="1:24" s="6" customFormat="1" x14ac:dyDescent="0.2">
      <c r="A203" s="3"/>
      <c r="B203"/>
      <c r="C203"/>
      <c r="D203"/>
      <c r="E203"/>
      <c r="F203"/>
      <c r="G203"/>
      <c r="H203"/>
      <c r="I203"/>
      <c r="J203"/>
      <c r="K203"/>
      <c r="L203"/>
      <c r="M203"/>
      <c r="N203" s="3" t="s">
        <v>42</v>
      </c>
      <c r="O203"/>
      <c r="P203"/>
      <c r="Q203"/>
      <c r="R203"/>
      <c r="S203"/>
      <c r="T203"/>
      <c r="U203"/>
      <c r="V203"/>
      <c r="W203"/>
      <c r="X203"/>
    </row>
    <row r="204" spans="1:24" s="6" customFormat="1" x14ac:dyDescent="0.2">
      <c r="A204" s="3"/>
      <c r="B204"/>
      <c r="C204"/>
      <c r="D204"/>
      <c r="E204"/>
      <c r="F204"/>
      <c r="G204"/>
      <c r="H204"/>
      <c r="I204"/>
      <c r="J204"/>
      <c r="K204"/>
      <c r="L204"/>
      <c r="M204"/>
      <c r="N204"/>
      <c r="O204"/>
      <c r="P204"/>
      <c r="Q204"/>
      <c r="R204"/>
      <c r="S204"/>
      <c r="T204"/>
      <c r="U204"/>
      <c r="V204"/>
      <c r="W204"/>
      <c r="X204"/>
    </row>
    <row r="205" spans="1:24" s="6" customFormat="1" x14ac:dyDescent="0.2">
      <c r="A205" s="2" t="s">
        <v>773</v>
      </c>
      <c r="B205"/>
      <c r="C205"/>
      <c r="D205"/>
      <c r="E205"/>
      <c r="F205"/>
      <c r="G205"/>
      <c r="H205"/>
      <c r="I205"/>
      <c r="J205"/>
      <c r="K205"/>
      <c r="L205"/>
      <c r="M205"/>
      <c r="N205"/>
      <c r="O205"/>
      <c r="P205"/>
      <c r="Q205"/>
      <c r="R205"/>
      <c r="S205"/>
      <c r="T205"/>
      <c r="U205"/>
      <c r="V205"/>
      <c r="W205"/>
      <c r="X205"/>
    </row>
    <row r="206" spans="1:24" s="6" customFormat="1" x14ac:dyDescent="0.2">
      <c r="A206" s="3" t="s">
        <v>551</v>
      </c>
      <c r="B206"/>
      <c r="C206"/>
      <c r="D206"/>
      <c r="E206"/>
      <c r="F206"/>
      <c r="G206"/>
      <c r="H206"/>
      <c r="I206"/>
      <c r="J206"/>
      <c r="K206"/>
      <c r="L206"/>
      <c r="M206"/>
      <c r="N206"/>
      <c r="O206"/>
      <c r="P206"/>
      <c r="Q206"/>
      <c r="R206"/>
      <c r="S206"/>
      <c r="T206"/>
      <c r="U206"/>
      <c r="V206"/>
      <c r="W206"/>
      <c r="X206"/>
    </row>
    <row r="207" spans="1:24" s="6" customFormat="1" x14ac:dyDescent="0.2">
      <c r="A207" s="3"/>
      <c r="B207"/>
      <c r="C207"/>
      <c r="D207"/>
      <c r="E207"/>
      <c r="F207"/>
      <c r="G207"/>
      <c r="H207"/>
      <c r="I207"/>
      <c r="J207"/>
      <c r="K207"/>
      <c r="L207"/>
      <c r="M207"/>
      <c r="N207"/>
      <c r="O207"/>
      <c r="P207"/>
      <c r="Q207"/>
      <c r="R207"/>
      <c r="S207"/>
      <c r="T207"/>
      <c r="U207"/>
      <c r="V207"/>
      <c r="W207"/>
      <c r="X207"/>
    </row>
    <row r="208" spans="1:24" s="6" customFormat="1" x14ac:dyDescent="0.2">
      <c r="A208"/>
      <c r="B208"/>
      <c r="C208"/>
      <c r="D208"/>
      <c r="E208"/>
      <c r="F208"/>
      <c r="G208"/>
      <c r="H208"/>
      <c r="I208"/>
      <c r="J208"/>
      <c r="K208"/>
      <c r="L208"/>
      <c r="M208"/>
      <c r="N208"/>
      <c r="O208"/>
      <c r="P208"/>
      <c r="Q208"/>
      <c r="R208"/>
      <c r="S208"/>
      <c r="T208"/>
      <c r="U208"/>
      <c r="V208"/>
      <c r="W208"/>
      <c r="X208"/>
    </row>
    <row r="209" spans="1:26" s="6" customFormat="1" x14ac:dyDescent="0.2">
      <c r="A209" s="2" t="s">
        <v>766</v>
      </c>
      <c r="B209"/>
      <c r="C209"/>
      <c r="D209"/>
      <c r="E209"/>
      <c r="F209"/>
      <c r="G209"/>
      <c r="H209"/>
      <c r="I209"/>
      <c r="J209"/>
      <c r="K209"/>
      <c r="L209"/>
      <c r="M209"/>
      <c r="N209"/>
      <c r="O209"/>
      <c r="P209"/>
      <c r="Q209"/>
      <c r="R209"/>
      <c r="S209"/>
      <c r="T209"/>
      <c r="U209"/>
      <c r="V209"/>
      <c r="W209"/>
      <c r="X209"/>
    </row>
    <row r="210" spans="1:26" s="6" customFormat="1" x14ac:dyDescent="0.2">
      <c r="A210" s="3" t="s">
        <v>767</v>
      </c>
      <c r="B210"/>
      <c r="C210"/>
      <c r="D210" s="1">
        <f ca="1">'Climate A'!D210 - 'Climate B'!D210</f>
        <v>-43.719207568094134</v>
      </c>
      <c r="E210" s="1">
        <f ca="1">'Climate A'!E210 - 'Climate B'!E210</f>
        <v>-68.838321600575</v>
      </c>
      <c r="F210" s="1">
        <f ca="1">'Climate A'!F210 - 'Climate B'!F210</f>
        <v>-31.488969497382641</v>
      </c>
      <c r="G210" s="1">
        <f ca="1">'Climate A'!G210 - 'Climate B'!G210</f>
        <v>-939.80890192091465</v>
      </c>
      <c r="H210" s="1">
        <f ca="1">'Climate A'!H210 - 'Climate B'!H210</f>
        <v>-199758.43306100322</v>
      </c>
      <c r="I210" s="1">
        <f ca="1">'Climate A'!I210 - 'Climate B'!I210</f>
        <v>-736204.21485167369</v>
      </c>
      <c r="J210" s="1">
        <f ca="1">'Climate A'!J210 - 'Climate B'!J210</f>
        <v>-1299796.4359878395</v>
      </c>
      <c r="K210" s="1">
        <f ca="1">'Climate A'!K210 - 'Climate B'!K210</f>
        <v>-1660880.9116149992</v>
      </c>
      <c r="L210" s="1">
        <f ca="1">'Climate A'!L210 - 'Climate B'!L210</f>
        <v>-1825448.8573838752</v>
      </c>
      <c r="M210" s="1">
        <f ca="1">'Climate A'!M210 - 'Climate B'!M210</f>
        <v>-1853884.8173946594</v>
      </c>
      <c r="N210" s="3" t="s">
        <v>496</v>
      </c>
      <c r="O210"/>
      <c r="P210"/>
      <c r="Q210"/>
      <c r="R210"/>
      <c r="S210"/>
      <c r="T210"/>
      <c r="U210"/>
      <c r="V210"/>
      <c r="W210"/>
      <c r="X210"/>
    </row>
    <row r="211" spans="1:26" s="6" customFormat="1" x14ac:dyDescent="0.2">
      <c r="A211" s="3" t="s">
        <v>768</v>
      </c>
      <c r="B211"/>
      <c r="C211"/>
      <c r="D211" s="1">
        <f ca="1">'Climate A'!D211 - 'Climate B'!D211</f>
        <v>-31.930781922157621</v>
      </c>
      <c r="E211" s="1">
        <f ca="1">'Climate A'!E211 - 'Climate B'!E211</f>
        <v>-50.27679038993665</v>
      </c>
      <c r="F211" s="1">
        <f ca="1">'Climate A'!F211 - 'Climate B'!F211</f>
        <v>-22.998299235128798</v>
      </c>
      <c r="G211" s="1">
        <f ca="1">'Climate A'!G211 - 'Climate B'!G211</f>
        <v>-686.39929140958702</v>
      </c>
      <c r="H211" s="1">
        <f ca="1">'Climate A'!H211 - 'Climate B'!H211</f>
        <v>-145895.66732759902</v>
      </c>
      <c r="I211" s="1">
        <f ca="1">'Climate A'!I211 - 'Climate B'!I211</f>
        <v>-537694.47211460094</v>
      </c>
      <c r="J211" s="1">
        <f ca="1">'Climate A'!J211 - 'Climate B'!J211</f>
        <v>-949319.96368117805</v>
      </c>
      <c r="K211" s="1">
        <f ca="1">'Climate A'!K211 - 'Climate B'!K211</f>
        <v>-1213041.7987296772</v>
      </c>
      <c r="L211" s="1">
        <f ca="1">'Climate A'!L211 - 'Climate B'!L211</f>
        <v>-1333235.7244667204</v>
      </c>
      <c r="M211" s="1">
        <f ca="1">'Climate A'!M211 - 'Climate B'!M211</f>
        <v>-1354004.2261930397</v>
      </c>
      <c r="N211" s="3" t="s">
        <v>496</v>
      </c>
      <c r="O211"/>
      <c r="P211"/>
      <c r="Q211"/>
      <c r="R211"/>
      <c r="S211"/>
      <c r="T211"/>
      <c r="U211"/>
      <c r="V211"/>
      <c r="W211"/>
      <c r="X211"/>
    </row>
    <row r="212" spans="1:26" s="6" customFormat="1" x14ac:dyDescent="0.2">
      <c r="A212" s="57" t="s">
        <v>769</v>
      </c>
      <c r="B212"/>
      <c r="C212"/>
      <c r="D212" s="1">
        <f ca="1">'Climate A'!D212 - 'Climate B'!D212</f>
        <v>-18.151213590987027</v>
      </c>
      <c r="E212" s="1">
        <f ca="1">'Climate A'!E212 - 'Climate B'!E212</f>
        <v>-64.164348297053948</v>
      </c>
      <c r="F212" s="1">
        <f ca="1">'Climate A'!F212 - 'Climate B'!F212</f>
        <v>-100.7652749819681</v>
      </c>
      <c r="G212" s="1">
        <f ca="1">'Climate A'!G212 - 'Climate B'!G212</f>
        <v>-473.753921514377</v>
      </c>
      <c r="H212" s="1">
        <f ca="1">'Climate A'!H212 - 'Climate B'!H212</f>
        <v>-159552.99964489089</v>
      </c>
      <c r="I212" s="1">
        <f ca="1">'Climate A'!I212 - 'Climate B'!I212</f>
        <v>-710699.94472368341</v>
      </c>
      <c r="J212" s="1">
        <f ca="1">'Climate A'!J212 - 'Climate B'!J212</f>
        <v>-1612509.9442842093</v>
      </c>
      <c r="K212" s="1">
        <f ca="1">'Climate A'!K212 - 'Climate B'!K212</f>
        <v>-2670819.8397804433</v>
      </c>
      <c r="L212" s="1">
        <f ca="1">'Climate A'!L212 - 'Climate B'!L212</f>
        <v>-3741556.6097445106</v>
      </c>
      <c r="M212" s="1">
        <f ca="1">'Climate A'!M212 - 'Climate B'!M212</f>
        <v>-4743710.766777087</v>
      </c>
      <c r="N212" s="3" t="s">
        <v>496</v>
      </c>
      <c r="O212"/>
      <c r="P212"/>
      <c r="Q212"/>
      <c r="R212"/>
      <c r="S212"/>
      <c r="T212"/>
      <c r="U212"/>
      <c r="V212"/>
      <c r="W212"/>
      <c r="X212"/>
    </row>
    <row r="213" spans="1:26" s="6" customFormat="1" x14ac:dyDescent="0.2">
      <c r="A213" s="3" t="s">
        <v>771</v>
      </c>
      <c r="B213"/>
      <c r="C213"/>
      <c r="D213" s="201">
        <f ca="1">'Climate A'!D213 - 'Climate B'!D213</f>
        <v>0.85273113677430956</v>
      </c>
      <c r="E213" s="201">
        <f ca="1">'Climate A'!E213 - 'Climate B'!E213</f>
        <v>0.85273113677430956</v>
      </c>
      <c r="F213" s="201">
        <f ca="1">'Climate A'!F213 - 'Climate B'!F213</f>
        <v>-2.7205254899572537</v>
      </c>
      <c r="G213" s="201">
        <f ca="1">'Climate A'!G213 - 'Climate B'!G213</f>
        <v>31.34106448771854</v>
      </c>
      <c r="H213" s="201">
        <f ca="1">'Climate A'!H213 - 'Climate B'!H213</f>
        <v>-1318.3578395777495</v>
      </c>
      <c r="I213" s="201">
        <f ca="1">'Climate A'!I213 - 'Climate B'!I213</f>
        <v>-1345.2472964191602</v>
      </c>
      <c r="J213" s="201">
        <f ca="1">'Climate A'!J213 - 'Climate B'!J213</f>
        <v>4750.996412065213</v>
      </c>
      <c r="K213" s="201">
        <f ca="1">'Climate A'!K213 - 'Climate B'!K213</f>
        <v>15473.190323344324</v>
      </c>
      <c r="L213" s="201">
        <f ca="1">'Climate A'!L213 - 'Climate B'!L213</f>
        <v>26249.895450265292</v>
      </c>
      <c r="M213" s="201">
        <f ca="1">'Climate A'!M213 - 'Climate B'!M213</f>
        <v>35185.006916046354</v>
      </c>
      <c r="N213" s="3" t="s">
        <v>586</v>
      </c>
      <c r="O213"/>
      <c r="P213"/>
      <c r="Q213"/>
      <c r="R213"/>
      <c r="S213"/>
      <c r="T213"/>
      <c r="U213"/>
      <c r="V213"/>
      <c r="W213"/>
      <c r="X213"/>
    </row>
    <row r="214" spans="1:26" s="6" customFormat="1" x14ac:dyDescent="0.2">
      <c r="A214" s="3"/>
      <c r="B214"/>
      <c r="C214"/>
      <c r="D214" s="1"/>
      <c r="E214" s="1"/>
      <c r="F214" s="1"/>
      <c r="G214" s="1"/>
      <c r="H214" s="1"/>
      <c r="I214" s="1"/>
      <c r="J214" s="1"/>
      <c r="K214" s="1"/>
      <c r="L214" s="1"/>
      <c r="M214" s="1"/>
      <c r="N214" s="3"/>
      <c r="O214"/>
      <c r="P214"/>
      <c r="Q214"/>
      <c r="R214"/>
      <c r="S214"/>
      <c r="T214"/>
      <c r="U214"/>
      <c r="V214"/>
      <c r="W214"/>
      <c r="X214"/>
    </row>
    <row r="215" spans="1:26" s="6" customFormat="1" x14ac:dyDescent="0.2">
      <c r="A215" s="3"/>
      <c r="B215"/>
      <c r="C215"/>
      <c r="D215" s="1"/>
      <c r="E215" s="1"/>
      <c r="F215" s="1"/>
      <c r="G215" s="1"/>
      <c r="H215" s="1"/>
      <c r="I215" s="1"/>
      <c r="J215" s="1"/>
      <c r="K215" s="1"/>
      <c r="L215" s="1"/>
      <c r="M215" s="1"/>
      <c r="N215" s="3"/>
      <c r="O215"/>
      <c r="P215"/>
      <c r="Q215"/>
      <c r="R215"/>
      <c r="S215"/>
      <c r="T215"/>
      <c r="U215"/>
      <c r="V215"/>
      <c r="W215"/>
      <c r="X215"/>
    </row>
    <row r="216" spans="1:26" s="6" customFormat="1" x14ac:dyDescent="0.2">
      <c r="A216"/>
      <c r="B216"/>
      <c r="C216"/>
      <c r="D216"/>
      <c r="E216"/>
      <c r="F216"/>
      <c r="G216"/>
      <c r="H216"/>
      <c r="I216"/>
      <c r="J216"/>
      <c r="K216"/>
      <c r="L216"/>
      <c r="M216"/>
      <c r="O216"/>
      <c r="P216"/>
      <c r="Q216"/>
      <c r="R216"/>
      <c r="S216"/>
      <c r="T216"/>
      <c r="U216"/>
      <c r="V216"/>
      <c r="W216"/>
      <c r="X216"/>
    </row>
    <row r="217" spans="1:26" s="6" customFormat="1" x14ac:dyDescent="0.2">
      <c r="A217" s="3"/>
      <c r="B217"/>
      <c r="C217"/>
      <c r="D217"/>
      <c r="E217"/>
      <c r="F217"/>
      <c r="G217"/>
      <c r="H217"/>
      <c r="I217"/>
      <c r="J217"/>
      <c r="K217"/>
      <c r="L217"/>
      <c r="M217"/>
      <c r="N217" s="3"/>
      <c r="O217"/>
      <c r="P217"/>
      <c r="Q217"/>
      <c r="R217"/>
      <c r="S217"/>
      <c r="T217"/>
      <c r="U217"/>
      <c r="V217"/>
      <c r="W217"/>
      <c r="X217"/>
    </row>
    <row r="218" spans="1:26" s="6" customFormat="1" x14ac:dyDescent="0.2">
      <c r="A218" s="2" t="s">
        <v>932</v>
      </c>
      <c r="B218"/>
      <c r="C218" s="1"/>
      <c r="D218" s="201">
        <f t="shared" ref="D218:M218" ca="1" si="0" xml:space="preserve"> D68 + D213</f>
        <v>-6.1751981883223834</v>
      </c>
      <c r="E218" s="201">
        <f t="shared" ca="1" si="0"/>
        <v>-10.38991225158702</v>
      </c>
      <c r="F218" s="201">
        <f t="shared" ca="1" si="0"/>
        <v>-5.1240508399114333</v>
      </c>
      <c r="G218" s="201">
        <f t="shared" ca="1" si="0"/>
        <v>-48.827637356394234</v>
      </c>
      <c r="H218" s="201">
        <f t="shared" ca="1" si="0"/>
        <v>-1343.9092101697347</v>
      </c>
      <c r="I218" s="201">
        <f t="shared" ca="1" si="0"/>
        <v>-2000.3147187562608</v>
      </c>
      <c r="J218" s="201">
        <f t="shared" ca="1" si="0"/>
        <v>3237.939140073518</v>
      </c>
      <c r="K218" s="201">
        <f t="shared" ca="1" si="0"/>
        <v>12755.483402244687</v>
      </c>
      <c r="L218" s="201">
        <f t="shared" ca="1" si="0"/>
        <v>22299.560789918607</v>
      </c>
      <c r="M218" s="201">
        <f t="shared" ca="1" si="0"/>
        <v>30128.247442047767</v>
      </c>
      <c r="N218" s="3" t="s">
        <v>586</v>
      </c>
      <c r="O218"/>
      <c r="P218"/>
      <c r="Q218"/>
      <c r="R218"/>
      <c r="S218"/>
      <c r="T218"/>
      <c r="U218"/>
      <c r="V218"/>
      <c r="W218"/>
      <c r="X218"/>
    </row>
    <row r="219" spans="1:26" s="6" customFormat="1" x14ac:dyDescent="0.2">
      <c r="A219" s="3" t="s">
        <v>933</v>
      </c>
      <c r="B219"/>
      <c r="C219" s="1"/>
      <c r="D219"/>
      <c r="E219"/>
      <c r="F219"/>
      <c r="G219"/>
      <c r="H219"/>
      <c r="I219"/>
      <c r="J219"/>
      <c r="K219"/>
      <c r="L219"/>
      <c r="M219"/>
      <c r="N219" s="3"/>
      <c r="O219"/>
      <c r="P219"/>
      <c r="Q219"/>
      <c r="R219"/>
      <c r="S219"/>
      <c r="T219"/>
      <c r="U219"/>
      <c r="V219"/>
      <c r="W219"/>
      <c r="X219"/>
    </row>
    <row r="220" spans="1:26" s="6" customFormat="1" x14ac:dyDescent="0.2">
      <c r="A220" s="3"/>
      <c r="B220"/>
      <c r="C220" s="1"/>
      <c r="D220"/>
      <c r="E220"/>
      <c r="F220"/>
      <c r="G220"/>
      <c r="H220"/>
      <c r="I220"/>
      <c r="J220"/>
      <c r="K220"/>
      <c r="L220"/>
      <c r="M220"/>
      <c r="N220" s="3"/>
      <c r="O220"/>
      <c r="P220"/>
      <c r="Q220"/>
      <c r="R220"/>
      <c r="S220"/>
      <c r="T220"/>
      <c r="U220"/>
      <c r="V220"/>
      <c r="W220"/>
      <c r="X220"/>
    </row>
    <row r="221" spans="1:26" s="6" customFormat="1" x14ac:dyDescent="0.2">
      <c r="A221" s="2" t="s">
        <v>931</v>
      </c>
      <c r="B221"/>
      <c r="C221" s="1"/>
      <c r="D221" s="1">
        <f ca="1">'Climate A'!D221 - 'Climate B'!D221</f>
        <v>-8.5499584010495511E-5</v>
      </c>
      <c r="E221" s="1">
        <f ca="1">'Climate A'!E221 - 'Climate B'!E221</f>
        <v>-1.8822058531053898E-4</v>
      </c>
      <c r="F221" s="1">
        <f ca="1">'Climate A'!F221 - 'Climate B'!F221</f>
        <v>-2.1213226091232329E-4</v>
      </c>
      <c r="G221" s="1">
        <f ca="1">'Climate A'!G221 - 'Climate B'!G221</f>
        <v>-7.8520881533528097E-4</v>
      </c>
      <c r="H221" s="1">
        <f ca="1">'Climate A'!H221 - 'Climate B'!H221</f>
        <v>-0.30839958592190797</v>
      </c>
      <c r="I221" s="1">
        <f ca="1">'Climate A'!I221 - 'Climate B'!I221</f>
        <v>-1.1032077263212914</v>
      </c>
      <c r="J221" s="1">
        <f ca="1">'Climate A'!J221 - 'Climate B'!J221</f>
        <v>-2.2141772423843795</v>
      </c>
      <c r="K221" s="1">
        <f ca="1">'Climate A'!K221 - 'Climate B'!K221</f>
        <v>-3.3586625170951461</v>
      </c>
      <c r="L221" s="1">
        <f ca="1">'Climate A'!L221 - 'Climate B'!L221</f>
        <v>-4.3544508062513323</v>
      </c>
      <c r="M221" s="1">
        <f ca="1">'Climate A'!M221 - 'Climate B'!M221</f>
        <v>-5.2023063467144297</v>
      </c>
      <c r="N221" s="3" t="s">
        <v>42</v>
      </c>
      <c r="O221"/>
      <c r="P221"/>
      <c r="Q221"/>
      <c r="R221"/>
      <c r="S221"/>
      <c r="T221"/>
      <c r="U221"/>
      <c r="V221"/>
      <c r="W221"/>
      <c r="X221"/>
    </row>
    <row r="222" spans="1:26" s="6" customFormat="1" ht="15" x14ac:dyDescent="0.25">
      <c r="A222" s="2"/>
      <c r="B222" s="131"/>
      <c r="C222" s="1"/>
      <c r="O222"/>
      <c r="P222"/>
      <c r="Q222"/>
      <c r="R222"/>
      <c r="S222"/>
      <c r="T222"/>
      <c r="U222"/>
      <c r="V222"/>
      <c r="W222"/>
      <c r="X222"/>
      <c r="Y222"/>
      <c r="Z222" s="57" t="s">
        <v>843</v>
      </c>
    </row>
    <row r="223" spans="1:26" s="6" customFormat="1" x14ac:dyDescent="0.2">
      <c r="B223"/>
      <c r="C223" s="1"/>
      <c r="O223"/>
      <c r="P223"/>
      <c r="Q223"/>
      <c r="R223"/>
      <c r="S223"/>
      <c r="T223"/>
      <c r="U223"/>
      <c r="V223"/>
      <c r="W223"/>
      <c r="X223"/>
      <c r="Y223"/>
    </row>
    <row r="224" spans="1:26" s="6" customFormat="1" x14ac:dyDescent="0.2">
      <c r="B224"/>
      <c r="C224" s="1"/>
      <c r="O224"/>
      <c r="P224"/>
      <c r="Q224"/>
      <c r="R224"/>
      <c r="S224"/>
      <c r="T224"/>
      <c r="U224"/>
      <c r="V224"/>
      <c r="W224"/>
      <c r="X224"/>
      <c r="Y224"/>
    </row>
    <row r="225" spans="1:25" s="6" customFormat="1" x14ac:dyDescent="0.2">
      <c r="B225"/>
      <c r="C225" s="1"/>
      <c r="O225"/>
      <c r="P225"/>
      <c r="Q225"/>
      <c r="R225"/>
      <c r="S225"/>
      <c r="T225"/>
      <c r="U225"/>
      <c r="V225"/>
      <c r="W225"/>
      <c r="X225"/>
      <c r="Y225"/>
    </row>
    <row r="226" spans="1:25" s="6" customFormat="1" ht="15" x14ac:dyDescent="0.25">
      <c r="A226" s="3"/>
      <c r="B226" s="131"/>
      <c r="C226" s="1"/>
      <c r="D226"/>
      <c r="E226"/>
      <c r="F226"/>
      <c r="G226"/>
      <c r="H226"/>
      <c r="I226"/>
      <c r="J226"/>
      <c r="K226"/>
      <c r="L226"/>
      <c r="M226"/>
      <c r="N226"/>
      <c r="O226"/>
      <c r="P226"/>
      <c r="Q226"/>
      <c r="R226"/>
      <c r="S226"/>
      <c r="T226"/>
      <c r="U226"/>
      <c r="V226"/>
      <c r="W226"/>
      <c r="X226"/>
      <c r="Y226"/>
    </row>
    <row r="227" spans="1:25" s="6" customFormat="1" x14ac:dyDescent="0.2">
      <c r="A227" s="3"/>
      <c r="B227"/>
      <c r="C227" s="1"/>
      <c r="D227"/>
      <c r="E227"/>
      <c r="F227"/>
      <c r="G227"/>
      <c r="H227"/>
      <c r="I227"/>
      <c r="J227"/>
      <c r="K227"/>
      <c r="L227"/>
      <c r="M227"/>
      <c r="N227" s="3"/>
      <c r="O227"/>
      <c r="P227"/>
      <c r="Q227"/>
      <c r="R227"/>
      <c r="S227"/>
      <c r="T227"/>
      <c r="U227"/>
      <c r="V227"/>
      <c r="W227"/>
      <c r="X227"/>
      <c r="Y227"/>
    </row>
    <row r="228" spans="1:25" s="6" customFormat="1" x14ac:dyDescent="0.2">
      <c r="A228" s="3"/>
      <c r="B228"/>
      <c r="C228" s="1"/>
      <c r="D228"/>
      <c r="E228"/>
      <c r="F228"/>
      <c r="G228"/>
      <c r="H228"/>
      <c r="I228"/>
      <c r="J228"/>
      <c r="K228"/>
      <c r="L228"/>
      <c r="M228"/>
      <c r="N228" s="3"/>
      <c r="O228"/>
      <c r="P228"/>
      <c r="Q228"/>
      <c r="R228"/>
      <c r="S228"/>
      <c r="T228"/>
      <c r="U228"/>
      <c r="V228"/>
      <c r="W228"/>
      <c r="X228"/>
      <c r="Y228"/>
    </row>
    <row r="229" spans="1:25" s="6" customFormat="1" x14ac:dyDescent="0.2">
      <c r="A229"/>
      <c r="B229"/>
      <c r="C229" s="1"/>
      <c r="D229"/>
      <c r="E229"/>
      <c r="F229"/>
      <c r="G229"/>
      <c r="H229"/>
      <c r="I229"/>
      <c r="J229"/>
      <c r="K229"/>
      <c r="L229"/>
      <c r="M229"/>
      <c r="N229"/>
      <c r="O229"/>
      <c r="P229"/>
      <c r="Q229"/>
      <c r="R229"/>
      <c r="S229"/>
      <c r="T229"/>
      <c r="U229"/>
      <c r="V229"/>
      <c r="W229"/>
      <c r="X229"/>
      <c r="Y229"/>
    </row>
    <row r="230" spans="1:25" ht="15" x14ac:dyDescent="0.25">
      <c r="A230" s="3"/>
      <c r="B230" s="131"/>
      <c r="C230" s="1"/>
    </row>
    <row r="231" spans="1:25" x14ac:dyDescent="0.2">
      <c r="A231" s="3"/>
      <c r="C231" s="1"/>
      <c r="N231" s="3"/>
    </row>
    <row r="232" spans="1:25" x14ac:dyDescent="0.2">
      <c r="A232" s="3"/>
      <c r="C232" s="1"/>
      <c r="N232" s="3"/>
    </row>
    <row r="233" spans="1:25" x14ac:dyDescent="0.2">
      <c r="C233" s="1"/>
    </row>
    <row r="236" spans="1:25" x14ac:dyDescent="0.2">
      <c r="C236" s="3"/>
    </row>
    <row r="237" spans="1:25" ht="15" x14ac:dyDescent="0.25">
      <c r="C237" s="131"/>
    </row>
    <row r="241" spans="2:3" x14ac:dyDescent="0.2">
      <c r="B241" s="1"/>
      <c r="C241" s="3"/>
    </row>
    <row r="242" spans="2:3" x14ac:dyDescent="0.2">
      <c r="B242" s="1"/>
    </row>
    <row r="243" spans="2:3" x14ac:dyDescent="0.2">
      <c r="B243" s="1"/>
    </row>
    <row r="244" spans="2:3" x14ac:dyDescent="0.2">
      <c r="B244" s="1"/>
    </row>
    <row r="245" spans="2:3" x14ac:dyDescent="0.2">
      <c r="B245" s="1"/>
      <c r="C245" s="3"/>
    </row>
    <row r="246" spans="2:3" x14ac:dyDescent="0.2">
      <c r="B246" s="1"/>
    </row>
    <row r="247" spans="2:3" x14ac:dyDescent="0.2">
      <c r="B247" s="1"/>
    </row>
    <row r="248" spans="2:3" x14ac:dyDescent="0.2">
      <c r="B248" s="1"/>
    </row>
    <row r="249" spans="2:3" x14ac:dyDescent="0.2">
      <c r="B249" s="1"/>
      <c r="C249" s="3"/>
    </row>
  </sheetData>
  <phoneticPr fontId="21" type="noConversion"/>
  <pageMargins left="0.75" right="0.75" top="1" bottom="1" header="0.5" footer="0.5"/>
  <pageSetup paperSize="9" orientation="portrait" horizontalDpi="4294967293" verticalDpi="4294967293" r:id="rId1"/>
  <headerFooter alignWithMargins="0"/>
  <ignoredErrors>
    <ignoredError sqref="M95" unlockedFormula="1"/>
  </ignoredError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5"/>
  <sheetViews>
    <sheetView workbookViewId="0">
      <selection activeCell="C15" sqref="C15:L22"/>
    </sheetView>
  </sheetViews>
  <sheetFormatPr defaultRowHeight="12.75" x14ac:dyDescent="0.2"/>
  <cols>
    <col min="1" max="1" width="15.5703125" customWidth="1"/>
    <col min="2" max="13" width="10.5703125" customWidth="1"/>
  </cols>
  <sheetData>
    <row r="1" spans="1:16" x14ac:dyDescent="0.2">
      <c r="A1" s="2" t="str">
        <f>MODEL_NAME</f>
        <v>PAGE-ICE Nonlinear Arctic Feedbacks</v>
      </c>
      <c r="B1" t="s">
        <v>37</v>
      </c>
      <c r="C1" s="51" t="str">
        <f>VERSION</f>
        <v>6.22</v>
      </c>
    </row>
    <row r="3" spans="1:16" x14ac:dyDescent="0.2">
      <c r="A3" s="2" t="s">
        <v>21</v>
      </c>
      <c r="B3" s="3">
        <f>Y_0</f>
        <v>2015</v>
      </c>
      <c r="C3">
        <f t="array" ref="C3:L3">Y</f>
        <v>2020</v>
      </c>
      <c r="D3">
        <v>2025</v>
      </c>
      <c r="E3">
        <v>2030</v>
      </c>
      <c r="F3">
        <v>2040</v>
      </c>
      <c r="G3">
        <v>2050</v>
      </c>
      <c r="H3">
        <v>2060</v>
      </c>
      <c r="I3">
        <v>2070</v>
      </c>
      <c r="J3">
        <v>2080</v>
      </c>
      <c r="K3">
        <v>2090</v>
      </c>
      <c r="L3">
        <v>2100</v>
      </c>
    </row>
    <row r="4" spans="1:16" x14ac:dyDescent="0.2">
      <c r="A4" s="1" t="str">
        <f t="array" ref="A4:A11">R_CODE</f>
        <v>EU</v>
      </c>
      <c r="B4" s="27">
        <f t="array" ref="B4:B11">GDP_0</f>
        <v>18443494.800000001</v>
      </c>
      <c r="C4" s="27">
        <f t="array" ref="C4:C11">GDP_0*(1+(GRW_1/100))^YP_1</f>
        <v>20882062.399999991</v>
      </c>
      <c r="D4" s="27">
        <f t="array" ref="D4:L11">GDP*(1+(GRW_NOT_1/100))^YP_NOT_1</f>
        <v>23980097.199999977</v>
      </c>
      <c r="E4" s="27">
        <v>27603980.399999969</v>
      </c>
      <c r="F4" s="27">
        <v>36313725.599999987</v>
      </c>
      <c r="G4" s="27">
        <v>46569898.399999939</v>
      </c>
      <c r="H4" s="27">
        <v>58818474.399999902</v>
      </c>
      <c r="I4" s="27">
        <v>73950837.199999869</v>
      </c>
      <c r="J4" s="27">
        <v>91442213.199999824</v>
      </c>
      <c r="K4" s="27">
        <v>111725468.39999987</v>
      </c>
      <c r="L4" s="27">
        <v>135675537.99999976</v>
      </c>
      <c r="M4" s="1"/>
      <c r="N4" s="1" t="str">
        <f t="shared" ref="N4:N12" si="0">CURRENCY_NAME</f>
        <v>$M(2015)</v>
      </c>
      <c r="O4" s="1"/>
      <c r="P4" s="1"/>
    </row>
    <row r="5" spans="1:16" x14ac:dyDescent="0.2">
      <c r="A5" s="1" t="str">
        <v>US</v>
      </c>
      <c r="B5" s="28">
        <v>17183359.199999999</v>
      </c>
      <c r="C5" s="28">
        <v>19621333.20000001</v>
      </c>
      <c r="D5" s="28">
        <v>22545341.200000025</v>
      </c>
      <c r="E5" s="28">
        <v>25906522.800000016</v>
      </c>
      <c r="F5" s="28">
        <v>33997925.600000046</v>
      </c>
      <c r="G5" s="28">
        <v>43688673.200000063</v>
      </c>
      <c r="H5" s="28">
        <v>55479805.600000083</v>
      </c>
      <c r="I5" s="28">
        <v>70503736.400000021</v>
      </c>
      <c r="J5" s="28">
        <v>88974800.400000066</v>
      </c>
      <c r="K5" s="28">
        <v>111051397.60000026</v>
      </c>
      <c r="L5" s="28">
        <v>137110317.60000032</v>
      </c>
      <c r="M5" s="1"/>
      <c r="N5" s="1" t="str">
        <f t="shared" si="0"/>
        <v>$M(2015)</v>
      </c>
      <c r="O5" s="1"/>
      <c r="P5" s="1"/>
    </row>
    <row r="6" spans="1:16" x14ac:dyDescent="0.2">
      <c r="A6" s="1" t="str">
        <v>OT</v>
      </c>
      <c r="B6" s="28">
        <v>10239900.799999999</v>
      </c>
      <c r="C6" s="28">
        <v>11558009.200000012</v>
      </c>
      <c r="D6" s="28">
        <v>13208688.400000006</v>
      </c>
      <c r="E6" s="28">
        <v>15174374.400000004</v>
      </c>
      <c r="F6" s="28">
        <v>19885169.599999983</v>
      </c>
      <c r="G6" s="28">
        <v>25436358.800000016</v>
      </c>
      <c r="H6" s="28">
        <v>31967754.800000001</v>
      </c>
      <c r="I6" s="28">
        <v>39689999.999999955</v>
      </c>
      <c r="J6" s="28">
        <v>48212146.799999908</v>
      </c>
      <c r="K6" s="28">
        <v>57552856.7999999</v>
      </c>
      <c r="L6" s="28">
        <v>67942120.399999812</v>
      </c>
      <c r="M6" s="1"/>
      <c r="N6" s="1" t="str">
        <f t="shared" si="0"/>
        <v>$M(2015)</v>
      </c>
      <c r="O6" s="1"/>
      <c r="P6" s="1"/>
    </row>
    <row r="7" spans="1:16" x14ac:dyDescent="0.2">
      <c r="A7" s="1" t="str">
        <v>EE</v>
      </c>
      <c r="B7" s="28">
        <v>4310074.3999999994</v>
      </c>
      <c r="C7" s="28">
        <v>5205708.799999998</v>
      </c>
      <c r="D7" s="28">
        <v>6351405.5999999959</v>
      </c>
      <c r="E7" s="28">
        <v>7695224.3999999948</v>
      </c>
      <c r="F7" s="28">
        <v>10588437.199999996</v>
      </c>
      <c r="G7" s="28">
        <v>13151609.199999984</v>
      </c>
      <c r="H7" s="28">
        <v>15708141.199999981</v>
      </c>
      <c r="I7" s="28">
        <v>18582217.599999983</v>
      </c>
      <c r="J7" s="28">
        <v>21040725.199999958</v>
      </c>
      <c r="K7" s="28">
        <v>23607505.199999947</v>
      </c>
      <c r="L7" s="28">
        <v>26175858.799999915</v>
      </c>
      <c r="M7" s="1"/>
      <c r="N7" s="1" t="str">
        <f t="shared" si="0"/>
        <v>$M(2015)</v>
      </c>
      <c r="O7" s="1"/>
      <c r="P7" s="1"/>
    </row>
    <row r="8" spans="1:16" x14ac:dyDescent="0.2">
      <c r="A8" s="1" t="str">
        <v>CA</v>
      </c>
      <c r="B8" s="28">
        <v>18719800.800000001</v>
      </c>
      <c r="C8" s="28">
        <v>27065294.399999999</v>
      </c>
      <c r="D8" s="28">
        <v>37155779.600000009</v>
      </c>
      <c r="E8" s="28">
        <v>48204015.200000003</v>
      </c>
      <c r="F8" s="28">
        <v>69047469.99999994</v>
      </c>
      <c r="G8" s="28">
        <v>85372154.800000027</v>
      </c>
      <c r="H8" s="28">
        <v>95759622.800000012</v>
      </c>
      <c r="I8" s="28">
        <v>102849844.0000001</v>
      </c>
      <c r="J8" s="28">
        <v>106910238.40000011</v>
      </c>
      <c r="K8" s="28">
        <v>109140226.40000002</v>
      </c>
      <c r="L8" s="28">
        <v>108813418.00000001</v>
      </c>
      <c r="M8" s="1"/>
      <c r="N8" s="1" t="str">
        <f t="shared" si="0"/>
        <v>$M(2015)</v>
      </c>
      <c r="O8" s="1"/>
      <c r="P8" s="1"/>
    </row>
    <row r="9" spans="1:16" x14ac:dyDescent="0.2">
      <c r="A9" s="1" t="str">
        <v>IA</v>
      </c>
      <c r="B9" s="28">
        <v>14906285.6</v>
      </c>
      <c r="C9" s="28">
        <v>20618544.000000007</v>
      </c>
      <c r="D9" s="28">
        <v>28405383.600000024</v>
      </c>
      <c r="E9" s="28">
        <v>38226354.400000028</v>
      </c>
      <c r="F9" s="28">
        <v>63532452.00000003</v>
      </c>
      <c r="G9" s="28">
        <v>94579696.40000008</v>
      </c>
      <c r="H9" s="28">
        <v>128998192.40000007</v>
      </c>
      <c r="I9" s="28">
        <v>165583356.80000007</v>
      </c>
      <c r="J9" s="28">
        <v>202694411.6000002</v>
      </c>
      <c r="K9" s="28">
        <v>240729457.60000017</v>
      </c>
      <c r="L9" s="28">
        <v>277534299.2000007</v>
      </c>
      <c r="M9" s="1"/>
      <c r="N9" s="1" t="str">
        <f t="shared" si="0"/>
        <v>$M(2015)</v>
      </c>
      <c r="O9" s="1"/>
      <c r="P9" s="1"/>
    </row>
    <row r="10" spans="1:16" x14ac:dyDescent="0.2">
      <c r="A10" s="1" t="str">
        <v>AF</v>
      </c>
      <c r="B10" s="28">
        <v>7329259.5999999996</v>
      </c>
      <c r="C10" s="28">
        <v>9406848</v>
      </c>
      <c r="D10" s="28">
        <v>12274656.000000004</v>
      </c>
      <c r="E10" s="28">
        <v>16187116.000000013</v>
      </c>
      <c r="F10" s="28">
        <v>27787301.600000016</v>
      </c>
      <c r="G10" s="28">
        <v>44767611.200000063</v>
      </c>
      <c r="H10" s="28">
        <v>67945418.000000149</v>
      </c>
      <c r="I10" s="28">
        <v>98143934.400000259</v>
      </c>
      <c r="J10" s="28">
        <v>135154942.40000039</v>
      </c>
      <c r="K10" s="28">
        <v>181231266.80000061</v>
      </c>
      <c r="L10" s="28">
        <v>236436059.20000097</v>
      </c>
      <c r="M10" s="1"/>
      <c r="N10" s="1" t="str">
        <f t="shared" si="0"/>
        <v>$M(2015)</v>
      </c>
      <c r="O10" s="1"/>
      <c r="P10" s="1"/>
    </row>
    <row r="11" spans="1:16" ht="13.5" thickBot="1" x14ac:dyDescent="0.25">
      <c r="A11" s="1" t="str">
        <v>LA</v>
      </c>
      <c r="B11" s="36">
        <v>7947804.0000000009</v>
      </c>
      <c r="C11" s="36">
        <v>9555902.7999999933</v>
      </c>
      <c r="D11" s="36">
        <v>11526109.599999985</v>
      </c>
      <c r="E11" s="36">
        <v>13921424.399999984</v>
      </c>
      <c r="F11" s="36">
        <v>20185624.39999998</v>
      </c>
      <c r="G11" s="36">
        <v>27765719.599999938</v>
      </c>
      <c r="H11" s="36">
        <v>35612624.399999931</v>
      </c>
      <c r="I11" s="36">
        <v>43422210.799999848</v>
      </c>
      <c r="J11" s="36">
        <v>51260743.599999823</v>
      </c>
      <c r="K11" s="36">
        <v>59091680.399999849</v>
      </c>
      <c r="L11" s="36">
        <v>66180848.799999803</v>
      </c>
      <c r="M11" s="1"/>
      <c r="N11" s="1" t="str">
        <f t="shared" si="0"/>
        <v>$M(2015)</v>
      </c>
      <c r="O11" s="1"/>
      <c r="P11" s="1"/>
    </row>
    <row r="12" spans="1:16" ht="14.25" thickTop="1" thickBot="1" x14ac:dyDescent="0.25">
      <c r="A12" s="44" t="s">
        <v>204</v>
      </c>
      <c r="B12" s="36">
        <f t="shared" ref="B12:L12" si="1">SUM(B4:B11)</f>
        <v>99079979.199999988</v>
      </c>
      <c r="C12" s="36">
        <f t="shared" si="1"/>
        <v>123913702.8</v>
      </c>
      <c r="D12" s="36">
        <f t="shared" si="1"/>
        <v>155447461.20000005</v>
      </c>
      <c r="E12" s="36">
        <f t="shared" si="1"/>
        <v>192919012</v>
      </c>
      <c r="F12" s="36">
        <f t="shared" si="1"/>
        <v>281338106</v>
      </c>
      <c r="G12" s="36">
        <f t="shared" si="1"/>
        <v>381331721.60000014</v>
      </c>
      <c r="H12" s="36">
        <f t="shared" si="1"/>
        <v>490290033.60000008</v>
      </c>
      <c r="I12" s="36">
        <f t="shared" si="1"/>
        <v>612726137.20000005</v>
      </c>
      <c r="J12" s="36">
        <f t="shared" si="1"/>
        <v>745690221.60000026</v>
      </c>
      <c r="K12" s="36">
        <f t="shared" si="1"/>
        <v>894129859.20000052</v>
      </c>
      <c r="L12" s="36">
        <f t="shared" si="1"/>
        <v>1055868460.0000013</v>
      </c>
      <c r="M12" s="1"/>
      <c r="N12" s="1" t="str">
        <f t="shared" si="0"/>
        <v>$M(2015)</v>
      </c>
      <c r="O12" s="1"/>
      <c r="P12" s="1"/>
    </row>
    <row r="13" spans="1:16" ht="14.25" thickTop="1" thickBot="1" x14ac:dyDescent="0.25">
      <c r="A13" s="44" t="s">
        <v>205</v>
      </c>
      <c r="B13" s="44"/>
      <c r="C13" s="35">
        <f>((GDP_G_1/GDP_G_0)^(1/YP_1)-1)*100</f>
        <v>4.5747140248038498</v>
      </c>
      <c r="D13" s="35">
        <f t="array" ref="D13:L13">((GDP_G_NOT_1/GDP_G)^(1/YP_NOT_1)-1)*100</f>
        <v>4.638826315504363</v>
      </c>
      <c r="E13" s="35">
        <v>4.4138907627195412</v>
      </c>
      <c r="F13" s="35">
        <v>3.8449431785757548</v>
      </c>
      <c r="G13" s="35">
        <v>3.0878394134363774</v>
      </c>
      <c r="H13" s="35">
        <v>2.5451236512824993</v>
      </c>
      <c r="I13" s="35">
        <v>2.254242105316373</v>
      </c>
      <c r="J13" s="35">
        <v>1.9833336496887011</v>
      </c>
      <c r="K13" s="35">
        <v>1.8319862912204332</v>
      </c>
      <c r="L13" s="35">
        <v>1.6765781410434943</v>
      </c>
      <c r="M13" s="1"/>
      <c r="N13" s="1" t="s">
        <v>38</v>
      </c>
      <c r="O13" s="1"/>
      <c r="P13" s="1"/>
    </row>
    <row r="14" spans="1:16" ht="13.5" thickTop="1" x14ac:dyDescent="0.2">
      <c r="A14" s="2" t="s">
        <v>137</v>
      </c>
      <c r="B14" s="2"/>
      <c r="O14" s="1"/>
      <c r="P14" s="1"/>
    </row>
    <row r="15" spans="1:16" x14ac:dyDescent="0.2">
      <c r="A15" s="1" t="str">
        <f t="array" ref="A15:A22">R_CODE</f>
        <v>EU</v>
      </c>
      <c r="B15" s="27">
        <f t="array" ref="B15:B22">POP_0</f>
        <v>511.755</v>
      </c>
      <c r="C15" s="27">
        <f t="array" ref="C15:C22">POP_0*(1+(POP_GRW_1/100))^YP_1</f>
        <v>523.72400000000005</v>
      </c>
      <c r="D15" s="27">
        <f t="array" ref="D15:L22">POP*(1+(POP_GRW_NOT_1/100))^YP_NOT_1</f>
        <v>537.76800000000037</v>
      </c>
      <c r="E15" s="27">
        <v>552.67400000000021</v>
      </c>
      <c r="F15" s="27">
        <v>583.80899999999997</v>
      </c>
      <c r="G15" s="27">
        <v>618.41800000000012</v>
      </c>
      <c r="H15" s="27">
        <v>654.10500000000002</v>
      </c>
      <c r="I15" s="27">
        <v>684.87599999999986</v>
      </c>
      <c r="J15" s="27">
        <v>709.61100000000067</v>
      </c>
      <c r="K15" s="27">
        <v>726.87899999999991</v>
      </c>
      <c r="L15" s="27">
        <v>737.84800000000041</v>
      </c>
      <c r="M15" s="1"/>
      <c r="N15" s="1" t="str">
        <f t="shared" ref="N15:N23" si="2">POP_UNIT_NAME</f>
        <v>million</v>
      </c>
      <c r="O15" s="1"/>
      <c r="P15" s="1"/>
    </row>
    <row r="16" spans="1:16" x14ac:dyDescent="0.2">
      <c r="A16" s="1" t="str">
        <v>US</v>
      </c>
      <c r="B16" s="28">
        <v>328.96800000000002</v>
      </c>
      <c r="C16" s="28">
        <v>346.60500000000002</v>
      </c>
      <c r="D16" s="28">
        <v>366.8429999999999</v>
      </c>
      <c r="E16" s="28">
        <v>388.13999999999965</v>
      </c>
      <c r="F16" s="28">
        <v>431.63199999999989</v>
      </c>
      <c r="G16" s="28">
        <v>478.23700000000002</v>
      </c>
      <c r="H16" s="28">
        <v>529.88899999999933</v>
      </c>
      <c r="I16" s="28">
        <v>582.88999999999851</v>
      </c>
      <c r="J16" s="28">
        <v>633.8789999999982</v>
      </c>
      <c r="K16" s="28">
        <v>678.45999999999754</v>
      </c>
      <c r="L16" s="28">
        <v>714.07299999999748</v>
      </c>
      <c r="M16" s="1"/>
      <c r="N16" s="1" t="str">
        <f t="shared" si="2"/>
        <v>million</v>
      </c>
      <c r="O16" s="1"/>
      <c r="P16" s="1"/>
    </row>
    <row r="17" spans="1:16" x14ac:dyDescent="0.2">
      <c r="A17" s="1" t="str">
        <v>OT</v>
      </c>
      <c r="B17" s="28">
        <v>305.35900000000009</v>
      </c>
      <c r="C17" s="28">
        <v>314.30700000000002</v>
      </c>
      <c r="D17" s="28">
        <v>323.30800000000028</v>
      </c>
      <c r="E17" s="28">
        <v>331.78100000000012</v>
      </c>
      <c r="F17" s="28">
        <v>347.35999999999984</v>
      </c>
      <c r="G17" s="28">
        <v>362.11700000000002</v>
      </c>
      <c r="H17" s="28">
        <v>375.51300000000026</v>
      </c>
      <c r="I17" s="28">
        <v>383.88900000000001</v>
      </c>
      <c r="J17" s="28">
        <v>387.1869999999999</v>
      </c>
      <c r="K17" s="28">
        <v>384.99199999999968</v>
      </c>
      <c r="L17" s="28">
        <v>378.28000000000009</v>
      </c>
      <c r="M17" s="1"/>
      <c r="N17" s="1" t="str">
        <f t="shared" si="2"/>
        <v>million</v>
      </c>
      <c r="O17" s="1"/>
      <c r="P17" s="1"/>
    </row>
    <row r="18" spans="1:16" x14ac:dyDescent="0.2">
      <c r="A18" s="1" t="str">
        <v>EE</v>
      </c>
      <c r="B18" s="28">
        <v>279.69600000000003</v>
      </c>
      <c r="C18" s="28">
        <v>279.37300000000005</v>
      </c>
      <c r="D18" s="28">
        <v>278.17700000000013</v>
      </c>
      <c r="E18" s="28">
        <v>276.33400000000006</v>
      </c>
      <c r="F18" s="28">
        <v>272.51200000000023</v>
      </c>
      <c r="G18" s="28">
        <v>265.60900000000026</v>
      </c>
      <c r="H18" s="28">
        <v>255.37000000000009</v>
      </c>
      <c r="I18" s="28">
        <v>242.15100000000024</v>
      </c>
      <c r="J18" s="28">
        <v>225.25300000000027</v>
      </c>
      <c r="K18" s="28">
        <v>206.07100000000025</v>
      </c>
      <c r="L18" s="28">
        <v>186.14100000000025</v>
      </c>
      <c r="M18" s="1"/>
      <c r="N18" s="1" t="str">
        <f t="shared" si="2"/>
        <v>million</v>
      </c>
      <c r="O18" s="1"/>
      <c r="P18" s="1"/>
    </row>
    <row r="19" spans="1:16" x14ac:dyDescent="0.2">
      <c r="A19" s="1" t="str">
        <v>CA</v>
      </c>
      <c r="B19" s="28">
        <v>1368.3409999999999</v>
      </c>
      <c r="C19" s="28">
        <v>1379.3220000000003</v>
      </c>
      <c r="D19" s="28">
        <v>1379.3590000000008</v>
      </c>
      <c r="E19" s="28">
        <v>1368.525000000001</v>
      </c>
      <c r="F19" s="28">
        <v>1319.0440000000001</v>
      </c>
      <c r="G19" s="28">
        <v>1235.6349999999998</v>
      </c>
      <c r="H19" s="28">
        <v>1129.0869999999995</v>
      </c>
      <c r="I19" s="28">
        <v>1011.1109999999998</v>
      </c>
      <c r="J19" s="28">
        <v>891.78100000000006</v>
      </c>
      <c r="K19" s="28">
        <v>772.13800000000015</v>
      </c>
      <c r="L19" s="28">
        <v>652.97300000000018</v>
      </c>
      <c r="M19" s="1"/>
      <c r="N19" s="1" t="str">
        <f t="shared" si="2"/>
        <v>million</v>
      </c>
      <c r="O19" s="1"/>
      <c r="P19" s="1"/>
    </row>
    <row r="20" spans="1:16" x14ac:dyDescent="0.2">
      <c r="A20" s="1" t="str">
        <v>IA</v>
      </c>
      <c r="B20" s="28">
        <v>2440.5580000000004</v>
      </c>
      <c r="C20" s="28">
        <v>2556.4954999999995</v>
      </c>
      <c r="D20" s="28">
        <v>2652.6609999999996</v>
      </c>
      <c r="E20" s="28">
        <v>2728.0494999999996</v>
      </c>
      <c r="F20" s="28">
        <v>2831.6005</v>
      </c>
      <c r="G20" s="28">
        <v>2860.0699999999997</v>
      </c>
      <c r="H20" s="28">
        <v>2814.665</v>
      </c>
      <c r="I20" s="28">
        <v>2705.5300000000007</v>
      </c>
      <c r="J20" s="28">
        <v>2542.4680000000003</v>
      </c>
      <c r="K20" s="28">
        <v>2338.4659999999999</v>
      </c>
      <c r="L20" s="28">
        <v>2111.0129999999999</v>
      </c>
      <c r="M20" s="1"/>
      <c r="N20" s="1" t="str">
        <f t="shared" si="2"/>
        <v>million</v>
      </c>
      <c r="O20" s="1"/>
      <c r="P20" s="1"/>
    </row>
    <row r="21" spans="1:16" x14ac:dyDescent="0.2">
      <c r="A21" s="1" t="str">
        <v>AF</v>
      </c>
      <c r="B21" s="28">
        <v>1367.6130000000001</v>
      </c>
      <c r="C21" s="28">
        <v>1494.9084999999993</v>
      </c>
      <c r="D21" s="28">
        <v>1616.1415</v>
      </c>
      <c r="E21" s="28">
        <v>1727.5504999999998</v>
      </c>
      <c r="F21" s="28">
        <v>1930.9690000000016</v>
      </c>
      <c r="G21" s="28">
        <v>2085.2735000000011</v>
      </c>
      <c r="H21" s="28">
        <v>2184.6895000000045</v>
      </c>
      <c r="I21" s="28">
        <v>2236.7335000000039</v>
      </c>
      <c r="J21" s="28">
        <v>2241.751500000003</v>
      </c>
      <c r="K21" s="28">
        <v>2204.2510000000034</v>
      </c>
      <c r="L21" s="28">
        <v>2130.169000000004</v>
      </c>
      <c r="M21" s="1"/>
      <c r="N21" s="1" t="str">
        <f t="shared" si="2"/>
        <v>million</v>
      </c>
      <c r="O21" s="1"/>
      <c r="P21" s="1"/>
    </row>
    <row r="22" spans="1:16" ht="13.5" thickBot="1" x14ac:dyDescent="0.25">
      <c r="A22" s="1" t="str">
        <v>LA</v>
      </c>
      <c r="B22" s="36">
        <v>611.48099999999999</v>
      </c>
      <c r="C22" s="36">
        <v>631.89299999999969</v>
      </c>
      <c r="D22" s="36">
        <v>646.48249999999985</v>
      </c>
      <c r="E22" s="36">
        <v>655.84550000000036</v>
      </c>
      <c r="F22" s="36">
        <v>662.33250000000044</v>
      </c>
      <c r="G22" s="36">
        <v>651.71650000000045</v>
      </c>
      <c r="H22" s="36">
        <v>626.62050000000022</v>
      </c>
      <c r="I22" s="36">
        <v>592.70400000000006</v>
      </c>
      <c r="J22" s="36">
        <v>552.65250000000026</v>
      </c>
      <c r="K22" s="36">
        <v>505.59200000000027</v>
      </c>
      <c r="L22" s="36">
        <v>451.40550000000047</v>
      </c>
      <c r="M22" s="1"/>
      <c r="N22" s="1" t="str">
        <f t="shared" si="2"/>
        <v>million</v>
      </c>
      <c r="O22" s="1"/>
      <c r="P22" s="1"/>
    </row>
    <row r="23" spans="1:16" ht="14.25" thickTop="1" thickBot="1" x14ac:dyDescent="0.25">
      <c r="A23" s="44" t="s">
        <v>204</v>
      </c>
      <c r="B23" s="36">
        <f t="shared" ref="B23:L23" si="3">SUM(B15:B22)</f>
        <v>7213.7710000000006</v>
      </c>
      <c r="C23" s="36">
        <f t="shared" si="3"/>
        <v>7526.6279999999988</v>
      </c>
      <c r="D23" s="36">
        <f t="shared" si="3"/>
        <v>7800.7400000000016</v>
      </c>
      <c r="E23" s="36">
        <f t="shared" si="3"/>
        <v>8028.8995000000004</v>
      </c>
      <c r="F23" s="36">
        <f t="shared" si="3"/>
        <v>8379.2590000000018</v>
      </c>
      <c r="G23" s="36">
        <f t="shared" si="3"/>
        <v>8557.0760000000009</v>
      </c>
      <c r="H23" s="36">
        <f t="shared" si="3"/>
        <v>8569.9390000000039</v>
      </c>
      <c r="I23" s="36">
        <f t="shared" si="3"/>
        <v>8439.8845000000038</v>
      </c>
      <c r="J23" s="36">
        <f t="shared" si="3"/>
        <v>8184.5830000000024</v>
      </c>
      <c r="K23" s="36">
        <f t="shared" si="3"/>
        <v>7816.849000000002</v>
      </c>
      <c r="L23" s="36">
        <f t="shared" si="3"/>
        <v>7361.9025000000038</v>
      </c>
      <c r="M23" s="1"/>
      <c r="N23" s="1" t="str">
        <f t="shared" si="2"/>
        <v>million</v>
      </c>
      <c r="O23" s="1"/>
      <c r="P23" s="1"/>
    </row>
    <row r="24" spans="1:16" ht="14.25" thickTop="1" thickBot="1" x14ac:dyDescent="0.25">
      <c r="A24" s="44" t="s">
        <v>205</v>
      </c>
      <c r="B24" s="44"/>
      <c r="C24" s="35">
        <f>((POP_G_1/POP_G_0)^(1/YP_1)-1)*100</f>
        <v>0.85272102101683345</v>
      </c>
      <c r="D24" s="35">
        <f t="array" ref="D24:L24">((POP_G_NOT_1/POP_G)^(1/YP_NOT_1)-1)*100</f>
        <v>0.71799467468711686</v>
      </c>
      <c r="E24" s="35">
        <v>0.57824278679232677</v>
      </c>
      <c r="F24" s="35">
        <v>0.42803361584864419</v>
      </c>
      <c r="G24" s="35">
        <v>0.21021120711879338</v>
      </c>
      <c r="H24" s="35">
        <v>1.5021845341367523E-2</v>
      </c>
      <c r="I24" s="35">
        <v>-0.15280304759408558</v>
      </c>
      <c r="J24" s="35">
        <v>-0.30669234531306433</v>
      </c>
      <c r="K24" s="35">
        <v>-0.45865226821295568</v>
      </c>
      <c r="L24" s="35">
        <v>-0.59783720877819579</v>
      </c>
      <c r="M24" s="1"/>
      <c r="N24" s="1" t="s">
        <v>38</v>
      </c>
      <c r="O24" s="1"/>
      <c r="P24" s="1"/>
    </row>
    <row r="25" spans="1:16" ht="13.5" thickTop="1" x14ac:dyDescent="0.2">
      <c r="A25" s="2" t="s">
        <v>139</v>
      </c>
      <c r="B25" s="2"/>
      <c r="O25" s="1"/>
      <c r="P25" s="1"/>
    </row>
    <row r="26" spans="1:16" x14ac:dyDescent="0.2">
      <c r="A26" s="1" t="str">
        <f t="array" ref="A26:A33">R_CODE</f>
        <v>EU</v>
      </c>
      <c r="B26" s="27">
        <f t="array" ref="B26:B33">GDP_0/POP_0</f>
        <v>36039.696339068498</v>
      </c>
      <c r="C26" s="27">
        <f t="array" ref="C26:L33">GDP/POP</f>
        <v>39872.265544447051</v>
      </c>
      <c r="D26" s="27">
        <v>44591.900596539701</v>
      </c>
      <c r="E26" s="27">
        <v>49946.225804000111</v>
      </c>
      <c r="F26" s="27">
        <v>62201.380245936576</v>
      </c>
      <c r="G26" s="27">
        <v>75304.888279448409</v>
      </c>
      <c r="H26" s="27">
        <v>89922.068169483333</v>
      </c>
      <c r="I26" s="27">
        <v>107976.97276587278</v>
      </c>
      <c r="J26" s="27">
        <v>128862.4516812729</v>
      </c>
      <c r="K26" s="27">
        <v>153705.73149038546</v>
      </c>
      <c r="L26" s="27">
        <v>183880.06472877841</v>
      </c>
      <c r="M26" s="1"/>
      <c r="N26" s="1" t="str">
        <f t="shared" ref="N26:N34" si="4">CURRENCY_NAME&amp;"/"&amp;POP_UNIT_NAME</f>
        <v>$M(2015)/million</v>
      </c>
      <c r="O26" s="1"/>
      <c r="P26" s="1"/>
    </row>
    <row r="27" spans="1:16" x14ac:dyDescent="0.2">
      <c r="A27" s="1" t="str">
        <v>US</v>
      </c>
      <c r="B27" s="28">
        <v>52234.135842999924</v>
      </c>
      <c r="C27" s="28">
        <v>56610.069675855826</v>
      </c>
      <c r="D27" s="28">
        <v>61457.738596620438</v>
      </c>
      <c r="E27" s="28">
        <v>66745.305302210647</v>
      </c>
      <c r="F27" s="28">
        <v>78765.998813804472</v>
      </c>
      <c r="G27" s="28">
        <v>91353.603338930407</v>
      </c>
      <c r="H27" s="28">
        <v>104700.80639530194</v>
      </c>
      <c r="I27" s="28">
        <v>120955.47427473486</v>
      </c>
      <c r="J27" s="28">
        <v>140365.59090930654</v>
      </c>
      <c r="K27" s="28">
        <v>163681.56943666638</v>
      </c>
      <c r="L27" s="28">
        <v>192011.62570213524</v>
      </c>
      <c r="M27" s="1"/>
      <c r="N27" s="1" t="str">
        <f t="shared" si="4"/>
        <v>$M(2015)/million</v>
      </c>
      <c r="O27" s="1"/>
      <c r="P27" s="1"/>
    </row>
    <row r="28" spans="1:16" x14ac:dyDescent="0.2">
      <c r="A28" s="1" t="str">
        <v>OT</v>
      </c>
      <c r="B28" s="28">
        <v>33533.974109163297</v>
      </c>
      <c r="C28" s="28">
        <v>36772.993283636737</v>
      </c>
      <c r="D28" s="28">
        <v>40854.814604030813</v>
      </c>
      <c r="E28" s="28">
        <v>45736.116293579194</v>
      </c>
      <c r="F28" s="28">
        <v>57246.57300783047</v>
      </c>
      <c r="G28" s="28">
        <v>70243.481526688935</v>
      </c>
      <c r="H28" s="28">
        <v>85130.887079808104</v>
      </c>
      <c r="I28" s="28">
        <v>103389.26095824562</v>
      </c>
      <c r="J28" s="28">
        <v>124519.02259115085</v>
      </c>
      <c r="K28" s="28">
        <v>149491.04604770994</v>
      </c>
      <c r="L28" s="28">
        <v>179608.01628423337</v>
      </c>
      <c r="M28" s="1"/>
      <c r="N28" s="1" t="str">
        <f t="shared" si="4"/>
        <v>$M(2015)/million</v>
      </c>
      <c r="O28" s="1"/>
      <c r="P28" s="1"/>
    </row>
    <row r="29" spans="1:16" x14ac:dyDescent="0.2">
      <c r="A29" s="1" t="str">
        <v>EE</v>
      </c>
      <c r="B29" s="28">
        <v>15409.853555288595</v>
      </c>
      <c r="C29" s="28">
        <v>18633.542969435119</v>
      </c>
      <c r="D29" s="28">
        <v>22832.245656542393</v>
      </c>
      <c r="E29" s="28">
        <v>27847.54825681962</v>
      </c>
      <c r="F29" s="28">
        <v>38854.939232033772</v>
      </c>
      <c r="G29" s="28">
        <v>49514.923063600902</v>
      </c>
      <c r="H29" s="28">
        <v>61511.302032345127</v>
      </c>
      <c r="I29" s="28">
        <v>76738.141077261564</v>
      </c>
      <c r="J29" s="28">
        <v>93409.300653043174</v>
      </c>
      <c r="K29" s="28">
        <v>114560.05551484643</v>
      </c>
      <c r="L29" s="28">
        <v>140623.82172653999</v>
      </c>
      <c r="M29" s="1"/>
      <c r="N29" s="1" t="str">
        <f t="shared" si="4"/>
        <v>$M(2015)/million</v>
      </c>
      <c r="O29" s="1"/>
      <c r="P29" s="1"/>
    </row>
    <row r="30" spans="1:16" x14ac:dyDescent="0.2">
      <c r="A30" s="1" t="str">
        <v>CA</v>
      </c>
      <c r="B30" s="28">
        <v>13680.654749072053</v>
      </c>
      <c r="C30" s="28">
        <v>19622.17263264125</v>
      </c>
      <c r="D30" s="28">
        <v>26936.990007677468</v>
      </c>
      <c r="E30" s="28">
        <v>35223.335488938799</v>
      </c>
      <c r="F30" s="28">
        <v>52346.601023165211</v>
      </c>
      <c r="G30" s="28">
        <v>69091.725954671114</v>
      </c>
      <c r="H30" s="28">
        <v>84811.55375980775</v>
      </c>
      <c r="I30" s="28">
        <v>101719.63711204816</v>
      </c>
      <c r="J30" s="28">
        <v>119883.96074821072</v>
      </c>
      <c r="K30" s="28">
        <v>141348.08337369745</v>
      </c>
      <c r="L30" s="28">
        <v>166643.05874821774</v>
      </c>
      <c r="M30" s="1"/>
      <c r="N30" s="1" t="str">
        <f t="shared" si="4"/>
        <v>$M(2015)/million</v>
      </c>
      <c r="O30" s="1"/>
      <c r="P30" s="1"/>
    </row>
    <row r="31" spans="1:16" x14ac:dyDescent="0.2">
      <c r="A31" s="1" t="str">
        <v>IA</v>
      </c>
      <c r="B31" s="28">
        <v>6107.7366733345398</v>
      </c>
      <c r="C31" s="28">
        <v>8065.1595123089446</v>
      </c>
      <c r="D31" s="28">
        <v>10708.259969894392</v>
      </c>
      <c r="E31" s="28">
        <v>14012.338998980786</v>
      </c>
      <c r="F31" s="28">
        <v>22436.940521800312</v>
      </c>
      <c r="G31" s="28">
        <v>33069.014534609327</v>
      </c>
      <c r="H31" s="28">
        <v>45830.74447580798</v>
      </c>
      <c r="I31" s="28">
        <v>61201.818793360275</v>
      </c>
      <c r="J31" s="28">
        <v>79723.485841316462</v>
      </c>
      <c r="K31" s="28">
        <v>102943.32164761009</v>
      </c>
      <c r="L31" s="28">
        <v>131469.72529302316</v>
      </c>
      <c r="M31" s="1"/>
      <c r="N31" s="1" t="str">
        <f t="shared" si="4"/>
        <v>$M(2015)/million</v>
      </c>
      <c r="O31" s="1"/>
      <c r="P31" s="1"/>
    </row>
    <row r="32" spans="1:16" x14ac:dyDescent="0.2">
      <c r="A32" s="1" t="str">
        <v>AF</v>
      </c>
      <c r="B32" s="28">
        <v>5359.1619851522319</v>
      </c>
      <c r="C32" s="28">
        <v>6292.5911518999355</v>
      </c>
      <c r="D32" s="28">
        <v>7595.0379344877938</v>
      </c>
      <c r="E32" s="28">
        <v>9369.9813695750217</v>
      </c>
      <c r="F32" s="28">
        <v>14390.340601014306</v>
      </c>
      <c r="G32" s="28">
        <v>21468.460228358552</v>
      </c>
      <c r="H32" s="28">
        <v>31100.720720267116</v>
      </c>
      <c r="I32" s="28">
        <v>43878.242267127527</v>
      </c>
      <c r="J32" s="28">
        <v>60289.886011005328</v>
      </c>
      <c r="K32" s="28">
        <v>82218.979054563359</v>
      </c>
      <c r="L32" s="28">
        <v>110994.03812561376</v>
      </c>
      <c r="M32" s="1"/>
      <c r="N32" s="1" t="str">
        <f t="shared" si="4"/>
        <v>$M(2015)/million</v>
      </c>
      <c r="O32" s="1"/>
      <c r="P32" s="1"/>
    </row>
    <row r="33" spans="1:16" ht="13.5" thickBot="1" x14ac:dyDescent="0.25">
      <c r="A33" s="1" t="str">
        <v>LA</v>
      </c>
      <c r="B33" s="36">
        <v>12997.630343379436</v>
      </c>
      <c r="C33" s="36">
        <v>15122.659690802078</v>
      </c>
      <c r="D33" s="36">
        <v>17828.95840181287</v>
      </c>
      <c r="E33" s="36">
        <v>21226.68280867975</v>
      </c>
      <c r="F33" s="36">
        <v>30476.572416422216</v>
      </c>
      <c r="G33" s="36">
        <v>42603.984401192727</v>
      </c>
      <c r="H33" s="36">
        <v>56832.842845071173</v>
      </c>
      <c r="I33" s="36">
        <v>73261.207617967564</v>
      </c>
      <c r="J33" s="36">
        <v>92754.024635733658</v>
      </c>
      <c r="K33" s="36">
        <v>116876.21718698044</v>
      </c>
      <c r="L33" s="36">
        <v>146610.63899309986</v>
      </c>
      <c r="M33" s="1"/>
      <c r="N33" s="1" t="str">
        <f t="shared" si="4"/>
        <v>$M(2015)/million</v>
      </c>
      <c r="O33" s="1"/>
      <c r="P33" s="1"/>
    </row>
    <row r="34" spans="1:16" ht="14.25" thickTop="1" thickBot="1" x14ac:dyDescent="0.25">
      <c r="A34" s="44" t="s">
        <v>140</v>
      </c>
      <c r="B34" s="36">
        <f>GDP_G_0/POP_G_0</f>
        <v>13734.838436096736</v>
      </c>
      <c r="C34" s="36">
        <f t="array" ref="C34:L34">GDP_G/POP_G</f>
        <v>16463.37547172519</v>
      </c>
      <c r="D34" s="36">
        <v>19927.271156326198</v>
      </c>
      <c r="E34" s="36">
        <v>24028.076575127139</v>
      </c>
      <c r="F34" s="36">
        <v>33575.535259144031</v>
      </c>
      <c r="G34" s="36">
        <v>44563.320648314926</v>
      </c>
      <c r="H34" s="36">
        <v>57210.446142032029</v>
      </c>
      <c r="I34" s="36">
        <v>72598.877058092417</v>
      </c>
      <c r="J34" s="36">
        <v>91109.12817427596</v>
      </c>
      <c r="K34" s="36">
        <v>114384.94708033893</v>
      </c>
      <c r="L34" s="36">
        <v>143423.31482928505</v>
      </c>
      <c r="M34" s="1"/>
      <c r="N34" s="1" t="str">
        <f t="shared" si="4"/>
        <v>$M(2015)/million</v>
      </c>
      <c r="O34" s="1"/>
      <c r="P34" s="1"/>
    </row>
    <row r="35" spans="1:16" ht="14.25" thickTop="1" thickBot="1" x14ac:dyDescent="0.25">
      <c r="A35" s="44" t="s">
        <v>141</v>
      </c>
      <c r="B35" s="44"/>
      <c r="C35" s="35">
        <f t="array" ref="C35:L35">GRW_G-POP_GRW_G</f>
        <v>3.7219930037870164</v>
      </c>
      <c r="D35" s="35">
        <v>3.9208316408172461</v>
      </c>
      <c r="E35" s="35">
        <v>3.8356479759272144</v>
      </c>
      <c r="F35" s="35">
        <v>3.4169095627271107</v>
      </c>
      <c r="G35" s="35">
        <v>2.877628206317584</v>
      </c>
      <c r="H35" s="35">
        <v>2.5301018059411318</v>
      </c>
      <c r="I35" s="35">
        <v>2.4070451529104586</v>
      </c>
      <c r="J35" s="35">
        <v>2.2900259950017654</v>
      </c>
      <c r="K35" s="35">
        <v>2.2906385594333889</v>
      </c>
      <c r="L35" s="35">
        <v>2.2744153498216901</v>
      </c>
      <c r="M35" s="1"/>
      <c r="N35" s="1" t="s">
        <v>38</v>
      </c>
      <c r="O35" s="1"/>
      <c r="P35" s="1"/>
    </row>
    <row r="36" spans="1:16" ht="13.5" thickTop="1" x14ac:dyDescent="0.2">
      <c r="A36" s="2" t="s">
        <v>217</v>
      </c>
      <c r="B36" s="2"/>
      <c r="O36" s="1"/>
      <c r="P36" s="1"/>
    </row>
    <row r="37" spans="1:16" x14ac:dyDescent="0.2">
      <c r="A37" s="1" t="str">
        <f t="array" ref="A37:A44">R_CODE</f>
        <v>EU</v>
      </c>
      <c r="B37" s="27">
        <f t="array" aca="1" ref="B37:B44" ca="1">GDP_PER_CAP_0*(1-SAVE/100)</f>
        <v>30633.741888208224</v>
      </c>
      <c r="C37" s="27">
        <f t="array" aca="1" ref="C37:L44" ca="1">GDP_PER_CAP*(1-SAVE/100)</f>
        <v>33891.425712779994</v>
      </c>
      <c r="D37" s="27">
        <f ca="1"/>
        <v>37903.115507058748</v>
      </c>
      <c r="E37" s="27">
        <f ca="1"/>
        <v>42454.291933400091</v>
      </c>
      <c r="F37" s="27">
        <f ca="1"/>
        <v>52871.173209046086</v>
      </c>
      <c r="G37" s="27">
        <f ca="1"/>
        <v>64009.155037531149</v>
      </c>
      <c r="H37" s="27">
        <f ca="1"/>
        <v>76433.757944060824</v>
      </c>
      <c r="I37" s="27">
        <f ca="1"/>
        <v>91780.426850991862</v>
      </c>
      <c r="J37" s="27">
        <f ca="1"/>
        <v>109533.08392908196</v>
      </c>
      <c r="K37" s="27">
        <f ca="1"/>
        <v>130649.87176682764</v>
      </c>
      <c r="L37" s="27">
        <f ca="1"/>
        <v>156298.05501946164</v>
      </c>
      <c r="M37" s="1"/>
      <c r="N37" s="1" t="str">
        <f t="shared" ref="N37:N45" si="5">CURRENCY_NAME&amp;"/"&amp;POP_UNIT_NAME</f>
        <v>$M(2015)/million</v>
      </c>
      <c r="O37" s="1"/>
      <c r="P37" s="1"/>
    </row>
    <row r="38" spans="1:16" x14ac:dyDescent="0.2">
      <c r="A38" s="1" t="str">
        <v>US</v>
      </c>
      <c r="B38" s="28">
        <f ca="1"/>
        <v>44399.015466549936</v>
      </c>
      <c r="C38" s="28">
        <f ca="1"/>
        <v>48118.559224477453</v>
      </c>
      <c r="D38" s="28">
        <f ca="1"/>
        <v>52239.077807127374</v>
      </c>
      <c r="E38" s="28">
        <f ca="1"/>
        <v>56733.509506879047</v>
      </c>
      <c r="F38" s="28">
        <f ca="1"/>
        <v>66951.098991733801</v>
      </c>
      <c r="G38" s="28">
        <f ca="1"/>
        <v>77650.562838090846</v>
      </c>
      <c r="H38" s="28">
        <f ca="1"/>
        <v>88995.68543600665</v>
      </c>
      <c r="I38" s="28">
        <f ca="1"/>
        <v>102812.15313352463</v>
      </c>
      <c r="J38" s="28">
        <f ca="1"/>
        <v>119310.75227291055</v>
      </c>
      <c r="K38" s="28">
        <f ca="1"/>
        <v>139129.33402116643</v>
      </c>
      <c r="L38" s="28">
        <f ca="1"/>
        <v>163209.88184681494</v>
      </c>
      <c r="M38" s="1"/>
      <c r="N38" s="1" t="str">
        <f t="shared" si="5"/>
        <v>$M(2015)/million</v>
      </c>
      <c r="O38" s="1"/>
      <c r="P38" s="1"/>
    </row>
    <row r="39" spans="1:16" x14ac:dyDescent="0.2">
      <c r="A39" s="1" t="str">
        <v>OT</v>
      </c>
      <c r="B39" s="28">
        <f ca="1"/>
        <v>28503.877992788803</v>
      </c>
      <c r="C39" s="28">
        <f ca="1"/>
        <v>31257.044291091224</v>
      </c>
      <c r="D39" s="28">
        <f ca="1"/>
        <v>34726.592413426188</v>
      </c>
      <c r="E39" s="28">
        <f ca="1"/>
        <v>38875.698849542314</v>
      </c>
      <c r="F39" s="28">
        <f ca="1"/>
        <v>48659.587056655895</v>
      </c>
      <c r="G39" s="28">
        <f ca="1"/>
        <v>59706.959297685593</v>
      </c>
      <c r="H39" s="28">
        <f ca="1"/>
        <v>72361.25401783688</v>
      </c>
      <c r="I39" s="28">
        <f ca="1"/>
        <v>87880.871814508777</v>
      </c>
      <c r="J39" s="28">
        <f ca="1"/>
        <v>105841.16920247821</v>
      </c>
      <c r="K39" s="28">
        <f ca="1"/>
        <v>127067.38914055345</v>
      </c>
      <c r="L39" s="28">
        <f ca="1"/>
        <v>152666.81384159837</v>
      </c>
      <c r="M39" s="1"/>
      <c r="N39" s="1" t="str">
        <f t="shared" si="5"/>
        <v>$M(2015)/million</v>
      </c>
      <c r="O39" s="1"/>
      <c r="P39" s="1"/>
    </row>
    <row r="40" spans="1:16" x14ac:dyDescent="0.2">
      <c r="A40" s="1" t="str">
        <v>EE</v>
      </c>
      <c r="B40" s="28">
        <f ca="1"/>
        <v>13098.375521995305</v>
      </c>
      <c r="C40" s="28">
        <f ca="1"/>
        <v>15838.51152401985</v>
      </c>
      <c r="D40" s="28">
        <f ca="1"/>
        <v>19407.408808061035</v>
      </c>
      <c r="E40" s="28">
        <f ca="1"/>
        <v>23670.416018296677</v>
      </c>
      <c r="F40" s="28">
        <f ca="1"/>
        <v>33026.698347228703</v>
      </c>
      <c r="G40" s="28">
        <f ca="1"/>
        <v>42087.684604060763</v>
      </c>
      <c r="H40" s="28">
        <f ca="1"/>
        <v>52284.606727493359</v>
      </c>
      <c r="I40" s="28">
        <f ca="1"/>
        <v>65227.419915672326</v>
      </c>
      <c r="J40" s="28">
        <f ca="1"/>
        <v>79397.905555086691</v>
      </c>
      <c r="K40" s="28">
        <f ca="1"/>
        <v>97376.047187619464</v>
      </c>
      <c r="L40" s="28">
        <f ca="1"/>
        <v>119530.24846755898</v>
      </c>
      <c r="M40" s="1"/>
      <c r="N40" s="1" t="str">
        <f t="shared" si="5"/>
        <v>$M(2015)/million</v>
      </c>
      <c r="O40" s="1"/>
      <c r="P40" s="1"/>
    </row>
    <row r="41" spans="1:16" x14ac:dyDescent="0.2">
      <c r="A41" s="1" t="str">
        <v>CA</v>
      </c>
      <c r="B41" s="28">
        <f ca="1"/>
        <v>11628.556536711245</v>
      </c>
      <c r="C41" s="28">
        <f ca="1"/>
        <v>16678.846737745062</v>
      </c>
      <c r="D41" s="28">
        <f ca="1"/>
        <v>22896.441506525847</v>
      </c>
      <c r="E41" s="28">
        <f ca="1"/>
        <v>29939.835165597979</v>
      </c>
      <c r="F41" s="28">
        <f ca="1"/>
        <v>44494.610869690427</v>
      </c>
      <c r="G41" s="28">
        <f ca="1"/>
        <v>58727.967061470445</v>
      </c>
      <c r="H41" s="28">
        <f ca="1"/>
        <v>72089.820695836592</v>
      </c>
      <c r="I41" s="28">
        <f ca="1"/>
        <v>86461.69154524093</v>
      </c>
      <c r="J41" s="28">
        <f ca="1"/>
        <v>101901.36663597911</v>
      </c>
      <c r="K41" s="28">
        <f ca="1"/>
        <v>120145.87086764282</v>
      </c>
      <c r="L41" s="28">
        <f ca="1"/>
        <v>141646.59993598508</v>
      </c>
      <c r="M41" s="1"/>
      <c r="N41" s="1" t="str">
        <f t="shared" si="5"/>
        <v>$M(2015)/million</v>
      </c>
      <c r="O41" s="1"/>
      <c r="P41" s="1"/>
    </row>
    <row r="42" spans="1:16" x14ac:dyDescent="0.2">
      <c r="A42" s="1" t="str">
        <v>IA</v>
      </c>
      <c r="B42" s="28">
        <f ca="1"/>
        <v>5191.5761723343585</v>
      </c>
      <c r="C42" s="28">
        <f ca="1"/>
        <v>6855.3855854626026</v>
      </c>
      <c r="D42" s="28">
        <f ca="1"/>
        <v>9102.020974410234</v>
      </c>
      <c r="E42" s="28">
        <f ca="1"/>
        <v>11910.488149133667</v>
      </c>
      <c r="F42" s="28">
        <f ca="1"/>
        <v>19071.399443530267</v>
      </c>
      <c r="G42" s="28">
        <f ca="1"/>
        <v>28108.662354417927</v>
      </c>
      <c r="H42" s="28">
        <f ca="1"/>
        <v>38956.132804436784</v>
      </c>
      <c r="I42" s="28">
        <f ca="1"/>
        <v>52021.545974356231</v>
      </c>
      <c r="J42" s="28">
        <f ca="1"/>
        <v>67764.96296511899</v>
      </c>
      <c r="K42" s="28">
        <f ca="1"/>
        <v>87501.82340046858</v>
      </c>
      <c r="L42" s="28">
        <f ca="1"/>
        <v>111749.26649906968</v>
      </c>
      <c r="M42" s="1"/>
      <c r="N42" s="1" t="str">
        <f t="shared" si="5"/>
        <v>$M(2015)/million</v>
      </c>
      <c r="O42" s="1"/>
      <c r="P42" s="1"/>
    </row>
    <row r="43" spans="1:16" x14ac:dyDescent="0.2">
      <c r="A43" s="1" t="str">
        <v>AF</v>
      </c>
      <c r="B43" s="28">
        <f ca="1"/>
        <v>4555.2876873793966</v>
      </c>
      <c r="C43" s="28">
        <f ca="1"/>
        <v>5348.7024791149452</v>
      </c>
      <c r="D43" s="28">
        <f ca="1"/>
        <v>6455.7822443146242</v>
      </c>
      <c r="E43" s="28">
        <f ca="1"/>
        <v>7964.4841641387684</v>
      </c>
      <c r="F43" s="28">
        <f ca="1"/>
        <v>12231.78951086216</v>
      </c>
      <c r="G43" s="28">
        <f ca="1"/>
        <v>18248.191194104769</v>
      </c>
      <c r="H43" s="28">
        <f ca="1"/>
        <v>26435.612612227047</v>
      </c>
      <c r="I43" s="28">
        <f ca="1"/>
        <v>37296.505927058395</v>
      </c>
      <c r="J43" s="28">
        <f ca="1"/>
        <v>51246.403109354527</v>
      </c>
      <c r="K43" s="28">
        <f ca="1"/>
        <v>69886.13219637885</v>
      </c>
      <c r="L43" s="28">
        <f ca="1"/>
        <v>94344.932406771695</v>
      </c>
      <c r="M43" s="1"/>
      <c r="N43" s="1" t="str">
        <f t="shared" si="5"/>
        <v>$M(2015)/million</v>
      </c>
      <c r="O43" s="1"/>
      <c r="P43" s="1"/>
    </row>
    <row r="44" spans="1:16" ht="13.5" thickBot="1" x14ac:dyDescent="0.25">
      <c r="A44" s="1" t="str">
        <v>LA</v>
      </c>
      <c r="B44" s="36">
        <f ca="1"/>
        <v>11047.985791872521</v>
      </c>
      <c r="C44" s="36">
        <f ca="1"/>
        <v>12854.260737181767</v>
      </c>
      <c r="D44" s="36">
        <f ca="1"/>
        <v>15154.614641540938</v>
      </c>
      <c r="E44" s="36">
        <f ca="1"/>
        <v>18042.680387377786</v>
      </c>
      <c r="F44" s="36">
        <f ca="1"/>
        <v>25905.086553958881</v>
      </c>
      <c r="G44" s="36">
        <f ca="1"/>
        <v>36213.386741013819</v>
      </c>
      <c r="H44" s="36">
        <f ca="1"/>
        <v>48307.916418310495</v>
      </c>
      <c r="I44" s="36">
        <f ca="1"/>
        <v>62272.026475272425</v>
      </c>
      <c r="J44" s="36">
        <f ca="1"/>
        <v>78840.920940373602</v>
      </c>
      <c r="K44" s="36">
        <f ca="1"/>
        <v>99344.784608933376</v>
      </c>
      <c r="L44" s="36">
        <f ca="1"/>
        <v>124619.04314413488</v>
      </c>
      <c r="M44" s="1"/>
      <c r="N44" s="1" t="str">
        <f t="shared" si="5"/>
        <v>$M(2015)/million</v>
      </c>
      <c r="O44" s="1"/>
      <c r="P44" s="1"/>
    </row>
    <row r="45" spans="1:16" ht="14.25" thickTop="1" thickBot="1" x14ac:dyDescent="0.25">
      <c r="A45" s="44" t="s">
        <v>140</v>
      </c>
      <c r="B45" s="36">
        <f ca="1">GDP_PER_CAP_G_0*(1-SAVE/100)</f>
        <v>11674.612670682225</v>
      </c>
      <c r="C45" s="36">
        <f t="array" aca="1" ref="C45:L45" ca="1">GDP_PER_CAP_G*(1-SAVE/100)</f>
        <v>13993.869150966411</v>
      </c>
      <c r="D45" s="36">
        <f ca="1"/>
        <v>16938.180482877269</v>
      </c>
      <c r="E45" s="36">
        <f ca="1"/>
        <v>20423.865088858067</v>
      </c>
      <c r="F45" s="36">
        <f ca="1"/>
        <v>28539.204970272425</v>
      </c>
      <c r="G45" s="36">
        <f ca="1"/>
        <v>37878.822551067686</v>
      </c>
      <c r="H45" s="36">
        <f ca="1"/>
        <v>48628.879220727227</v>
      </c>
      <c r="I45" s="36">
        <f ca="1"/>
        <v>61709.045499378553</v>
      </c>
      <c r="J45" s="36">
        <f ca="1"/>
        <v>77442.758948134564</v>
      </c>
      <c r="K45" s="36">
        <f ca="1"/>
        <v>97227.205018288092</v>
      </c>
      <c r="L45" s="36">
        <f ca="1"/>
        <v>121909.81760489229</v>
      </c>
      <c r="M45" s="1"/>
      <c r="N45" s="1" t="str">
        <f t="shared" si="5"/>
        <v>$M(2015)/million</v>
      </c>
      <c r="O45" s="1"/>
      <c r="P45" s="1"/>
    </row>
    <row r="46" spans="1:16" ht="14.25" thickTop="1" thickBot="1" x14ac:dyDescent="0.25">
      <c r="A46" s="44" t="s">
        <v>141</v>
      </c>
      <c r="B46" s="44"/>
      <c r="C46" s="35">
        <f ca="1">((CONS_PER_CAP_G_1/CONS_PER_CAP_G_0)^(1/YP_1)-1)*100</f>
        <v>3.690523137210544</v>
      </c>
      <c r="D46" s="35">
        <f t="array" aca="1" ref="D46:L46" ca="1">((CONS_PER_CAP_G_NOT_1/CONS_PER_CAP_G)^(1/YP_NOT_1)-1)*100</f>
        <v>3.8928809628123506</v>
      </c>
      <c r="E46" s="35">
        <f ca="1"/>
        <v>3.8135961313801259</v>
      </c>
      <c r="F46" s="35">
        <f ca="1"/>
        <v>3.4023463765080475</v>
      </c>
      <c r="G46" s="35">
        <f ca="1"/>
        <v>2.8715917985343564</v>
      </c>
      <c r="H46" s="35">
        <f ca="1"/>
        <v>2.5297217950455142</v>
      </c>
      <c r="I46" s="35">
        <f ca="1"/>
        <v>2.4107288200166721</v>
      </c>
      <c r="J46" s="35">
        <f ca="1"/>
        <v>2.2970709357280628</v>
      </c>
      <c r="K46" s="35">
        <f ca="1"/>
        <v>2.3011930334774</v>
      </c>
      <c r="L46" s="35">
        <f ca="1"/>
        <v>2.2880944296943984</v>
      </c>
      <c r="M46" s="1"/>
      <c r="N46" s="1" t="s">
        <v>38</v>
      </c>
      <c r="O46" s="1"/>
      <c r="P46" s="1"/>
    </row>
    <row r="47" spans="1:16" ht="13.5" thickTop="1" x14ac:dyDescent="0.2">
      <c r="A47" s="44" t="s">
        <v>142</v>
      </c>
      <c r="B47" s="44"/>
      <c r="M47" s="1"/>
      <c r="N47" s="1"/>
      <c r="O47" s="1"/>
      <c r="P47" s="1"/>
    </row>
    <row r="48" spans="1:16" x14ac:dyDescent="0.2">
      <c r="A48" s="1" t="str">
        <f t="array" ref="A48:A55">R_CODE</f>
        <v>EU</v>
      </c>
      <c r="B48" s="29">
        <f t="array" aca="1" ref="B48:B55" ca="1">(CONS_PER_CAP_FOCUS_0/CONS_PER_CAP_0)^EMUC</f>
        <v>1</v>
      </c>
      <c r="C48" s="29">
        <f t="array" aca="1" ref="C48:L55" ca="1">(CONS_PER_CAP_FOCUS_0/CONS_PER_CAP)^EMUC</f>
        <v>0.88878198891186511</v>
      </c>
      <c r="D48" s="29">
        <f ca="1"/>
        <v>0.78003243751454487</v>
      </c>
      <c r="E48" s="29">
        <f ca="1"/>
        <v>0.68337358547943738</v>
      </c>
      <c r="F48" s="29">
        <f ca="1"/>
        <v>0.52902713860689687</v>
      </c>
      <c r="G48" s="29">
        <f ca="1"/>
        <v>0.42327012224026395</v>
      </c>
      <c r="H48" s="29">
        <f ca="1"/>
        <v>0.34413906585174292</v>
      </c>
      <c r="I48" s="29">
        <f ca="1"/>
        <v>0.27798731034089663</v>
      </c>
      <c r="J48" s="29">
        <f ca="1"/>
        <v>0.22616766908943728</v>
      </c>
      <c r="K48" s="29">
        <f ca="1"/>
        <v>0.18412223491570459</v>
      </c>
      <c r="L48" s="29">
        <f ca="1"/>
        <v>0.14937831432898246</v>
      </c>
      <c r="M48" s="1"/>
      <c r="N48" s="1"/>
      <c r="O48" s="1"/>
      <c r="P48" s="1"/>
    </row>
    <row r="49" spans="1:16" x14ac:dyDescent="0.2">
      <c r="A49" s="1" t="str">
        <v>US</v>
      </c>
      <c r="B49" s="26">
        <f ca="1"/>
        <v>0.6485814058066004</v>
      </c>
      <c r="C49" s="26">
        <f ca="1"/>
        <v>0.59047566770729198</v>
      </c>
      <c r="D49" s="26">
        <f ca="1"/>
        <v>0.53650277385542688</v>
      </c>
      <c r="E49" s="26">
        <f ca="1"/>
        <v>0.48725218914289703</v>
      </c>
      <c r="F49" s="26">
        <f ca="1"/>
        <v>0.40165150158298729</v>
      </c>
      <c r="G49" s="26">
        <f ca="1"/>
        <v>0.33785577564803981</v>
      </c>
      <c r="H49" s="26">
        <f ca="1"/>
        <v>0.28816171436294796</v>
      </c>
      <c r="I49" s="26">
        <f ca="1"/>
        <v>0.24350891191080551</v>
      </c>
      <c r="J49" s="26">
        <f ca="1"/>
        <v>0.20469498795606286</v>
      </c>
      <c r="K49" s="26">
        <f ca="1"/>
        <v>0.17109798683704658</v>
      </c>
      <c r="L49" s="26">
        <f ca="1"/>
        <v>0.14202425880734618</v>
      </c>
      <c r="M49" s="1"/>
      <c r="N49" s="1"/>
      <c r="O49" s="1"/>
      <c r="P49" s="1"/>
    </row>
    <row r="50" spans="1:16" x14ac:dyDescent="0.2">
      <c r="A50" s="1" t="str">
        <v>OT</v>
      </c>
      <c r="B50" s="26">
        <f ca="1"/>
        <v>1.0877074791436305</v>
      </c>
      <c r="C50" s="26">
        <f ca="1"/>
        <v>0.97677416451094534</v>
      </c>
      <c r="D50" s="26">
        <f ca="1"/>
        <v>0.86389479797191682</v>
      </c>
      <c r="E50" s="26">
        <f ca="1"/>
        <v>0.75731311778017396</v>
      </c>
      <c r="F50" s="26">
        <f ca="1"/>
        <v>0.58282329436266955</v>
      </c>
      <c r="G50" s="26">
        <f ca="1"/>
        <v>0.45906157615274101</v>
      </c>
      <c r="H50" s="26">
        <f ca="1"/>
        <v>0.3668396678918372</v>
      </c>
      <c r="I50" s="26">
        <f ca="1"/>
        <v>0.29243093139560289</v>
      </c>
      <c r="J50" s="26">
        <f ca="1"/>
        <v>0.23539811999755489</v>
      </c>
      <c r="K50" s="26">
        <f ca="1"/>
        <v>0.19019259292733698</v>
      </c>
      <c r="L50" s="26">
        <f ca="1"/>
        <v>0.15353167027098871</v>
      </c>
      <c r="M50" s="1"/>
      <c r="N50" s="1"/>
      <c r="O50" s="1"/>
      <c r="P50" s="1"/>
    </row>
    <row r="51" spans="1:16" x14ac:dyDescent="0.2">
      <c r="A51" s="1" t="str">
        <v>EE</v>
      </c>
      <c r="B51" s="26">
        <f ca="1"/>
        <v>2.6945094651256176</v>
      </c>
      <c r="C51" s="26">
        <f ca="1"/>
        <v>2.1589038352116927</v>
      </c>
      <c r="D51" s="26">
        <f ca="1"/>
        <v>1.7032219435463658</v>
      </c>
      <c r="E51" s="26">
        <f ca="1"/>
        <v>1.3510140043121615</v>
      </c>
      <c r="F51" s="26">
        <f ca="1"/>
        <v>0.91598993967099929</v>
      </c>
      <c r="G51" s="26">
        <f ca="1"/>
        <v>0.69032327589501852</v>
      </c>
      <c r="H51" s="26">
        <f ca="1"/>
        <v>0.53595776853258847</v>
      </c>
      <c r="I51" s="26">
        <f ca="1"/>
        <v>0.41406147349524247</v>
      </c>
      <c r="J51" s="26">
        <f ca="1"/>
        <v>0.32919722800144452</v>
      </c>
      <c r="K51" s="26">
        <f ca="1"/>
        <v>0.25944136796820255</v>
      </c>
      <c r="L51" s="26">
        <f ca="1"/>
        <v>0.20425652119745336</v>
      </c>
      <c r="M51" s="1"/>
      <c r="N51" s="1"/>
      <c r="O51" s="1"/>
      <c r="P51" s="1"/>
    </row>
    <row r="52" spans="1:16" x14ac:dyDescent="0.2">
      <c r="A52" s="1" t="str">
        <v>CA</v>
      </c>
      <c r="B52" s="26">
        <f ca="1"/>
        <v>3.0958977847478892</v>
      </c>
      <c r="C52" s="26">
        <f ca="1"/>
        <v>2.032542814839724</v>
      </c>
      <c r="D52" s="26">
        <f ca="1"/>
        <v>1.4044428373403772</v>
      </c>
      <c r="E52" s="26">
        <f ca="1"/>
        <v>1.02709138014482</v>
      </c>
      <c r="F52" s="26">
        <f ca="1"/>
        <v>0.64695599527188252</v>
      </c>
      <c r="G52" s="26">
        <f ca="1"/>
        <v>0.46800187696374496</v>
      </c>
      <c r="H52" s="26">
        <f ca="1"/>
        <v>0.36845160614502248</v>
      </c>
      <c r="I52" s="26">
        <f ca="1"/>
        <v>0.29803850373658125</v>
      </c>
      <c r="J52" s="26">
        <f ca="1"/>
        <v>0.2460500061949614</v>
      </c>
      <c r="K52" s="26">
        <f ca="1"/>
        <v>0.20303600783631692</v>
      </c>
      <c r="L52" s="26">
        <f ca="1"/>
        <v>0.16755583007640124</v>
      </c>
      <c r="M52" s="1"/>
      <c r="N52" s="1"/>
      <c r="O52" s="1"/>
      <c r="P52" s="1"/>
    </row>
    <row r="53" spans="1:16" x14ac:dyDescent="0.2">
      <c r="A53" s="1" t="str">
        <v>IA</v>
      </c>
      <c r="B53" s="26">
        <f ca="1"/>
        <v>7.932028902555575</v>
      </c>
      <c r="C53" s="26">
        <f ca="1"/>
        <v>5.7349484977786762</v>
      </c>
      <c r="D53" s="26">
        <f ca="1"/>
        <v>4.1200825689729346</v>
      </c>
      <c r="E53" s="26">
        <f ca="1"/>
        <v>3.0105711952142942</v>
      </c>
      <c r="F53" s="26">
        <f ca="1"/>
        <v>1.7382826714313278</v>
      </c>
      <c r="G53" s="26">
        <f ca="1"/>
        <v>1.1055706863050232</v>
      </c>
      <c r="H53" s="26">
        <f ca="1"/>
        <v>0.75548917554390127</v>
      </c>
      <c r="I53" s="26">
        <f ca="1"/>
        <v>0.5391210138962873</v>
      </c>
      <c r="J53" s="26">
        <f ca="1"/>
        <v>0.39602929931057512</v>
      </c>
      <c r="K53" s="26">
        <f ca="1"/>
        <v>0.29390937321222665</v>
      </c>
      <c r="L53" s="26">
        <f ca="1"/>
        <v>0.22094351665963308</v>
      </c>
      <c r="M53" s="1"/>
      <c r="N53" s="1"/>
      <c r="O53" s="1"/>
      <c r="P53" s="1"/>
    </row>
    <row r="54" spans="1:16" x14ac:dyDescent="0.2">
      <c r="A54" s="1" t="str">
        <v>AF</v>
      </c>
      <c r="B54" s="26">
        <f ca="1"/>
        <v>9.239141363190484</v>
      </c>
      <c r="C54" s="26">
        <f ca="1"/>
        <v>7.6608485333324419</v>
      </c>
      <c r="D54" s="26">
        <f ca="1"/>
        <v>6.1511979762154496</v>
      </c>
      <c r="E54" s="26">
        <f ca="1"/>
        <v>4.8144808282955109</v>
      </c>
      <c r="F54" s="26">
        <f ca="1"/>
        <v>2.9185136226088728</v>
      </c>
      <c r="G54" s="26">
        <f ca="1"/>
        <v>1.8301088895896589</v>
      </c>
      <c r="H54" s="26">
        <f ca="1"/>
        <v>1.187624408088471</v>
      </c>
      <c r="I54" s="26">
        <f ca="1"/>
        <v>0.79485373306973706</v>
      </c>
      <c r="J54" s="26">
        <f ca="1"/>
        <v>0.54864669876529626</v>
      </c>
      <c r="K54" s="26">
        <f ca="1"/>
        <v>0.38204150798530195</v>
      </c>
      <c r="L54" s="26">
        <f ca="1"/>
        <v>0.26919173171740135</v>
      </c>
      <c r="M54" s="1"/>
      <c r="N54" s="1"/>
      <c r="O54" s="6"/>
      <c r="P54" s="1"/>
    </row>
    <row r="55" spans="1:16" ht="13.5" thickBot="1" x14ac:dyDescent="0.25">
      <c r="A55" s="1" t="str">
        <v>LA</v>
      </c>
      <c r="B55" s="35">
        <f ca="1"/>
        <v>3.2865211541626076</v>
      </c>
      <c r="C55" s="35">
        <f ca="1"/>
        <v>2.7543033340653751</v>
      </c>
      <c r="D55" s="35">
        <f ca="1"/>
        <v>2.2729907932099604</v>
      </c>
      <c r="E55" s="35">
        <f ca="1"/>
        <v>1.8544515512983413</v>
      </c>
      <c r="F55" s="35">
        <f ca="1"/>
        <v>1.2160483270825526</v>
      </c>
      <c r="G55" s="35">
        <f ca="1"/>
        <v>0.82265812316849063</v>
      </c>
      <c r="H55" s="35">
        <f ca="1"/>
        <v>0.58777624896945724</v>
      </c>
      <c r="I55" s="35">
        <f ca="1"/>
        <v>0.43707727309887678</v>
      </c>
      <c r="J55" s="35">
        <f ca="1"/>
        <v>0.33191210134470001</v>
      </c>
      <c r="K55" s="35">
        <f ca="1"/>
        <v>0.25345302113128604</v>
      </c>
      <c r="L55" s="35">
        <f ca="1"/>
        <v>0.19455911221631456</v>
      </c>
      <c r="M55" s="1"/>
      <c r="N55" s="1"/>
      <c r="O55" s="1"/>
      <c r="P55" s="1"/>
    </row>
    <row r="56" spans="1:16" ht="14.25" thickTop="1" thickBot="1" x14ac:dyDescent="0.25">
      <c r="A56" s="44" t="s">
        <v>140</v>
      </c>
      <c r="B56" s="35">
        <f ca="1">(CONS_PER_CAP_FOCUS_0/CONS_PER_CAP_G_0)^EMUC</f>
        <v>3.0816536705109216</v>
      </c>
      <c r="C56" s="35">
        <f t="array" aca="1" ref="C56:L56" ca="1">(CONS_PER_CAP_FOCUS_0/CONS_PER_CAP_G)^EMUC</f>
        <v>2.4944374227161017</v>
      </c>
      <c r="D56" s="35">
        <f ca="1"/>
        <v>1.9962833050179141</v>
      </c>
      <c r="E56" s="35">
        <f ca="1"/>
        <v>1.6047441519700909</v>
      </c>
      <c r="F56" s="35">
        <f ca="1"/>
        <v>1.086136831747472</v>
      </c>
      <c r="G56" s="35">
        <f ca="1"/>
        <v>0.78061610641218204</v>
      </c>
      <c r="H56" s="35">
        <f ca="1"/>
        <v>0.58325269382021983</v>
      </c>
      <c r="I56" s="35">
        <f ca="1"/>
        <v>0.441732910247914</v>
      </c>
      <c r="J56" s="35">
        <f ca="1"/>
        <v>0.3389136839448843</v>
      </c>
      <c r="K56" s="35">
        <f ca="1"/>
        <v>0.25990479309984421</v>
      </c>
      <c r="L56" s="35">
        <f ca="1"/>
        <v>0.1996127426517075</v>
      </c>
      <c r="M56" s="1"/>
      <c r="N56" s="1"/>
      <c r="O56" s="1"/>
      <c r="P56" s="1"/>
    </row>
    <row r="57" spans="1:16" ht="13.5" thickTop="1" x14ac:dyDescent="0.2">
      <c r="A57" s="2" t="s">
        <v>360</v>
      </c>
      <c r="O57" s="2"/>
      <c r="P57" s="2"/>
    </row>
    <row r="58" spans="1:16" s="7" customFormat="1" x14ac:dyDescent="0.2">
      <c r="A58" s="7" t="str">
        <f t="array" ref="A58:A65">R_CODE</f>
        <v>EU</v>
      </c>
      <c r="C58" s="37">
        <f t="array" aca="1" ref="C58:C65" ca="1">(1+(DR_1/100))^(-YP_1)</f>
        <v>0.84497197990077888</v>
      </c>
      <c r="D58" s="37">
        <f t="array" ref="D58:L65" ca="1">DFC*(1+(DR_NOT_1/100))^(-YP_NOT_1)</f>
        <v>0.70504825536836468</v>
      </c>
      <c r="E58" s="37">
        <f ca="1"/>
        <v>0.58724613620324273</v>
      </c>
      <c r="F58" s="37">
        <f ca="1"/>
        <v>0.41088392159051057</v>
      </c>
      <c r="G58" s="37">
        <f ca="1"/>
        <v>0.29702735410078795</v>
      </c>
      <c r="H58" s="37">
        <f ca="1"/>
        <v>0.21817838316929178</v>
      </c>
      <c r="I58" s="37">
        <f ca="1"/>
        <v>0.15926311451492808</v>
      </c>
      <c r="J58" s="37">
        <f ca="1"/>
        <v>0.11711138363552043</v>
      </c>
      <c r="K58" s="37">
        <f ca="1"/>
        <v>8.6188807224538616E-2</v>
      </c>
      <c r="L58" s="37">
        <f ca="1"/>
        <v>6.3227316724764671E-2</v>
      </c>
      <c r="O58"/>
      <c r="P58"/>
    </row>
    <row r="59" spans="1:16" s="7" customFormat="1" x14ac:dyDescent="0.2">
      <c r="A59" s="7" t="str">
        <v>US</v>
      </c>
      <c r="C59" s="38">
        <f ca="1"/>
        <v>0.86489169497537077</v>
      </c>
      <c r="D59" s="38">
        <f ca="1"/>
        <v>0.74648454826414845</v>
      </c>
      <c r="E59" s="38">
        <f ca="1"/>
        <v>0.64401311341106959</v>
      </c>
      <c r="F59" s="38">
        <f ca="1"/>
        <v>0.47910441732228881</v>
      </c>
      <c r="G59" s="38">
        <f ca="1"/>
        <v>0.3637135811503488</v>
      </c>
      <c r="H59" s="38">
        <f ca="1"/>
        <v>0.27996087160876576</v>
      </c>
      <c r="I59" s="38">
        <f ca="1"/>
        <v>0.21353574012566018</v>
      </c>
      <c r="J59" s="38">
        <f ca="1"/>
        <v>0.16205048157103835</v>
      </c>
      <c r="K59" s="38">
        <f ca="1"/>
        <v>0.12232303782151209</v>
      </c>
      <c r="L59" s="38">
        <f ca="1"/>
        <v>9.1727205330283668E-2</v>
      </c>
      <c r="O59"/>
      <c r="P59"/>
    </row>
    <row r="60" spans="1:16" s="7" customFormat="1" x14ac:dyDescent="0.2">
      <c r="A60" s="7" t="str">
        <v>OT</v>
      </c>
      <c r="C60" s="38">
        <f ca="1"/>
        <v>0.85356626919220224</v>
      </c>
      <c r="D60" s="38">
        <f ca="1"/>
        <v>0.71765606043571328</v>
      </c>
      <c r="E60" s="38">
        <f ca="1"/>
        <v>0.59813748913018039</v>
      </c>
      <c r="F60" s="38">
        <f ca="1"/>
        <v>0.41616189776487961</v>
      </c>
      <c r="G60" s="38">
        <f ca="1"/>
        <v>0.29631161906093834</v>
      </c>
      <c r="H60" s="38">
        <f ca="1"/>
        <v>0.21404203521507442</v>
      </c>
      <c r="I60" s="38">
        <f ca="1"/>
        <v>0.15429042769121568</v>
      </c>
      <c r="J60" s="38">
        <f ca="1"/>
        <v>0.11232844387544284</v>
      </c>
      <c r="K60" s="38">
        <f ca="1"/>
        <v>8.2103332400371501E-2</v>
      </c>
      <c r="L60" s="38">
        <f ca="1"/>
        <v>5.9973439435844725E-2</v>
      </c>
      <c r="O60"/>
      <c r="P60"/>
    </row>
    <row r="61" spans="1:16" s="7" customFormat="1" x14ac:dyDescent="0.2">
      <c r="A61" s="7" t="str">
        <v>EE</v>
      </c>
      <c r="C61" s="38">
        <f ca="1"/>
        <v>0.76332845693004425</v>
      </c>
      <c r="D61" s="38">
        <f ca="1"/>
        <v>0.57395656038856591</v>
      </c>
      <c r="E61" s="38">
        <f ca="1"/>
        <v>0.43391326929941587</v>
      </c>
      <c r="F61" s="38">
        <f ca="1"/>
        <v>0.2669100268139375</v>
      </c>
      <c r="G61" s="38">
        <f ca="1"/>
        <v>0.18225043126726484</v>
      </c>
      <c r="H61" s="38">
        <f ca="1"/>
        <v>0.12818164243736674</v>
      </c>
      <c r="I61" s="38">
        <f ca="1"/>
        <v>8.9748467841782503E-2</v>
      </c>
      <c r="J61" s="38">
        <f ca="1"/>
        <v>6.4660731695963994E-2</v>
      </c>
      <c r="K61" s="38">
        <f ca="1"/>
        <v>4.6205094954777808E-2</v>
      </c>
      <c r="L61" s="38">
        <f ca="1"/>
        <v>3.2993644045920222E-2</v>
      </c>
      <c r="O61"/>
      <c r="P61"/>
    </row>
    <row r="62" spans="1:16" s="7" customFormat="1" x14ac:dyDescent="0.2">
      <c r="A62" s="7" t="str">
        <v>CA</v>
      </c>
      <c r="C62" s="38">
        <f ca="1"/>
        <v>0.62733730517440989</v>
      </c>
      <c r="D62" s="38">
        <f ca="1"/>
        <v>0.41403888322829241</v>
      </c>
      <c r="E62" s="38">
        <f ca="1"/>
        <v>0.2890432045205289</v>
      </c>
      <c r="F62" s="38">
        <f ca="1"/>
        <v>0.16555606083601712</v>
      </c>
      <c r="G62" s="38">
        <f ca="1"/>
        <v>0.10871633827799193</v>
      </c>
      <c r="H62" s="38">
        <f ca="1"/>
        <v>7.7609609881090544E-2</v>
      </c>
      <c r="I62" s="38">
        <f ca="1"/>
        <v>5.6913953336233343E-2</v>
      </c>
      <c r="J62" s="38">
        <f ca="1"/>
        <v>4.2588843403885544E-2</v>
      </c>
      <c r="K62" s="38">
        <f ca="1"/>
        <v>3.1865855188978331E-2</v>
      </c>
      <c r="L62" s="38">
        <f ca="1"/>
        <v>2.3855071388243915E-2</v>
      </c>
      <c r="O62"/>
      <c r="P62"/>
    </row>
    <row r="63" spans="1:16" s="7" customFormat="1" x14ac:dyDescent="0.2">
      <c r="A63" s="7" t="str">
        <v>IA</v>
      </c>
      <c r="C63" s="38">
        <f ca="1"/>
        <v>0.68800905035163562</v>
      </c>
      <c r="D63" s="38">
        <f ca="1"/>
        <v>0.47066182949264346</v>
      </c>
      <c r="E63" s="38">
        <f ca="1"/>
        <v>0.32759594269131309</v>
      </c>
      <c r="F63" s="38">
        <f ca="1"/>
        <v>0.1716290167829824</v>
      </c>
      <c r="G63" s="38">
        <f ca="1"/>
        <v>9.9038549285061381E-2</v>
      </c>
      <c r="H63" s="38">
        <f ca="1"/>
        <v>6.139797730811649E-2</v>
      </c>
      <c r="I63" s="38">
        <f ca="1"/>
        <v>3.9750843548183187E-2</v>
      </c>
      <c r="J63" s="38">
        <f ca="1"/>
        <v>2.6496376389502359E-2</v>
      </c>
      <c r="K63" s="38">
        <f ca="1"/>
        <v>1.7850538385808849E-2</v>
      </c>
      <c r="L63" s="38">
        <f ca="1"/>
        <v>1.218424884889136E-2</v>
      </c>
      <c r="O63"/>
      <c r="P63"/>
    </row>
    <row r="64" spans="1:16" s="7" customFormat="1" x14ac:dyDescent="0.2">
      <c r="A64" s="7" t="str">
        <v>AF</v>
      </c>
      <c r="C64" s="38">
        <f ca="1"/>
        <v>0.78692884937730223</v>
      </c>
      <c r="D64" s="38">
        <f ca="1"/>
        <v>0.59992008831669186</v>
      </c>
      <c r="E64" s="38">
        <f ca="1"/>
        <v>0.44607616520398885</v>
      </c>
      <c r="F64" s="38">
        <f ca="1"/>
        <v>0.2443189493796325</v>
      </c>
      <c r="G64" s="38">
        <f ca="1"/>
        <v>0.13861189344350722</v>
      </c>
      <c r="H64" s="38">
        <f ca="1"/>
        <v>8.1461824283088582E-2</v>
      </c>
      <c r="I64" s="38">
        <f ca="1"/>
        <v>4.9403081212030145E-2</v>
      </c>
      <c r="J64" s="38">
        <f ca="1"/>
        <v>3.0910835595851754E-2</v>
      </c>
      <c r="K64" s="38">
        <f ca="1"/>
        <v>1.9521568501147123E-2</v>
      </c>
      <c r="L64" s="38">
        <f ca="1"/>
        <v>1.2480234398672128E-2</v>
      </c>
      <c r="O64" s="4"/>
      <c r="P64" s="4"/>
    </row>
    <row r="65" spans="1:12" s="7" customFormat="1" ht="13.5" thickBot="1" x14ac:dyDescent="0.25">
      <c r="A65" s="7" t="str">
        <v>LA</v>
      </c>
      <c r="C65" s="39">
        <f ca="1"/>
        <v>0.79693282387204367</v>
      </c>
      <c r="D65" s="39">
        <f ca="1"/>
        <v>0.62571266095012323</v>
      </c>
      <c r="E65" s="39">
        <f ca="1"/>
        <v>0.485914197673601</v>
      </c>
      <c r="F65" s="39">
        <f ca="1"/>
        <v>0.28896664191449373</v>
      </c>
      <c r="G65" s="39">
        <f ca="1"/>
        <v>0.17737806352762389</v>
      </c>
      <c r="H65" s="39">
        <f ca="1"/>
        <v>0.11497756637884153</v>
      </c>
      <c r="I65" s="39">
        <f ca="1"/>
        <v>7.7548035816691757E-2</v>
      </c>
      <c r="J65" s="39">
        <f ca="1"/>
        <v>5.3411840263018928E-2</v>
      </c>
      <c r="K65" s="39">
        <f ca="1"/>
        <v>3.7006688031283069E-2</v>
      </c>
      <c r="L65" s="39">
        <f ca="1"/>
        <v>2.5788271418825174E-2</v>
      </c>
    </row>
    <row r="66" spans="1:12" s="7" customFormat="1" ht="13.5" thickTop="1" x14ac:dyDescent="0.2">
      <c r="A66" s="2" t="s">
        <v>956</v>
      </c>
      <c r="C66" s="2"/>
      <c r="D66"/>
      <c r="E66"/>
      <c r="F66"/>
      <c r="G66"/>
      <c r="H66"/>
      <c r="I66"/>
      <c r="J66"/>
      <c r="K66"/>
      <c r="L66"/>
    </row>
    <row r="67" spans="1:12" s="7" customFormat="1" x14ac:dyDescent="0.2">
      <c r="A67" s="1" t="str">
        <f t="array" ref="A67:A74">R_CODE</f>
        <v>EU</v>
      </c>
      <c r="C67" s="37">
        <f t="array" aca="1" ref="C67:L74" ca="1">(1+PTP/100)^(-(Y-Y_0))</f>
        <v>0.94989716554843162</v>
      </c>
      <c r="D67" s="37">
        <f ca="1"/>
        <v>0.90230462511694476</v>
      </c>
      <c r="E67" s="37">
        <f ca="1"/>
        <v>0.85709660585982594</v>
      </c>
      <c r="F67" s="37">
        <f ca="1"/>
        <v>0.77336223163935591</v>
      </c>
      <c r="G67" s="37">
        <f ca="1"/>
        <v>0.69780831849895275</v>
      </c>
      <c r="H67" s="37">
        <f ca="1"/>
        <v>0.62963567322668312</v>
      </c>
      <c r="I67" s="37">
        <f ca="1"/>
        <v>0.56812318009105733</v>
      </c>
      <c r="J67" s="37">
        <f ca="1"/>
        <v>0.512620173032308</v>
      </c>
      <c r="K67" s="37">
        <f ca="1"/>
        <v>0.46253955305529992</v>
      </c>
      <c r="L67" s="37">
        <f ca="1"/>
        <v>0.41735157802132161</v>
      </c>
    </row>
    <row r="68" spans="1:12" s="7" customFormat="1" x14ac:dyDescent="0.2">
      <c r="A68" s="1" t="str">
        <v>US</v>
      </c>
      <c r="C68" s="38">
        <f ca="1"/>
        <v>0.94989716554843162</v>
      </c>
      <c r="D68" s="38">
        <f ca="1"/>
        <v>0.90230462511694476</v>
      </c>
      <c r="E68" s="38">
        <f ca="1"/>
        <v>0.85709660585982594</v>
      </c>
      <c r="F68" s="38">
        <f ca="1"/>
        <v>0.77336223163935591</v>
      </c>
      <c r="G68" s="38">
        <f ca="1"/>
        <v>0.69780831849895275</v>
      </c>
      <c r="H68" s="38">
        <f ca="1"/>
        <v>0.62963567322668312</v>
      </c>
      <c r="I68" s="38">
        <f ca="1"/>
        <v>0.56812318009105733</v>
      </c>
      <c r="J68" s="38">
        <f ca="1"/>
        <v>0.512620173032308</v>
      </c>
      <c r="K68" s="38">
        <f ca="1"/>
        <v>0.46253955305529992</v>
      </c>
      <c r="L68" s="38">
        <f ca="1"/>
        <v>0.41735157802132161</v>
      </c>
    </row>
    <row r="69" spans="1:12" s="7" customFormat="1" x14ac:dyDescent="0.2">
      <c r="A69" s="1" t="str">
        <v>OT</v>
      </c>
      <c r="C69" s="38">
        <f ca="1"/>
        <v>0.94989716554843162</v>
      </c>
      <c r="D69" s="38">
        <f ca="1"/>
        <v>0.90230462511694476</v>
      </c>
      <c r="E69" s="38">
        <f ca="1"/>
        <v>0.85709660585982594</v>
      </c>
      <c r="F69" s="38">
        <f ca="1"/>
        <v>0.77336223163935591</v>
      </c>
      <c r="G69" s="38">
        <f ca="1"/>
        <v>0.69780831849895275</v>
      </c>
      <c r="H69" s="38">
        <f ca="1"/>
        <v>0.62963567322668312</v>
      </c>
      <c r="I69" s="38">
        <f ca="1"/>
        <v>0.56812318009105733</v>
      </c>
      <c r="J69" s="38">
        <f ca="1"/>
        <v>0.512620173032308</v>
      </c>
      <c r="K69" s="38">
        <f ca="1"/>
        <v>0.46253955305529992</v>
      </c>
      <c r="L69" s="38">
        <f ca="1"/>
        <v>0.41735157802132161</v>
      </c>
    </row>
    <row r="70" spans="1:12" s="7" customFormat="1" x14ac:dyDescent="0.2">
      <c r="A70" s="1" t="str">
        <v>EE</v>
      </c>
      <c r="C70" s="38">
        <f ca="1"/>
        <v>0.94989716554843162</v>
      </c>
      <c r="D70" s="38">
        <f ca="1"/>
        <v>0.90230462511694476</v>
      </c>
      <c r="E70" s="38">
        <f ca="1"/>
        <v>0.85709660585982594</v>
      </c>
      <c r="F70" s="38">
        <f ca="1"/>
        <v>0.77336223163935591</v>
      </c>
      <c r="G70" s="38">
        <f ca="1"/>
        <v>0.69780831849895275</v>
      </c>
      <c r="H70" s="38">
        <f ca="1"/>
        <v>0.62963567322668312</v>
      </c>
      <c r="I70" s="38">
        <f ca="1"/>
        <v>0.56812318009105733</v>
      </c>
      <c r="J70" s="38">
        <f ca="1"/>
        <v>0.512620173032308</v>
      </c>
      <c r="K70" s="38">
        <f ca="1"/>
        <v>0.46253955305529992</v>
      </c>
      <c r="L70" s="38">
        <f ca="1"/>
        <v>0.41735157802132161</v>
      </c>
    </row>
    <row r="71" spans="1:12" s="7" customFormat="1" x14ac:dyDescent="0.2">
      <c r="A71" s="1" t="str">
        <v>CA</v>
      </c>
      <c r="C71" s="38">
        <f ca="1"/>
        <v>0.94989716554843162</v>
      </c>
      <c r="D71" s="38">
        <f ca="1"/>
        <v>0.90230462511694476</v>
      </c>
      <c r="E71" s="38">
        <f ca="1"/>
        <v>0.85709660585982594</v>
      </c>
      <c r="F71" s="38">
        <f ca="1"/>
        <v>0.77336223163935591</v>
      </c>
      <c r="G71" s="38">
        <f ca="1"/>
        <v>0.69780831849895275</v>
      </c>
      <c r="H71" s="38">
        <f ca="1"/>
        <v>0.62963567322668312</v>
      </c>
      <c r="I71" s="38">
        <f ca="1"/>
        <v>0.56812318009105733</v>
      </c>
      <c r="J71" s="38">
        <f ca="1"/>
        <v>0.512620173032308</v>
      </c>
      <c r="K71" s="38">
        <f ca="1"/>
        <v>0.46253955305529992</v>
      </c>
      <c r="L71" s="38">
        <f ca="1"/>
        <v>0.41735157802132161</v>
      </c>
    </row>
    <row r="72" spans="1:12" s="7" customFormat="1" x14ac:dyDescent="0.2">
      <c r="A72" s="1" t="str">
        <v>IA</v>
      </c>
      <c r="C72" s="38">
        <f ca="1"/>
        <v>0.94989716554843162</v>
      </c>
      <c r="D72" s="38">
        <f ca="1"/>
        <v>0.90230462511694476</v>
      </c>
      <c r="E72" s="38">
        <f ca="1"/>
        <v>0.85709660585982594</v>
      </c>
      <c r="F72" s="38">
        <f ca="1"/>
        <v>0.77336223163935591</v>
      </c>
      <c r="G72" s="38">
        <f ca="1"/>
        <v>0.69780831849895275</v>
      </c>
      <c r="H72" s="38">
        <f ca="1"/>
        <v>0.62963567322668312</v>
      </c>
      <c r="I72" s="38">
        <f ca="1"/>
        <v>0.56812318009105733</v>
      </c>
      <c r="J72" s="38">
        <f ca="1"/>
        <v>0.512620173032308</v>
      </c>
      <c r="K72" s="38">
        <f ca="1"/>
        <v>0.46253955305529992</v>
      </c>
      <c r="L72" s="38">
        <f ca="1"/>
        <v>0.41735157802132161</v>
      </c>
    </row>
    <row r="73" spans="1:12" s="7" customFormat="1" x14ac:dyDescent="0.2">
      <c r="A73" s="1" t="str">
        <v>AF</v>
      </c>
      <c r="C73" s="38">
        <f ca="1"/>
        <v>0.94989716554843162</v>
      </c>
      <c r="D73" s="38">
        <f ca="1"/>
        <v>0.90230462511694476</v>
      </c>
      <c r="E73" s="38">
        <f ca="1"/>
        <v>0.85709660585982594</v>
      </c>
      <c r="F73" s="38">
        <f ca="1"/>
        <v>0.77336223163935591</v>
      </c>
      <c r="G73" s="38">
        <f ca="1"/>
        <v>0.69780831849895275</v>
      </c>
      <c r="H73" s="38">
        <f ca="1"/>
        <v>0.62963567322668312</v>
      </c>
      <c r="I73" s="38">
        <f ca="1"/>
        <v>0.56812318009105733</v>
      </c>
      <c r="J73" s="38">
        <f ca="1"/>
        <v>0.512620173032308</v>
      </c>
      <c r="K73" s="38">
        <f ca="1"/>
        <v>0.46253955305529992</v>
      </c>
      <c r="L73" s="38">
        <f ca="1"/>
        <v>0.41735157802132161</v>
      </c>
    </row>
    <row r="74" spans="1:12" s="7" customFormat="1" ht="13.5" thickBot="1" x14ac:dyDescent="0.25">
      <c r="A74" s="1" t="str">
        <v>LA</v>
      </c>
      <c r="C74" s="39">
        <f ca="1"/>
        <v>0.94989716554843162</v>
      </c>
      <c r="D74" s="39">
        <f ca="1"/>
        <v>0.90230462511694476</v>
      </c>
      <c r="E74" s="39">
        <f ca="1"/>
        <v>0.85709660585982594</v>
      </c>
      <c r="F74" s="39">
        <f ca="1"/>
        <v>0.77336223163935591</v>
      </c>
      <c r="G74" s="39">
        <f ca="1"/>
        <v>0.69780831849895275</v>
      </c>
      <c r="H74" s="39">
        <f ca="1"/>
        <v>0.62963567322668312</v>
      </c>
      <c r="I74" s="39">
        <f ca="1"/>
        <v>0.56812318009105733</v>
      </c>
      <c r="J74" s="39">
        <f ca="1"/>
        <v>0.512620173032308</v>
      </c>
      <c r="K74" s="39">
        <f ca="1"/>
        <v>0.46253955305529992</v>
      </c>
      <c r="L74" s="39">
        <f ca="1"/>
        <v>0.41735157802132161</v>
      </c>
    </row>
    <row r="75" spans="1:12" ht="13.5" thickTop="1" x14ac:dyDescent="0.2"/>
  </sheetData>
  <phoneticPr fontId="21" type="noConversion"/>
  <pageMargins left="0.7" right="0.7" top="0.75" bottom="0.75" header="0.3" footer="0.3"/>
  <pageSetup paperSize="9" orientation="portrait" verticalDpi="0"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4"/>
  <sheetViews>
    <sheetView workbookViewId="0">
      <selection activeCell="P413" sqref="P413:Y413"/>
    </sheetView>
  </sheetViews>
  <sheetFormatPr defaultRowHeight="12.75" x14ac:dyDescent="0.2"/>
  <cols>
    <col min="1" max="1" width="15.5703125" customWidth="1"/>
    <col min="2" max="13" width="10.5703125" customWidth="1"/>
  </cols>
  <sheetData>
    <row r="1" spans="1:16" x14ac:dyDescent="0.2">
      <c r="A1" s="2" t="str">
        <f>MODEL_NAME</f>
        <v>PAGE-ICE Nonlinear Arctic Feedbacks</v>
      </c>
      <c r="B1" t="s">
        <v>37</v>
      </c>
      <c r="C1" s="51" t="str">
        <f>VERSION</f>
        <v>6.22</v>
      </c>
    </row>
    <row r="3" spans="1:16" x14ac:dyDescent="0.2">
      <c r="A3" s="2" t="s">
        <v>21</v>
      </c>
      <c r="B3" s="3">
        <f>Y_0</f>
        <v>2015</v>
      </c>
      <c r="C3">
        <f t="array" ref="C3:L3">Y</f>
        <v>2020</v>
      </c>
      <c r="D3">
        <v>2025</v>
      </c>
      <c r="E3">
        <v>2030</v>
      </c>
      <c r="F3">
        <v>2040</v>
      </c>
      <c r="G3">
        <v>2050</v>
      </c>
      <c r="H3">
        <v>2060</v>
      </c>
      <c r="I3">
        <v>2070</v>
      </c>
      <c r="J3">
        <v>2080</v>
      </c>
      <c r="K3">
        <v>2090</v>
      </c>
      <c r="L3">
        <v>2100</v>
      </c>
    </row>
    <row r="4" spans="1:16" s="1" customFormat="1" x14ac:dyDescent="0.2">
      <c r="A4" s="1" t="str">
        <f t="array" ref="A4:A11">R_CODE</f>
        <v>EU</v>
      </c>
      <c r="B4" s="27">
        <f t="array" ref="B4:B11">GDP_0</f>
        <v>18443494.800000001</v>
      </c>
      <c r="C4" s="221">
        <f t="array" ref="C4:C11">GDP_0*(1+(GRW_1_B/100))^YP_1</f>
        <v>20882062.399999991</v>
      </c>
      <c r="D4" s="221">
        <f t="array" ref="D4:L11">GDP_B*(1+(GRW_NOT_1_B/100))^YP_NOT_1</f>
        <v>23980097.199999977</v>
      </c>
      <c r="E4" s="221">
        <v>27603980.399999969</v>
      </c>
      <c r="F4" s="221">
        <v>36313725.599999987</v>
      </c>
      <c r="G4" s="221">
        <v>46569898.399999939</v>
      </c>
      <c r="H4" s="221">
        <v>58818474.399999902</v>
      </c>
      <c r="I4" s="221">
        <v>73950837.199999869</v>
      </c>
      <c r="J4" s="221">
        <v>91442213.199999824</v>
      </c>
      <c r="K4" s="221">
        <v>111725468.39999987</v>
      </c>
      <c r="L4" s="221">
        <v>135675537.99999976</v>
      </c>
      <c r="N4" s="1" t="str">
        <f t="shared" ref="N4:N12" si="0">CURRENCY_NAME</f>
        <v>$M(2015)</v>
      </c>
      <c r="P4" s="240" t="s">
        <v>1027</v>
      </c>
    </row>
    <row r="5" spans="1:16" s="1" customFormat="1" x14ac:dyDescent="0.2">
      <c r="A5" s="1" t="str">
        <v>US</v>
      </c>
      <c r="B5" s="28">
        <v>17183359.199999999</v>
      </c>
      <c r="C5" s="222">
        <v>19621333.20000001</v>
      </c>
      <c r="D5" s="222">
        <v>22545341.200000025</v>
      </c>
      <c r="E5" s="222">
        <v>25906522.800000016</v>
      </c>
      <c r="F5" s="222">
        <v>33997925.600000046</v>
      </c>
      <c r="G5" s="222">
        <v>43688673.200000063</v>
      </c>
      <c r="H5" s="222">
        <v>55479805.600000083</v>
      </c>
      <c r="I5" s="222">
        <v>70503736.400000021</v>
      </c>
      <c r="J5" s="222">
        <v>88974800.400000066</v>
      </c>
      <c r="K5" s="222">
        <v>111051397.60000026</v>
      </c>
      <c r="L5" s="222">
        <v>137110317.60000032</v>
      </c>
      <c r="N5" s="1" t="str">
        <f t="shared" si="0"/>
        <v>$M(2015)</v>
      </c>
    </row>
    <row r="6" spans="1:16" s="1" customFormat="1" x14ac:dyDescent="0.2">
      <c r="A6" s="1" t="str">
        <v>OT</v>
      </c>
      <c r="B6" s="28">
        <v>10239900.799999999</v>
      </c>
      <c r="C6" s="222">
        <v>11558009.200000012</v>
      </c>
      <c r="D6" s="222">
        <v>13208688.400000006</v>
      </c>
      <c r="E6" s="222">
        <v>15174374.400000004</v>
      </c>
      <c r="F6" s="222">
        <v>19885169.599999983</v>
      </c>
      <c r="G6" s="222">
        <v>25436358.800000016</v>
      </c>
      <c r="H6" s="222">
        <v>31967754.800000001</v>
      </c>
      <c r="I6" s="222">
        <v>39689999.999999955</v>
      </c>
      <c r="J6" s="222">
        <v>48212146.799999908</v>
      </c>
      <c r="K6" s="222">
        <v>57552856.7999999</v>
      </c>
      <c r="L6" s="222">
        <v>67942120.399999812</v>
      </c>
      <c r="N6" s="1" t="str">
        <f t="shared" si="0"/>
        <v>$M(2015)</v>
      </c>
    </row>
    <row r="7" spans="1:16" s="1" customFormat="1" x14ac:dyDescent="0.2">
      <c r="A7" s="1" t="str">
        <v>EE</v>
      </c>
      <c r="B7" s="28">
        <v>4310074.3999999994</v>
      </c>
      <c r="C7" s="222">
        <v>5205708.799999998</v>
      </c>
      <c r="D7" s="222">
        <v>6351405.5999999959</v>
      </c>
      <c r="E7" s="222">
        <v>7695224.3999999948</v>
      </c>
      <c r="F7" s="222">
        <v>10588437.199999996</v>
      </c>
      <c r="G7" s="222">
        <v>13151609.199999984</v>
      </c>
      <c r="H7" s="222">
        <v>15708141.199999981</v>
      </c>
      <c r="I7" s="222">
        <v>18582217.599999983</v>
      </c>
      <c r="J7" s="222">
        <v>21040725.199999958</v>
      </c>
      <c r="K7" s="222">
        <v>23607505.199999947</v>
      </c>
      <c r="L7" s="222">
        <v>26175858.799999915</v>
      </c>
      <c r="N7" s="1" t="str">
        <f t="shared" si="0"/>
        <v>$M(2015)</v>
      </c>
    </row>
    <row r="8" spans="1:16" s="1" customFormat="1" x14ac:dyDescent="0.2">
      <c r="A8" s="1" t="str">
        <v>CA</v>
      </c>
      <c r="B8" s="28">
        <v>18719800.800000001</v>
      </c>
      <c r="C8" s="222">
        <v>27065294.399999999</v>
      </c>
      <c r="D8" s="222">
        <v>37155779.600000009</v>
      </c>
      <c r="E8" s="222">
        <v>48204015.200000003</v>
      </c>
      <c r="F8" s="222">
        <v>69047469.99999994</v>
      </c>
      <c r="G8" s="222">
        <v>85372154.800000027</v>
      </c>
      <c r="H8" s="222">
        <v>95759622.800000012</v>
      </c>
      <c r="I8" s="222">
        <v>102849844.0000001</v>
      </c>
      <c r="J8" s="222">
        <v>106910238.40000011</v>
      </c>
      <c r="K8" s="222">
        <v>109140226.40000002</v>
      </c>
      <c r="L8" s="222">
        <v>108813418.00000001</v>
      </c>
      <c r="N8" s="1" t="str">
        <f t="shared" si="0"/>
        <v>$M(2015)</v>
      </c>
    </row>
    <row r="9" spans="1:16" s="1" customFormat="1" x14ac:dyDescent="0.2">
      <c r="A9" s="1" t="str">
        <v>IA</v>
      </c>
      <c r="B9" s="28">
        <v>14906285.6</v>
      </c>
      <c r="C9" s="222">
        <v>20618544.000000007</v>
      </c>
      <c r="D9" s="222">
        <v>28405383.600000024</v>
      </c>
      <c r="E9" s="222">
        <v>38226354.400000028</v>
      </c>
      <c r="F9" s="222">
        <v>63532452.00000003</v>
      </c>
      <c r="G9" s="222">
        <v>94579696.40000008</v>
      </c>
      <c r="H9" s="222">
        <v>128998192.40000007</v>
      </c>
      <c r="I9" s="222">
        <v>165583356.80000007</v>
      </c>
      <c r="J9" s="222">
        <v>202694411.6000002</v>
      </c>
      <c r="K9" s="222">
        <v>240729457.60000017</v>
      </c>
      <c r="L9" s="222">
        <v>277534299.2000007</v>
      </c>
      <c r="N9" s="1" t="str">
        <f t="shared" si="0"/>
        <v>$M(2015)</v>
      </c>
    </row>
    <row r="10" spans="1:16" s="1" customFormat="1" x14ac:dyDescent="0.2">
      <c r="A10" s="1" t="str">
        <v>AF</v>
      </c>
      <c r="B10" s="28">
        <v>7329259.5999999996</v>
      </c>
      <c r="C10" s="222">
        <v>9406848</v>
      </c>
      <c r="D10" s="222">
        <v>12274656.000000004</v>
      </c>
      <c r="E10" s="222">
        <v>16187116.000000013</v>
      </c>
      <c r="F10" s="222">
        <v>27787301.600000016</v>
      </c>
      <c r="G10" s="222">
        <v>44767611.200000063</v>
      </c>
      <c r="H10" s="222">
        <v>67945418.000000149</v>
      </c>
      <c r="I10" s="222">
        <v>98143934.400000259</v>
      </c>
      <c r="J10" s="222">
        <v>135154942.40000039</v>
      </c>
      <c r="K10" s="222">
        <v>181231266.80000061</v>
      </c>
      <c r="L10" s="222">
        <v>236436059.20000097</v>
      </c>
      <c r="N10" s="1" t="str">
        <f t="shared" si="0"/>
        <v>$M(2015)</v>
      </c>
    </row>
    <row r="11" spans="1:16" s="1" customFormat="1" ht="13.5" thickBot="1" x14ac:dyDescent="0.25">
      <c r="A11" s="1" t="str">
        <v>LA</v>
      </c>
      <c r="B11" s="36">
        <v>7947804.0000000009</v>
      </c>
      <c r="C11" s="285">
        <v>9555902.7999999933</v>
      </c>
      <c r="D11" s="285">
        <v>11526109.599999985</v>
      </c>
      <c r="E11" s="285">
        <v>13921424.399999984</v>
      </c>
      <c r="F11" s="285">
        <v>20185624.39999998</v>
      </c>
      <c r="G11" s="285">
        <v>27765719.599999938</v>
      </c>
      <c r="H11" s="285">
        <v>35612624.399999931</v>
      </c>
      <c r="I11" s="285">
        <v>43422210.799999848</v>
      </c>
      <c r="J11" s="285">
        <v>51260743.599999823</v>
      </c>
      <c r="K11" s="285">
        <v>59091680.399999849</v>
      </c>
      <c r="L11" s="285">
        <v>66180848.799999803</v>
      </c>
      <c r="N11" s="1" t="str">
        <f t="shared" si="0"/>
        <v>$M(2015)</v>
      </c>
    </row>
    <row r="12" spans="1:16" s="1" customFormat="1" ht="14.25" thickTop="1" thickBot="1" x14ac:dyDescent="0.25">
      <c r="A12" s="44" t="s">
        <v>204</v>
      </c>
      <c r="B12" s="36">
        <f t="shared" ref="B12:L12" si="1">SUM(B4:B11)</f>
        <v>99079979.199999988</v>
      </c>
      <c r="C12" s="285">
        <f t="shared" si="1"/>
        <v>123913702.8</v>
      </c>
      <c r="D12" s="285">
        <f t="shared" si="1"/>
        <v>155447461.20000005</v>
      </c>
      <c r="E12" s="285">
        <f t="shared" si="1"/>
        <v>192919012</v>
      </c>
      <c r="F12" s="285">
        <f t="shared" si="1"/>
        <v>281338106</v>
      </c>
      <c r="G12" s="285">
        <f t="shared" si="1"/>
        <v>381331721.60000014</v>
      </c>
      <c r="H12" s="285">
        <f t="shared" si="1"/>
        <v>490290033.60000008</v>
      </c>
      <c r="I12" s="285">
        <f t="shared" si="1"/>
        <v>612726137.20000005</v>
      </c>
      <c r="J12" s="285">
        <f t="shared" si="1"/>
        <v>745690221.60000026</v>
      </c>
      <c r="K12" s="285">
        <f t="shared" si="1"/>
        <v>894129859.20000052</v>
      </c>
      <c r="L12" s="285">
        <f t="shared" si="1"/>
        <v>1055868460.0000013</v>
      </c>
      <c r="N12" s="1" t="str">
        <f t="shared" si="0"/>
        <v>$M(2015)</v>
      </c>
    </row>
    <row r="13" spans="1:16" s="1" customFormat="1" ht="14.25" thickTop="1" thickBot="1" x14ac:dyDescent="0.25">
      <c r="A13" s="44" t="s">
        <v>205</v>
      </c>
      <c r="B13" s="44"/>
      <c r="C13" s="257">
        <f>((GDP_G_1_B/GDP_G_0)^(1/YP_1)-1)*100</f>
        <v>4.5747140248038498</v>
      </c>
      <c r="D13" s="257">
        <f t="array" ref="D13:L13">((GDP_G_NOT_1_B/GDP_G_B)^(1/YP_NOT_1)-1)*100</f>
        <v>4.638826315504363</v>
      </c>
      <c r="E13" s="257">
        <v>4.4138907627195412</v>
      </c>
      <c r="F13" s="257">
        <v>3.8449431785757548</v>
      </c>
      <c r="G13" s="257">
        <v>3.0878394134363774</v>
      </c>
      <c r="H13" s="257">
        <v>2.5451236512824993</v>
      </c>
      <c r="I13" s="257">
        <v>2.254242105316373</v>
      </c>
      <c r="J13" s="257">
        <v>1.9833336496887011</v>
      </c>
      <c r="K13" s="257">
        <v>1.8319862912204332</v>
      </c>
      <c r="L13" s="257">
        <v>1.6765781410434943</v>
      </c>
      <c r="N13" s="1" t="s">
        <v>38</v>
      </c>
    </row>
    <row r="14" spans="1:16" s="1" customFormat="1" ht="13.5" thickTop="1" x14ac:dyDescent="0.2">
      <c r="A14" s="2" t="s">
        <v>137</v>
      </c>
      <c r="B14" s="2"/>
      <c r="C14"/>
      <c r="D14"/>
      <c r="E14"/>
      <c r="F14"/>
      <c r="G14"/>
      <c r="H14"/>
      <c r="I14"/>
      <c r="J14"/>
      <c r="K14"/>
      <c r="L14"/>
      <c r="M14"/>
      <c r="N14"/>
    </row>
    <row r="15" spans="1:16" s="1" customFormat="1" x14ac:dyDescent="0.2">
      <c r="A15" s="1" t="str">
        <f t="array" ref="A15:A22">R_CODE</f>
        <v>EU</v>
      </c>
      <c r="B15" s="27">
        <f t="array" ref="B15:B22">POP_0</f>
        <v>511.755</v>
      </c>
      <c r="C15" s="221">
        <f t="array" ref="C15:C22">POP_0*(1+(POP_GRW_1_B/100))^YP_1</f>
        <v>523.72400000000005</v>
      </c>
      <c r="D15" s="221">
        <f t="array" ref="D15:L22">POP_B*(1+(POP_GRW_NOT_1_B/100))^YP_NOT_1</f>
        <v>537.76800000000037</v>
      </c>
      <c r="E15" s="221">
        <v>552.67400000000021</v>
      </c>
      <c r="F15" s="221">
        <v>583.80899999999997</v>
      </c>
      <c r="G15" s="221">
        <v>618.41800000000012</v>
      </c>
      <c r="H15" s="221">
        <v>654.10500000000002</v>
      </c>
      <c r="I15" s="221">
        <v>684.87599999999986</v>
      </c>
      <c r="J15" s="221">
        <v>709.61100000000067</v>
      </c>
      <c r="K15" s="221">
        <v>726.87899999999991</v>
      </c>
      <c r="L15" s="221">
        <v>737.84800000000041</v>
      </c>
      <c r="N15" s="1" t="str">
        <f t="shared" ref="N15:N23" si="2">POP_UNIT_NAME</f>
        <v>million</v>
      </c>
      <c r="P15" s="240" t="s">
        <v>1026</v>
      </c>
    </row>
    <row r="16" spans="1:16" s="1" customFormat="1" x14ac:dyDescent="0.2">
      <c r="A16" s="1" t="str">
        <v>US</v>
      </c>
      <c r="B16" s="28">
        <v>328.96800000000002</v>
      </c>
      <c r="C16" s="222">
        <v>346.60500000000002</v>
      </c>
      <c r="D16" s="222">
        <v>366.8429999999999</v>
      </c>
      <c r="E16" s="222">
        <v>388.13999999999965</v>
      </c>
      <c r="F16" s="222">
        <v>431.63199999999989</v>
      </c>
      <c r="G16" s="222">
        <v>478.23700000000002</v>
      </c>
      <c r="H16" s="222">
        <v>529.88899999999933</v>
      </c>
      <c r="I16" s="222">
        <v>582.88999999999851</v>
      </c>
      <c r="J16" s="222">
        <v>633.8789999999982</v>
      </c>
      <c r="K16" s="222">
        <v>678.45999999999754</v>
      </c>
      <c r="L16" s="222">
        <v>714.07299999999748</v>
      </c>
      <c r="N16" s="1" t="str">
        <f t="shared" si="2"/>
        <v>million</v>
      </c>
    </row>
    <row r="17" spans="1:16" s="1" customFormat="1" x14ac:dyDescent="0.2">
      <c r="A17" s="1" t="str">
        <v>OT</v>
      </c>
      <c r="B17" s="28">
        <v>305.35900000000009</v>
      </c>
      <c r="C17" s="222">
        <v>314.30700000000002</v>
      </c>
      <c r="D17" s="222">
        <v>323.30800000000028</v>
      </c>
      <c r="E17" s="222">
        <v>331.78100000000012</v>
      </c>
      <c r="F17" s="222">
        <v>347.35999999999984</v>
      </c>
      <c r="G17" s="222">
        <v>362.11700000000002</v>
      </c>
      <c r="H17" s="222">
        <v>375.51300000000026</v>
      </c>
      <c r="I17" s="222">
        <v>383.88900000000001</v>
      </c>
      <c r="J17" s="222">
        <v>387.1869999999999</v>
      </c>
      <c r="K17" s="222">
        <v>384.99199999999968</v>
      </c>
      <c r="L17" s="222">
        <v>378.28000000000009</v>
      </c>
      <c r="N17" s="1" t="str">
        <f t="shared" si="2"/>
        <v>million</v>
      </c>
    </row>
    <row r="18" spans="1:16" s="1" customFormat="1" x14ac:dyDescent="0.2">
      <c r="A18" s="1" t="str">
        <v>EE</v>
      </c>
      <c r="B18" s="28">
        <v>279.69600000000003</v>
      </c>
      <c r="C18" s="222">
        <v>279.37300000000005</v>
      </c>
      <c r="D18" s="222">
        <v>278.17700000000013</v>
      </c>
      <c r="E18" s="222">
        <v>276.33400000000006</v>
      </c>
      <c r="F18" s="222">
        <v>272.51200000000023</v>
      </c>
      <c r="G18" s="222">
        <v>265.60900000000026</v>
      </c>
      <c r="H18" s="222">
        <v>255.37000000000009</v>
      </c>
      <c r="I18" s="222">
        <v>242.15100000000024</v>
      </c>
      <c r="J18" s="222">
        <v>225.25300000000027</v>
      </c>
      <c r="K18" s="222">
        <v>206.07100000000025</v>
      </c>
      <c r="L18" s="222">
        <v>186.14100000000025</v>
      </c>
      <c r="N18" s="1" t="str">
        <f t="shared" si="2"/>
        <v>million</v>
      </c>
    </row>
    <row r="19" spans="1:16" s="1" customFormat="1" x14ac:dyDescent="0.2">
      <c r="A19" s="1" t="str">
        <v>CA</v>
      </c>
      <c r="B19" s="28">
        <v>1368.3409999999999</v>
      </c>
      <c r="C19" s="222">
        <v>1379.3220000000003</v>
      </c>
      <c r="D19" s="222">
        <v>1379.3590000000008</v>
      </c>
      <c r="E19" s="222">
        <v>1368.525000000001</v>
      </c>
      <c r="F19" s="222">
        <v>1319.0440000000001</v>
      </c>
      <c r="G19" s="222">
        <v>1235.6349999999998</v>
      </c>
      <c r="H19" s="222">
        <v>1129.0869999999995</v>
      </c>
      <c r="I19" s="222">
        <v>1011.1109999999998</v>
      </c>
      <c r="J19" s="222">
        <v>891.78100000000006</v>
      </c>
      <c r="K19" s="222">
        <v>772.13800000000015</v>
      </c>
      <c r="L19" s="222">
        <v>652.97300000000018</v>
      </c>
      <c r="N19" s="1" t="str">
        <f t="shared" si="2"/>
        <v>million</v>
      </c>
    </row>
    <row r="20" spans="1:16" s="1" customFormat="1" x14ac:dyDescent="0.2">
      <c r="A20" s="1" t="str">
        <v>IA</v>
      </c>
      <c r="B20" s="28">
        <v>2440.5580000000004</v>
      </c>
      <c r="C20" s="222">
        <v>2556.4954999999995</v>
      </c>
      <c r="D20" s="222">
        <v>2652.6609999999996</v>
      </c>
      <c r="E20" s="222">
        <v>2728.0494999999996</v>
      </c>
      <c r="F20" s="222">
        <v>2831.6005</v>
      </c>
      <c r="G20" s="222">
        <v>2860.0699999999997</v>
      </c>
      <c r="H20" s="222">
        <v>2814.665</v>
      </c>
      <c r="I20" s="222">
        <v>2705.5300000000007</v>
      </c>
      <c r="J20" s="222">
        <v>2542.4680000000003</v>
      </c>
      <c r="K20" s="222">
        <v>2338.4659999999999</v>
      </c>
      <c r="L20" s="222">
        <v>2111.0129999999999</v>
      </c>
      <c r="N20" s="1" t="str">
        <f t="shared" si="2"/>
        <v>million</v>
      </c>
    </row>
    <row r="21" spans="1:16" s="1" customFormat="1" x14ac:dyDescent="0.2">
      <c r="A21" s="1" t="str">
        <v>AF</v>
      </c>
      <c r="B21" s="28">
        <v>1367.6130000000001</v>
      </c>
      <c r="C21" s="222">
        <v>1494.9084999999993</v>
      </c>
      <c r="D21" s="222">
        <v>1616.1415</v>
      </c>
      <c r="E21" s="222">
        <v>1727.5504999999998</v>
      </c>
      <c r="F21" s="222">
        <v>1930.9690000000016</v>
      </c>
      <c r="G21" s="222">
        <v>2085.2735000000011</v>
      </c>
      <c r="H21" s="222">
        <v>2184.6895000000045</v>
      </c>
      <c r="I21" s="222">
        <v>2236.7335000000039</v>
      </c>
      <c r="J21" s="222">
        <v>2241.751500000003</v>
      </c>
      <c r="K21" s="222">
        <v>2204.2510000000034</v>
      </c>
      <c r="L21" s="222">
        <v>2130.169000000004</v>
      </c>
      <c r="N21" s="1" t="str">
        <f t="shared" si="2"/>
        <v>million</v>
      </c>
    </row>
    <row r="22" spans="1:16" s="1" customFormat="1" ht="13.5" thickBot="1" x14ac:dyDescent="0.25">
      <c r="A22" s="1" t="str">
        <v>LA</v>
      </c>
      <c r="B22" s="36">
        <v>611.48099999999999</v>
      </c>
      <c r="C22" s="285">
        <v>631.89299999999969</v>
      </c>
      <c r="D22" s="285">
        <v>646.48249999999985</v>
      </c>
      <c r="E22" s="285">
        <v>655.84550000000036</v>
      </c>
      <c r="F22" s="285">
        <v>662.33250000000044</v>
      </c>
      <c r="G22" s="285">
        <v>651.71650000000045</v>
      </c>
      <c r="H22" s="285">
        <v>626.62050000000022</v>
      </c>
      <c r="I22" s="285">
        <v>592.70400000000006</v>
      </c>
      <c r="J22" s="285">
        <v>552.65250000000026</v>
      </c>
      <c r="K22" s="285">
        <v>505.59200000000027</v>
      </c>
      <c r="L22" s="285">
        <v>451.40550000000047</v>
      </c>
      <c r="N22" s="1" t="str">
        <f t="shared" si="2"/>
        <v>million</v>
      </c>
    </row>
    <row r="23" spans="1:16" s="1" customFormat="1" ht="14.25" thickTop="1" thickBot="1" x14ac:dyDescent="0.25">
      <c r="A23" s="44" t="s">
        <v>204</v>
      </c>
      <c r="B23" s="36">
        <f t="shared" ref="B23:L23" si="3">SUM(B15:B22)</f>
        <v>7213.7710000000006</v>
      </c>
      <c r="C23" s="285">
        <f t="shared" si="3"/>
        <v>7526.6279999999988</v>
      </c>
      <c r="D23" s="285">
        <f t="shared" si="3"/>
        <v>7800.7400000000016</v>
      </c>
      <c r="E23" s="285">
        <f t="shared" si="3"/>
        <v>8028.8995000000004</v>
      </c>
      <c r="F23" s="285">
        <f t="shared" si="3"/>
        <v>8379.2590000000018</v>
      </c>
      <c r="G23" s="285">
        <f t="shared" si="3"/>
        <v>8557.0760000000009</v>
      </c>
      <c r="H23" s="285">
        <f t="shared" si="3"/>
        <v>8569.9390000000039</v>
      </c>
      <c r="I23" s="285">
        <f t="shared" si="3"/>
        <v>8439.8845000000038</v>
      </c>
      <c r="J23" s="285">
        <f t="shared" si="3"/>
        <v>8184.5830000000024</v>
      </c>
      <c r="K23" s="285">
        <f t="shared" si="3"/>
        <v>7816.849000000002</v>
      </c>
      <c r="L23" s="285">
        <f t="shared" si="3"/>
        <v>7361.9025000000038</v>
      </c>
      <c r="N23" s="1" t="str">
        <f t="shared" si="2"/>
        <v>million</v>
      </c>
    </row>
    <row r="24" spans="1:16" s="1" customFormat="1" ht="14.25" thickTop="1" thickBot="1" x14ac:dyDescent="0.25">
      <c r="A24" s="44" t="s">
        <v>205</v>
      </c>
      <c r="B24" s="44"/>
      <c r="C24" s="257">
        <f>((POP_G_1_B/POP_G_0)^(1/YP_1)-1)*100</f>
        <v>0.85272102101683345</v>
      </c>
      <c r="D24" s="257">
        <f t="array" ref="D24:L24">((POP_G_NOT_1_B/POP_G_B)^(1/YP_NOT_1)-1)*100</f>
        <v>0.71799467468711686</v>
      </c>
      <c r="E24" s="257">
        <v>0.57824278679232677</v>
      </c>
      <c r="F24" s="257">
        <v>0.42803361584864419</v>
      </c>
      <c r="G24" s="257">
        <v>0.21021120711879338</v>
      </c>
      <c r="H24" s="257">
        <v>1.5021845341367523E-2</v>
      </c>
      <c r="I24" s="257">
        <v>-0.15280304759408558</v>
      </c>
      <c r="J24" s="257">
        <v>-0.30669234531306433</v>
      </c>
      <c r="K24" s="257">
        <v>-0.45865226821295568</v>
      </c>
      <c r="L24" s="257">
        <v>-0.59783720877819579</v>
      </c>
      <c r="N24" s="1" t="s">
        <v>38</v>
      </c>
    </row>
    <row r="25" spans="1:16" s="1" customFormat="1" ht="13.5" thickTop="1" x14ac:dyDescent="0.2">
      <c r="A25" s="2" t="s">
        <v>139</v>
      </c>
      <c r="B25" s="2"/>
      <c r="C25"/>
      <c r="D25"/>
      <c r="E25"/>
      <c r="F25"/>
      <c r="G25"/>
      <c r="H25"/>
      <c r="I25"/>
      <c r="J25"/>
      <c r="K25"/>
      <c r="L25"/>
      <c r="M25"/>
      <c r="N25"/>
    </row>
    <row r="26" spans="1:16" s="1" customFormat="1" x14ac:dyDescent="0.2">
      <c r="A26" s="1" t="str">
        <f t="array" ref="A26:A33">R_CODE</f>
        <v>EU</v>
      </c>
      <c r="B26" s="27">
        <f t="array" ref="B26:B33">GDP_0/POP_0</f>
        <v>36039.696339068498</v>
      </c>
      <c r="C26" s="221">
        <f t="array" ref="C26:L33">GDP_B/POP_B</f>
        <v>39872.265544447051</v>
      </c>
      <c r="D26" s="221">
        <v>44591.900596539701</v>
      </c>
      <c r="E26" s="221">
        <v>49946.225804000111</v>
      </c>
      <c r="F26" s="221">
        <v>62201.380245936576</v>
      </c>
      <c r="G26" s="221">
        <v>75304.888279448409</v>
      </c>
      <c r="H26" s="221">
        <v>89922.068169483333</v>
      </c>
      <c r="I26" s="221">
        <v>107976.97276587278</v>
      </c>
      <c r="J26" s="221">
        <v>128862.4516812729</v>
      </c>
      <c r="K26" s="221">
        <v>153705.73149038546</v>
      </c>
      <c r="L26" s="221">
        <v>183880.06472877841</v>
      </c>
      <c r="N26" s="1" t="str">
        <f t="shared" ref="N26:N34" si="4">CURRENCY_NAME&amp;"/"&amp;POP_UNIT_NAME</f>
        <v>$M(2015)/million</v>
      </c>
      <c r="P26" s="240" t="s">
        <v>1025</v>
      </c>
    </row>
    <row r="27" spans="1:16" s="1" customFormat="1" x14ac:dyDescent="0.2">
      <c r="A27" s="1" t="str">
        <v>US</v>
      </c>
      <c r="B27" s="28">
        <v>52234.135842999924</v>
      </c>
      <c r="C27" s="222">
        <v>56610.069675855826</v>
      </c>
      <c r="D27" s="222">
        <v>61457.738596620438</v>
      </c>
      <c r="E27" s="222">
        <v>66745.305302210647</v>
      </c>
      <c r="F27" s="222">
        <v>78765.998813804472</v>
      </c>
      <c r="G27" s="222">
        <v>91353.603338930407</v>
      </c>
      <c r="H27" s="222">
        <v>104700.80639530194</v>
      </c>
      <c r="I27" s="222">
        <v>120955.47427473486</v>
      </c>
      <c r="J27" s="222">
        <v>140365.59090930654</v>
      </c>
      <c r="K27" s="222">
        <v>163681.56943666638</v>
      </c>
      <c r="L27" s="222">
        <v>192011.62570213524</v>
      </c>
      <c r="N27" s="1" t="str">
        <f t="shared" si="4"/>
        <v>$M(2015)/million</v>
      </c>
    </row>
    <row r="28" spans="1:16" s="1" customFormat="1" x14ac:dyDescent="0.2">
      <c r="A28" s="1" t="str">
        <v>OT</v>
      </c>
      <c r="B28" s="28">
        <v>33533.974109163297</v>
      </c>
      <c r="C28" s="222">
        <v>36772.993283636737</v>
      </c>
      <c r="D28" s="222">
        <v>40854.814604030813</v>
      </c>
      <c r="E28" s="222">
        <v>45736.116293579194</v>
      </c>
      <c r="F28" s="222">
        <v>57246.57300783047</v>
      </c>
      <c r="G28" s="222">
        <v>70243.481526688935</v>
      </c>
      <c r="H28" s="222">
        <v>85130.887079808104</v>
      </c>
      <c r="I28" s="222">
        <v>103389.26095824562</v>
      </c>
      <c r="J28" s="222">
        <v>124519.02259115085</v>
      </c>
      <c r="K28" s="222">
        <v>149491.04604770994</v>
      </c>
      <c r="L28" s="222">
        <v>179608.01628423337</v>
      </c>
      <c r="N28" s="1" t="str">
        <f t="shared" si="4"/>
        <v>$M(2015)/million</v>
      </c>
    </row>
    <row r="29" spans="1:16" s="1" customFormat="1" x14ac:dyDescent="0.2">
      <c r="A29" s="1" t="str">
        <v>EE</v>
      </c>
      <c r="B29" s="28">
        <v>15409.853555288595</v>
      </c>
      <c r="C29" s="222">
        <v>18633.542969435119</v>
      </c>
      <c r="D29" s="222">
        <v>22832.245656542393</v>
      </c>
      <c r="E29" s="222">
        <v>27847.54825681962</v>
      </c>
      <c r="F29" s="222">
        <v>38854.939232033772</v>
      </c>
      <c r="G29" s="222">
        <v>49514.923063600902</v>
      </c>
      <c r="H29" s="222">
        <v>61511.302032345127</v>
      </c>
      <c r="I29" s="222">
        <v>76738.141077261564</v>
      </c>
      <c r="J29" s="222">
        <v>93409.300653043174</v>
      </c>
      <c r="K29" s="222">
        <v>114560.05551484643</v>
      </c>
      <c r="L29" s="222">
        <v>140623.82172653999</v>
      </c>
      <c r="N29" s="1" t="str">
        <f t="shared" si="4"/>
        <v>$M(2015)/million</v>
      </c>
    </row>
    <row r="30" spans="1:16" s="1" customFormat="1" x14ac:dyDescent="0.2">
      <c r="A30" s="1" t="str">
        <v>CA</v>
      </c>
      <c r="B30" s="28">
        <v>13680.654749072053</v>
      </c>
      <c r="C30" s="222">
        <v>19622.17263264125</v>
      </c>
      <c r="D30" s="222">
        <v>26936.990007677468</v>
      </c>
      <c r="E30" s="222">
        <v>35223.335488938799</v>
      </c>
      <c r="F30" s="222">
        <v>52346.601023165211</v>
      </c>
      <c r="G30" s="222">
        <v>69091.725954671114</v>
      </c>
      <c r="H30" s="222">
        <v>84811.55375980775</v>
      </c>
      <c r="I30" s="222">
        <v>101719.63711204816</v>
      </c>
      <c r="J30" s="222">
        <v>119883.96074821072</v>
      </c>
      <c r="K30" s="222">
        <v>141348.08337369745</v>
      </c>
      <c r="L30" s="222">
        <v>166643.05874821774</v>
      </c>
      <c r="N30" s="1" t="str">
        <f t="shared" si="4"/>
        <v>$M(2015)/million</v>
      </c>
    </row>
    <row r="31" spans="1:16" s="1" customFormat="1" x14ac:dyDescent="0.2">
      <c r="A31" s="1" t="str">
        <v>IA</v>
      </c>
      <c r="B31" s="28">
        <v>6107.7366733345398</v>
      </c>
      <c r="C31" s="222">
        <v>8065.1595123089446</v>
      </c>
      <c r="D31" s="222">
        <v>10708.259969894392</v>
      </c>
      <c r="E31" s="222">
        <v>14012.338998980786</v>
      </c>
      <c r="F31" s="222">
        <v>22436.940521800312</v>
      </c>
      <c r="G31" s="222">
        <v>33069.014534609327</v>
      </c>
      <c r="H31" s="222">
        <v>45830.74447580798</v>
      </c>
      <c r="I31" s="222">
        <v>61201.818793360275</v>
      </c>
      <c r="J31" s="222">
        <v>79723.485841316462</v>
      </c>
      <c r="K31" s="222">
        <v>102943.32164761009</v>
      </c>
      <c r="L31" s="222">
        <v>131469.72529302316</v>
      </c>
      <c r="N31" s="1" t="str">
        <f t="shared" si="4"/>
        <v>$M(2015)/million</v>
      </c>
    </row>
    <row r="32" spans="1:16" s="1" customFormat="1" x14ac:dyDescent="0.2">
      <c r="A32" s="1" t="str">
        <v>AF</v>
      </c>
      <c r="B32" s="28">
        <v>5359.1619851522319</v>
      </c>
      <c r="C32" s="222">
        <v>6292.5911518999355</v>
      </c>
      <c r="D32" s="222">
        <v>7595.0379344877938</v>
      </c>
      <c r="E32" s="222">
        <v>9369.9813695750217</v>
      </c>
      <c r="F32" s="222">
        <v>14390.340601014306</v>
      </c>
      <c r="G32" s="222">
        <v>21468.460228358552</v>
      </c>
      <c r="H32" s="222">
        <v>31100.720720267116</v>
      </c>
      <c r="I32" s="222">
        <v>43878.242267127527</v>
      </c>
      <c r="J32" s="222">
        <v>60289.886011005328</v>
      </c>
      <c r="K32" s="222">
        <v>82218.979054563359</v>
      </c>
      <c r="L32" s="222">
        <v>110994.03812561376</v>
      </c>
      <c r="N32" s="1" t="str">
        <f t="shared" si="4"/>
        <v>$M(2015)/million</v>
      </c>
    </row>
    <row r="33" spans="1:16" s="1" customFormat="1" ht="13.5" thickBot="1" x14ac:dyDescent="0.25">
      <c r="A33" s="1" t="str">
        <v>LA</v>
      </c>
      <c r="B33" s="36">
        <v>12997.630343379436</v>
      </c>
      <c r="C33" s="285">
        <v>15122.659690802078</v>
      </c>
      <c r="D33" s="285">
        <v>17828.95840181287</v>
      </c>
      <c r="E33" s="285">
        <v>21226.68280867975</v>
      </c>
      <c r="F33" s="285">
        <v>30476.572416422216</v>
      </c>
      <c r="G33" s="285">
        <v>42603.984401192727</v>
      </c>
      <c r="H33" s="285">
        <v>56832.842845071173</v>
      </c>
      <c r="I33" s="285">
        <v>73261.207617967564</v>
      </c>
      <c r="J33" s="285">
        <v>92754.024635733658</v>
      </c>
      <c r="K33" s="285">
        <v>116876.21718698044</v>
      </c>
      <c r="L33" s="285">
        <v>146610.63899309986</v>
      </c>
      <c r="N33" s="1" t="str">
        <f t="shared" si="4"/>
        <v>$M(2015)/million</v>
      </c>
    </row>
    <row r="34" spans="1:16" s="1" customFormat="1" ht="14.25" thickTop="1" thickBot="1" x14ac:dyDescent="0.25">
      <c r="A34" s="44" t="s">
        <v>140</v>
      </c>
      <c r="B34" s="36">
        <f>GDP_G_0/POP_G_0</f>
        <v>13734.838436096736</v>
      </c>
      <c r="C34" s="285">
        <f t="array" ref="C34:L34">GDP_G_B/POP_G_B</f>
        <v>16463.37547172519</v>
      </c>
      <c r="D34" s="285">
        <v>19927.271156326198</v>
      </c>
      <c r="E34" s="285">
        <v>24028.076575127139</v>
      </c>
      <c r="F34" s="285">
        <v>33575.535259144031</v>
      </c>
      <c r="G34" s="285">
        <v>44563.320648314926</v>
      </c>
      <c r="H34" s="285">
        <v>57210.446142032029</v>
      </c>
      <c r="I34" s="285">
        <v>72598.877058092417</v>
      </c>
      <c r="J34" s="285">
        <v>91109.12817427596</v>
      </c>
      <c r="K34" s="285">
        <v>114384.94708033893</v>
      </c>
      <c r="L34" s="285">
        <v>143423.31482928505</v>
      </c>
      <c r="N34" s="1" t="str">
        <f t="shared" si="4"/>
        <v>$M(2015)/million</v>
      </c>
    </row>
    <row r="35" spans="1:16" s="1" customFormat="1" ht="14.25" thickTop="1" thickBot="1" x14ac:dyDescent="0.25">
      <c r="A35" s="44" t="s">
        <v>141</v>
      </c>
      <c r="B35" s="44"/>
      <c r="C35" s="257">
        <f t="array" ref="C35:L35">GRW_G_B-POP_GRW_G_B</f>
        <v>3.7219930037870164</v>
      </c>
      <c r="D35" s="257">
        <v>3.9208316408172461</v>
      </c>
      <c r="E35" s="257">
        <v>3.8356479759272144</v>
      </c>
      <c r="F35" s="257">
        <v>3.4169095627271107</v>
      </c>
      <c r="G35" s="257">
        <v>2.877628206317584</v>
      </c>
      <c r="H35" s="257">
        <v>2.5301018059411318</v>
      </c>
      <c r="I35" s="257">
        <v>2.4070451529104586</v>
      </c>
      <c r="J35" s="257">
        <v>2.2900259950017654</v>
      </c>
      <c r="K35" s="257">
        <v>2.2906385594333889</v>
      </c>
      <c r="L35" s="257">
        <v>2.2744153498216901</v>
      </c>
      <c r="N35" s="1" t="s">
        <v>38</v>
      </c>
    </row>
    <row r="36" spans="1:16" s="1" customFormat="1" ht="13.5" thickTop="1" x14ac:dyDescent="0.2">
      <c r="A36" s="2" t="s">
        <v>217</v>
      </c>
      <c r="B36" s="2"/>
      <c r="C36"/>
      <c r="D36"/>
      <c r="E36"/>
      <c r="F36"/>
      <c r="G36"/>
      <c r="H36"/>
      <c r="I36"/>
      <c r="J36"/>
      <c r="K36"/>
      <c r="L36"/>
      <c r="M36"/>
      <c r="N36"/>
    </row>
    <row r="37" spans="1:16" s="1" customFormat="1" x14ac:dyDescent="0.2">
      <c r="A37" s="1" t="str">
        <f t="array" ref="A37:A44">R_CODE</f>
        <v>EU</v>
      </c>
      <c r="B37" s="27">
        <f t="array" aca="1" ref="B37:B44" ca="1">GDP_PER_CAP_0*(1-SAVE/100)</f>
        <v>30633.741888208224</v>
      </c>
      <c r="C37" s="221">
        <f t="array" ref="C37:L44" ca="1">GDP_PER_CAP_B*(1-SAVE/100)</f>
        <v>33891.425712779994</v>
      </c>
      <c r="D37" s="221">
        <f ca="1"/>
        <v>37903.115507058748</v>
      </c>
      <c r="E37" s="221">
        <f ca="1"/>
        <v>42454.291933400091</v>
      </c>
      <c r="F37" s="221">
        <f ca="1"/>
        <v>52871.173209046086</v>
      </c>
      <c r="G37" s="221">
        <f ca="1"/>
        <v>64009.155037531149</v>
      </c>
      <c r="H37" s="221">
        <f ca="1"/>
        <v>76433.757944060824</v>
      </c>
      <c r="I37" s="221">
        <f ca="1"/>
        <v>91780.426850991862</v>
      </c>
      <c r="J37" s="221">
        <f ca="1"/>
        <v>109533.08392908196</v>
      </c>
      <c r="K37" s="221">
        <f ca="1"/>
        <v>130649.87176682764</v>
      </c>
      <c r="L37" s="221">
        <f ca="1"/>
        <v>156298.05501946164</v>
      </c>
      <c r="N37" s="1" t="str">
        <f t="shared" ref="N37:N45" si="5">CURRENCY_NAME&amp;"/"&amp;POP_UNIT_NAME</f>
        <v>$M(2015)/million</v>
      </c>
      <c r="P37" s="240" t="s">
        <v>1028</v>
      </c>
    </row>
    <row r="38" spans="1:16" s="1" customFormat="1" x14ac:dyDescent="0.2">
      <c r="A38" s="1" t="str">
        <v>US</v>
      </c>
      <c r="B38" s="28">
        <f ca="1"/>
        <v>44399.015466549936</v>
      </c>
      <c r="C38" s="222">
        <f ca="1"/>
        <v>48118.559224477453</v>
      </c>
      <c r="D38" s="222">
        <f ca="1"/>
        <v>52239.077807127374</v>
      </c>
      <c r="E38" s="222">
        <f ca="1"/>
        <v>56733.509506879047</v>
      </c>
      <c r="F38" s="222">
        <f ca="1"/>
        <v>66951.098991733801</v>
      </c>
      <c r="G38" s="222">
        <f ca="1"/>
        <v>77650.562838090846</v>
      </c>
      <c r="H38" s="222">
        <f ca="1"/>
        <v>88995.68543600665</v>
      </c>
      <c r="I38" s="222">
        <f ca="1"/>
        <v>102812.15313352463</v>
      </c>
      <c r="J38" s="222">
        <f ca="1"/>
        <v>119310.75227291055</v>
      </c>
      <c r="K38" s="222">
        <f ca="1"/>
        <v>139129.33402116643</v>
      </c>
      <c r="L38" s="222">
        <f ca="1"/>
        <v>163209.88184681494</v>
      </c>
      <c r="N38" s="1" t="str">
        <f t="shared" si="5"/>
        <v>$M(2015)/million</v>
      </c>
    </row>
    <row r="39" spans="1:16" s="1" customFormat="1" x14ac:dyDescent="0.2">
      <c r="A39" s="1" t="str">
        <v>OT</v>
      </c>
      <c r="B39" s="28">
        <f ca="1"/>
        <v>28503.877992788803</v>
      </c>
      <c r="C39" s="222">
        <f ca="1"/>
        <v>31257.044291091224</v>
      </c>
      <c r="D39" s="222">
        <f ca="1"/>
        <v>34726.592413426188</v>
      </c>
      <c r="E39" s="222">
        <f ca="1"/>
        <v>38875.698849542314</v>
      </c>
      <c r="F39" s="222">
        <f ca="1"/>
        <v>48659.587056655895</v>
      </c>
      <c r="G39" s="222">
        <f ca="1"/>
        <v>59706.959297685593</v>
      </c>
      <c r="H39" s="222">
        <f ca="1"/>
        <v>72361.25401783688</v>
      </c>
      <c r="I39" s="222">
        <f ca="1"/>
        <v>87880.871814508777</v>
      </c>
      <c r="J39" s="222">
        <f ca="1"/>
        <v>105841.16920247821</v>
      </c>
      <c r="K39" s="222">
        <f ca="1"/>
        <v>127067.38914055345</v>
      </c>
      <c r="L39" s="222">
        <f ca="1"/>
        <v>152666.81384159837</v>
      </c>
      <c r="N39" s="1" t="str">
        <f t="shared" si="5"/>
        <v>$M(2015)/million</v>
      </c>
    </row>
    <row r="40" spans="1:16" s="1" customFormat="1" x14ac:dyDescent="0.2">
      <c r="A40" s="1" t="str">
        <v>EE</v>
      </c>
      <c r="B40" s="28">
        <f ca="1"/>
        <v>13098.375521995305</v>
      </c>
      <c r="C40" s="222">
        <f ca="1"/>
        <v>15838.51152401985</v>
      </c>
      <c r="D40" s="222">
        <f ca="1"/>
        <v>19407.408808061035</v>
      </c>
      <c r="E40" s="222">
        <f ca="1"/>
        <v>23670.416018296677</v>
      </c>
      <c r="F40" s="222">
        <f ca="1"/>
        <v>33026.698347228703</v>
      </c>
      <c r="G40" s="222">
        <f ca="1"/>
        <v>42087.684604060763</v>
      </c>
      <c r="H40" s="222">
        <f ca="1"/>
        <v>52284.606727493359</v>
      </c>
      <c r="I40" s="222">
        <f ca="1"/>
        <v>65227.419915672326</v>
      </c>
      <c r="J40" s="222">
        <f ca="1"/>
        <v>79397.905555086691</v>
      </c>
      <c r="K40" s="222">
        <f ca="1"/>
        <v>97376.047187619464</v>
      </c>
      <c r="L40" s="222">
        <f ca="1"/>
        <v>119530.24846755898</v>
      </c>
      <c r="N40" s="1" t="str">
        <f t="shared" si="5"/>
        <v>$M(2015)/million</v>
      </c>
    </row>
    <row r="41" spans="1:16" s="1" customFormat="1" x14ac:dyDescent="0.2">
      <c r="A41" s="1" t="str">
        <v>CA</v>
      </c>
      <c r="B41" s="28">
        <f ca="1"/>
        <v>11628.556536711245</v>
      </c>
      <c r="C41" s="222">
        <f ca="1"/>
        <v>16678.846737745062</v>
      </c>
      <c r="D41" s="222">
        <f ca="1"/>
        <v>22896.441506525847</v>
      </c>
      <c r="E41" s="222">
        <f ca="1"/>
        <v>29939.835165597979</v>
      </c>
      <c r="F41" s="222">
        <f ca="1"/>
        <v>44494.610869690427</v>
      </c>
      <c r="G41" s="222">
        <f ca="1"/>
        <v>58727.967061470445</v>
      </c>
      <c r="H41" s="222">
        <f ca="1"/>
        <v>72089.820695836592</v>
      </c>
      <c r="I41" s="222">
        <f ca="1"/>
        <v>86461.69154524093</v>
      </c>
      <c r="J41" s="222">
        <f ca="1"/>
        <v>101901.36663597911</v>
      </c>
      <c r="K41" s="222">
        <f ca="1"/>
        <v>120145.87086764282</v>
      </c>
      <c r="L41" s="222">
        <f ca="1"/>
        <v>141646.59993598508</v>
      </c>
      <c r="N41" s="1" t="str">
        <f t="shared" si="5"/>
        <v>$M(2015)/million</v>
      </c>
    </row>
    <row r="42" spans="1:16" s="1" customFormat="1" x14ac:dyDescent="0.2">
      <c r="A42" s="1" t="str">
        <v>IA</v>
      </c>
      <c r="B42" s="28">
        <f ca="1"/>
        <v>5191.5761723343585</v>
      </c>
      <c r="C42" s="222">
        <f ca="1"/>
        <v>6855.3855854626026</v>
      </c>
      <c r="D42" s="222">
        <f ca="1"/>
        <v>9102.020974410234</v>
      </c>
      <c r="E42" s="222">
        <f ca="1"/>
        <v>11910.488149133667</v>
      </c>
      <c r="F42" s="222">
        <f ca="1"/>
        <v>19071.399443530267</v>
      </c>
      <c r="G42" s="222">
        <f ca="1"/>
        <v>28108.662354417927</v>
      </c>
      <c r="H42" s="222">
        <f ca="1"/>
        <v>38956.132804436784</v>
      </c>
      <c r="I42" s="222">
        <f ca="1"/>
        <v>52021.545974356231</v>
      </c>
      <c r="J42" s="222">
        <f ca="1"/>
        <v>67764.96296511899</v>
      </c>
      <c r="K42" s="222">
        <f ca="1"/>
        <v>87501.82340046858</v>
      </c>
      <c r="L42" s="222">
        <f ca="1"/>
        <v>111749.26649906968</v>
      </c>
      <c r="N42" s="1" t="str">
        <f t="shared" si="5"/>
        <v>$M(2015)/million</v>
      </c>
    </row>
    <row r="43" spans="1:16" s="1" customFormat="1" x14ac:dyDescent="0.2">
      <c r="A43" s="1" t="str">
        <v>AF</v>
      </c>
      <c r="B43" s="28">
        <f ca="1"/>
        <v>4555.2876873793966</v>
      </c>
      <c r="C43" s="222">
        <f ca="1"/>
        <v>5348.7024791149452</v>
      </c>
      <c r="D43" s="222">
        <f ca="1"/>
        <v>6455.7822443146242</v>
      </c>
      <c r="E43" s="222">
        <f ca="1"/>
        <v>7964.4841641387684</v>
      </c>
      <c r="F43" s="222">
        <f ca="1"/>
        <v>12231.78951086216</v>
      </c>
      <c r="G43" s="222">
        <f ca="1"/>
        <v>18248.191194104769</v>
      </c>
      <c r="H43" s="222">
        <f ca="1"/>
        <v>26435.612612227047</v>
      </c>
      <c r="I43" s="222">
        <f ca="1"/>
        <v>37296.505927058395</v>
      </c>
      <c r="J43" s="222">
        <f ca="1"/>
        <v>51246.403109354527</v>
      </c>
      <c r="K43" s="222">
        <f ca="1"/>
        <v>69886.13219637885</v>
      </c>
      <c r="L43" s="222">
        <f ca="1"/>
        <v>94344.932406771695</v>
      </c>
      <c r="N43" s="1" t="str">
        <f t="shared" si="5"/>
        <v>$M(2015)/million</v>
      </c>
    </row>
    <row r="44" spans="1:16" s="1" customFormat="1" ht="13.5" thickBot="1" x14ac:dyDescent="0.25">
      <c r="A44" s="1" t="str">
        <v>LA</v>
      </c>
      <c r="B44" s="36">
        <f ca="1"/>
        <v>11047.985791872521</v>
      </c>
      <c r="C44" s="285">
        <f ca="1"/>
        <v>12854.260737181767</v>
      </c>
      <c r="D44" s="285">
        <f ca="1"/>
        <v>15154.614641540938</v>
      </c>
      <c r="E44" s="285">
        <f ca="1"/>
        <v>18042.680387377786</v>
      </c>
      <c r="F44" s="285">
        <f ca="1"/>
        <v>25905.086553958881</v>
      </c>
      <c r="G44" s="285">
        <f ca="1"/>
        <v>36213.386741013819</v>
      </c>
      <c r="H44" s="285">
        <f ca="1"/>
        <v>48307.916418310495</v>
      </c>
      <c r="I44" s="285">
        <f ca="1"/>
        <v>62272.026475272425</v>
      </c>
      <c r="J44" s="285">
        <f ca="1"/>
        <v>78840.920940373602</v>
      </c>
      <c r="K44" s="285">
        <f ca="1"/>
        <v>99344.784608933376</v>
      </c>
      <c r="L44" s="285">
        <f ca="1"/>
        <v>124619.04314413488</v>
      </c>
      <c r="N44" s="1" t="str">
        <f t="shared" si="5"/>
        <v>$M(2015)/million</v>
      </c>
    </row>
    <row r="45" spans="1:16" s="1" customFormat="1" ht="14.25" thickTop="1" thickBot="1" x14ac:dyDescent="0.25">
      <c r="A45" s="44" t="s">
        <v>140</v>
      </c>
      <c r="B45" s="36">
        <f ca="1">GDP_PER_CAP_G_0*(1-SAVE/100)</f>
        <v>11674.612670682225</v>
      </c>
      <c r="C45" s="285">
        <f t="array" ref="C45:L45" ca="1">GDP_PER_CAP_G_B*(1-SAVE/100)</f>
        <v>13993.869150966411</v>
      </c>
      <c r="D45" s="285">
        <f ca="1"/>
        <v>16938.180482877269</v>
      </c>
      <c r="E45" s="285">
        <f ca="1"/>
        <v>20423.865088858067</v>
      </c>
      <c r="F45" s="285">
        <f ca="1"/>
        <v>28539.204970272425</v>
      </c>
      <c r="G45" s="285">
        <f ca="1"/>
        <v>37878.822551067686</v>
      </c>
      <c r="H45" s="285">
        <f ca="1"/>
        <v>48628.879220727227</v>
      </c>
      <c r="I45" s="285">
        <f ca="1"/>
        <v>61709.045499378553</v>
      </c>
      <c r="J45" s="285">
        <f ca="1"/>
        <v>77442.758948134564</v>
      </c>
      <c r="K45" s="285">
        <f ca="1"/>
        <v>97227.205018288092</v>
      </c>
      <c r="L45" s="285">
        <f ca="1"/>
        <v>121909.81760489229</v>
      </c>
      <c r="N45" s="1" t="str">
        <f t="shared" si="5"/>
        <v>$M(2015)/million</v>
      </c>
    </row>
    <row r="46" spans="1:16" s="1" customFormat="1" ht="14.25" thickTop="1" thickBot="1" x14ac:dyDescent="0.25">
      <c r="A46" s="44" t="s">
        <v>141</v>
      </c>
      <c r="B46" s="44"/>
      <c r="C46" s="257">
        <f ca="1">((CONS_PER_CAP_G_1_B/CONS_PER_CAP_G_0)^(1/YP_1)-1)*100</f>
        <v>3.690523137210544</v>
      </c>
      <c r="D46" s="257">
        <f t="array" aca="1" ref="D46:L46" ca="1">((CONS_PER_CAP_G_NOT_1_B/CONS_PER_CAP_G_B)^(1/YP_NOT_1)-1)*100</f>
        <v>3.8928809628123506</v>
      </c>
      <c r="E46" s="257">
        <f ca="1"/>
        <v>3.8135961313801259</v>
      </c>
      <c r="F46" s="257">
        <f ca="1"/>
        <v>3.4023463765080475</v>
      </c>
      <c r="G46" s="257">
        <f ca="1"/>
        <v>2.8715917985343564</v>
      </c>
      <c r="H46" s="257">
        <f ca="1"/>
        <v>2.5297217950455142</v>
      </c>
      <c r="I46" s="257">
        <f ca="1"/>
        <v>2.4107288200166721</v>
      </c>
      <c r="J46" s="257">
        <f ca="1"/>
        <v>2.2970709357280628</v>
      </c>
      <c r="K46" s="257">
        <f ca="1"/>
        <v>2.3011930334774</v>
      </c>
      <c r="L46" s="257">
        <f ca="1"/>
        <v>2.2880944296943984</v>
      </c>
      <c r="N46" s="1" t="s">
        <v>38</v>
      </c>
    </row>
    <row r="47" spans="1:16" s="1" customFormat="1" ht="13.5" thickTop="1" x14ac:dyDescent="0.2">
      <c r="A47" s="44" t="s">
        <v>142</v>
      </c>
      <c r="B47" s="44"/>
      <c r="C47"/>
      <c r="D47"/>
      <c r="E47"/>
      <c r="F47"/>
      <c r="G47"/>
      <c r="H47"/>
      <c r="I47"/>
      <c r="J47"/>
      <c r="K47"/>
      <c r="L47"/>
    </row>
    <row r="48" spans="1:16" s="1" customFormat="1" x14ac:dyDescent="0.2">
      <c r="A48" s="1" t="str">
        <f t="array" ref="A48:A55">R_CODE</f>
        <v>EU</v>
      </c>
      <c r="B48" s="29">
        <f t="array" aca="1" ref="B48:B55" ca="1">(CONS_PER_CAP_FOCUS_0/CONS_PER_CAP_0)^EMUC</f>
        <v>1</v>
      </c>
      <c r="C48" s="212">
        <f t="array" aca="1" ref="C48:L55" ca="1">(CONS_PER_CAP_FOCUS_0/CONS_PER_CAP_B)^EMUC</f>
        <v>0.88878198891186511</v>
      </c>
      <c r="D48" s="212">
        <f ca="1"/>
        <v>0.78003243751454487</v>
      </c>
      <c r="E48" s="212">
        <f ca="1"/>
        <v>0.68337358547943738</v>
      </c>
      <c r="F48" s="212">
        <f ca="1"/>
        <v>0.52902713860689687</v>
      </c>
      <c r="G48" s="212">
        <f ca="1"/>
        <v>0.42327012224026395</v>
      </c>
      <c r="H48" s="212">
        <f ca="1"/>
        <v>0.34413906585174292</v>
      </c>
      <c r="I48" s="212">
        <f ca="1"/>
        <v>0.27798731034089663</v>
      </c>
      <c r="J48" s="212">
        <f ca="1"/>
        <v>0.22616766908943728</v>
      </c>
      <c r="K48" s="212">
        <f ca="1"/>
        <v>0.18412223491570459</v>
      </c>
      <c r="L48" s="212">
        <f ca="1"/>
        <v>0.14937831432898246</v>
      </c>
      <c r="P48" s="240" t="s">
        <v>1029</v>
      </c>
    </row>
    <row r="49" spans="1:16" s="1" customFormat="1" x14ac:dyDescent="0.2">
      <c r="A49" s="1" t="str">
        <v>US</v>
      </c>
      <c r="B49" s="26">
        <f ca="1"/>
        <v>0.6485814058066004</v>
      </c>
      <c r="C49" s="213">
        <f ca="1"/>
        <v>0.59047566770729198</v>
      </c>
      <c r="D49" s="213">
        <f ca="1"/>
        <v>0.53650277385542688</v>
      </c>
      <c r="E49" s="213">
        <f ca="1"/>
        <v>0.48725218914289703</v>
      </c>
      <c r="F49" s="213">
        <f ca="1"/>
        <v>0.40165150158298729</v>
      </c>
      <c r="G49" s="213">
        <f ca="1"/>
        <v>0.33785577564803981</v>
      </c>
      <c r="H49" s="213">
        <f ca="1"/>
        <v>0.28816171436294796</v>
      </c>
      <c r="I49" s="213">
        <f ca="1"/>
        <v>0.24350891191080551</v>
      </c>
      <c r="J49" s="213">
        <f ca="1"/>
        <v>0.20469498795606286</v>
      </c>
      <c r="K49" s="213">
        <f ca="1"/>
        <v>0.17109798683704658</v>
      </c>
      <c r="L49" s="213">
        <f ca="1"/>
        <v>0.14202425880734618</v>
      </c>
    </row>
    <row r="50" spans="1:16" s="1" customFormat="1" x14ac:dyDescent="0.2">
      <c r="A50" s="1" t="str">
        <v>OT</v>
      </c>
      <c r="B50" s="26">
        <f ca="1"/>
        <v>1.0877074791436305</v>
      </c>
      <c r="C50" s="213">
        <f ca="1"/>
        <v>0.97677416451094534</v>
      </c>
      <c r="D50" s="213">
        <f ca="1"/>
        <v>0.86389479797191682</v>
      </c>
      <c r="E50" s="213">
        <f ca="1"/>
        <v>0.75731311778017396</v>
      </c>
      <c r="F50" s="213">
        <f ca="1"/>
        <v>0.58282329436266955</v>
      </c>
      <c r="G50" s="213">
        <f ca="1"/>
        <v>0.45906157615274101</v>
      </c>
      <c r="H50" s="213">
        <f ca="1"/>
        <v>0.3668396678918372</v>
      </c>
      <c r="I50" s="213">
        <f ca="1"/>
        <v>0.29243093139560289</v>
      </c>
      <c r="J50" s="213">
        <f ca="1"/>
        <v>0.23539811999755489</v>
      </c>
      <c r="K50" s="213">
        <f ca="1"/>
        <v>0.19019259292733698</v>
      </c>
      <c r="L50" s="213">
        <f ca="1"/>
        <v>0.15353167027098871</v>
      </c>
    </row>
    <row r="51" spans="1:16" s="1" customFormat="1" x14ac:dyDescent="0.2">
      <c r="A51" s="1" t="str">
        <v>EE</v>
      </c>
      <c r="B51" s="26">
        <f ca="1"/>
        <v>2.6945094651256176</v>
      </c>
      <c r="C51" s="213">
        <f ca="1"/>
        <v>2.1589038352116927</v>
      </c>
      <c r="D51" s="213">
        <f ca="1"/>
        <v>1.7032219435463658</v>
      </c>
      <c r="E51" s="213">
        <f ca="1"/>
        <v>1.3510140043121615</v>
      </c>
      <c r="F51" s="213">
        <f ca="1"/>
        <v>0.91598993967099929</v>
      </c>
      <c r="G51" s="213">
        <f ca="1"/>
        <v>0.69032327589501852</v>
      </c>
      <c r="H51" s="213">
        <f ca="1"/>
        <v>0.53595776853258847</v>
      </c>
      <c r="I51" s="213">
        <f ca="1"/>
        <v>0.41406147349524247</v>
      </c>
      <c r="J51" s="213">
        <f ca="1"/>
        <v>0.32919722800144452</v>
      </c>
      <c r="K51" s="213">
        <f ca="1"/>
        <v>0.25944136796820255</v>
      </c>
      <c r="L51" s="213">
        <f ca="1"/>
        <v>0.20425652119745336</v>
      </c>
    </row>
    <row r="52" spans="1:16" s="1" customFormat="1" x14ac:dyDescent="0.2">
      <c r="A52" s="1" t="str">
        <v>CA</v>
      </c>
      <c r="B52" s="26">
        <f ca="1"/>
        <v>3.0958977847478892</v>
      </c>
      <c r="C52" s="213">
        <f ca="1"/>
        <v>2.032542814839724</v>
      </c>
      <c r="D52" s="213">
        <f ca="1"/>
        <v>1.4044428373403772</v>
      </c>
      <c r="E52" s="213">
        <f ca="1"/>
        <v>1.02709138014482</v>
      </c>
      <c r="F52" s="213">
        <f ca="1"/>
        <v>0.64695599527188252</v>
      </c>
      <c r="G52" s="213">
        <f ca="1"/>
        <v>0.46800187696374496</v>
      </c>
      <c r="H52" s="213">
        <f ca="1"/>
        <v>0.36845160614502248</v>
      </c>
      <c r="I52" s="213">
        <f ca="1"/>
        <v>0.29803850373658125</v>
      </c>
      <c r="J52" s="213">
        <f ca="1"/>
        <v>0.2460500061949614</v>
      </c>
      <c r="K52" s="213">
        <f ca="1"/>
        <v>0.20303600783631692</v>
      </c>
      <c r="L52" s="213">
        <f ca="1"/>
        <v>0.16755583007640124</v>
      </c>
    </row>
    <row r="53" spans="1:16" s="1" customFormat="1" x14ac:dyDescent="0.2">
      <c r="A53" s="1" t="str">
        <v>IA</v>
      </c>
      <c r="B53" s="26">
        <f ca="1"/>
        <v>7.932028902555575</v>
      </c>
      <c r="C53" s="213">
        <f ca="1"/>
        <v>5.7349484977786762</v>
      </c>
      <c r="D53" s="213">
        <f ca="1"/>
        <v>4.1200825689729346</v>
      </c>
      <c r="E53" s="213">
        <f ca="1"/>
        <v>3.0105711952142942</v>
      </c>
      <c r="F53" s="213">
        <f ca="1"/>
        <v>1.7382826714313278</v>
      </c>
      <c r="G53" s="213">
        <f ca="1"/>
        <v>1.1055706863050232</v>
      </c>
      <c r="H53" s="213">
        <f ca="1"/>
        <v>0.75548917554390127</v>
      </c>
      <c r="I53" s="213">
        <f ca="1"/>
        <v>0.5391210138962873</v>
      </c>
      <c r="J53" s="213">
        <f ca="1"/>
        <v>0.39602929931057512</v>
      </c>
      <c r="K53" s="213">
        <f ca="1"/>
        <v>0.29390937321222665</v>
      </c>
      <c r="L53" s="213">
        <f ca="1"/>
        <v>0.22094351665963308</v>
      </c>
    </row>
    <row r="54" spans="1:16" s="1" customFormat="1" x14ac:dyDescent="0.2">
      <c r="A54" s="1" t="str">
        <v>AF</v>
      </c>
      <c r="B54" s="26">
        <f ca="1"/>
        <v>9.239141363190484</v>
      </c>
      <c r="C54" s="213">
        <f ca="1"/>
        <v>7.6608485333324419</v>
      </c>
      <c r="D54" s="213">
        <f ca="1"/>
        <v>6.1511979762154496</v>
      </c>
      <c r="E54" s="213">
        <f ca="1"/>
        <v>4.8144808282955109</v>
      </c>
      <c r="F54" s="213">
        <f ca="1"/>
        <v>2.9185136226088728</v>
      </c>
      <c r="G54" s="213">
        <f ca="1"/>
        <v>1.8301088895896589</v>
      </c>
      <c r="H54" s="213">
        <f ca="1"/>
        <v>1.187624408088471</v>
      </c>
      <c r="I54" s="213">
        <f ca="1"/>
        <v>0.79485373306973706</v>
      </c>
      <c r="J54" s="213">
        <f ca="1"/>
        <v>0.54864669876529626</v>
      </c>
      <c r="K54" s="213">
        <f ca="1"/>
        <v>0.38204150798530195</v>
      </c>
      <c r="L54" s="213">
        <f ca="1"/>
        <v>0.26919173171740135</v>
      </c>
    </row>
    <row r="55" spans="1:16" s="1" customFormat="1" ht="13.5" thickBot="1" x14ac:dyDescent="0.25">
      <c r="A55" s="1" t="str">
        <v>LA</v>
      </c>
      <c r="B55" s="35">
        <f ca="1"/>
        <v>3.2865211541626076</v>
      </c>
      <c r="C55" s="257">
        <f ca="1"/>
        <v>2.7543033340653751</v>
      </c>
      <c r="D55" s="257">
        <f ca="1"/>
        <v>2.2729907932099604</v>
      </c>
      <c r="E55" s="257">
        <f ca="1"/>
        <v>1.8544515512983413</v>
      </c>
      <c r="F55" s="257">
        <f ca="1"/>
        <v>1.2160483270825526</v>
      </c>
      <c r="G55" s="257">
        <f ca="1"/>
        <v>0.82265812316849063</v>
      </c>
      <c r="H55" s="257">
        <f ca="1"/>
        <v>0.58777624896945724</v>
      </c>
      <c r="I55" s="257">
        <f ca="1"/>
        <v>0.43707727309887678</v>
      </c>
      <c r="J55" s="257">
        <f ca="1"/>
        <v>0.33191210134470001</v>
      </c>
      <c r="K55" s="257">
        <f ca="1"/>
        <v>0.25345302113128604</v>
      </c>
      <c r="L55" s="257">
        <f ca="1"/>
        <v>0.19455911221631456</v>
      </c>
    </row>
    <row r="56" spans="1:16" s="1" customFormat="1" ht="14.25" thickTop="1" thickBot="1" x14ac:dyDescent="0.25">
      <c r="A56" s="44" t="s">
        <v>140</v>
      </c>
      <c r="B56" s="35">
        <f ca="1">(CONS_PER_CAP_FOCUS_0/CONS_PER_CAP_G_0)^EMUC</f>
        <v>3.0816536705109216</v>
      </c>
      <c r="C56" s="257">
        <f t="array" aca="1" ref="C56:L56" ca="1">(CONS_PER_CAP_FOCUS_0/CONS_PER_CAP_G_B)^EMUC</f>
        <v>2.4944374227161017</v>
      </c>
      <c r="D56" s="257">
        <f ca="1"/>
        <v>1.9962833050179141</v>
      </c>
      <c r="E56" s="257">
        <f ca="1"/>
        <v>1.6047441519700909</v>
      </c>
      <c r="F56" s="257">
        <f ca="1"/>
        <v>1.086136831747472</v>
      </c>
      <c r="G56" s="257">
        <f ca="1"/>
        <v>0.78061610641218204</v>
      </c>
      <c r="H56" s="257">
        <f ca="1"/>
        <v>0.58325269382021983</v>
      </c>
      <c r="I56" s="257">
        <f ca="1"/>
        <v>0.441732910247914</v>
      </c>
      <c r="J56" s="257">
        <f ca="1"/>
        <v>0.3389136839448843</v>
      </c>
      <c r="K56" s="257">
        <f ca="1"/>
        <v>0.25990479309984421</v>
      </c>
      <c r="L56" s="257">
        <f ca="1"/>
        <v>0.1996127426517075</v>
      </c>
    </row>
    <row r="57" spans="1:16" ht="13.5" thickTop="1" x14ac:dyDescent="0.2">
      <c r="A57" s="2" t="s">
        <v>360</v>
      </c>
    </row>
    <row r="58" spans="1:16" s="7" customFormat="1" x14ac:dyDescent="0.2">
      <c r="A58" s="7" t="str">
        <f t="array" ref="A58:A65">R_CODE</f>
        <v>EU</v>
      </c>
      <c r="C58" s="286">
        <f t="array" aca="1" ref="C58:C65" ca="1">(1+(DR_1_B/100))^(-YP_1)</f>
        <v>0.84497197990077888</v>
      </c>
      <c r="D58" s="286">
        <f t="array" ref="D58:L65" ca="1">DFC_B*(1+(DR_NOT_1_B/100))^(-YP_NOT_1)</f>
        <v>0.70504825536836468</v>
      </c>
      <c r="E58" s="286">
        <f ca="1"/>
        <v>0.58724613620324273</v>
      </c>
      <c r="F58" s="286">
        <f ca="1"/>
        <v>0.41088392159051057</v>
      </c>
      <c r="G58" s="286">
        <f ca="1"/>
        <v>0.29702735410078795</v>
      </c>
      <c r="H58" s="286">
        <f ca="1"/>
        <v>0.21817838316929178</v>
      </c>
      <c r="I58" s="286">
        <f ca="1"/>
        <v>0.15926311451492808</v>
      </c>
      <c r="J58" s="286">
        <f ca="1"/>
        <v>0.11711138363552043</v>
      </c>
      <c r="K58" s="286">
        <f ca="1"/>
        <v>8.6188807224538616E-2</v>
      </c>
      <c r="L58" s="286">
        <f ca="1"/>
        <v>6.3227316724764671E-2</v>
      </c>
      <c r="M58" s="125"/>
      <c r="P58" s="292" t="s">
        <v>1030</v>
      </c>
    </row>
    <row r="59" spans="1:16" s="7" customFormat="1" x14ac:dyDescent="0.2">
      <c r="A59" s="7" t="str">
        <v>US</v>
      </c>
      <c r="C59" s="287">
        <f ca="1"/>
        <v>0.86489169497537077</v>
      </c>
      <c r="D59" s="287">
        <f ca="1"/>
        <v>0.74648454826414845</v>
      </c>
      <c r="E59" s="287">
        <f ca="1"/>
        <v>0.64401311341106959</v>
      </c>
      <c r="F59" s="287">
        <f ca="1"/>
        <v>0.47910441732228881</v>
      </c>
      <c r="G59" s="287">
        <f ca="1"/>
        <v>0.3637135811503488</v>
      </c>
      <c r="H59" s="287">
        <f ca="1"/>
        <v>0.27996087160876576</v>
      </c>
      <c r="I59" s="287">
        <f ca="1"/>
        <v>0.21353574012566018</v>
      </c>
      <c r="J59" s="287">
        <f ca="1"/>
        <v>0.16205048157103835</v>
      </c>
      <c r="K59" s="287">
        <f ca="1"/>
        <v>0.12232303782151209</v>
      </c>
      <c r="L59" s="287">
        <f ca="1"/>
        <v>9.1727205330283668E-2</v>
      </c>
    </row>
    <row r="60" spans="1:16" s="7" customFormat="1" x14ac:dyDescent="0.2">
      <c r="A60" s="7" t="str">
        <v>OT</v>
      </c>
      <c r="C60" s="287">
        <f ca="1"/>
        <v>0.85356626919220224</v>
      </c>
      <c r="D60" s="287">
        <f ca="1"/>
        <v>0.71765606043571328</v>
      </c>
      <c r="E60" s="287">
        <f ca="1"/>
        <v>0.59813748913018039</v>
      </c>
      <c r="F60" s="287">
        <f ca="1"/>
        <v>0.41616189776487961</v>
      </c>
      <c r="G60" s="287">
        <f ca="1"/>
        <v>0.29631161906093834</v>
      </c>
      <c r="H60" s="287">
        <f ca="1"/>
        <v>0.21404203521507442</v>
      </c>
      <c r="I60" s="287">
        <f ca="1"/>
        <v>0.15429042769121568</v>
      </c>
      <c r="J60" s="287">
        <f ca="1"/>
        <v>0.11232844387544284</v>
      </c>
      <c r="K60" s="287">
        <f ca="1"/>
        <v>8.2103332400371501E-2</v>
      </c>
      <c r="L60" s="287">
        <f ca="1"/>
        <v>5.9973439435844725E-2</v>
      </c>
    </row>
    <row r="61" spans="1:16" s="7" customFormat="1" x14ac:dyDescent="0.2">
      <c r="A61" s="7" t="str">
        <v>EE</v>
      </c>
      <c r="C61" s="287">
        <f ca="1"/>
        <v>0.76332845693004425</v>
      </c>
      <c r="D61" s="287">
        <f ca="1"/>
        <v>0.57395656038856591</v>
      </c>
      <c r="E61" s="287">
        <f ca="1"/>
        <v>0.43391326929941587</v>
      </c>
      <c r="F61" s="287">
        <f ca="1"/>
        <v>0.2669100268139375</v>
      </c>
      <c r="G61" s="287">
        <f ca="1"/>
        <v>0.18225043126726484</v>
      </c>
      <c r="H61" s="287">
        <f ca="1"/>
        <v>0.12818164243736674</v>
      </c>
      <c r="I61" s="287">
        <f ca="1"/>
        <v>8.9748467841782503E-2</v>
      </c>
      <c r="J61" s="287">
        <f ca="1"/>
        <v>6.4660731695963994E-2</v>
      </c>
      <c r="K61" s="287">
        <f ca="1"/>
        <v>4.6205094954777808E-2</v>
      </c>
      <c r="L61" s="287">
        <f ca="1"/>
        <v>3.2993644045920222E-2</v>
      </c>
    </row>
    <row r="62" spans="1:16" s="7" customFormat="1" x14ac:dyDescent="0.2">
      <c r="A62" s="7" t="str">
        <v>CA</v>
      </c>
      <c r="C62" s="287">
        <f ca="1"/>
        <v>0.62733730517440989</v>
      </c>
      <c r="D62" s="287">
        <f ca="1"/>
        <v>0.41403888322829241</v>
      </c>
      <c r="E62" s="287">
        <f ca="1"/>
        <v>0.2890432045205289</v>
      </c>
      <c r="F62" s="287">
        <f ca="1"/>
        <v>0.16555606083601712</v>
      </c>
      <c r="G62" s="287">
        <f ca="1"/>
        <v>0.10871633827799193</v>
      </c>
      <c r="H62" s="287">
        <f ca="1"/>
        <v>7.7609609881090544E-2</v>
      </c>
      <c r="I62" s="287">
        <f ca="1"/>
        <v>5.6913953336233343E-2</v>
      </c>
      <c r="J62" s="287">
        <f ca="1"/>
        <v>4.2588843403885544E-2</v>
      </c>
      <c r="K62" s="287">
        <f ca="1"/>
        <v>3.1865855188978331E-2</v>
      </c>
      <c r="L62" s="287">
        <f ca="1"/>
        <v>2.3855071388243915E-2</v>
      </c>
    </row>
    <row r="63" spans="1:16" s="7" customFormat="1" x14ac:dyDescent="0.2">
      <c r="A63" s="7" t="str">
        <v>IA</v>
      </c>
      <c r="C63" s="287">
        <f ca="1"/>
        <v>0.68800905035163562</v>
      </c>
      <c r="D63" s="287">
        <f ca="1"/>
        <v>0.47066182949264346</v>
      </c>
      <c r="E63" s="287">
        <f ca="1"/>
        <v>0.32759594269131309</v>
      </c>
      <c r="F63" s="287">
        <f ca="1"/>
        <v>0.1716290167829824</v>
      </c>
      <c r="G63" s="287">
        <f ca="1"/>
        <v>9.9038549285061381E-2</v>
      </c>
      <c r="H63" s="287">
        <f ca="1"/>
        <v>6.139797730811649E-2</v>
      </c>
      <c r="I63" s="287">
        <f ca="1"/>
        <v>3.9750843548183187E-2</v>
      </c>
      <c r="J63" s="287">
        <f ca="1"/>
        <v>2.6496376389502359E-2</v>
      </c>
      <c r="K63" s="287">
        <f ca="1"/>
        <v>1.7850538385808849E-2</v>
      </c>
      <c r="L63" s="287">
        <f ca="1"/>
        <v>1.218424884889136E-2</v>
      </c>
    </row>
    <row r="64" spans="1:16" s="7" customFormat="1" x14ac:dyDescent="0.2">
      <c r="A64" s="7" t="str">
        <v>AF</v>
      </c>
      <c r="C64" s="287">
        <f ca="1"/>
        <v>0.78692884937730223</v>
      </c>
      <c r="D64" s="287">
        <f ca="1"/>
        <v>0.59992008831669186</v>
      </c>
      <c r="E64" s="287">
        <f ca="1"/>
        <v>0.44607616520398885</v>
      </c>
      <c r="F64" s="287">
        <f ca="1"/>
        <v>0.2443189493796325</v>
      </c>
      <c r="G64" s="287">
        <f ca="1"/>
        <v>0.13861189344350722</v>
      </c>
      <c r="H64" s="287">
        <f ca="1"/>
        <v>8.1461824283088582E-2</v>
      </c>
      <c r="I64" s="287">
        <f ca="1"/>
        <v>4.9403081212030145E-2</v>
      </c>
      <c r="J64" s="287">
        <f ca="1"/>
        <v>3.0910835595851754E-2</v>
      </c>
      <c r="K64" s="287">
        <f ca="1"/>
        <v>1.9521568501147123E-2</v>
      </c>
      <c r="L64" s="287">
        <f ca="1"/>
        <v>1.2480234398672128E-2</v>
      </c>
    </row>
    <row r="65" spans="1:16" s="7" customFormat="1" ht="13.5" thickBot="1" x14ac:dyDescent="0.25">
      <c r="A65" s="7" t="str">
        <v>LA</v>
      </c>
      <c r="C65" s="288">
        <f ca="1"/>
        <v>0.79693282387204367</v>
      </c>
      <c r="D65" s="288">
        <f ca="1"/>
        <v>0.62571266095012323</v>
      </c>
      <c r="E65" s="288">
        <f ca="1"/>
        <v>0.485914197673601</v>
      </c>
      <c r="F65" s="288">
        <f ca="1"/>
        <v>0.28896664191449373</v>
      </c>
      <c r="G65" s="288">
        <f ca="1"/>
        <v>0.17737806352762389</v>
      </c>
      <c r="H65" s="288">
        <f ca="1"/>
        <v>0.11497756637884153</v>
      </c>
      <c r="I65" s="288">
        <f ca="1"/>
        <v>7.7548035816691757E-2</v>
      </c>
      <c r="J65" s="288">
        <f ca="1"/>
        <v>5.3411840263018928E-2</v>
      </c>
      <c r="K65" s="288">
        <f ca="1"/>
        <v>3.7006688031283069E-2</v>
      </c>
      <c r="L65" s="288">
        <f ca="1"/>
        <v>2.5788271418825174E-2</v>
      </c>
    </row>
    <row r="66" spans="1:16" s="7" customFormat="1" ht="13.5" thickTop="1" x14ac:dyDescent="0.2">
      <c r="A66" s="2" t="s">
        <v>956</v>
      </c>
      <c r="C66" s="289"/>
      <c r="D66" s="289"/>
      <c r="E66" s="289"/>
      <c r="F66" s="289"/>
      <c r="G66" s="289"/>
      <c r="H66" s="289"/>
      <c r="I66" s="289"/>
      <c r="J66" s="289"/>
      <c r="K66" s="289"/>
      <c r="L66" s="289"/>
    </row>
    <row r="67" spans="1:16" s="7" customFormat="1" x14ac:dyDescent="0.2">
      <c r="A67" s="1" t="str">
        <f t="array" ref="A67:A74">R_CODE</f>
        <v>EU</v>
      </c>
      <c r="C67" s="290" t="s">
        <v>1023</v>
      </c>
      <c r="D67" s="38"/>
      <c r="E67" s="38"/>
      <c r="F67" s="38"/>
      <c r="G67" s="38"/>
      <c r="H67" s="38"/>
      <c r="I67" s="38"/>
      <c r="J67" s="38"/>
      <c r="K67" s="38"/>
      <c r="L67" s="38"/>
      <c r="P67" s="292" t="s">
        <v>1031</v>
      </c>
    </row>
    <row r="68" spans="1:16" s="7" customFormat="1" x14ac:dyDescent="0.2">
      <c r="A68" s="1" t="str">
        <v>US</v>
      </c>
      <c r="C68" s="38"/>
      <c r="D68" s="38"/>
      <c r="E68" s="38"/>
      <c r="F68" s="38"/>
      <c r="G68" s="38"/>
      <c r="H68" s="38"/>
      <c r="I68" s="38"/>
      <c r="J68" s="38"/>
      <c r="K68" s="38"/>
      <c r="L68" s="38"/>
    </row>
    <row r="69" spans="1:16" s="7" customFormat="1" x14ac:dyDescent="0.2">
      <c r="A69" s="1" t="str">
        <v>OT</v>
      </c>
      <c r="C69" s="38"/>
      <c r="D69" s="38"/>
      <c r="E69" s="38"/>
      <c r="F69" s="38"/>
      <c r="G69" s="38"/>
      <c r="H69" s="38"/>
      <c r="I69" s="38"/>
      <c r="J69" s="38"/>
      <c r="K69" s="38"/>
      <c r="L69" s="38"/>
    </row>
    <row r="70" spans="1:16" s="7" customFormat="1" x14ac:dyDescent="0.2">
      <c r="A70" s="1" t="str">
        <v>EE</v>
      </c>
      <c r="C70" s="38"/>
      <c r="D70" s="38"/>
      <c r="E70" s="38"/>
      <c r="F70" s="38"/>
      <c r="G70" s="38"/>
      <c r="H70" s="38"/>
      <c r="I70" s="38"/>
      <c r="J70" s="38"/>
      <c r="K70" s="38"/>
      <c r="L70" s="38"/>
    </row>
    <row r="71" spans="1:16" s="7" customFormat="1" x14ac:dyDescent="0.2">
      <c r="A71" s="1" t="str">
        <v>CA</v>
      </c>
      <c r="C71" s="38"/>
      <c r="D71" s="38"/>
      <c r="E71" s="38"/>
      <c r="F71" s="38"/>
      <c r="G71" s="38"/>
      <c r="H71" s="38"/>
      <c r="I71" s="38"/>
      <c r="J71" s="38"/>
      <c r="K71" s="38"/>
      <c r="L71" s="38"/>
    </row>
    <row r="72" spans="1:16" s="7" customFormat="1" x14ac:dyDescent="0.2">
      <c r="A72" s="1" t="str">
        <v>IA</v>
      </c>
      <c r="C72" s="38"/>
      <c r="D72" s="38"/>
      <c r="E72" s="38"/>
      <c r="F72" s="38"/>
      <c r="G72" s="38"/>
      <c r="H72" s="38"/>
      <c r="I72" s="38"/>
      <c r="J72" s="38"/>
      <c r="K72" s="38"/>
      <c r="L72" s="38"/>
    </row>
    <row r="73" spans="1:16" s="7" customFormat="1" x14ac:dyDescent="0.2">
      <c r="A73" s="1" t="str">
        <v>AF</v>
      </c>
      <c r="C73" s="38"/>
      <c r="D73" s="38"/>
      <c r="E73" s="38"/>
      <c r="F73" s="38"/>
      <c r="G73" s="38"/>
      <c r="H73" s="38"/>
      <c r="I73" s="38"/>
      <c r="J73" s="38"/>
      <c r="K73" s="38"/>
      <c r="L73" s="38"/>
    </row>
    <row r="74" spans="1:16" s="7" customFormat="1" x14ac:dyDescent="0.2">
      <c r="A74" s="1" t="str">
        <v>LA</v>
      </c>
      <c r="C74" s="38"/>
      <c r="D74" s="38"/>
      <c r="E74" s="38"/>
      <c r="F74" s="38"/>
      <c r="G74" s="38"/>
      <c r="H74" s="38"/>
      <c r="I74" s="38"/>
      <c r="J74" s="38"/>
      <c r="K74" s="38"/>
      <c r="L74" s="38"/>
    </row>
  </sheetData>
  <phoneticPr fontId="21" type="noConversion"/>
  <pageMargins left="0.7" right="0.7" top="0.75" bottom="0.75" header="0.3" footer="0.3"/>
  <pageSetup paperSize="9" orientation="portrait" verticalDpi="0"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5"/>
  <sheetViews>
    <sheetView workbookViewId="0">
      <selection activeCell="C46" sqref="C46"/>
    </sheetView>
  </sheetViews>
  <sheetFormatPr defaultRowHeight="12.75" x14ac:dyDescent="0.2"/>
  <cols>
    <col min="1" max="1" width="15.5703125" customWidth="1"/>
    <col min="2" max="13" width="10.5703125" customWidth="1"/>
  </cols>
  <sheetData>
    <row r="1" spans="1:14" x14ac:dyDescent="0.2">
      <c r="A1" s="2" t="str">
        <f>MODEL_NAME</f>
        <v>PAGE-ICE Nonlinear Arctic Feedbacks</v>
      </c>
      <c r="B1" t="s">
        <v>37</v>
      </c>
      <c r="C1" s="51" t="str">
        <f>VERSION</f>
        <v>6.22</v>
      </c>
    </row>
    <row r="3" spans="1:14" x14ac:dyDescent="0.2">
      <c r="A3" s="2" t="s">
        <v>21</v>
      </c>
      <c r="B3" s="3">
        <f>Y_0</f>
        <v>2015</v>
      </c>
      <c r="C3">
        <f t="array" ref="C3:L3">Y</f>
        <v>2020</v>
      </c>
      <c r="D3">
        <v>2025</v>
      </c>
      <c r="E3">
        <v>2030</v>
      </c>
      <c r="F3">
        <v>2040</v>
      </c>
      <c r="G3">
        <v>2050</v>
      </c>
      <c r="H3">
        <v>2060</v>
      </c>
      <c r="I3">
        <v>2070</v>
      </c>
      <c r="J3">
        <v>2080</v>
      </c>
      <c r="K3">
        <v>2090</v>
      </c>
      <c r="L3">
        <v>2100</v>
      </c>
    </row>
    <row r="4" spans="1:14" s="1" customFormat="1" x14ac:dyDescent="0.2">
      <c r="A4" s="1" t="str">
        <f t="array" ref="A4:A11">R_CODE</f>
        <v>EU</v>
      </c>
      <c r="B4" s="27">
        <f>'Economy A'!B4-'Economy B'!B4</f>
        <v>0</v>
      </c>
      <c r="C4" s="27">
        <f>'Economy A'!C4-'Economy B'!C4</f>
        <v>0</v>
      </c>
      <c r="D4" s="27">
        <f>'Economy A'!D4-'Economy B'!D4</f>
        <v>0</v>
      </c>
      <c r="E4" s="27">
        <f>'Economy A'!E4-'Economy B'!E4</f>
        <v>0</v>
      </c>
      <c r="F4" s="27">
        <f>'Economy A'!F4-'Economy B'!F4</f>
        <v>0</v>
      </c>
      <c r="G4" s="27">
        <f>'Economy A'!G4-'Economy B'!G4</f>
        <v>0</v>
      </c>
      <c r="H4" s="27">
        <f>'Economy A'!H4-'Economy B'!H4</f>
        <v>0</v>
      </c>
      <c r="I4" s="27">
        <f>'Economy A'!I4-'Economy B'!I4</f>
        <v>0</v>
      </c>
      <c r="J4" s="27">
        <f>'Economy A'!J4-'Economy B'!J4</f>
        <v>0</v>
      </c>
      <c r="K4" s="27">
        <f>'Economy A'!K4-'Economy B'!K4</f>
        <v>0</v>
      </c>
      <c r="L4" s="27">
        <f>'Economy A'!L4-'Economy B'!L4</f>
        <v>0</v>
      </c>
      <c r="N4" s="1" t="str">
        <f t="shared" ref="N4:N12" si="0">CURRENCY_NAME</f>
        <v>$M(2015)</v>
      </c>
    </row>
    <row r="5" spans="1:14" s="1" customFormat="1" x14ac:dyDescent="0.2">
      <c r="A5" s="1" t="str">
        <v>US</v>
      </c>
      <c r="B5" s="28">
        <f>'Economy A'!B5-'Economy B'!B5</f>
        <v>0</v>
      </c>
      <c r="C5" s="28">
        <f>'Economy A'!C5-'Economy B'!C5</f>
        <v>0</v>
      </c>
      <c r="D5" s="28">
        <f>'Economy A'!D5-'Economy B'!D5</f>
        <v>0</v>
      </c>
      <c r="E5" s="28">
        <f>'Economy A'!E5-'Economy B'!E5</f>
        <v>0</v>
      </c>
      <c r="F5" s="28">
        <f>'Economy A'!F5-'Economy B'!F5</f>
        <v>0</v>
      </c>
      <c r="G5" s="28">
        <f>'Economy A'!G5-'Economy B'!G5</f>
        <v>0</v>
      </c>
      <c r="H5" s="28">
        <f>'Economy A'!H5-'Economy B'!H5</f>
        <v>0</v>
      </c>
      <c r="I5" s="28">
        <f>'Economy A'!I5-'Economy B'!I5</f>
        <v>0</v>
      </c>
      <c r="J5" s="28">
        <f>'Economy A'!J5-'Economy B'!J5</f>
        <v>0</v>
      </c>
      <c r="K5" s="28">
        <f>'Economy A'!K5-'Economy B'!K5</f>
        <v>0</v>
      </c>
      <c r="L5" s="28">
        <f>'Economy A'!L5-'Economy B'!L5</f>
        <v>0</v>
      </c>
      <c r="N5" s="1" t="str">
        <f t="shared" si="0"/>
        <v>$M(2015)</v>
      </c>
    </row>
    <row r="6" spans="1:14" s="1" customFormat="1" x14ac:dyDescent="0.2">
      <c r="A6" s="1" t="str">
        <v>OT</v>
      </c>
      <c r="B6" s="28">
        <f>'Economy A'!B6-'Economy B'!B6</f>
        <v>0</v>
      </c>
      <c r="C6" s="28">
        <f>'Economy A'!C6-'Economy B'!C6</f>
        <v>0</v>
      </c>
      <c r="D6" s="28">
        <f>'Economy A'!D6-'Economy B'!D6</f>
        <v>0</v>
      </c>
      <c r="E6" s="28">
        <f>'Economy A'!E6-'Economy B'!E6</f>
        <v>0</v>
      </c>
      <c r="F6" s="28">
        <f>'Economy A'!F6-'Economy B'!F6</f>
        <v>0</v>
      </c>
      <c r="G6" s="28">
        <f>'Economy A'!G6-'Economy B'!G6</f>
        <v>0</v>
      </c>
      <c r="H6" s="28">
        <f>'Economy A'!H6-'Economy B'!H6</f>
        <v>0</v>
      </c>
      <c r="I6" s="28">
        <f>'Economy A'!I6-'Economy B'!I6</f>
        <v>0</v>
      </c>
      <c r="J6" s="28">
        <f>'Economy A'!J6-'Economy B'!J6</f>
        <v>0</v>
      </c>
      <c r="K6" s="28">
        <f>'Economy A'!K6-'Economy B'!K6</f>
        <v>0</v>
      </c>
      <c r="L6" s="28">
        <f>'Economy A'!L6-'Economy B'!L6</f>
        <v>0</v>
      </c>
      <c r="N6" s="1" t="str">
        <f t="shared" si="0"/>
        <v>$M(2015)</v>
      </c>
    </row>
    <row r="7" spans="1:14" s="1" customFormat="1" x14ac:dyDescent="0.2">
      <c r="A7" s="1" t="str">
        <v>EE</v>
      </c>
      <c r="B7" s="28">
        <f>'Economy A'!B7-'Economy B'!B7</f>
        <v>0</v>
      </c>
      <c r="C7" s="28">
        <f>'Economy A'!C7-'Economy B'!C7</f>
        <v>0</v>
      </c>
      <c r="D7" s="28">
        <f>'Economy A'!D7-'Economy B'!D7</f>
        <v>0</v>
      </c>
      <c r="E7" s="28">
        <f>'Economy A'!E7-'Economy B'!E7</f>
        <v>0</v>
      </c>
      <c r="F7" s="28">
        <f>'Economy A'!F7-'Economy B'!F7</f>
        <v>0</v>
      </c>
      <c r="G7" s="28">
        <f>'Economy A'!G7-'Economy B'!G7</f>
        <v>0</v>
      </c>
      <c r="H7" s="28">
        <f>'Economy A'!H7-'Economy B'!H7</f>
        <v>0</v>
      </c>
      <c r="I7" s="28">
        <f>'Economy A'!I7-'Economy B'!I7</f>
        <v>0</v>
      </c>
      <c r="J7" s="28">
        <f>'Economy A'!J7-'Economy B'!J7</f>
        <v>0</v>
      </c>
      <c r="K7" s="28">
        <f>'Economy A'!K7-'Economy B'!K7</f>
        <v>0</v>
      </c>
      <c r="L7" s="28">
        <f>'Economy A'!L7-'Economy B'!L7</f>
        <v>0</v>
      </c>
      <c r="N7" s="1" t="str">
        <f t="shared" si="0"/>
        <v>$M(2015)</v>
      </c>
    </row>
    <row r="8" spans="1:14" s="1" customFormat="1" x14ac:dyDescent="0.2">
      <c r="A8" s="1" t="str">
        <v>CA</v>
      </c>
      <c r="B8" s="28">
        <f>'Economy A'!B8-'Economy B'!B8</f>
        <v>0</v>
      </c>
      <c r="C8" s="28">
        <f>'Economy A'!C8-'Economy B'!C8</f>
        <v>0</v>
      </c>
      <c r="D8" s="28">
        <f>'Economy A'!D8-'Economy B'!D8</f>
        <v>0</v>
      </c>
      <c r="E8" s="28">
        <f>'Economy A'!E8-'Economy B'!E8</f>
        <v>0</v>
      </c>
      <c r="F8" s="28">
        <f>'Economy A'!F8-'Economy B'!F8</f>
        <v>0</v>
      </c>
      <c r="G8" s="28">
        <f>'Economy A'!G8-'Economy B'!G8</f>
        <v>0</v>
      </c>
      <c r="H8" s="28">
        <f>'Economy A'!H8-'Economy B'!H8</f>
        <v>0</v>
      </c>
      <c r="I8" s="28">
        <f>'Economy A'!I8-'Economy B'!I8</f>
        <v>0</v>
      </c>
      <c r="J8" s="28">
        <f>'Economy A'!J8-'Economy B'!J8</f>
        <v>0</v>
      </c>
      <c r="K8" s="28">
        <f>'Economy A'!K8-'Economy B'!K8</f>
        <v>0</v>
      </c>
      <c r="L8" s="28">
        <f>'Economy A'!L8-'Economy B'!L8</f>
        <v>0</v>
      </c>
      <c r="N8" s="1" t="str">
        <f t="shared" si="0"/>
        <v>$M(2015)</v>
      </c>
    </row>
    <row r="9" spans="1:14" s="1" customFormat="1" x14ac:dyDescent="0.2">
      <c r="A9" s="1" t="str">
        <v>IA</v>
      </c>
      <c r="B9" s="28">
        <f>'Economy A'!B9-'Economy B'!B9</f>
        <v>0</v>
      </c>
      <c r="C9" s="28">
        <f>'Economy A'!C9-'Economy B'!C9</f>
        <v>0</v>
      </c>
      <c r="D9" s="28">
        <f>'Economy A'!D9-'Economy B'!D9</f>
        <v>0</v>
      </c>
      <c r="E9" s="28">
        <f>'Economy A'!E9-'Economy B'!E9</f>
        <v>0</v>
      </c>
      <c r="F9" s="28">
        <f>'Economy A'!F9-'Economy B'!F9</f>
        <v>0</v>
      </c>
      <c r="G9" s="28">
        <f>'Economy A'!G9-'Economy B'!G9</f>
        <v>0</v>
      </c>
      <c r="H9" s="28">
        <f>'Economy A'!H9-'Economy B'!H9</f>
        <v>0</v>
      </c>
      <c r="I9" s="28">
        <f>'Economy A'!I9-'Economy B'!I9</f>
        <v>0</v>
      </c>
      <c r="J9" s="28">
        <f>'Economy A'!J9-'Economy B'!J9</f>
        <v>0</v>
      </c>
      <c r="K9" s="28">
        <f>'Economy A'!K9-'Economy B'!K9</f>
        <v>0</v>
      </c>
      <c r="L9" s="28">
        <f>'Economy A'!L9-'Economy B'!L9</f>
        <v>0</v>
      </c>
      <c r="N9" s="1" t="str">
        <f t="shared" si="0"/>
        <v>$M(2015)</v>
      </c>
    </row>
    <row r="10" spans="1:14" s="1" customFormat="1" x14ac:dyDescent="0.2">
      <c r="A10" s="1" t="str">
        <v>AF</v>
      </c>
      <c r="B10" s="28">
        <f>'Economy A'!B10-'Economy B'!B10</f>
        <v>0</v>
      </c>
      <c r="C10" s="28">
        <f>'Economy A'!C10-'Economy B'!C10</f>
        <v>0</v>
      </c>
      <c r="D10" s="28">
        <f>'Economy A'!D10-'Economy B'!D10</f>
        <v>0</v>
      </c>
      <c r="E10" s="28">
        <f>'Economy A'!E10-'Economy B'!E10</f>
        <v>0</v>
      </c>
      <c r="F10" s="28">
        <f>'Economy A'!F10-'Economy B'!F10</f>
        <v>0</v>
      </c>
      <c r="G10" s="28">
        <f>'Economy A'!G10-'Economy B'!G10</f>
        <v>0</v>
      </c>
      <c r="H10" s="28">
        <f>'Economy A'!H10-'Economy B'!H10</f>
        <v>0</v>
      </c>
      <c r="I10" s="28">
        <f>'Economy A'!I10-'Economy B'!I10</f>
        <v>0</v>
      </c>
      <c r="J10" s="28">
        <f>'Economy A'!J10-'Economy B'!J10</f>
        <v>0</v>
      </c>
      <c r="K10" s="28">
        <f>'Economy A'!K10-'Economy B'!K10</f>
        <v>0</v>
      </c>
      <c r="L10" s="28">
        <f>'Economy A'!L10-'Economy B'!L10</f>
        <v>0</v>
      </c>
      <c r="N10" s="1" t="str">
        <f t="shared" si="0"/>
        <v>$M(2015)</v>
      </c>
    </row>
    <row r="11" spans="1:14" s="1" customFormat="1" x14ac:dyDescent="0.2">
      <c r="A11" s="1" t="str">
        <v>LA</v>
      </c>
      <c r="B11" s="28">
        <f>'Economy A'!B11-'Economy B'!B11</f>
        <v>0</v>
      </c>
      <c r="C11" s="28">
        <f>'Economy A'!C11-'Economy B'!C11</f>
        <v>0</v>
      </c>
      <c r="D11" s="28">
        <f>'Economy A'!D11-'Economy B'!D11</f>
        <v>0</v>
      </c>
      <c r="E11" s="28">
        <f>'Economy A'!E11-'Economy B'!E11</f>
        <v>0</v>
      </c>
      <c r="F11" s="28">
        <f>'Economy A'!F11-'Economy B'!F11</f>
        <v>0</v>
      </c>
      <c r="G11" s="28">
        <f>'Economy A'!G11-'Economy B'!G11</f>
        <v>0</v>
      </c>
      <c r="H11" s="28">
        <f>'Economy A'!H11-'Economy B'!H11</f>
        <v>0</v>
      </c>
      <c r="I11" s="28">
        <f>'Economy A'!I11-'Economy B'!I11</f>
        <v>0</v>
      </c>
      <c r="J11" s="28">
        <f>'Economy A'!J11-'Economy B'!J11</f>
        <v>0</v>
      </c>
      <c r="K11" s="28">
        <f>'Economy A'!K11-'Economy B'!K11</f>
        <v>0</v>
      </c>
      <c r="L11" s="28">
        <f>'Economy A'!L11-'Economy B'!L11</f>
        <v>0</v>
      </c>
      <c r="N11" s="1" t="str">
        <f t="shared" si="0"/>
        <v>$M(2015)</v>
      </c>
    </row>
    <row r="12" spans="1:14" s="1" customFormat="1" x14ac:dyDescent="0.2">
      <c r="A12" s="44" t="s">
        <v>204</v>
      </c>
      <c r="B12" s="40">
        <f>'Economy A'!B12-'Economy B'!B12</f>
        <v>0</v>
      </c>
      <c r="C12" s="40">
        <f>'Economy A'!C12-'Economy B'!C12</f>
        <v>0</v>
      </c>
      <c r="D12" s="40">
        <f>'Economy A'!D12-'Economy B'!D12</f>
        <v>0</v>
      </c>
      <c r="E12" s="40">
        <f>'Economy A'!E12-'Economy B'!E12</f>
        <v>0</v>
      </c>
      <c r="F12" s="40">
        <f>'Economy A'!F12-'Economy B'!F12</f>
        <v>0</v>
      </c>
      <c r="G12" s="40">
        <f>'Economy A'!G12-'Economy B'!G12</f>
        <v>0</v>
      </c>
      <c r="H12" s="40">
        <f>'Economy A'!H12-'Economy B'!H12</f>
        <v>0</v>
      </c>
      <c r="I12" s="40">
        <f>'Economy A'!I12-'Economy B'!I12</f>
        <v>0</v>
      </c>
      <c r="J12" s="40">
        <f>'Economy A'!J12-'Economy B'!J12</f>
        <v>0</v>
      </c>
      <c r="K12" s="40">
        <f>'Economy A'!K12-'Economy B'!K12</f>
        <v>0</v>
      </c>
      <c r="L12" s="40">
        <f>'Economy A'!L12-'Economy B'!L12</f>
        <v>0</v>
      </c>
      <c r="N12" s="1" t="str">
        <f t="shared" si="0"/>
        <v>$M(2015)</v>
      </c>
    </row>
    <row r="13" spans="1:14" s="1" customFormat="1" ht="13.5" thickBot="1" x14ac:dyDescent="0.25">
      <c r="A13" s="44" t="s">
        <v>205</v>
      </c>
      <c r="B13" s="44"/>
      <c r="C13" s="35">
        <f>'Economy A'!C13-'Economy B'!C13</f>
        <v>0</v>
      </c>
      <c r="D13" s="35">
        <f>'Economy A'!D13-'Economy B'!D13</f>
        <v>0</v>
      </c>
      <c r="E13" s="35">
        <f>'Economy A'!E13-'Economy B'!E13</f>
        <v>0</v>
      </c>
      <c r="F13" s="35">
        <f>'Economy A'!F13-'Economy B'!F13</f>
        <v>0</v>
      </c>
      <c r="G13" s="35">
        <f>'Economy A'!G13-'Economy B'!G13</f>
        <v>0</v>
      </c>
      <c r="H13" s="35">
        <f>'Economy A'!H13-'Economy B'!H13</f>
        <v>0</v>
      </c>
      <c r="I13" s="35">
        <f>'Economy A'!I13-'Economy B'!I13</f>
        <v>0</v>
      </c>
      <c r="J13" s="35">
        <f>'Economy A'!J13-'Economy B'!J13</f>
        <v>0</v>
      </c>
      <c r="K13" s="35">
        <f>'Economy A'!K13-'Economy B'!K13</f>
        <v>0</v>
      </c>
      <c r="L13" s="35">
        <f>'Economy A'!L13-'Economy B'!L13</f>
        <v>0</v>
      </c>
      <c r="N13" s="1" t="s">
        <v>38</v>
      </c>
    </row>
    <row r="14" spans="1:14" s="1" customFormat="1" ht="13.5" thickTop="1" x14ac:dyDescent="0.2">
      <c r="A14" s="2" t="s">
        <v>137</v>
      </c>
      <c r="B14" s="2"/>
      <c r="C14"/>
      <c r="D14"/>
      <c r="E14"/>
      <c r="F14"/>
      <c r="G14"/>
      <c r="H14"/>
      <c r="I14"/>
      <c r="J14"/>
      <c r="K14"/>
      <c r="L14"/>
      <c r="M14"/>
      <c r="N14"/>
    </row>
    <row r="15" spans="1:14" s="1" customFormat="1" x14ac:dyDescent="0.2">
      <c r="A15" s="1" t="str">
        <f t="array" ref="A15:A22">R_CODE</f>
        <v>EU</v>
      </c>
      <c r="B15" s="27">
        <f>'Economy A'!B15-'Economy B'!B15</f>
        <v>0</v>
      </c>
      <c r="C15" s="27">
        <f>'Economy A'!C15-'Economy B'!C15</f>
        <v>0</v>
      </c>
      <c r="D15" s="27">
        <f>'Economy A'!D15-'Economy B'!D15</f>
        <v>0</v>
      </c>
      <c r="E15" s="27">
        <f>'Economy A'!E15-'Economy B'!E15</f>
        <v>0</v>
      </c>
      <c r="F15" s="27">
        <f>'Economy A'!F15-'Economy B'!F15</f>
        <v>0</v>
      </c>
      <c r="G15" s="27">
        <f>'Economy A'!G15-'Economy B'!G15</f>
        <v>0</v>
      </c>
      <c r="H15" s="27">
        <f>'Economy A'!H15-'Economy B'!H15</f>
        <v>0</v>
      </c>
      <c r="I15" s="27">
        <f>'Economy A'!I15-'Economy B'!I15</f>
        <v>0</v>
      </c>
      <c r="J15" s="27">
        <f>'Economy A'!J15-'Economy B'!J15</f>
        <v>0</v>
      </c>
      <c r="K15" s="27">
        <f>'Economy A'!K15-'Economy B'!K15</f>
        <v>0</v>
      </c>
      <c r="L15" s="27">
        <f>'Economy A'!L15-'Economy B'!L15</f>
        <v>0</v>
      </c>
      <c r="N15" s="1" t="str">
        <f t="shared" ref="N15:N23" si="1">POP_UNIT_NAME</f>
        <v>million</v>
      </c>
    </row>
    <row r="16" spans="1:14" s="1" customFormat="1" x14ac:dyDescent="0.2">
      <c r="A16" s="1" t="str">
        <v>US</v>
      </c>
      <c r="B16" s="28">
        <f>'Economy A'!B16-'Economy B'!B16</f>
        <v>0</v>
      </c>
      <c r="C16" s="28">
        <f>'Economy A'!C16-'Economy B'!C16</f>
        <v>0</v>
      </c>
      <c r="D16" s="28">
        <f>'Economy A'!D16-'Economy B'!D16</f>
        <v>0</v>
      </c>
      <c r="E16" s="28">
        <f>'Economy A'!E16-'Economy B'!E16</f>
        <v>0</v>
      </c>
      <c r="F16" s="28">
        <f>'Economy A'!F16-'Economy B'!F16</f>
        <v>0</v>
      </c>
      <c r="G16" s="28">
        <f>'Economy A'!G16-'Economy B'!G16</f>
        <v>0</v>
      </c>
      <c r="H16" s="28">
        <f>'Economy A'!H16-'Economy B'!H16</f>
        <v>0</v>
      </c>
      <c r="I16" s="28">
        <f>'Economy A'!I16-'Economy B'!I16</f>
        <v>0</v>
      </c>
      <c r="J16" s="28">
        <f>'Economy A'!J16-'Economy B'!J16</f>
        <v>0</v>
      </c>
      <c r="K16" s="28">
        <f>'Economy A'!K16-'Economy B'!K16</f>
        <v>0</v>
      </c>
      <c r="L16" s="28">
        <f>'Economy A'!L16-'Economy B'!L16</f>
        <v>0</v>
      </c>
      <c r="N16" s="1" t="str">
        <f t="shared" si="1"/>
        <v>million</v>
      </c>
    </row>
    <row r="17" spans="1:14" s="1" customFormat="1" x14ac:dyDescent="0.2">
      <c r="A17" s="1" t="str">
        <v>OT</v>
      </c>
      <c r="B17" s="28">
        <f>'Economy A'!B17-'Economy B'!B17</f>
        <v>0</v>
      </c>
      <c r="C17" s="28">
        <f>'Economy A'!C17-'Economy B'!C17</f>
        <v>0</v>
      </c>
      <c r="D17" s="28">
        <f>'Economy A'!D17-'Economy B'!D17</f>
        <v>0</v>
      </c>
      <c r="E17" s="28">
        <f>'Economy A'!E17-'Economy B'!E17</f>
        <v>0</v>
      </c>
      <c r="F17" s="28">
        <f>'Economy A'!F17-'Economy B'!F17</f>
        <v>0</v>
      </c>
      <c r="G17" s="28">
        <f>'Economy A'!G17-'Economy B'!G17</f>
        <v>0</v>
      </c>
      <c r="H17" s="28">
        <f>'Economy A'!H17-'Economy B'!H17</f>
        <v>0</v>
      </c>
      <c r="I17" s="28">
        <f>'Economy A'!I17-'Economy B'!I17</f>
        <v>0</v>
      </c>
      <c r="J17" s="28">
        <f>'Economy A'!J17-'Economy B'!J17</f>
        <v>0</v>
      </c>
      <c r="K17" s="28">
        <f>'Economy A'!K17-'Economy B'!K17</f>
        <v>0</v>
      </c>
      <c r="L17" s="28">
        <f>'Economy A'!L17-'Economy B'!L17</f>
        <v>0</v>
      </c>
      <c r="N17" s="1" t="str">
        <f t="shared" si="1"/>
        <v>million</v>
      </c>
    </row>
    <row r="18" spans="1:14" s="1" customFormat="1" x14ac:dyDescent="0.2">
      <c r="A18" s="1" t="str">
        <v>EE</v>
      </c>
      <c r="B18" s="28">
        <f>'Economy A'!B18-'Economy B'!B18</f>
        <v>0</v>
      </c>
      <c r="C18" s="28">
        <f>'Economy A'!C18-'Economy B'!C18</f>
        <v>0</v>
      </c>
      <c r="D18" s="28">
        <f>'Economy A'!D18-'Economy B'!D18</f>
        <v>0</v>
      </c>
      <c r="E18" s="28">
        <f>'Economy A'!E18-'Economy B'!E18</f>
        <v>0</v>
      </c>
      <c r="F18" s="28">
        <f>'Economy A'!F18-'Economy B'!F18</f>
        <v>0</v>
      </c>
      <c r="G18" s="28">
        <f>'Economy A'!G18-'Economy B'!G18</f>
        <v>0</v>
      </c>
      <c r="H18" s="28">
        <f>'Economy A'!H18-'Economy B'!H18</f>
        <v>0</v>
      </c>
      <c r="I18" s="28">
        <f>'Economy A'!I18-'Economy B'!I18</f>
        <v>0</v>
      </c>
      <c r="J18" s="28">
        <f>'Economy A'!J18-'Economy B'!J18</f>
        <v>0</v>
      </c>
      <c r="K18" s="28">
        <f>'Economy A'!K18-'Economy B'!K18</f>
        <v>0</v>
      </c>
      <c r="L18" s="28">
        <f>'Economy A'!L18-'Economy B'!L18</f>
        <v>0</v>
      </c>
      <c r="N18" s="1" t="str">
        <f t="shared" si="1"/>
        <v>million</v>
      </c>
    </row>
    <row r="19" spans="1:14" s="1" customFormat="1" x14ac:dyDescent="0.2">
      <c r="A19" s="1" t="str">
        <v>CA</v>
      </c>
      <c r="B19" s="28">
        <f>'Economy A'!B19-'Economy B'!B19</f>
        <v>0</v>
      </c>
      <c r="C19" s="28">
        <f>'Economy A'!C19-'Economy B'!C19</f>
        <v>0</v>
      </c>
      <c r="D19" s="28">
        <f>'Economy A'!D19-'Economy B'!D19</f>
        <v>0</v>
      </c>
      <c r="E19" s="28">
        <f>'Economy A'!E19-'Economy B'!E19</f>
        <v>0</v>
      </c>
      <c r="F19" s="28">
        <f>'Economy A'!F19-'Economy B'!F19</f>
        <v>0</v>
      </c>
      <c r="G19" s="28">
        <f>'Economy A'!G19-'Economy B'!G19</f>
        <v>0</v>
      </c>
      <c r="H19" s="28">
        <f>'Economy A'!H19-'Economy B'!H19</f>
        <v>0</v>
      </c>
      <c r="I19" s="28">
        <f>'Economy A'!I19-'Economy B'!I19</f>
        <v>0</v>
      </c>
      <c r="J19" s="28">
        <f>'Economy A'!J19-'Economy B'!J19</f>
        <v>0</v>
      </c>
      <c r="K19" s="28">
        <f>'Economy A'!K19-'Economy B'!K19</f>
        <v>0</v>
      </c>
      <c r="L19" s="28">
        <f>'Economy A'!L19-'Economy B'!L19</f>
        <v>0</v>
      </c>
      <c r="N19" s="1" t="str">
        <f t="shared" si="1"/>
        <v>million</v>
      </c>
    </row>
    <row r="20" spans="1:14" s="1" customFormat="1" x14ac:dyDescent="0.2">
      <c r="A20" s="1" t="str">
        <v>IA</v>
      </c>
      <c r="B20" s="28">
        <f>'Economy A'!B20-'Economy B'!B20</f>
        <v>0</v>
      </c>
      <c r="C20" s="28">
        <f>'Economy A'!C20-'Economy B'!C20</f>
        <v>0</v>
      </c>
      <c r="D20" s="28">
        <f>'Economy A'!D20-'Economy B'!D20</f>
        <v>0</v>
      </c>
      <c r="E20" s="28">
        <f>'Economy A'!E20-'Economy B'!E20</f>
        <v>0</v>
      </c>
      <c r="F20" s="28">
        <f>'Economy A'!F20-'Economy B'!F20</f>
        <v>0</v>
      </c>
      <c r="G20" s="28">
        <f>'Economy A'!G20-'Economy B'!G20</f>
        <v>0</v>
      </c>
      <c r="H20" s="28">
        <f>'Economy A'!H20-'Economy B'!H20</f>
        <v>0</v>
      </c>
      <c r="I20" s="28">
        <f>'Economy A'!I20-'Economy B'!I20</f>
        <v>0</v>
      </c>
      <c r="J20" s="28">
        <f>'Economy A'!J20-'Economy B'!J20</f>
        <v>0</v>
      </c>
      <c r="K20" s="28">
        <f>'Economy A'!K20-'Economy B'!K20</f>
        <v>0</v>
      </c>
      <c r="L20" s="28">
        <f>'Economy A'!L20-'Economy B'!L20</f>
        <v>0</v>
      </c>
      <c r="N20" s="1" t="str">
        <f t="shared" si="1"/>
        <v>million</v>
      </c>
    </row>
    <row r="21" spans="1:14" s="1" customFormat="1" x14ac:dyDescent="0.2">
      <c r="A21" s="1" t="str">
        <v>AF</v>
      </c>
      <c r="B21" s="28">
        <f>'Economy A'!B21-'Economy B'!B21</f>
        <v>0</v>
      </c>
      <c r="C21" s="28">
        <f>'Economy A'!C21-'Economy B'!C21</f>
        <v>0</v>
      </c>
      <c r="D21" s="28">
        <f>'Economy A'!D21-'Economy B'!D21</f>
        <v>0</v>
      </c>
      <c r="E21" s="28">
        <f>'Economy A'!E21-'Economy B'!E21</f>
        <v>0</v>
      </c>
      <c r="F21" s="28">
        <f>'Economy A'!F21-'Economy B'!F21</f>
        <v>0</v>
      </c>
      <c r="G21" s="28">
        <f>'Economy A'!G21-'Economy B'!G21</f>
        <v>0</v>
      </c>
      <c r="H21" s="28">
        <f>'Economy A'!H21-'Economy B'!H21</f>
        <v>0</v>
      </c>
      <c r="I21" s="28">
        <f>'Economy A'!I21-'Economy B'!I21</f>
        <v>0</v>
      </c>
      <c r="J21" s="28">
        <f>'Economy A'!J21-'Economy B'!J21</f>
        <v>0</v>
      </c>
      <c r="K21" s="28">
        <f>'Economy A'!K21-'Economy B'!K21</f>
        <v>0</v>
      </c>
      <c r="L21" s="28">
        <f>'Economy A'!L21-'Economy B'!L21</f>
        <v>0</v>
      </c>
      <c r="N21" s="1" t="str">
        <f t="shared" si="1"/>
        <v>million</v>
      </c>
    </row>
    <row r="22" spans="1:14" s="1" customFormat="1" x14ac:dyDescent="0.2">
      <c r="A22" s="1" t="str">
        <v>LA</v>
      </c>
      <c r="B22" s="28">
        <f>'Economy A'!B22-'Economy B'!B22</f>
        <v>0</v>
      </c>
      <c r="C22" s="28">
        <f>'Economy A'!C22-'Economy B'!C22</f>
        <v>0</v>
      </c>
      <c r="D22" s="28">
        <f>'Economy A'!D22-'Economy B'!D22</f>
        <v>0</v>
      </c>
      <c r="E22" s="28">
        <f>'Economy A'!E22-'Economy B'!E22</f>
        <v>0</v>
      </c>
      <c r="F22" s="28">
        <f>'Economy A'!F22-'Economy B'!F22</f>
        <v>0</v>
      </c>
      <c r="G22" s="28">
        <f>'Economy A'!G22-'Economy B'!G22</f>
        <v>0</v>
      </c>
      <c r="H22" s="28">
        <f>'Economy A'!H22-'Economy B'!H22</f>
        <v>0</v>
      </c>
      <c r="I22" s="28">
        <f>'Economy A'!I22-'Economy B'!I22</f>
        <v>0</v>
      </c>
      <c r="J22" s="28">
        <f>'Economy A'!J22-'Economy B'!J22</f>
        <v>0</v>
      </c>
      <c r="K22" s="28">
        <f>'Economy A'!K22-'Economy B'!K22</f>
        <v>0</v>
      </c>
      <c r="L22" s="28">
        <f>'Economy A'!L22-'Economy B'!L22</f>
        <v>0</v>
      </c>
      <c r="N22" s="1" t="str">
        <f t="shared" si="1"/>
        <v>million</v>
      </c>
    </row>
    <row r="23" spans="1:14" s="1" customFormat="1" x14ac:dyDescent="0.2">
      <c r="A23" s="44" t="s">
        <v>204</v>
      </c>
      <c r="B23" s="40">
        <f>'Economy A'!B23-'Economy B'!B23</f>
        <v>0</v>
      </c>
      <c r="C23" s="40">
        <f>'Economy A'!C23-'Economy B'!C23</f>
        <v>0</v>
      </c>
      <c r="D23" s="40">
        <f>'Economy A'!D23-'Economy B'!D23</f>
        <v>0</v>
      </c>
      <c r="E23" s="40">
        <f>'Economy A'!E23-'Economy B'!E23</f>
        <v>0</v>
      </c>
      <c r="F23" s="40">
        <f>'Economy A'!F23-'Economy B'!F23</f>
        <v>0</v>
      </c>
      <c r="G23" s="40">
        <f>'Economy A'!G23-'Economy B'!G23</f>
        <v>0</v>
      </c>
      <c r="H23" s="40">
        <f>'Economy A'!H23-'Economy B'!H23</f>
        <v>0</v>
      </c>
      <c r="I23" s="40">
        <f>'Economy A'!I23-'Economy B'!I23</f>
        <v>0</v>
      </c>
      <c r="J23" s="40">
        <f>'Economy A'!J23-'Economy B'!J23</f>
        <v>0</v>
      </c>
      <c r="K23" s="40">
        <f>'Economy A'!K23-'Economy B'!K23</f>
        <v>0</v>
      </c>
      <c r="L23" s="40">
        <f>'Economy A'!L23-'Economy B'!L23</f>
        <v>0</v>
      </c>
      <c r="N23" s="1" t="str">
        <f t="shared" si="1"/>
        <v>million</v>
      </c>
    </row>
    <row r="24" spans="1:14" s="1" customFormat="1" ht="13.5" thickBot="1" x14ac:dyDescent="0.25">
      <c r="A24" s="44" t="s">
        <v>205</v>
      </c>
      <c r="B24" s="44"/>
      <c r="C24" s="35">
        <f>'Economy A'!C24-'Economy B'!C24</f>
        <v>0</v>
      </c>
      <c r="D24" s="35">
        <f>'Economy A'!D24-'Economy B'!D24</f>
        <v>0</v>
      </c>
      <c r="E24" s="35">
        <f>'Economy A'!E24-'Economy B'!E24</f>
        <v>0</v>
      </c>
      <c r="F24" s="35">
        <f>'Economy A'!F24-'Economy B'!F24</f>
        <v>0</v>
      </c>
      <c r="G24" s="35">
        <f>'Economy A'!G24-'Economy B'!G24</f>
        <v>0</v>
      </c>
      <c r="H24" s="35">
        <f>'Economy A'!H24-'Economy B'!H24</f>
        <v>0</v>
      </c>
      <c r="I24" s="35">
        <f>'Economy A'!I24-'Economy B'!I24</f>
        <v>0</v>
      </c>
      <c r="J24" s="35">
        <f>'Economy A'!J24-'Economy B'!J24</f>
        <v>0</v>
      </c>
      <c r="K24" s="35">
        <f>'Economy A'!K24-'Economy B'!K24</f>
        <v>0</v>
      </c>
      <c r="L24" s="35">
        <f>'Economy A'!L24-'Economy B'!L24</f>
        <v>0</v>
      </c>
      <c r="N24" s="1" t="s">
        <v>38</v>
      </c>
    </row>
    <row r="25" spans="1:14" s="1" customFormat="1" ht="13.5" thickTop="1" x14ac:dyDescent="0.2">
      <c r="A25" s="2" t="s">
        <v>139</v>
      </c>
      <c r="B25" s="2"/>
      <c r="C25"/>
      <c r="D25"/>
      <c r="E25"/>
      <c r="F25"/>
      <c r="G25"/>
      <c r="H25"/>
      <c r="I25"/>
      <c r="J25"/>
      <c r="K25"/>
      <c r="L25"/>
      <c r="M25"/>
      <c r="N25"/>
    </row>
    <row r="26" spans="1:14" s="1" customFormat="1" x14ac:dyDescent="0.2">
      <c r="A26" s="1" t="str">
        <f t="array" ref="A26:A33">R_CODE</f>
        <v>EU</v>
      </c>
      <c r="B26" s="27">
        <f>'Economy A'!B26-'Economy B'!B26</f>
        <v>0</v>
      </c>
      <c r="C26" s="27">
        <f>'Economy A'!C26-'Economy B'!C26</f>
        <v>0</v>
      </c>
      <c r="D26" s="27">
        <f>'Economy A'!D26-'Economy B'!D26</f>
        <v>0</v>
      </c>
      <c r="E26" s="27">
        <f>'Economy A'!E26-'Economy B'!E26</f>
        <v>0</v>
      </c>
      <c r="F26" s="27">
        <f>'Economy A'!F26-'Economy B'!F26</f>
        <v>0</v>
      </c>
      <c r="G26" s="27">
        <f>'Economy A'!G26-'Economy B'!G26</f>
        <v>0</v>
      </c>
      <c r="H26" s="27">
        <f>'Economy A'!H26-'Economy B'!H26</f>
        <v>0</v>
      </c>
      <c r="I26" s="27">
        <f>'Economy A'!I26-'Economy B'!I26</f>
        <v>0</v>
      </c>
      <c r="J26" s="27">
        <f>'Economy A'!J26-'Economy B'!J26</f>
        <v>0</v>
      </c>
      <c r="K26" s="27">
        <f>'Economy A'!K26-'Economy B'!K26</f>
        <v>0</v>
      </c>
      <c r="L26" s="27">
        <f>'Economy A'!L26-'Economy B'!L26</f>
        <v>0</v>
      </c>
      <c r="N26" s="1" t="str">
        <f t="shared" ref="N26:N34" si="2">CURRENCY_NAME&amp;"/"&amp;POP_UNIT_NAME</f>
        <v>$M(2015)/million</v>
      </c>
    </row>
    <row r="27" spans="1:14" s="1" customFormat="1" x14ac:dyDescent="0.2">
      <c r="A27" s="1" t="str">
        <v>US</v>
      </c>
      <c r="B27" s="28">
        <f>'Economy A'!B27-'Economy B'!B27</f>
        <v>0</v>
      </c>
      <c r="C27" s="28">
        <f>'Economy A'!C27-'Economy B'!C27</f>
        <v>0</v>
      </c>
      <c r="D27" s="28">
        <f>'Economy A'!D27-'Economy B'!D27</f>
        <v>0</v>
      </c>
      <c r="E27" s="28">
        <f>'Economy A'!E27-'Economy B'!E27</f>
        <v>0</v>
      </c>
      <c r="F27" s="28">
        <f>'Economy A'!F27-'Economy B'!F27</f>
        <v>0</v>
      </c>
      <c r="G27" s="28">
        <f>'Economy A'!G27-'Economy B'!G27</f>
        <v>0</v>
      </c>
      <c r="H27" s="28">
        <f>'Economy A'!H27-'Economy B'!H27</f>
        <v>0</v>
      </c>
      <c r="I27" s="28">
        <f>'Economy A'!I27-'Economy B'!I27</f>
        <v>0</v>
      </c>
      <c r="J27" s="28">
        <f>'Economy A'!J27-'Economy B'!J27</f>
        <v>0</v>
      </c>
      <c r="K27" s="28">
        <f>'Economy A'!K27-'Economy B'!K27</f>
        <v>0</v>
      </c>
      <c r="L27" s="28">
        <f>'Economy A'!L27-'Economy B'!L27</f>
        <v>0</v>
      </c>
      <c r="N27" s="1" t="str">
        <f t="shared" si="2"/>
        <v>$M(2015)/million</v>
      </c>
    </row>
    <row r="28" spans="1:14" s="1" customFormat="1" x14ac:dyDescent="0.2">
      <c r="A28" s="1" t="str">
        <v>OT</v>
      </c>
      <c r="B28" s="28">
        <f>'Economy A'!B28-'Economy B'!B28</f>
        <v>0</v>
      </c>
      <c r="C28" s="28">
        <f>'Economy A'!C28-'Economy B'!C28</f>
        <v>0</v>
      </c>
      <c r="D28" s="28">
        <f>'Economy A'!D28-'Economy B'!D28</f>
        <v>0</v>
      </c>
      <c r="E28" s="28">
        <f>'Economy A'!E28-'Economy B'!E28</f>
        <v>0</v>
      </c>
      <c r="F28" s="28">
        <f>'Economy A'!F28-'Economy B'!F28</f>
        <v>0</v>
      </c>
      <c r="G28" s="28">
        <f>'Economy A'!G28-'Economy B'!G28</f>
        <v>0</v>
      </c>
      <c r="H28" s="28">
        <f>'Economy A'!H28-'Economy B'!H28</f>
        <v>0</v>
      </c>
      <c r="I28" s="28">
        <f>'Economy A'!I28-'Economy B'!I28</f>
        <v>0</v>
      </c>
      <c r="J28" s="28">
        <f>'Economy A'!J28-'Economy B'!J28</f>
        <v>0</v>
      </c>
      <c r="K28" s="28">
        <f>'Economy A'!K28-'Economy B'!K28</f>
        <v>0</v>
      </c>
      <c r="L28" s="28">
        <f>'Economy A'!L28-'Economy B'!L28</f>
        <v>0</v>
      </c>
      <c r="N28" s="1" t="str">
        <f t="shared" si="2"/>
        <v>$M(2015)/million</v>
      </c>
    </row>
    <row r="29" spans="1:14" s="1" customFormat="1" x14ac:dyDescent="0.2">
      <c r="A29" s="1" t="str">
        <v>EE</v>
      </c>
      <c r="B29" s="28">
        <f>'Economy A'!B29-'Economy B'!B29</f>
        <v>0</v>
      </c>
      <c r="C29" s="28">
        <f>'Economy A'!C29-'Economy B'!C29</f>
        <v>0</v>
      </c>
      <c r="D29" s="28">
        <f>'Economy A'!D29-'Economy B'!D29</f>
        <v>0</v>
      </c>
      <c r="E29" s="28">
        <f>'Economy A'!E29-'Economy B'!E29</f>
        <v>0</v>
      </c>
      <c r="F29" s="28">
        <f>'Economy A'!F29-'Economy B'!F29</f>
        <v>0</v>
      </c>
      <c r="G29" s="28">
        <f>'Economy A'!G29-'Economy B'!G29</f>
        <v>0</v>
      </c>
      <c r="H29" s="28">
        <f>'Economy A'!H29-'Economy B'!H29</f>
        <v>0</v>
      </c>
      <c r="I29" s="28">
        <f>'Economy A'!I29-'Economy B'!I29</f>
        <v>0</v>
      </c>
      <c r="J29" s="28">
        <f>'Economy A'!J29-'Economy B'!J29</f>
        <v>0</v>
      </c>
      <c r="K29" s="28">
        <f>'Economy A'!K29-'Economy B'!K29</f>
        <v>0</v>
      </c>
      <c r="L29" s="28">
        <f>'Economy A'!L29-'Economy B'!L29</f>
        <v>0</v>
      </c>
      <c r="N29" s="1" t="str">
        <f t="shared" si="2"/>
        <v>$M(2015)/million</v>
      </c>
    </row>
    <row r="30" spans="1:14" s="1" customFormat="1" x14ac:dyDescent="0.2">
      <c r="A30" s="1" t="str">
        <v>CA</v>
      </c>
      <c r="B30" s="28">
        <f>'Economy A'!B30-'Economy B'!B30</f>
        <v>0</v>
      </c>
      <c r="C30" s="28">
        <f>'Economy A'!C30-'Economy B'!C30</f>
        <v>0</v>
      </c>
      <c r="D30" s="28">
        <f>'Economy A'!D30-'Economy B'!D30</f>
        <v>0</v>
      </c>
      <c r="E30" s="28">
        <f>'Economy A'!E30-'Economy B'!E30</f>
        <v>0</v>
      </c>
      <c r="F30" s="28">
        <f>'Economy A'!F30-'Economy B'!F30</f>
        <v>0</v>
      </c>
      <c r="G30" s="28">
        <f>'Economy A'!G30-'Economy B'!G30</f>
        <v>0</v>
      </c>
      <c r="H30" s="28">
        <f>'Economy A'!H30-'Economy B'!H30</f>
        <v>0</v>
      </c>
      <c r="I30" s="28">
        <f>'Economy A'!I30-'Economy B'!I30</f>
        <v>0</v>
      </c>
      <c r="J30" s="28">
        <f>'Economy A'!J30-'Economy B'!J30</f>
        <v>0</v>
      </c>
      <c r="K30" s="28">
        <f>'Economy A'!K30-'Economy B'!K30</f>
        <v>0</v>
      </c>
      <c r="L30" s="28">
        <f>'Economy A'!L30-'Economy B'!L30</f>
        <v>0</v>
      </c>
      <c r="N30" s="1" t="str">
        <f t="shared" si="2"/>
        <v>$M(2015)/million</v>
      </c>
    </row>
    <row r="31" spans="1:14" s="1" customFormat="1" x14ac:dyDescent="0.2">
      <c r="A31" s="1" t="str">
        <v>IA</v>
      </c>
      <c r="B31" s="28">
        <f>'Economy A'!B31-'Economy B'!B31</f>
        <v>0</v>
      </c>
      <c r="C31" s="28">
        <f>'Economy A'!C31-'Economy B'!C31</f>
        <v>0</v>
      </c>
      <c r="D31" s="28">
        <f>'Economy A'!D31-'Economy B'!D31</f>
        <v>0</v>
      </c>
      <c r="E31" s="28">
        <f>'Economy A'!E31-'Economy B'!E31</f>
        <v>0</v>
      </c>
      <c r="F31" s="28">
        <f>'Economy A'!F31-'Economy B'!F31</f>
        <v>0</v>
      </c>
      <c r="G31" s="28">
        <f>'Economy A'!G31-'Economy B'!G31</f>
        <v>0</v>
      </c>
      <c r="H31" s="28">
        <f>'Economy A'!H31-'Economy B'!H31</f>
        <v>0</v>
      </c>
      <c r="I31" s="28">
        <f>'Economy A'!I31-'Economy B'!I31</f>
        <v>0</v>
      </c>
      <c r="J31" s="28">
        <f>'Economy A'!J31-'Economy B'!J31</f>
        <v>0</v>
      </c>
      <c r="K31" s="28">
        <f>'Economy A'!K31-'Economy B'!K31</f>
        <v>0</v>
      </c>
      <c r="L31" s="28">
        <f>'Economy A'!L31-'Economy B'!L31</f>
        <v>0</v>
      </c>
      <c r="N31" s="1" t="str">
        <f t="shared" si="2"/>
        <v>$M(2015)/million</v>
      </c>
    </row>
    <row r="32" spans="1:14" s="1" customFormat="1" x14ac:dyDescent="0.2">
      <c r="A32" s="1" t="str">
        <v>AF</v>
      </c>
      <c r="B32" s="28">
        <f>'Economy A'!B32-'Economy B'!B32</f>
        <v>0</v>
      </c>
      <c r="C32" s="28">
        <f>'Economy A'!C32-'Economy B'!C32</f>
        <v>0</v>
      </c>
      <c r="D32" s="28">
        <f>'Economy A'!D32-'Economy B'!D32</f>
        <v>0</v>
      </c>
      <c r="E32" s="28">
        <f>'Economy A'!E32-'Economy B'!E32</f>
        <v>0</v>
      </c>
      <c r="F32" s="28">
        <f>'Economy A'!F32-'Economy B'!F32</f>
        <v>0</v>
      </c>
      <c r="G32" s="28">
        <f>'Economy A'!G32-'Economy B'!G32</f>
        <v>0</v>
      </c>
      <c r="H32" s="28">
        <f>'Economy A'!H32-'Economy B'!H32</f>
        <v>0</v>
      </c>
      <c r="I32" s="28">
        <f>'Economy A'!I32-'Economy B'!I32</f>
        <v>0</v>
      </c>
      <c r="J32" s="28">
        <f>'Economy A'!J32-'Economy B'!J32</f>
        <v>0</v>
      </c>
      <c r="K32" s="28">
        <f>'Economy A'!K32-'Economy B'!K32</f>
        <v>0</v>
      </c>
      <c r="L32" s="28">
        <f>'Economy A'!L32-'Economy B'!L32</f>
        <v>0</v>
      </c>
      <c r="N32" s="1" t="str">
        <f t="shared" si="2"/>
        <v>$M(2015)/million</v>
      </c>
    </row>
    <row r="33" spans="1:14" s="1" customFormat="1" x14ac:dyDescent="0.2">
      <c r="A33" s="1" t="str">
        <v>LA</v>
      </c>
      <c r="B33" s="28">
        <f>'Economy A'!B33-'Economy B'!B33</f>
        <v>0</v>
      </c>
      <c r="C33" s="28">
        <f>'Economy A'!C33-'Economy B'!C33</f>
        <v>0</v>
      </c>
      <c r="D33" s="28">
        <f>'Economy A'!D33-'Economy B'!D33</f>
        <v>0</v>
      </c>
      <c r="E33" s="28">
        <f>'Economy A'!E33-'Economy B'!E33</f>
        <v>0</v>
      </c>
      <c r="F33" s="28">
        <f>'Economy A'!F33-'Economy B'!F33</f>
        <v>0</v>
      </c>
      <c r="G33" s="28">
        <f>'Economy A'!G33-'Economy B'!G33</f>
        <v>0</v>
      </c>
      <c r="H33" s="28">
        <f>'Economy A'!H33-'Economy B'!H33</f>
        <v>0</v>
      </c>
      <c r="I33" s="28">
        <f>'Economy A'!I33-'Economy B'!I33</f>
        <v>0</v>
      </c>
      <c r="J33" s="28">
        <f>'Economy A'!J33-'Economy B'!J33</f>
        <v>0</v>
      </c>
      <c r="K33" s="28">
        <f>'Economy A'!K33-'Economy B'!K33</f>
        <v>0</v>
      </c>
      <c r="L33" s="28">
        <f>'Economy A'!L33-'Economy B'!L33</f>
        <v>0</v>
      </c>
      <c r="N33" s="1" t="str">
        <f t="shared" si="2"/>
        <v>$M(2015)/million</v>
      </c>
    </row>
    <row r="34" spans="1:14" s="1" customFormat="1" x14ac:dyDescent="0.2">
      <c r="A34" s="44" t="s">
        <v>140</v>
      </c>
      <c r="B34" s="40">
        <f>'Economy A'!B34-'Economy B'!B34</f>
        <v>0</v>
      </c>
      <c r="C34" s="40">
        <f>'Economy A'!C34-'Economy B'!C34</f>
        <v>0</v>
      </c>
      <c r="D34" s="40">
        <f>'Economy A'!D34-'Economy B'!D34</f>
        <v>0</v>
      </c>
      <c r="E34" s="40">
        <f>'Economy A'!E34-'Economy B'!E34</f>
        <v>0</v>
      </c>
      <c r="F34" s="40">
        <f>'Economy A'!F34-'Economy B'!F34</f>
        <v>0</v>
      </c>
      <c r="G34" s="40">
        <f>'Economy A'!G34-'Economy B'!G34</f>
        <v>0</v>
      </c>
      <c r="H34" s="40">
        <f>'Economy A'!H34-'Economy B'!H34</f>
        <v>0</v>
      </c>
      <c r="I34" s="40">
        <f>'Economy A'!I34-'Economy B'!I34</f>
        <v>0</v>
      </c>
      <c r="J34" s="40">
        <f>'Economy A'!J34-'Economy B'!J34</f>
        <v>0</v>
      </c>
      <c r="K34" s="40">
        <f>'Economy A'!K34-'Economy B'!K34</f>
        <v>0</v>
      </c>
      <c r="L34" s="40">
        <f>'Economy A'!L34-'Economy B'!L34</f>
        <v>0</v>
      </c>
      <c r="N34" s="1" t="str">
        <f t="shared" si="2"/>
        <v>$M(2015)/million</v>
      </c>
    </row>
    <row r="35" spans="1:14" s="1" customFormat="1" ht="13.5" thickBot="1" x14ac:dyDescent="0.25">
      <c r="A35" s="44" t="s">
        <v>141</v>
      </c>
      <c r="B35" s="44"/>
      <c r="C35" s="35">
        <f>'Economy A'!C35-'Economy B'!C35</f>
        <v>0</v>
      </c>
      <c r="D35" s="35">
        <f>'Economy A'!D35-'Economy B'!D35</f>
        <v>0</v>
      </c>
      <c r="E35" s="35">
        <f>'Economy A'!E35-'Economy B'!E35</f>
        <v>0</v>
      </c>
      <c r="F35" s="35">
        <f>'Economy A'!F35-'Economy B'!F35</f>
        <v>0</v>
      </c>
      <c r="G35" s="35">
        <f>'Economy A'!G35-'Economy B'!G35</f>
        <v>0</v>
      </c>
      <c r="H35" s="35">
        <f>'Economy A'!H35-'Economy B'!H35</f>
        <v>0</v>
      </c>
      <c r="I35" s="35">
        <f>'Economy A'!I35-'Economy B'!I35</f>
        <v>0</v>
      </c>
      <c r="J35" s="35">
        <f>'Economy A'!J35-'Economy B'!J35</f>
        <v>0</v>
      </c>
      <c r="K35" s="35">
        <f>'Economy A'!K35-'Economy B'!K35</f>
        <v>0</v>
      </c>
      <c r="L35" s="35">
        <f>'Economy A'!L35-'Economy B'!L35</f>
        <v>0</v>
      </c>
      <c r="N35" s="1" t="s">
        <v>38</v>
      </c>
    </row>
    <row r="36" spans="1:14" s="1" customFormat="1" ht="13.5" thickTop="1" x14ac:dyDescent="0.2">
      <c r="A36" s="2" t="s">
        <v>217</v>
      </c>
      <c r="B36" s="2"/>
      <c r="C36"/>
      <c r="D36"/>
      <c r="E36"/>
      <c r="F36"/>
      <c r="G36"/>
      <c r="H36"/>
      <c r="I36"/>
      <c r="J36"/>
      <c r="K36"/>
      <c r="L36"/>
      <c r="M36"/>
      <c r="N36"/>
    </row>
    <row r="37" spans="1:14" s="1" customFormat="1" x14ac:dyDescent="0.2">
      <c r="A37" s="1" t="str">
        <f t="array" ref="A37:A44">R_CODE</f>
        <v>EU</v>
      </c>
      <c r="B37" s="27">
        <f ca="1">'Economy A'!B37-'Economy B'!B37</f>
        <v>0</v>
      </c>
      <c r="C37" s="27">
        <f ca="1">'Economy A'!C37-'Economy B'!C37</f>
        <v>0</v>
      </c>
      <c r="D37" s="27">
        <f ca="1">'Economy A'!D37-'Economy B'!D37</f>
        <v>0</v>
      </c>
      <c r="E37" s="27">
        <f ca="1">'Economy A'!E37-'Economy B'!E37</f>
        <v>0</v>
      </c>
      <c r="F37" s="27">
        <f ca="1">'Economy A'!F37-'Economy B'!F37</f>
        <v>0</v>
      </c>
      <c r="G37" s="27">
        <f ca="1">'Economy A'!G37-'Economy B'!G37</f>
        <v>0</v>
      </c>
      <c r="H37" s="27">
        <f ca="1">'Economy A'!H37-'Economy B'!H37</f>
        <v>0</v>
      </c>
      <c r="I37" s="27">
        <f ca="1">'Economy A'!I37-'Economy B'!I37</f>
        <v>0</v>
      </c>
      <c r="J37" s="27">
        <f ca="1">'Economy A'!J37-'Economy B'!J37</f>
        <v>0</v>
      </c>
      <c r="K37" s="27">
        <f ca="1">'Economy A'!K37-'Economy B'!K37</f>
        <v>0</v>
      </c>
      <c r="L37" s="27">
        <f ca="1">'Economy A'!L37-'Economy B'!L37</f>
        <v>0</v>
      </c>
      <c r="N37" s="1" t="str">
        <f t="shared" ref="N37:N45" si="3">CURRENCY_NAME&amp;"/"&amp;POP_UNIT_NAME</f>
        <v>$M(2015)/million</v>
      </c>
    </row>
    <row r="38" spans="1:14" s="1" customFormat="1" x14ac:dyDescent="0.2">
      <c r="A38" s="1" t="str">
        <v>US</v>
      </c>
      <c r="B38" s="28">
        <f ca="1">'Economy A'!B38-'Economy B'!B38</f>
        <v>0</v>
      </c>
      <c r="C38" s="28">
        <f ca="1">'Economy A'!C38-'Economy B'!C38</f>
        <v>0</v>
      </c>
      <c r="D38" s="28">
        <f ca="1">'Economy A'!D38-'Economy B'!D38</f>
        <v>0</v>
      </c>
      <c r="E38" s="28">
        <f ca="1">'Economy A'!E38-'Economy B'!E38</f>
        <v>0</v>
      </c>
      <c r="F38" s="28">
        <f ca="1">'Economy A'!F38-'Economy B'!F38</f>
        <v>0</v>
      </c>
      <c r="G38" s="28">
        <f ca="1">'Economy A'!G38-'Economy B'!G38</f>
        <v>0</v>
      </c>
      <c r="H38" s="28">
        <f ca="1">'Economy A'!H38-'Economy B'!H38</f>
        <v>0</v>
      </c>
      <c r="I38" s="28">
        <f ca="1">'Economy A'!I38-'Economy B'!I38</f>
        <v>0</v>
      </c>
      <c r="J38" s="28">
        <f ca="1">'Economy A'!J38-'Economy B'!J38</f>
        <v>0</v>
      </c>
      <c r="K38" s="28">
        <f ca="1">'Economy A'!K38-'Economy B'!K38</f>
        <v>0</v>
      </c>
      <c r="L38" s="28">
        <f ca="1">'Economy A'!L38-'Economy B'!L38</f>
        <v>0</v>
      </c>
      <c r="N38" s="1" t="str">
        <f t="shared" si="3"/>
        <v>$M(2015)/million</v>
      </c>
    </row>
    <row r="39" spans="1:14" s="1" customFormat="1" x14ac:dyDescent="0.2">
      <c r="A39" s="1" t="str">
        <v>OT</v>
      </c>
      <c r="B39" s="28">
        <f ca="1">'Economy A'!B39-'Economy B'!B39</f>
        <v>0</v>
      </c>
      <c r="C39" s="28">
        <f ca="1">'Economy A'!C39-'Economy B'!C39</f>
        <v>0</v>
      </c>
      <c r="D39" s="28">
        <f ca="1">'Economy A'!D39-'Economy B'!D39</f>
        <v>0</v>
      </c>
      <c r="E39" s="28">
        <f ca="1">'Economy A'!E39-'Economy B'!E39</f>
        <v>0</v>
      </c>
      <c r="F39" s="28">
        <f ca="1">'Economy A'!F39-'Economy B'!F39</f>
        <v>0</v>
      </c>
      <c r="G39" s="28">
        <f ca="1">'Economy A'!G39-'Economy B'!G39</f>
        <v>0</v>
      </c>
      <c r="H39" s="28">
        <f ca="1">'Economy A'!H39-'Economy B'!H39</f>
        <v>0</v>
      </c>
      <c r="I39" s="28">
        <f ca="1">'Economy A'!I39-'Economy B'!I39</f>
        <v>0</v>
      </c>
      <c r="J39" s="28">
        <f ca="1">'Economy A'!J39-'Economy B'!J39</f>
        <v>0</v>
      </c>
      <c r="K39" s="28">
        <f ca="1">'Economy A'!K39-'Economy B'!K39</f>
        <v>0</v>
      </c>
      <c r="L39" s="28">
        <f ca="1">'Economy A'!L39-'Economy B'!L39</f>
        <v>0</v>
      </c>
      <c r="N39" s="1" t="str">
        <f t="shared" si="3"/>
        <v>$M(2015)/million</v>
      </c>
    </row>
    <row r="40" spans="1:14" s="1" customFormat="1" x14ac:dyDescent="0.2">
      <c r="A40" s="1" t="str">
        <v>EE</v>
      </c>
      <c r="B40" s="28">
        <f ca="1">'Economy A'!B40-'Economy B'!B40</f>
        <v>0</v>
      </c>
      <c r="C40" s="28">
        <f ca="1">'Economy A'!C40-'Economy B'!C40</f>
        <v>0</v>
      </c>
      <c r="D40" s="28">
        <f ca="1">'Economy A'!D40-'Economy B'!D40</f>
        <v>0</v>
      </c>
      <c r="E40" s="28">
        <f ca="1">'Economy A'!E40-'Economy B'!E40</f>
        <v>0</v>
      </c>
      <c r="F40" s="28">
        <f ca="1">'Economy A'!F40-'Economy B'!F40</f>
        <v>0</v>
      </c>
      <c r="G40" s="28">
        <f ca="1">'Economy A'!G40-'Economy B'!G40</f>
        <v>0</v>
      </c>
      <c r="H40" s="28">
        <f ca="1">'Economy A'!H40-'Economy B'!H40</f>
        <v>0</v>
      </c>
      <c r="I40" s="28">
        <f ca="1">'Economy A'!I40-'Economy B'!I40</f>
        <v>0</v>
      </c>
      <c r="J40" s="28">
        <f ca="1">'Economy A'!J40-'Economy B'!J40</f>
        <v>0</v>
      </c>
      <c r="K40" s="28">
        <f ca="1">'Economy A'!K40-'Economy B'!K40</f>
        <v>0</v>
      </c>
      <c r="L40" s="28">
        <f ca="1">'Economy A'!L40-'Economy B'!L40</f>
        <v>0</v>
      </c>
      <c r="N40" s="1" t="str">
        <f t="shared" si="3"/>
        <v>$M(2015)/million</v>
      </c>
    </row>
    <row r="41" spans="1:14" s="1" customFormat="1" x14ac:dyDescent="0.2">
      <c r="A41" s="1" t="str">
        <v>CA</v>
      </c>
      <c r="B41" s="28">
        <f ca="1">'Economy A'!B41-'Economy B'!B41</f>
        <v>0</v>
      </c>
      <c r="C41" s="28">
        <f ca="1">'Economy A'!C41-'Economy B'!C41</f>
        <v>0</v>
      </c>
      <c r="D41" s="28">
        <f ca="1">'Economy A'!D41-'Economy B'!D41</f>
        <v>0</v>
      </c>
      <c r="E41" s="28">
        <f ca="1">'Economy A'!E41-'Economy B'!E41</f>
        <v>0</v>
      </c>
      <c r="F41" s="28">
        <f ca="1">'Economy A'!F41-'Economy B'!F41</f>
        <v>0</v>
      </c>
      <c r="G41" s="28">
        <f ca="1">'Economy A'!G41-'Economy B'!G41</f>
        <v>0</v>
      </c>
      <c r="H41" s="28">
        <f ca="1">'Economy A'!H41-'Economy B'!H41</f>
        <v>0</v>
      </c>
      <c r="I41" s="28">
        <f ca="1">'Economy A'!I41-'Economy B'!I41</f>
        <v>0</v>
      </c>
      <c r="J41" s="28">
        <f ca="1">'Economy A'!J41-'Economy B'!J41</f>
        <v>0</v>
      </c>
      <c r="K41" s="28">
        <f ca="1">'Economy A'!K41-'Economy B'!K41</f>
        <v>0</v>
      </c>
      <c r="L41" s="28">
        <f ca="1">'Economy A'!L41-'Economy B'!L41</f>
        <v>0</v>
      </c>
      <c r="N41" s="1" t="str">
        <f t="shared" si="3"/>
        <v>$M(2015)/million</v>
      </c>
    </row>
    <row r="42" spans="1:14" s="1" customFormat="1" x14ac:dyDescent="0.2">
      <c r="A42" s="1" t="str">
        <v>IA</v>
      </c>
      <c r="B42" s="28">
        <f ca="1">'Economy A'!B42-'Economy B'!B42</f>
        <v>0</v>
      </c>
      <c r="C42" s="28">
        <f ca="1">'Economy A'!C42-'Economy B'!C42</f>
        <v>0</v>
      </c>
      <c r="D42" s="28">
        <f ca="1">'Economy A'!D42-'Economy B'!D42</f>
        <v>0</v>
      </c>
      <c r="E42" s="28">
        <f ca="1">'Economy A'!E42-'Economy B'!E42</f>
        <v>0</v>
      </c>
      <c r="F42" s="28">
        <f ca="1">'Economy A'!F42-'Economy B'!F42</f>
        <v>0</v>
      </c>
      <c r="G42" s="28">
        <f ca="1">'Economy A'!G42-'Economy B'!G42</f>
        <v>0</v>
      </c>
      <c r="H42" s="28">
        <f ca="1">'Economy A'!H42-'Economy B'!H42</f>
        <v>0</v>
      </c>
      <c r="I42" s="28">
        <f ca="1">'Economy A'!I42-'Economy B'!I42</f>
        <v>0</v>
      </c>
      <c r="J42" s="28">
        <f ca="1">'Economy A'!J42-'Economy B'!J42</f>
        <v>0</v>
      </c>
      <c r="K42" s="28">
        <f ca="1">'Economy A'!K42-'Economy B'!K42</f>
        <v>0</v>
      </c>
      <c r="L42" s="28">
        <f ca="1">'Economy A'!L42-'Economy B'!L42</f>
        <v>0</v>
      </c>
      <c r="N42" s="1" t="str">
        <f t="shared" si="3"/>
        <v>$M(2015)/million</v>
      </c>
    </row>
    <row r="43" spans="1:14" s="1" customFormat="1" x14ac:dyDescent="0.2">
      <c r="A43" s="1" t="str">
        <v>AF</v>
      </c>
      <c r="B43" s="28">
        <f ca="1">'Economy A'!B43-'Economy B'!B43</f>
        <v>0</v>
      </c>
      <c r="C43" s="28">
        <f ca="1">'Economy A'!C43-'Economy B'!C43</f>
        <v>0</v>
      </c>
      <c r="D43" s="28">
        <f ca="1">'Economy A'!D43-'Economy B'!D43</f>
        <v>0</v>
      </c>
      <c r="E43" s="28">
        <f ca="1">'Economy A'!E43-'Economy B'!E43</f>
        <v>0</v>
      </c>
      <c r="F43" s="28">
        <f ca="1">'Economy A'!F43-'Economy B'!F43</f>
        <v>0</v>
      </c>
      <c r="G43" s="28">
        <f ca="1">'Economy A'!G43-'Economy B'!G43</f>
        <v>0</v>
      </c>
      <c r="H43" s="28">
        <f ca="1">'Economy A'!H43-'Economy B'!H43</f>
        <v>0</v>
      </c>
      <c r="I43" s="28">
        <f ca="1">'Economy A'!I43-'Economy B'!I43</f>
        <v>0</v>
      </c>
      <c r="J43" s="28">
        <f ca="1">'Economy A'!J43-'Economy B'!J43</f>
        <v>0</v>
      </c>
      <c r="K43" s="28">
        <f ca="1">'Economy A'!K43-'Economy B'!K43</f>
        <v>0</v>
      </c>
      <c r="L43" s="28">
        <f ca="1">'Economy A'!L43-'Economy B'!L43</f>
        <v>0</v>
      </c>
      <c r="N43" s="1" t="str">
        <f t="shared" si="3"/>
        <v>$M(2015)/million</v>
      </c>
    </row>
    <row r="44" spans="1:14" s="1" customFormat="1" x14ac:dyDescent="0.2">
      <c r="A44" s="1" t="str">
        <v>LA</v>
      </c>
      <c r="B44" s="28">
        <f ca="1">'Economy A'!B44-'Economy B'!B44</f>
        <v>0</v>
      </c>
      <c r="C44" s="28">
        <f ca="1">'Economy A'!C44-'Economy B'!C44</f>
        <v>0</v>
      </c>
      <c r="D44" s="28">
        <f ca="1">'Economy A'!D44-'Economy B'!D44</f>
        <v>0</v>
      </c>
      <c r="E44" s="28">
        <f ca="1">'Economy A'!E44-'Economy B'!E44</f>
        <v>0</v>
      </c>
      <c r="F44" s="28">
        <f ca="1">'Economy A'!F44-'Economy B'!F44</f>
        <v>0</v>
      </c>
      <c r="G44" s="28">
        <f ca="1">'Economy A'!G44-'Economy B'!G44</f>
        <v>0</v>
      </c>
      <c r="H44" s="28">
        <f ca="1">'Economy A'!H44-'Economy B'!H44</f>
        <v>0</v>
      </c>
      <c r="I44" s="28">
        <f ca="1">'Economy A'!I44-'Economy B'!I44</f>
        <v>0</v>
      </c>
      <c r="J44" s="28">
        <f ca="1">'Economy A'!J44-'Economy B'!J44</f>
        <v>0</v>
      </c>
      <c r="K44" s="28">
        <f ca="1">'Economy A'!K44-'Economy B'!K44</f>
        <v>0</v>
      </c>
      <c r="L44" s="28">
        <f ca="1">'Economy A'!L44-'Economy B'!L44</f>
        <v>0</v>
      </c>
      <c r="N44" s="1" t="str">
        <f t="shared" si="3"/>
        <v>$M(2015)/million</v>
      </c>
    </row>
    <row r="45" spans="1:14" s="1" customFormat="1" x14ac:dyDescent="0.2">
      <c r="A45" s="44" t="s">
        <v>140</v>
      </c>
      <c r="B45" s="40">
        <f ca="1">'Economy A'!B45-'Economy B'!B45</f>
        <v>0</v>
      </c>
      <c r="C45" s="40">
        <f ca="1">'Economy A'!C45-'Economy B'!C45</f>
        <v>0</v>
      </c>
      <c r="D45" s="40">
        <f ca="1">'Economy A'!D45-'Economy B'!D45</f>
        <v>0</v>
      </c>
      <c r="E45" s="40">
        <f ca="1">'Economy A'!E45-'Economy B'!E45</f>
        <v>0</v>
      </c>
      <c r="F45" s="40">
        <f ca="1">'Economy A'!F45-'Economy B'!F45</f>
        <v>0</v>
      </c>
      <c r="G45" s="40">
        <f ca="1">'Economy A'!G45-'Economy B'!G45</f>
        <v>0</v>
      </c>
      <c r="H45" s="40">
        <f ca="1">'Economy A'!H45-'Economy B'!H45</f>
        <v>0</v>
      </c>
      <c r="I45" s="40">
        <f ca="1">'Economy A'!I45-'Economy B'!I45</f>
        <v>0</v>
      </c>
      <c r="J45" s="40">
        <f ca="1">'Economy A'!J45-'Economy B'!J45</f>
        <v>0</v>
      </c>
      <c r="K45" s="40">
        <f ca="1">'Economy A'!K45-'Economy B'!K45</f>
        <v>0</v>
      </c>
      <c r="L45" s="40">
        <f ca="1">'Economy A'!L45-'Economy B'!L45</f>
        <v>0</v>
      </c>
      <c r="N45" s="1" t="str">
        <f t="shared" si="3"/>
        <v>$M(2015)/million</v>
      </c>
    </row>
    <row r="46" spans="1:14" s="1" customFormat="1" ht="13.5" thickBot="1" x14ac:dyDescent="0.25">
      <c r="A46" s="44" t="s">
        <v>141</v>
      </c>
      <c r="B46" s="44"/>
      <c r="C46" s="35">
        <f ca="1">'Economy A'!C46-'Economy B'!C46</f>
        <v>0</v>
      </c>
      <c r="D46" s="35">
        <f ca="1">'Economy A'!D46-'Economy B'!D46</f>
        <v>0</v>
      </c>
      <c r="E46" s="35">
        <f ca="1">'Economy A'!E46-'Economy B'!E46</f>
        <v>0</v>
      </c>
      <c r="F46" s="35">
        <f ca="1">'Economy A'!F46-'Economy B'!F46</f>
        <v>0</v>
      </c>
      <c r="G46" s="35">
        <f ca="1">'Economy A'!G46-'Economy B'!G46</f>
        <v>0</v>
      </c>
      <c r="H46" s="35">
        <f ca="1">'Economy A'!H46-'Economy B'!H46</f>
        <v>0</v>
      </c>
      <c r="I46" s="35">
        <f ca="1">'Economy A'!I46-'Economy B'!I46</f>
        <v>0</v>
      </c>
      <c r="J46" s="35">
        <f ca="1">'Economy A'!J46-'Economy B'!J46</f>
        <v>0</v>
      </c>
      <c r="K46" s="35">
        <f ca="1">'Economy A'!K46-'Economy B'!K46</f>
        <v>0</v>
      </c>
      <c r="L46" s="35">
        <f ca="1">'Economy A'!L46-'Economy B'!L46</f>
        <v>0</v>
      </c>
      <c r="N46" s="1" t="s">
        <v>38</v>
      </c>
    </row>
    <row r="47" spans="1:14" s="1" customFormat="1" ht="13.5" thickTop="1" x14ac:dyDescent="0.2">
      <c r="A47" s="44" t="s">
        <v>142</v>
      </c>
      <c r="B47" s="44"/>
      <c r="C47"/>
      <c r="D47"/>
      <c r="E47"/>
      <c r="F47"/>
      <c r="G47"/>
      <c r="H47"/>
      <c r="I47"/>
      <c r="J47"/>
      <c r="K47"/>
      <c r="L47"/>
    </row>
    <row r="48" spans="1:14" s="1" customFormat="1" x14ac:dyDescent="0.2">
      <c r="A48" s="1" t="str">
        <f t="array" ref="A48:A55">R_CODE</f>
        <v>EU</v>
      </c>
      <c r="B48" s="29">
        <f ca="1">'Economy A'!B48-'Economy B'!B48</f>
        <v>0</v>
      </c>
      <c r="C48" s="29">
        <f ca="1">'Economy A'!C48-'Economy B'!C48</f>
        <v>0</v>
      </c>
      <c r="D48" s="29">
        <f ca="1">'Economy A'!D48-'Economy B'!D48</f>
        <v>0</v>
      </c>
      <c r="E48" s="29">
        <f ca="1">'Economy A'!E48-'Economy B'!E48</f>
        <v>0</v>
      </c>
      <c r="F48" s="29">
        <f ca="1">'Economy A'!F48-'Economy B'!F48</f>
        <v>0</v>
      </c>
      <c r="G48" s="29">
        <f ca="1">'Economy A'!G48-'Economy B'!G48</f>
        <v>0</v>
      </c>
      <c r="H48" s="29">
        <f ca="1">'Economy A'!H48-'Economy B'!H48</f>
        <v>0</v>
      </c>
      <c r="I48" s="29">
        <f ca="1">'Economy A'!I48-'Economy B'!I48</f>
        <v>0</v>
      </c>
      <c r="J48" s="29">
        <f ca="1">'Economy A'!J48-'Economy B'!J48</f>
        <v>0</v>
      </c>
      <c r="K48" s="29">
        <f ca="1">'Economy A'!K48-'Economy B'!K48</f>
        <v>0</v>
      </c>
      <c r="L48" s="29">
        <f ca="1">'Economy A'!L48-'Economy B'!L48</f>
        <v>0</v>
      </c>
    </row>
    <row r="49" spans="1:14" s="1" customFormat="1" x14ac:dyDescent="0.2">
      <c r="A49" s="1" t="str">
        <v>US</v>
      </c>
      <c r="B49" s="26">
        <f ca="1">'Economy A'!B49-'Economy B'!B49</f>
        <v>0</v>
      </c>
      <c r="C49" s="26">
        <f ca="1">'Economy A'!C49-'Economy B'!C49</f>
        <v>0</v>
      </c>
      <c r="D49" s="26">
        <f ca="1">'Economy A'!D49-'Economy B'!D49</f>
        <v>0</v>
      </c>
      <c r="E49" s="26">
        <f ca="1">'Economy A'!E49-'Economy B'!E49</f>
        <v>0</v>
      </c>
      <c r="F49" s="26">
        <f ca="1">'Economy A'!F49-'Economy B'!F49</f>
        <v>0</v>
      </c>
      <c r="G49" s="26">
        <f ca="1">'Economy A'!G49-'Economy B'!G49</f>
        <v>0</v>
      </c>
      <c r="H49" s="26">
        <f ca="1">'Economy A'!H49-'Economy B'!H49</f>
        <v>0</v>
      </c>
      <c r="I49" s="26">
        <f ca="1">'Economy A'!I49-'Economy B'!I49</f>
        <v>0</v>
      </c>
      <c r="J49" s="26">
        <f ca="1">'Economy A'!J49-'Economy B'!J49</f>
        <v>0</v>
      </c>
      <c r="K49" s="26">
        <f ca="1">'Economy A'!K49-'Economy B'!K49</f>
        <v>0</v>
      </c>
      <c r="L49" s="26">
        <f ca="1">'Economy A'!L49-'Economy B'!L49</f>
        <v>0</v>
      </c>
    </row>
    <row r="50" spans="1:14" s="1" customFormat="1" x14ac:dyDescent="0.2">
      <c r="A50" s="1" t="str">
        <v>OT</v>
      </c>
      <c r="B50" s="26">
        <f ca="1">'Economy A'!B50-'Economy B'!B50</f>
        <v>0</v>
      </c>
      <c r="C50" s="26">
        <f ca="1">'Economy A'!C50-'Economy B'!C50</f>
        <v>0</v>
      </c>
      <c r="D50" s="26">
        <f ca="1">'Economy A'!D50-'Economy B'!D50</f>
        <v>0</v>
      </c>
      <c r="E50" s="26">
        <f ca="1">'Economy A'!E50-'Economy B'!E50</f>
        <v>0</v>
      </c>
      <c r="F50" s="26">
        <f ca="1">'Economy A'!F50-'Economy B'!F50</f>
        <v>0</v>
      </c>
      <c r="G50" s="26">
        <f ca="1">'Economy A'!G50-'Economy B'!G50</f>
        <v>0</v>
      </c>
      <c r="H50" s="26">
        <f ca="1">'Economy A'!H50-'Economy B'!H50</f>
        <v>0</v>
      </c>
      <c r="I50" s="26">
        <f ca="1">'Economy A'!I50-'Economy B'!I50</f>
        <v>0</v>
      </c>
      <c r="J50" s="26">
        <f ca="1">'Economy A'!J50-'Economy B'!J50</f>
        <v>0</v>
      </c>
      <c r="K50" s="26">
        <f ca="1">'Economy A'!K50-'Economy B'!K50</f>
        <v>0</v>
      </c>
      <c r="L50" s="26">
        <f ca="1">'Economy A'!L50-'Economy B'!L50</f>
        <v>0</v>
      </c>
    </row>
    <row r="51" spans="1:14" s="1" customFormat="1" x14ac:dyDescent="0.2">
      <c r="A51" s="1" t="str">
        <v>EE</v>
      </c>
      <c r="B51" s="26">
        <f ca="1">'Economy A'!B51-'Economy B'!B51</f>
        <v>0</v>
      </c>
      <c r="C51" s="26">
        <f ca="1">'Economy A'!C51-'Economy B'!C51</f>
        <v>0</v>
      </c>
      <c r="D51" s="26">
        <f ca="1">'Economy A'!D51-'Economy B'!D51</f>
        <v>0</v>
      </c>
      <c r="E51" s="26">
        <f ca="1">'Economy A'!E51-'Economy B'!E51</f>
        <v>0</v>
      </c>
      <c r="F51" s="26">
        <f ca="1">'Economy A'!F51-'Economy B'!F51</f>
        <v>0</v>
      </c>
      <c r="G51" s="26">
        <f ca="1">'Economy A'!G51-'Economy B'!G51</f>
        <v>0</v>
      </c>
      <c r="H51" s="26">
        <f ca="1">'Economy A'!H51-'Economy B'!H51</f>
        <v>0</v>
      </c>
      <c r="I51" s="26">
        <f ca="1">'Economy A'!I51-'Economy B'!I51</f>
        <v>0</v>
      </c>
      <c r="J51" s="26">
        <f ca="1">'Economy A'!J51-'Economy B'!J51</f>
        <v>0</v>
      </c>
      <c r="K51" s="26">
        <f ca="1">'Economy A'!K51-'Economy B'!K51</f>
        <v>0</v>
      </c>
      <c r="L51" s="26">
        <f ca="1">'Economy A'!L51-'Economy B'!L51</f>
        <v>0</v>
      </c>
    </row>
    <row r="52" spans="1:14" s="1" customFormat="1" x14ac:dyDescent="0.2">
      <c r="A52" s="1" t="str">
        <v>CA</v>
      </c>
      <c r="B52" s="26">
        <f ca="1">'Economy A'!B52-'Economy B'!B52</f>
        <v>0</v>
      </c>
      <c r="C52" s="26">
        <f ca="1">'Economy A'!C52-'Economy B'!C52</f>
        <v>0</v>
      </c>
      <c r="D52" s="26">
        <f ca="1">'Economy A'!D52-'Economy B'!D52</f>
        <v>0</v>
      </c>
      <c r="E52" s="26">
        <f ca="1">'Economy A'!E52-'Economy B'!E52</f>
        <v>0</v>
      </c>
      <c r="F52" s="26">
        <f ca="1">'Economy A'!F52-'Economy B'!F52</f>
        <v>0</v>
      </c>
      <c r="G52" s="26">
        <f ca="1">'Economy A'!G52-'Economy B'!G52</f>
        <v>0</v>
      </c>
      <c r="H52" s="26">
        <f ca="1">'Economy A'!H52-'Economy B'!H52</f>
        <v>0</v>
      </c>
      <c r="I52" s="26">
        <f ca="1">'Economy A'!I52-'Economy B'!I52</f>
        <v>0</v>
      </c>
      <c r="J52" s="26">
        <f ca="1">'Economy A'!J52-'Economy B'!J52</f>
        <v>0</v>
      </c>
      <c r="K52" s="26">
        <f ca="1">'Economy A'!K52-'Economy B'!K52</f>
        <v>0</v>
      </c>
      <c r="L52" s="26">
        <f ca="1">'Economy A'!L52-'Economy B'!L52</f>
        <v>0</v>
      </c>
    </row>
    <row r="53" spans="1:14" s="1" customFormat="1" x14ac:dyDescent="0.2">
      <c r="A53" s="1" t="str">
        <v>IA</v>
      </c>
      <c r="B53" s="26">
        <f ca="1">'Economy A'!B53-'Economy B'!B53</f>
        <v>0</v>
      </c>
      <c r="C53" s="26">
        <f ca="1">'Economy A'!C53-'Economy B'!C53</f>
        <v>0</v>
      </c>
      <c r="D53" s="26">
        <f ca="1">'Economy A'!D53-'Economy B'!D53</f>
        <v>0</v>
      </c>
      <c r="E53" s="26">
        <f ca="1">'Economy A'!E53-'Economy B'!E53</f>
        <v>0</v>
      </c>
      <c r="F53" s="26">
        <f ca="1">'Economy A'!F53-'Economy B'!F53</f>
        <v>0</v>
      </c>
      <c r="G53" s="26">
        <f ca="1">'Economy A'!G53-'Economy B'!G53</f>
        <v>0</v>
      </c>
      <c r="H53" s="26">
        <f ca="1">'Economy A'!H53-'Economy B'!H53</f>
        <v>0</v>
      </c>
      <c r="I53" s="26">
        <f ca="1">'Economy A'!I53-'Economy B'!I53</f>
        <v>0</v>
      </c>
      <c r="J53" s="26">
        <f ca="1">'Economy A'!J53-'Economy B'!J53</f>
        <v>0</v>
      </c>
      <c r="K53" s="26">
        <f ca="1">'Economy A'!K53-'Economy B'!K53</f>
        <v>0</v>
      </c>
      <c r="L53" s="26">
        <f ca="1">'Economy A'!L53-'Economy B'!L53</f>
        <v>0</v>
      </c>
    </row>
    <row r="54" spans="1:14" s="1" customFormat="1" x14ac:dyDescent="0.2">
      <c r="A54" s="1" t="str">
        <v>AF</v>
      </c>
      <c r="B54" s="26">
        <f ca="1">'Economy A'!B54-'Economy B'!B54</f>
        <v>0</v>
      </c>
      <c r="C54" s="26">
        <f ca="1">'Economy A'!C54-'Economy B'!C54</f>
        <v>0</v>
      </c>
      <c r="D54" s="26">
        <f ca="1">'Economy A'!D54-'Economy B'!D54</f>
        <v>0</v>
      </c>
      <c r="E54" s="26">
        <f ca="1">'Economy A'!E54-'Economy B'!E54</f>
        <v>0</v>
      </c>
      <c r="F54" s="26">
        <f ca="1">'Economy A'!F54-'Economy B'!F54</f>
        <v>0</v>
      </c>
      <c r="G54" s="26">
        <f ca="1">'Economy A'!G54-'Economy B'!G54</f>
        <v>0</v>
      </c>
      <c r="H54" s="26">
        <f ca="1">'Economy A'!H54-'Economy B'!H54</f>
        <v>0</v>
      </c>
      <c r="I54" s="26">
        <f ca="1">'Economy A'!I54-'Economy B'!I54</f>
        <v>0</v>
      </c>
      <c r="J54" s="26">
        <f ca="1">'Economy A'!J54-'Economy B'!J54</f>
        <v>0</v>
      </c>
      <c r="K54" s="26">
        <f ca="1">'Economy A'!K54-'Economy B'!K54</f>
        <v>0</v>
      </c>
      <c r="L54" s="26">
        <f ca="1">'Economy A'!L54-'Economy B'!L54</f>
        <v>0</v>
      </c>
    </row>
    <row r="55" spans="1:14" s="1" customFormat="1" x14ac:dyDescent="0.2">
      <c r="A55" s="1" t="str">
        <v>LA</v>
      </c>
      <c r="B55" s="26">
        <f ca="1">'Economy A'!B55-'Economy B'!B55</f>
        <v>0</v>
      </c>
      <c r="C55" s="26">
        <f ca="1">'Economy A'!C55-'Economy B'!C55</f>
        <v>0</v>
      </c>
      <c r="D55" s="26">
        <f ca="1">'Economy A'!D55-'Economy B'!D55</f>
        <v>0</v>
      </c>
      <c r="E55" s="26">
        <f ca="1">'Economy A'!E55-'Economy B'!E55</f>
        <v>0</v>
      </c>
      <c r="F55" s="26">
        <f ca="1">'Economy A'!F55-'Economy B'!F55</f>
        <v>0</v>
      </c>
      <c r="G55" s="26">
        <f ca="1">'Economy A'!G55-'Economy B'!G55</f>
        <v>0</v>
      </c>
      <c r="H55" s="26">
        <f ca="1">'Economy A'!H55-'Economy B'!H55</f>
        <v>0</v>
      </c>
      <c r="I55" s="26">
        <f ca="1">'Economy A'!I55-'Economy B'!I55</f>
        <v>0</v>
      </c>
      <c r="J55" s="26">
        <f ca="1">'Economy A'!J55-'Economy B'!J55</f>
        <v>0</v>
      </c>
      <c r="K55" s="26">
        <f ca="1">'Economy A'!K55-'Economy B'!K55</f>
        <v>0</v>
      </c>
      <c r="L55" s="26">
        <f ca="1">'Economy A'!L55-'Economy B'!L55</f>
        <v>0</v>
      </c>
    </row>
    <row r="56" spans="1:14" s="1" customFormat="1" x14ac:dyDescent="0.2">
      <c r="A56" s="44" t="s">
        <v>140</v>
      </c>
      <c r="B56" s="30">
        <f ca="1">'Economy A'!B56-'Economy B'!B56</f>
        <v>0</v>
      </c>
      <c r="C56" s="30">
        <f ca="1">'Economy A'!C56-'Economy B'!C56</f>
        <v>0</v>
      </c>
      <c r="D56" s="30">
        <f ca="1">'Economy A'!D56-'Economy B'!D56</f>
        <v>0</v>
      </c>
      <c r="E56" s="30">
        <f ca="1">'Economy A'!E56-'Economy B'!E56</f>
        <v>0</v>
      </c>
      <c r="F56" s="30">
        <f ca="1">'Economy A'!F56-'Economy B'!F56</f>
        <v>0</v>
      </c>
      <c r="G56" s="30">
        <f ca="1">'Economy A'!G56-'Economy B'!G56</f>
        <v>0</v>
      </c>
      <c r="H56" s="30">
        <f ca="1">'Economy A'!H56-'Economy B'!H56</f>
        <v>0</v>
      </c>
      <c r="I56" s="30">
        <f ca="1">'Economy A'!I56-'Economy B'!I56</f>
        <v>0</v>
      </c>
      <c r="J56" s="30">
        <f ca="1">'Economy A'!J56-'Economy B'!J56</f>
        <v>0</v>
      </c>
      <c r="K56" s="30">
        <f ca="1">'Economy A'!K56-'Economy B'!K56</f>
        <v>0</v>
      </c>
      <c r="L56" s="30">
        <f ca="1">'Economy A'!L56-'Economy B'!L56</f>
        <v>0</v>
      </c>
    </row>
    <row r="57" spans="1:14" x14ac:dyDescent="0.2">
      <c r="A57" s="2" t="s">
        <v>360</v>
      </c>
    </row>
    <row r="58" spans="1:14" x14ac:dyDescent="0.2">
      <c r="A58" s="7" t="str">
        <f t="array" ref="A58:A65">R_CODE</f>
        <v>EU</v>
      </c>
      <c r="B58" s="7"/>
      <c r="C58" s="27">
        <f ca="1">'Economy A'!C58-'Economy B'!C58</f>
        <v>0</v>
      </c>
      <c r="D58" s="27">
        <f ca="1">'Economy A'!D58-'Economy B'!D58</f>
        <v>0</v>
      </c>
      <c r="E58" s="27">
        <f ca="1">'Economy A'!E58-'Economy B'!E58</f>
        <v>0</v>
      </c>
      <c r="F58" s="27">
        <f ca="1">'Economy A'!F58-'Economy B'!F58</f>
        <v>0</v>
      </c>
      <c r="G58" s="27">
        <f ca="1">'Economy A'!G58-'Economy B'!G58</f>
        <v>0</v>
      </c>
      <c r="H58" s="27">
        <f ca="1">'Economy A'!H58-'Economy B'!H58</f>
        <v>0</v>
      </c>
      <c r="I58" s="27">
        <f ca="1">'Economy A'!I58-'Economy B'!I58</f>
        <v>0</v>
      </c>
      <c r="J58" s="27">
        <f ca="1">'Economy A'!J58-'Economy B'!J58</f>
        <v>0</v>
      </c>
      <c r="K58" s="27">
        <f ca="1">'Economy A'!K58-'Economy B'!K58</f>
        <v>0</v>
      </c>
      <c r="L58" s="27">
        <f ca="1">'Economy A'!L58-'Economy B'!L58</f>
        <v>0</v>
      </c>
      <c r="M58" s="7"/>
      <c r="N58" s="7"/>
    </row>
    <row r="59" spans="1:14" x14ac:dyDescent="0.2">
      <c r="A59" s="7" t="str">
        <v>US</v>
      </c>
      <c r="B59" s="7"/>
      <c r="C59" s="28">
        <f ca="1">'Economy A'!C59-'Economy B'!C59</f>
        <v>0</v>
      </c>
      <c r="D59" s="28">
        <f ca="1">'Economy A'!D59-'Economy B'!D59</f>
        <v>0</v>
      </c>
      <c r="E59" s="28">
        <f ca="1">'Economy A'!E59-'Economy B'!E59</f>
        <v>0</v>
      </c>
      <c r="F59" s="28">
        <f ca="1">'Economy A'!F59-'Economy B'!F59</f>
        <v>0</v>
      </c>
      <c r="G59" s="28">
        <f ca="1">'Economy A'!G59-'Economy B'!G59</f>
        <v>0</v>
      </c>
      <c r="H59" s="28">
        <f ca="1">'Economy A'!H59-'Economy B'!H59</f>
        <v>0</v>
      </c>
      <c r="I59" s="28">
        <f ca="1">'Economy A'!I59-'Economy B'!I59</f>
        <v>0</v>
      </c>
      <c r="J59" s="28">
        <f ca="1">'Economy A'!J59-'Economy B'!J59</f>
        <v>0</v>
      </c>
      <c r="K59" s="28">
        <f ca="1">'Economy A'!K59-'Economy B'!K59</f>
        <v>0</v>
      </c>
      <c r="L59" s="28">
        <f ca="1">'Economy A'!L59-'Economy B'!L59</f>
        <v>0</v>
      </c>
      <c r="M59" s="7"/>
      <c r="N59" s="7"/>
    </row>
    <row r="60" spans="1:14" x14ac:dyDescent="0.2">
      <c r="A60" s="7" t="str">
        <v>OT</v>
      </c>
      <c r="B60" s="7"/>
      <c r="C60" s="28">
        <f ca="1">'Economy A'!C60-'Economy B'!C60</f>
        <v>0</v>
      </c>
      <c r="D60" s="28">
        <f ca="1">'Economy A'!D60-'Economy B'!D60</f>
        <v>0</v>
      </c>
      <c r="E60" s="28">
        <f ca="1">'Economy A'!E60-'Economy B'!E60</f>
        <v>0</v>
      </c>
      <c r="F60" s="28">
        <f ca="1">'Economy A'!F60-'Economy B'!F60</f>
        <v>0</v>
      </c>
      <c r="G60" s="28">
        <f ca="1">'Economy A'!G60-'Economy B'!G60</f>
        <v>0</v>
      </c>
      <c r="H60" s="28">
        <f ca="1">'Economy A'!H60-'Economy B'!H60</f>
        <v>0</v>
      </c>
      <c r="I60" s="28">
        <f ca="1">'Economy A'!I60-'Economy B'!I60</f>
        <v>0</v>
      </c>
      <c r="J60" s="28">
        <f ca="1">'Economy A'!J60-'Economy B'!J60</f>
        <v>0</v>
      </c>
      <c r="K60" s="28">
        <f ca="1">'Economy A'!K60-'Economy B'!K60</f>
        <v>0</v>
      </c>
      <c r="L60" s="28">
        <f ca="1">'Economy A'!L60-'Economy B'!L60</f>
        <v>0</v>
      </c>
      <c r="M60" s="7"/>
      <c r="N60" s="7"/>
    </row>
    <row r="61" spans="1:14" x14ac:dyDescent="0.2">
      <c r="A61" s="7" t="str">
        <v>EE</v>
      </c>
      <c r="B61" s="7"/>
      <c r="C61" s="28">
        <f ca="1">'Economy A'!C61-'Economy B'!C61</f>
        <v>0</v>
      </c>
      <c r="D61" s="28">
        <f ca="1">'Economy A'!D61-'Economy B'!D61</f>
        <v>0</v>
      </c>
      <c r="E61" s="28">
        <f ca="1">'Economy A'!E61-'Economy B'!E61</f>
        <v>0</v>
      </c>
      <c r="F61" s="28">
        <f ca="1">'Economy A'!F61-'Economy B'!F61</f>
        <v>0</v>
      </c>
      <c r="G61" s="28">
        <f ca="1">'Economy A'!G61-'Economy B'!G61</f>
        <v>0</v>
      </c>
      <c r="H61" s="28">
        <f ca="1">'Economy A'!H61-'Economy B'!H61</f>
        <v>0</v>
      </c>
      <c r="I61" s="28">
        <f ca="1">'Economy A'!I61-'Economy B'!I61</f>
        <v>0</v>
      </c>
      <c r="J61" s="28">
        <f ca="1">'Economy A'!J61-'Economy B'!J61</f>
        <v>0</v>
      </c>
      <c r="K61" s="28">
        <f ca="1">'Economy A'!K61-'Economy B'!K61</f>
        <v>0</v>
      </c>
      <c r="L61" s="28">
        <f ca="1">'Economy A'!L61-'Economy B'!L61</f>
        <v>0</v>
      </c>
      <c r="M61" s="7"/>
      <c r="N61" s="7"/>
    </row>
    <row r="62" spans="1:14" x14ac:dyDescent="0.2">
      <c r="A62" s="7" t="str">
        <v>CA</v>
      </c>
      <c r="B62" s="7"/>
      <c r="C62" s="28">
        <f ca="1">'Economy A'!C62-'Economy B'!C62</f>
        <v>0</v>
      </c>
      <c r="D62" s="28">
        <f ca="1">'Economy A'!D62-'Economy B'!D62</f>
        <v>0</v>
      </c>
      <c r="E62" s="28">
        <f ca="1">'Economy A'!E62-'Economy B'!E62</f>
        <v>0</v>
      </c>
      <c r="F62" s="28">
        <f ca="1">'Economy A'!F62-'Economy B'!F62</f>
        <v>0</v>
      </c>
      <c r="G62" s="28">
        <f ca="1">'Economy A'!G62-'Economy B'!G62</f>
        <v>0</v>
      </c>
      <c r="H62" s="28">
        <f ca="1">'Economy A'!H62-'Economy B'!H62</f>
        <v>0</v>
      </c>
      <c r="I62" s="28">
        <f ca="1">'Economy A'!I62-'Economy B'!I62</f>
        <v>0</v>
      </c>
      <c r="J62" s="28">
        <f ca="1">'Economy A'!J62-'Economy B'!J62</f>
        <v>0</v>
      </c>
      <c r="K62" s="28">
        <f ca="1">'Economy A'!K62-'Economy B'!K62</f>
        <v>0</v>
      </c>
      <c r="L62" s="28">
        <f ca="1">'Economy A'!L62-'Economy B'!L62</f>
        <v>0</v>
      </c>
      <c r="M62" s="7"/>
      <c r="N62" s="7"/>
    </row>
    <row r="63" spans="1:14" x14ac:dyDescent="0.2">
      <c r="A63" s="7" t="str">
        <v>IA</v>
      </c>
      <c r="B63" s="7"/>
      <c r="C63" s="28">
        <f ca="1">'Economy A'!C63-'Economy B'!C63</f>
        <v>0</v>
      </c>
      <c r="D63" s="28">
        <f ca="1">'Economy A'!D63-'Economy B'!D63</f>
        <v>0</v>
      </c>
      <c r="E63" s="28">
        <f ca="1">'Economy A'!E63-'Economy B'!E63</f>
        <v>0</v>
      </c>
      <c r="F63" s="28">
        <f ca="1">'Economy A'!F63-'Economy B'!F63</f>
        <v>0</v>
      </c>
      <c r="G63" s="28">
        <f ca="1">'Economy A'!G63-'Economy B'!G63</f>
        <v>0</v>
      </c>
      <c r="H63" s="28">
        <f ca="1">'Economy A'!H63-'Economy B'!H63</f>
        <v>0</v>
      </c>
      <c r="I63" s="28">
        <f ca="1">'Economy A'!I63-'Economy B'!I63</f>
        <v>0</v>
      </c>
      <c r="J63" s="28">
        <f ca="1">'Economy A'!J63-'Economy B'!J63</f>
        <v>0</v>
      </c>
      <c r="K63" s="28">
        <f ca="1">'Economy A'!K63-'Economy B'!K63</f>
        <v>0</v>
      </c>
      <c r="L63" s="28">
        <f ca="1">'Economy A'!L63-'Economy B'!L63</f>
        <v>0</v>
      </c>
      <c r="M63" s="7"/>
      <c r="N63" s="7"/>
    </row>
    <row r="64" spans="1:14" x14ac:dyDescent="0.2">
      <c r="A64" s="7" t="str">
        <v>AF</v>
      </c>
      <c r="B64" s="7"/>
      <c r="C64" s="28">
        <f ca="1">'Economy A'!C64-'Economy B'!C64</f>
        <v>0</v>
      </c>
      <c r="D64" s="28">
        <f ca="1">'Economy A'!D64-'Economy B'!D64</f>
        <v>0</v>
      </c>
      <c r="E64" s="28">
        <f ca="1">'Economy A'!E64-'Economy B'!E64</f>
        <v>0</v>
      </c>
      <c r="F64" s="28">
        <f ca="1">'Economy A'!F64-'Economy B'!F64</f>
        <v>0</v>
      </c>
      <c r="G64" s="28">
        <f ca="1">'Economy A'!G64-'Economy B'!G64</f>
        <v>0</v>
      </c>
      <c r="H64" s="28">
        <f ca="1">'Economy A'!H64-'Economy B'!H64</f>
        <v>0</v>
      </c>
      <c r="I64" s="28">
        <f ca="1">'Economy A'!I64-'Economy B'!I64</f>
        <v>0</v>
      </c>
      <c r="J64" s="28">
        <f ca="1">'Economy A'!J64-'Economy B'!J64</f>
        <v>0</v>
      </c>
      <c r="K64" s="28">
        <f ca="1">'Economy A'!K64-'Economy B'!K64</f>
        <v>0</v>
      </c>
      <c r="L64" s="28">
        <f ca="1">'Economy A'!L64-'Economy B'!L64</f>
        <v>0</v>
      </c>
      <c r="M64" s="7"/>
      <c r="N64" s="7"/>
    </row>
    <row r="65" spans="1:14" ht="13.5" thickBot="1" x14ac:dyDescent="0.25">
      <c r="A65" s="7" t="str">
        <v>LA</v>
      </c>
      <c r="B65" s="7"/>
      <c r="C65" s="36">
        <f ca="1">'Economy A'!C65-'Economy B'!C65</f>
        <v>0</v>
      </c>
      <c r="D65" s="36">
        <f ca="1">'Economy A'!D65-'Economy B'!D65</f>
        <v>0</v>
      </c>
      <c r="E65" s="36">
        <f ca="1">'Economy A'!E65-'Economy B'!E65</f>
        <v>0</v>
      </c>
      <c r="F65" s="36">
        <f ca="1">'Economy A'!F65-'Economy B'!F65</f>
        <v>0</v>
      </c>
      <c r="G65" s="36">
        <f ca="1">'Economy A'!G65-'Economy B'!G65</f>
        <v>0</v>
      </c>
      <c r="H65" s="36">
        <f ca="1">'Economy A'!H65-'Economy B'!H65</f>
        <v>0</v>
      </c>
      <c r="I65" s="36">
        <f ca="1">'Economy A'!I65-'Economy B'!I65</f>
        <v>0</v>
      </c>
      <c r="J65" s="36">
        <f ca="1">'Economy A'!J65-'Economy B'!J65</f>
        <v>0</v>
      </c>
      <c r="K65" s="36">
        <f ca="1">'Economy A'!K65-'Economy B'!K65</f>
        <v>0</v>
      </c>
      <c r="L65" s="36">
        <f ca="1">'Economy A'!L65-'Economy B'!L65</f>
        <v>0</v>
      </c>
      <c r="M65" s="7"/>
      <c r="N65" s="7"/>
    </row>
    <row r="66" spans="1:14" ht="13.5" thickTop="1" x14ac:dyDescent="0.2">
      <c r="A66" s="2" t="s">
        <v>956</v>
      </c>
      <c r="B66" s="7"/>
      <c r="C66" s="2"/>
      <c r="M66" s="7"/>
      <c r="N66" s="7"/>
    </row>
    <row r="67" spans="1:14" x14ac:dyDescent="0.2">
      <c r="A67" s="1" t="str">
        <f t="array" ref="A67:A74">R_CODE</f>
        <v>EU</v>
      </c>
      <c r="B67" s="7"/>
      <c r="C67" s="291" t="s">
        <v>1024</v>
      </c>
      <c r="D67" s="27"/>
      <c r="E67" s="27"/>
      <c r="F67" s="27"/>
      <c r="G67" s="27"/>
      <c r="H67" s="27"/>
      <c r="I67" s="27"/>
      <c r="J67" s="27"/>
      <c r="K67" s="27"/>
      <c r="L67" s="27"/>
      <c r="M67" s="7"/>
      <c r="N67" s="7"/>
    </row>
    <row r="68" spans="1:14" x14ac:dyDescent="0.2">
      <c r="A68" s="1" t="str">
        <v>US</v>
      </c>
      <c r="B68" s="7"/>
      <c r="C68" s="28"/>
      <c r="D68" s="28"/>
      <c r="E68" s="28"/>
      <c r="F68" s="28"/>
      <c r="G68" s="28"/>
      <c r="H68" s="28"/>
      <c r="I68" s="28"/>
      <c r="J68" s="28"/>
      <c r="K68" s="28"/>
      <c r="L68" s="28"/>
      <c r="M68" s="7"/>
      <c r="N68" s="7"/>
    </row>
    <row r="69" spans="1:14" x14ac:dyDescent="0.2">
      <c r="A69" s="1" t="str">
        <v>OT</v>
      </c>
      <c r="B69" s="7"/>
      <c r="C69" s="28"/>
      <c r="D69" s="28"/>
      <c r="E69" s="28"/>
      <c r="F69" s="28"/>
      <c r="G69" s="28"/>
      <c r="H69" s="28"/>
      <c r="I69" s="28"/>
      <c r="J69" s="28"/>
      <c r="K69" s="28"/>
      <c r="L69" s="28"/>
      <c r="M69" s="7"/>
      <c r="N69" s="7"/>
    </row>
    <row r="70" spans="1:14" x14ac:dyDescent="0.2">
      <c r="A70" s="1" t="str">
        <v>EE</v>
      </c>
      <c r="B70" s="7"/>
      <c r="C70" s="28"/>
      <c r="D70" s="28"/>
      <c r="E70" s="28"/>
      <c r="F70" s="28"/>
      <c r="G70" s="28"/>
      <c r="H70" s="28"/>
      <c r="I70" s="28"/>
      <c r="J70" s="28"/>
      <c r="K70" s="28"/>
      <c r="L70" s="28"/>
      <c r="M70" s="7"/>
      <c r="N70" s="7"/>
    </row>
    <row r="71" spans="1:14" x14ac:dyDescent="0.2">
      <c r="A71" s="1" t="str">
        <v>CA</v>
      </c>
      <c r="B71" s="7"/>
      <c r="C71" s="28"/>
      <c r="D71" s="28"/>
      <c r="E71" s="28"/>
      <c r="F71" s="28"/>
      <c r="G71" s="28"/>
      <c r="H71" s="28"/>
      <c r="I71" s="28"/>
      <c r="J71" s="28"/>
      <c r="K71" s="28"/>
      <c r="L71" s="28"/>
      <c r="M71" s="7"/>
      <c r="N71" s="7"/>
    </row>
    <row r="72" spans="1:14" x14ac:dyDescent="0.2">
      <c r="A72" s="1" t="str">
        <v>IA</v>
      </c>
      <c r="B72" s="7"/>
      <c r="C72" s="28"/>
      <c r="D72" s="28"/>
      <c r="E72" s="28"/>
      <c r="F72" s="28"/>
      <c r="G72" s="28"/>
      <c r="H72" s="28"/>
      <c r="I72" s="28"/>
      <c r="J72" s="28"/>
      <c r="K72" s="28"/>
      <c r="L72" s="28"/>
      <c r="M72" s="7"/>
      <c r="N72" s="7"/>
    </row>
    <row r="73" spans="1:14" x14ac:dyDescent="0.2">
      <c r="A73" s="1" t="str">
        <v>AF</v>
      </c>
      <c r="B73" s="7"/>
      <c r="C73" s="28"/>
      <c r="D73" s="28"/>
      <c r="E73" s="28"/>
      <c r="F73" s="28"/>
      <c r="G73" s="28"/>
      <c r="H73" s="28"/>
      <c r="I73" s="28"/>
      <c r="J73" s="28"/>
      <c r="K73" s="28"/>
      <c r="L73" s="28"/>
      <c r="M73" s="7"/>
      <c r="N73" s="7"/>
    </row>
    <row r="74" spans="1:14" ht="13.5" thickBot="1" x14ac:dyDescent="0.25">
      <c r="A74" s="1" t="str">
        <v>LA</v>
      </c>
      <c r="B74" s="7"/>
      <c r="C74" s="36"/>
      <c r="D74" s="36"/>
      <c r="E74" s="36"/>
      <c r="F74" s="36"/>
      <c r="G74" s="36"/>
      <c r="H74" s="36"/>
      <c r="I74" s="36"/>
      <c r="J74" s="36"/>
      <c r="K74" s="36"/>
      <c r="L74" s="36"/>
      <c r="M74" s="7"/>
      <c r="N74" s="7"/>
    </row>
    <row r="75" spans="1:14" ht="13.5" thickTop="1" x14ac:dyDescent="0.2"/>
  </sheetData>
  <phoneticPr fontId="21" type="noConversion"/>
  <pageMargins left="0.7" right="0.7" top="0.75" bottom="0.75" header="0.3" footer="0.3"/>
  <pageSetup paperSize="9" orientation="portrait" verticalDpi="0"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X721"/>
  <sheetViews>
    <sheetView topLeftCell="A678" workbookViewId="0">
      <selection activeCell="C46" sqref="C46"/>
    </sheetView>
  </sheetViews>
  <sheetFormatPr defaultRowHeight="12.75" x14ac:dyDescent="0.2"/>
  <cols>
    <col min="1" max="1" width="21.5703125" bestFit="1" customWidth="1"/>
    <col min="2" max="11" width="10.140625" bestFit="1" customWidth="1"/>
    <col min="12" max="12" width="10.85546875" customWidth="1"/>
    <col min="13" max="13" width="7.140625" bestFit="1" customWidth="1"/>
    <col min="15" max="15" width="9.5703125" bestFit="1" customWidth="1"/>
  </cols>
  <sheetData>
    <row r="1" spans="1:5" x14ac:dyDescent="0.2">
      <c r="A1" s="2" t="str">
        <f>MODEL_NAME</f>
        <v>PAGE-ICE Nonlinear Arctic Feedbacks</v>
      </c>
      <c r="B1" t="s">
        <v>37</v>
      </c>
      <c r="C1" s="51" t="str">
        <f>VERSION</f>
        <v>6.22</v>
      </c>
    </row>
    <row r="2" spans="1:5" s="3" customFormat="1" x14ac:dyDescent="0.2">
      <c r="A2" s="4" t="str">
        <f>"Uncertainty in BAU emissions in "&amp;Y_LAST</f>
        <v>Uncertainty in BAU emissions in 2100</v>
      </c>
      <c r="B2" s="4"/>
      <c r="C2" s="4"/>
      <c r="D2" s="4"/>
      <c r="E2" s="4"/>
    </row>
    <row r="3" spans="1:5" x14ac:dyDescent="0.2">
      <c r="A3" s="4"/>
      <c r="B3" s="58" t="s">
        <v>12</v>
      </c>
      <c r="C3" s="58" t="s">
        <v>13</v>
      </c>
      <c r="D3" s="58" t="s">
        <v>144</v>
      </c>
      <c r="E3" s="4" t="str">
        <f>GLIN_NAME</f>
        <v>Lin</v>
      </c>
    </row>
    <row r="4" spans="1:5" ht="15.75" x14ac:dyDescent="0.3">
      <c r="A4" s="4"/>
      <c r="B4" s="4" t="s">
        <v>97</v>
      </c>
      <c r="C4" s="4" t="s">
        <v>98</v>
      </c>
      <c r="D4" s="4" t="s">
        <v>98</v>
      </c>
      <c r="E4" s="4" t="s">
        <v>124</v>
      </c>
    </row>
    <row r="5" spans="1:5" x14ac:dyDescent="0.2">
      <c r="A5" s="14" t="str">
        <f t="array" ref="A5:A12">R_CODE</f>
        <v>EU</v>
      </c>
      <c r="B5" s="26">
        <f ca="1">EMIT_CO2_1</f>
        <v>-22</v>
      </c>
      <c r="C5" s="26">
        <f ca="1">EMIT_CH4_1</f>
        <v>-30.333333333333332</v>
      </c>
      <c r="D5" s="26">
        <f ca="1">EMIT_N2O_1</f>
        <v>-7</v>
      </c>
      <c r="E5" s="26">
        <f ca="1">EMIT_GLIN_1</f>
        <v>0</v>
      </c>
    </row>
    <row r="6" spans="1:5" x14ac:dyDescent="0.2">
      <c r="A6" s="14" t="str">
        <v>US</v>
      </c>
      <c r="B6" s="26">
        <f t="array" aca="1" ref="B6:B12" ca="1">EMIT_CO2_1*EMITF</f>
        <v>-22</v>
      </c>
      <c r="C6" s="26">
        <f t="array" aca="1" ref="C6:C12" ca="1">EMIT_CH4_1*EMITF</f>
        <v>-30.333333333333332</v>
      </c>
      <c r="D6" s="26">
        <f t="array" aca="1" ref="D6:D12" ca="1">EMIT_N2O_1*EMITF</f>
        <v>-7</v>
      </c>
      <c r="E6" s="26">
        <f t="array" aca="1" ref="E6:E12" ca="1">EMIT_GLIN_1*EMITF</f>
        <v>0</v>
      </c>
    </row>
    <row r="7" spans="1:5" x14ac:dyDescent="0.2">
      <c r="A7" s="14" t="str">
        <v>OT</v>
      </c>
      <c r="B7" s="26">
        <f ca="1"/>
        <v>-22</v>
      </c>
      <c r="C7" s="26">
        <f ca="1"/>
        <v>-30.333333333333332</v>
      </c>
      <c r="D7" s="26">
        <f ca="1"/>
        <v>-7</v>
      </c>
      <c r="E7" s="26">
        <f ca="1"/>
        <v>0</v>
      </c>
    </row>
    <row r="8" spans="1:5" x14ac:dyDescent="0.2">
      <c r="A8" s="14" t="str">
        <v>EE</v>
      </c>
      <c r="B8" s="26">
        <f ca="1"/>
        <v>-22</v>
      </c>
      <c r="C8" s="26">
        <f ca="1"/>
        <v>-30.333333333333332</v>
      </c>
      <c r="D8" s="26">
        <f ca="1"/>
        <v>-7</v>
      </c>
      <c r="E8" s="26">
        <f ca="1"/>
        <v>0</v>
      </c>
    </row>
    <row r="9" spans="1:5" x14ac:dyDescent="0.2">
      <c r="A9" s="14" t="str">
        <v>CA</v>
      </c>
      <c r="B9" s="26">
        <f ca="1"/>
        <v>-22</v>
      </c>
      <c r="C9" s="26">
        <f ca="1"/>
        <v>-30.333333333333332</v>
      </c>
      <c r="D9" s="26">
        <f ca="1"/>
        <v>-7</v>
      </c>
      <c r="E9" s="26">
        <f ca="1"/>
        <v>0</v>
      </c>
    </row>
    <row r="10" spans="1:5" x14ac:dyDescent="0.2">
      <c r="A10" s="14" t="str">
        <v>IA</v>
      </c>
      <c r="B10" s="26">
        <f ca="1"/>
        <v>-22</v>
      </c>
      <c r="C10" s="26">
        <f ca="1"/>
        <v>-30.333333333333332</v>
      </c>
      <c r="D10" s="26">
        <f ca="1"/>
        <v>-7</v>
      </c>
      <c r="E10" s="26">
        <f ca="1"/>
        <v>0</v>
      </c>
    </row>
    <row r="11" spans="1:5" x14ac:dyDescent="0.2">
      <c r="A11" s="14" t="str">
        <v>AF</v>
      </c>
      <c r="B11" s="26">
        <f ca="1"/>
        <v>-22</v>
      </c>
      <c r="C11" s="26">
        <f ca="1"/>
        <v>-30.333333333333332</v>
      </c>
      <c r="D11" s="26">
        <f ca="1"/>
        <v>-7</v>
      </c>
      <c r="E11" s="26">
        <f ca="1"/>
        <v>0</v>
      </c>
    </row>
    <row r="12" spans="1:5" x14ac:dyDescent="0.2">
      <c r="A12" s="14" t="str">
        <v>LA</v>
      </c>
      <c r="B12" s="26">
        <f ca="1"/>
        <v>-22</v>
      </c>
      <c r="C12" s="26">
        <f ca="1"/>
        <v>-30.333333333333332</v>
      </c>
      <c r="D12" s="26">
        <f ca="1"/>
        <v>-7</v>
      </c>
      <c r="E12" s="26">
        <f ca="1"/>
        <v>0</v>
      </c>
    </row>
    <row r="13" spans="1:5" x14ac:dyDescent="0.2">
      <c r="A13" s="4"/>
      <c r="B13" s="4" t="str">
        <f>'Library data'!$G$131</f>
        <v>% relative to RCP8.5</v>
      </c>
      <c r="C13" s="4" t="str">
        <f>'Library data'!$G$138</f>
        <v>% relative to RCP8.5</v>
      </c>
      <c r="D13" s="4" t="str">
        <f>'Library data'!$G$138</f>
        <v>% relative to RCP8.5</v>
      </c>
      <c r="E13" s="4" t="str">
        <f>'Library data'!$G$138</f>
        <v>% relative to RCP8.5</v>
      </c>
    </row>
    <row r="15" spans="1:5" s="3" customFormat="1" x14ac:dyDescent="0.2">
      <c r="A15" s="58" t="s">
        <v>273</v>
      </c>
      <c r="B15" s="4"/>
      <c r="C15" s="4"/>
      <c r="D15" s="4"/>
      <c r="E15" s="4"/>
    </row>
    <row r="16" spans="1:5" x14ac:dyDescent="0.2">
      <c r="A16" s="4"/>
      <c r="B16" s="58" t="s">
        <v>12</v>
      </c>
      <c r="C16" s="58" t="s">
        <v>13</v>
      </c>
      <c r="D16" s="58" t="s">
        <v>144</v>
      </c>
      <c r="E16" s="4" t="str">
        <f>GLIN_NAME</f>
        <v>Lin</v>
      </c>
    </row>
    <row r="17" spans="1:5" x14ac:dyDescent="0.2">
      <c r="A17" s="4"/>
      <c r="B17" s="71" t="s">
        <v>279</v>
      </c>
      <c r="C17" s="71" t="s">
        <v>280</v>
      </c>
      <c r="D17" s="71" t="s">
        <v>281</v>
      </c>
      <c r="E17" s="71" t="s">
        <v>282</v>
      </c>
    </row>
    <row r="18" spans="1:5" x14ac:dyDescent="0.2">
      <c r="A18" s="14" t="str">
        <f t="array" ref="A18:A25">R_CODE</f>
        <v>EU</v>
      </c>
      <c r="B18" s="26">
        <f ca="1">Q0_PROP_INIT_CO2_1</f>
        <v>10</v>
      </c>
      <c r="C18" s="26">
        <f ca="1">Q0_PROP_INIT_CH4_1</f>
        <v>10</v>
      </c>
      <c r="D18" s="26">
        <f ca="1">Q0_PROP_INIT_N2O_1</f>
        <v>10</v>
      </c>
      <c r="E18" s="26">
        <f ca="1">Q0_PROP_INIT_GLIN_1</f>
        <v>10</v>
      </c>
    </row>
    <row r="19" spans="1:5" x14ac:dyDescent="0.2">
      <c r="A19" s="14" t="str">
        <v>US</v>
      </c>
      <c r="B19" s="26">
        <f t="array" aca="1" ref="B19:B25" ca="1">Q0_PROP_INIT_CO2_1*Q0F</f>
        <v>10.833333333333332</v>
      </c>
      <c r="C19" s="26">
        <f t="array" aca="1" ref="C19:C25" ca="1">Q0_PROP_INIT_CH4_1*Q0F</f>
        <v>10.833333333333332</v>
      </c>
      <c r="D19" s="26">
        <f t="array" aca="1" ref="D19:D25" ca="1">Q0_PROP_INIT_N2O_1*Q0F</f>
        <v>10.833333333333332</v>
      </c>
      <c r="E19" s="26">
        <f t="array" aca="1" ref="E19:E25" ca="1">Q0_PROP_INIT_GLIN_1*Q0F</f>
        <v>10.833333333333332</v>
      </c>
    </row>
    <row r="20" spans="1:5" x14ac:dyDescent="0.2">
      <c r="A20" s="14" t="str">
        <v>OT</v>
      </c>
      <c r="B20" s="26">
        <f ca="1"/>
        <v>10</v>
      </c>
      <c r="C20" s="26">
        <f ca="1"/>
        <v>10</v>
      </c>
      <c r="D20" s="26">
        <f ca="1"/>
        <v>10</v>
      </c>
      <c r="E20" s="26">
        <f ca="1"/>
        <v>10</v>
      </c>
    </row>
    <row r="21" spans="1:5" x14ac:dyDescent="0.2">
      <c r="A21" s="14" t="str">
        <v>EE</v>
      </c>
      <c r="B21" s="26">
        <f ca="1"/>
        <v>7.0000000000000009</v>
      </c>
      <c r="C21" s="26">
        <f ca="1"/>
        <v>7.0000000000000009</v>
      </c>
      <c r="D21" s="26">
        <f ca="1"/>
        <v>7.0000000000000009</v>
      </c>
      <c r="E21" s="26">
        <f ca="1"/>
        <v>7.0000000000000009</v>
      </c>
    </row>
    <row r="22" spans="1:5" x14ac:dyDescent="0.2">
      <c r="A22" s="14" t="str">
        <v>CA</v>
      </c>
      <c r="B22" s="26">
        <f ca="1"/>
        <v>7.0000000000000009</v>
      </c>
      <c r="C22" s="26">
        <f ca="1"/>
        <v>7.0000000000000009</v>
      </c>
      <c r="D22" s="26">
        <f ca="1"/>
        <v>7.0000000000000009</v>
      </c>
      <c r="E22" s="26">
        <f ca="1"/>
        <v>7.0000000000000009</v>
      </c>
    </row>
    <row r="23" spans="1:5" x14ac:dyDescent="0.2">
      <c r="A23" s="14" t="str">
        <v>IA</v>
      </c>
      <c r="B23" s="26">
        <f ca="1"/>
        <v>7.0000000000000009</v>
      </c>
      <c r="C23" s="26">
        <f ca="1"/>
        <v>7.0000000000000009</v>
      </c>
      <c r="D23" s="26">
        <f ca="1"/>
        <v>7.0000000000000009</v>
      </c>
      <c r="E23" s="26">
        <f ca="1"/>
        <v>7.0000000000000009</v>
      </c>
    </row>
    <row r="24" spans="1:5" x14ac:dyDescent="0.2">
      <c r="A24" s="14" t="str">
        <v>AF</v>
      </c>
      <c r="B24" s="26">
        <f ca="1"/>
        <v>7.0000000000000009</v>
      </c>
      <c r="C24" s="26">
        <f ca="1"/>
        <v>7.0000000000000009</v>
      </c>
      <c r="D24" s="26">
        <f ca="1"/>
        <v>7.0000000000000009</v>
      </c>
      <c r="E24" s="26">
        <f ca="1"/>
        <v>7.0000000000000009</v>
      </c>
    </row>
    <row r="25" spans="1:5" x14ac:dyDescent="0.2">
      <c r="A25" s="14" t="str">
        <v>LA</v>
      </c>
      <c r="B25" s="26">
        <f ca="1"/>
        <v>7.0000000000000009</v>
      </c>
      <c r="C25" s="26">
        <f ca="1"/>
        <v>7.0000000000000009</v>
      </c>
      <c r="D25" s="26">
        <f ca="1"/>
        <v>7.0000000000000009</v>
      </c>
      <c r="E25" s="26">
        <f ca="1"/>
        <v>7.0000000000000009</v>
      </c>
    </row>
    <row r="26" spans="1:5" x14ac:dyDescent="0.2">
      <c r="A26" s="4"/>
      <c r="B26" s="4" t="str">
        <f>'Library data'!$G$131</f>
        <v>% relative to RCP8.5</v>
      </c>
      <c r="C26" s="4" t="str">
        <f>'Library data'!$G$138</f>
        <v>% relative to RCP8.5</v>
      </c>
      <c r="D26" s="4" t="str">
        <f>'Library data'!$G$138</f>
        <v>% relative to RCP8.5</v>
      </c>
      <c r="E26" s="4" t="str">
        <f>'Library data'!$G$138</f>
        <v>% relative to RCP8.5</v>
      </c>
    </row>
    <row r="28" spans="1:5" s="3" customFormat="1" x14ac:dyDescent="0.2">
      <c r="A28" s="58" t="s">
        <v>274</v>
      </c>
      <c r="B28" s="4"/>
      <c r="C28" s="4"/>
      <c r="D28" s="4"/>
      <c r="E28" s="4"/>
    </row>
    <row r="29" spans="1:5" x14ac:dyDescent="0.2">
      <c r="A29" s="4"/>
      <c r="B29" s="58" t="s">
        <v>12</v>
      </c>
      <c r="C29" s="58" t="s">
        <v>13</v>
      </c>
      <c r="D29" s="58" t="s">
        <v>144</v>
      </c>
      <c r="E29" s="4" t="str">
        <f>GLIN_NAME</f>
        <v>Lin</v>
      </c>
    </row>
    <row r="30" spans="1:5" x14ac:dyDescent="0.2">
      <c r="A30" s="4"/>
      <c r="B30" s="72" t="s">
        <v>275</v>
      </c>
      <c r="C30" s="72" t="s">
        <v>276</v>
      </c>
      <c r="D30" s="72" t="s">
        <v>277</v>
      </c>
      <c r="E30" s="72" t="s">
        <v>278</v>
      </c>
    </row>
    <row r="31" spans="1:5" x14ac:dyDescent="0.2">
      <c r="A31" s="14" t="str">
        <f t="array" ref="A31:A38">R_CODE</f>
        <v>EU</v>
      </c>
      <c r="B31" s="26">
        <f ca="1">CMAX_INIT_CO2_1</f>
        <v>150</v>
      </c>
      <c r="C31" s="26">
        <f ca="1">CMAX_INIT_CH4_1</f>
        <v>7283.333333333333</v>
      </c>
      <c r="D31" s="26">
        <f ca="1">CMAX_INIT_N2O_1</f>
        <v>31433.333333333332</v>
      </c>
      <c r="E31" s="26">
        <f ca="1">CMAX_INIT_GLIN_1</f>
        <v>383.33333333333331</v>
      </c>
    </row>
    <row r="32" spans="1:5" x14ac:dyDescent="0.2">
      <c r="A32" s="14" t="str">
        <v>US</v>
      </c>
      <c r="B32" s="26">
        <f t="array" aca="1" ref="B32:B38" ca="1">CMAX_INIT_CO2_1*CMAXF</f>
        <v>150</v>
      </c>
      <c r="C32" s="26">
        <f t="array" aca="1" ref="C32:C38" ca="1">CMAX_INIT_CH4_1*CMAXF</f>
        <v>7283.333333333333</v>
      </c>
      <c r="D32" s="26">
        <f t="array" aca="1" ref="D32:D38" ca="1">CMAX_INIT_N2O_1*CMAXF</f>
        <v>31433.333333333332</v>
      </c>
      <c r="E32" s="26">
        <f t="array" aca="1" ref="E32:E38" ca="1">CMAX_INIT_GLIN_1*CMAXF</f>
        <v>383.33333333333331</v>
      </c>
    </row>
    <row r="33" spans="1:13" x14ac:dyDescent="0.2">
      <c r="A33" s="14" t="str">
        <v>OT</v>
      </c>
      <c r="B33" s="26">
        <f ca="1"/>
        <v>185</v>
      </c>
      <c r="C33" s="26">
        <f ca="1"/>
        <v>8982.7777777777774</v>
      </c>
      <c r="D33" s="26">
        <f ca="1"/>
        <v>38767.777777777781</v>
      </c>
      <c r="E33" s="26">
        <f ca="1"/>
        <v>472.77777777777777</v>
      </c>
    </row>
    <row r="34" spans="1:13" x14ac:dyDescent="0.2">
      <c r="A34" s="14" t="str">
        <v>EE</v>
      </c>
      <c r="B34" s="26">
        <f ca="1"/>
        <v>105.00000000000001</v>
      </c>
      <c r="C34" s="26">
        <f ca="1"/>
        <v>5098.3333333333339</v>
      </c>
      <c r="D34" s="26">
        <f ca="1"/>
        <v>22003.333333333336</v>
      </c>
      <c r="E34" s="26">
        <f ca="1"/>
        <v>268.33333333333337</v>
      </c>
    </row>
    <row r="35" spans="1:13" x14ac:dyDescent="0.2">
      <c r="A35" s="14" t="str">
        <v>CA</v>
      </c>
      <c r="B35" s="26">
        <f ca="1"/>
        <v>150</v>
      </c>
      <c r="C35" s="26">
        <f ca="1"/>
        <v>7283.333333333333</v>
      </c>
      <c r="D35" s="26">
        <f ca="1"/>
        <v>31433.333333333332</v>
      </c>
      <c r="E35" s="26">
        <f ca="1"/>
        <v>383.33333333333331</v>
      </c>
    </row>
    <row r="36" spans="1:13" x14ac:dyDescent="0.2">
      <c r="A36" s="14" t="str">
        <v>IA</v>
      </c>
      <c r="B36" s="26">
        <f ca="1"/>
        <v>185</v>
      </c>
      <c r="C36" s="26">
        <f ca="1"/>
        <v>8982.7777777777774</v>
      </c>
      <c r="D36" s="26">
        <f ca="1"/>
        <v>38767.777777777781</v>
      </c>
      <c r="E36" s="26">
        <f ca="1"/>
        <v>472.77777777777777</v>
      </c>
    </row>
    <row r="37" spans="1:13" x14ac:dyDescent="0.2">
      <c r="A37" s="14" t="str">
        <v>AF</v>
      </c>
      <c r="B37" s="26">
        <f ca="1"/>
        <v>185</v>
      </c>
      <c r="C37" s="26">
        <f ca="1"/>
        <v>8982.7777777777774</v>
      </c>
      <c r="D37" s="26">
        <f ca="1"/>
        <v>38767.777777777781</v>
      </c>
      <c r="E37" s="26">
        <f ca="1"/>
        <v>472.77777777777777</v>
      </c>
    </row>
    <row r="38" spans="1:13" x14ac:dyDescent="0.2">
      <c r="A38" s="14" t="str">
        <v>LA</v>
      </c>
      <c r="B38" s="26">
        <f ca="1"/>
        <v>105.00000000000001</v>
      </c>
      <c r="C38" s="26">
        <f ca="1"/>
        <v>5098.3333333333339</v>
      </c>
      <c r="D38" s="26">
        <f ca="1"/>
        <v>22003.333333333336</v>
      </c>
      <c r="E38" s="26">
        <f ca="1"/>
        <v>268.33333333333337</v>
      </c>
    </row>
    <row r="39" spans="1:13" x14ac:dyDescent="0.2">
      <c r="A39" s="4"/>
      <c r="B39" s="4" t="str">
        <f>CURRENCY_NAME&amp;" per "&amp;EMIT_NAME</f>
        <v>$M(2015) per Mtonne</v>
      </c>
      <c r="C39" s="4" t="str">
        <f>CURRENCY_NAME&amp;" per "&amp;EMIT_NAME</f>
        <v>$M(2015) per Mtonne</v>
      </c>
      <c r="D39" s="4" t="str">
        <f>CURRENCY_NAME&amp;" per "&amp;EMIT_NAME</f>
        <v>$M(2015) per Mtonne</v>
      </c>
      <c r="E39" s="4" t="str">
        <f>CURRENCY_NAME&amp;" per "&amp;EMIT_NAME</f>
        <v>$M(2015) per Mtonne</v>
      </c>
    </row>
    <row r="40" spans="1:13" x14ac:dyDescent="0.2">
      <c r="A40" s="4"/>
      <c r="B40" s="4"/>
      <c r="C40" s="4"/>
      <c r="D40" s="4"/>
      <c r="E40" s="4"/>
    </row>
    <row r="41" spans="1:13" x14ac:dyDescent="0.2">
      <c r="B41">
        <f t="array" ref="B41:K41">Y</f>
        <v>2020</v>
      </c>
      <c r="C41">
        <v>2025</v>
      </c>
      <c r="D41">
        <v>2030</v>
      </c>
      <c r="E41">
        <v>2040</v>
      </c>
      <c r="F41">
        <v>2050</v>
      </c>
      <c r="G41">
        <v>2060</v>
      </c>
      <c r="H41">
        <v>2070</v>
      </c>
      <c r="I41">
        <v>2080</v>
      </c>
      <c r="J41">
        <v>2090</v>
      </c>
      <c r="K41">
        <v>2100</v>
      </c>
    </row>
    <row r="42" spans="1:13" s="4" customFormat="1" x14ac:dyDescent="0.2">
      <c r="A42" s="4" t="s">
        <v>57</v>
      </c>
      <c r="B42" s="12">
        <f t="array" ref="B42:K42">YP</f>
        <v>5</v>
      </c>
      <c r="C42" s="12">
        <v>5</v>
      </c>
      <c r="D42" s="12">
        <v>5</v>
      </c>
      <c r="E42" s="12">
        <v>10</v>
      </c>
      <c r="F42" s="12">
        <v>10</v>
      </c>
      <c r="G42" s="12">
        <v>10</v>
      </c>
      <c r="H42" s="12">
        <v>10</v>
      </c>
      <c r="I42" s="12">
        <v>10</v>
      </c>
      <c r="J42" s="12">
        <v>10</v>
      </c>
      <c r="K42" s="12">
        <v>10</v>
      </c>
      <c r="M42" s="4" t="s">
        <v>39</v>
      </c>
    </row>
    <row r="43" spans="1:13" s="4" customFormat="1" x14ac:dyDescent="0.2">
      <c r="A43" s="4" t="s">
        <v>82</v>
      </c>
      <c r="B43" s="14">
        <f t="array" ref="B43:K43">Y_HI</f>
        <v>2022.5</v>
      </c>
      <c r="C43" s="14">
        <v>2027.5</v>
      </c>
      <c r="D43" s="14">
        <v>2035</v>
      </c>
      <c r="E43" s="14">
        <v>2045</v>
      </c>
      <c r="F43" s="14">
        <v>2055</v>
      </c>
      <c r="G43" s="14">
        <v>2065</v>
      </c>
      <c r="H43" s="14">
        <v>2075</v>
      </c>
      <c r="I43" s="14">
        <v>2085</v>
      </c>
      <c r="J43" s="14">
        <v>2095</v>
      </c>
      <c r="K43" s="14">
        <v>2100</v>
      </c>
    </row>
    <row r="44" spans="1:13" s="4" customFormat="1" x14ac:dyDescent="0.2">
      <c r="A44" s="4" t="s">
        <v>83</v>
      </c>
      <c r="B44" s="14">
        <f t="array" ref="B44:K44">Y_LO</f>
        <v>2015</v>
      </c>
      <c r="C44" s="14">
        <v>2022.5</v>
      </c>
      <c r="D44" s="14">
        <v>2027.5</v>
      </c>
      <c r="E44" s="14">
        <v>2035</v>
      </c>
      <c r="F44" s="14">
        <v>2045</v>
      </c>
      <c r="G44" s="14">
        <v>2055</v>
      </c>
      <c r="H44" s="14">
        <v>2065</v>
      </c>
      <c r="I44" s="14">
        <v>2075</v>
      </c>
      <c r="J44" s="14">
        <v>2085</v>
      </c>
      <c r="K44" s="14">
        <v>2095</v>
      </c>
    </row>
    <row r="45" spans="1:13" s="4" customFormat="1" x14ac:dyDescent="0.2">
      <c r="A45" s="4" t="s">
        <v>81</v>
      </c>
      <c r="B45" s="65">
        <f t="array" ref="B45:K45">YAGG</f>
        <v>7.5</v>
      </c>
      <c r="C45" s="65">
        <v>5</v>
      </c>
      <c r="D45" s="65">
        <v>7.5</v>
      </c>
      <c r="E45" s="65">
        <v>10</v>
      </c>
      <c r="F45" s="65">
        <v>10</v>
      </c>
      <c r="G45" s="65">
        <v>10</v>
      </c>
      <c r="H45" s="65">
        <v>10</v>
      </c>
      <c r="I45" s="65">
        <v>10</v>
      </c>
      <c r="J45" s="65">
        <v>10</v>
      </c>
      <c r="K45" s="65">
        <v>5</v>
      </c>
      <c r="M45" s="4" t="s">
        <v>39</v>
      </c>
    </row>
    <row r="46" spans="1:13" ht="16.5" thickBot="1" x14ac:dyDescent="0.35">
      <c r="A46" t="s">
        <v>99</v>
      </c>
      <c r="B46" s="15">
        <f t="array" ref="B46:K46">Y-Y_0</f>
        <v>5</v>
      </c>
      <c r="C46" s="15">
        <v>10</v>
      </c>
      <c r="D46" s="15">
        <v>15</v>
      </c>
      <c r="E46" s="15">
        <v>25</v>
      </c>
      <c r="F46" s="15">
        <v>35</v>
      </c>
      <c r="G46" s="15">
        <v>45</v>
      </c>
      <c r="H46" s="15">
        <v>55</v>
      </c>
      <c r="I46" s="15">
        <v>65</v>
      </c>
      <c r="J46" s="15">
        <v>75</v>
      </c>
      <c r="K46" s="15">
        <v>85</v>
      </c>
      <c r="M46" t="s">
        <v>39</v>
      </c>
    </row>
    <row r="47" spans="1:13" ht="13.5" thickTop="1" x14ac:dyDescent="0.2"/>
    <row r="48" spans="1:13" s="2" customFormat="1" ht="14.25" x14ac:dyDescent="0.25">
      <c r="A48" s="2" t="s">
        <v>100</v>
      </c>
      <c r="B48" s="5" t="s">
        <v>101</v>
      </c>
    </row>
    <row r="49" spans="1:18" s="4" customFormat="1" x14ac:dyDescent="0.2">
      <c r="A49" s="4" t="str">
        <f t="array" ref="A49:A56">R_CODE&amp;" "&amp;'Base data'!$B$12</f>
        <v>EU CO2</v>
      </c>
      <c r="B49" s="12">
        <f t="array" aca="1" ref="B49:K56" ca="1">(1+(EMIT_CO2/100)*(YMINUSY0/YMINUSY0_LAST))*BAU_CO2</f>
        <v>105.7614624760196</v>
      </c>
      <c r="C49" s="12">
        <f ca="1"/>
        <v>112.04273967275601</v>
      </c>
      <c r="D49" s="12">
        <f ca="1"/>
        <v>118.12028041014563</v>
      </c>
      <c r="E49" s="12">
        <f ca="1"/>
        <v>136.84356212853319</v>
      </c>
      <c r="F49" s="12">
        <f ca="1"/>
        <v>159.58291104484172</v>
      </c>
      <c r="G49" s="12">
        <f ca="1"/>
        <v>190.24731508344271</v>
      </c>
      <c r="H49" s="12">
        <f ca="1"/>
        <v>220.4401377567321</v>
      </c>
      <c r="I49" s="12">
        <f ca="1"/>
        <v>238.79333084438937</v>
      </c>
      <c r="J49" s="12">
        <f ca="1"/>
        <v>240.01880017910221</v>
      </c>
      <c r="K49" s="12">
        <f ca="1"/>
        <v>242.28012169148846</v>
      </c>
      <c r="M49" s="4" t="str">
        <f>'Library data'!$G$131</f>
        <v>% relative to RCP8.5</v>
      </c>
    </row>
    <row r="50" spans="1:18" s="4" customFormat="1" x14ac:dyDescent="0.2">
      <c r="A50" s="4" t="str">
        <v>US CO2</v>
      </c>
      <c r="B50" s="14">
        <f ca="1"/>
        <v>105.24891744834873</v>
      </c>
      <c r="C50" s="14">
        <f ca="1"/>
        <v>119.27531526463481</v>
      </c>
      <c r="D50" s="14">
        <f ca="1"/>
        <v>132.89236694059466</v>
      </c>
      <c r="E50" s="14">
        <f ca="1"/>
        <v>160.90875482437556</v>
      </c>
      <c r="F50" s="14">
        <f ca="1"/>
        <v>190.55975377877101</v>
      </c>
      <c r="G50" s="14">
        <f ca="1"/>
        <v>226.16382074933486</v>
      </c>
      <c r="H50" s="14">
        <f ca="1"/>
        <v>243.40570836464551</v>
      </c>
      <c r="I50" s="14">
        <f ca="1"/>
        <v>258.92718885725355</v>
      </c>
      <c r="J50" s="14">
        <f ca="1"/>
        <v>244.78073838512145</v>
      </c>
      <c r="K50" s="14">
        <f ca="1"/>
        <v>222.49301904789684</v>
      </c>
      <c r="M50" s="4" t="str">
        <f>'Library data'!$G$131</f>
        <v>% relative to RCP8.5</v>
      </c>
    </row>
    <row r="51" spans="1:18" s="4" customFormat="1" x14ac:dyDescent="0.2">
      <c r="A51" s="4" t="str">
        <v>OT CO2</v>
      </c>
      <c r="B51" s="14">
        <f ca="1"/>
        <v>105.7614624760196</v>
      </c>
      <c r="C51" s="14">
        <f ca="1"/>
        <v>112.04273967275601</v>
      </c>
      <c r="D51" s="14">
        <f ca="1"/>
        <v>118.12028041014563</v>
      </c>
      <c r="E51" s="14">
        <f ca="1"/>
        <v>136.84356212853319</v>
      </c>
      <c r="F51" s="14">
        <f ca="1"/>
        <v>159.58291104484172</v>
      </c>
      <c r="G51" s="14">
        <f ca="1"/>
        <v>190.24731508344271</v>
      </c>
      <c r="H51" s="14">
        <f ca="1"/>
        <v>220.4401377567321</v>
      </c>
      <c r="I51" s="14">
        <f ca="1"/>
        <v>238.79333084438937</v>
      </c>
      <c r="J51" s="14">
        <f ca="1"/>
        <v>240.01880017910221</v>
      </c>
      <c r="K51" s="14">
        <f ca="1"/>
        <v>242.28012169148846</v>
      </c>
      <c r="M51" s="4" t="str">
        <f>'Library data'!$G$131</f>
        <v>% relative to RCP8.5</v>
      </c>
    </row>
    <row r="52" spans="1:18" s="4" customFormat="1" x14ac:dyDescent="0.2">
      <c r="A52" s="4" t="str">
        <v>EE CO2</v>
      </c>
      <c r="B52" s="14">
        <f ca="1"/>
        <v>104.24893843838623</v>
      </c>
      <c r="C52" s="14">
        <f ca="1"/>
        <v>110.92691670371852</v>
      </c>
      <c r="D52" s="14">
        <f ca="1"/>
        <v>117.39114503969563</v>
      </c>
      <c r="E52" s="14">
        <f ca="1"/>
        <v>140.65453270331665</v>
      </c>
      <c r="F52" s="14">
        <f ca="1"/>
        <v>168.06158714035647</v>
      </c>
      <c r="G52" s="14">
        <f ca="1"/>
        <v>196.65060982772764</v>
      </c>
      <c r="H52" s="14">
        <f ca="1"/>
        <v>207.47515376836057</v>
      </c>
      <c r="I52" s="14">
        <f ca="1"/>
        <v>194.39328457652175</v>
      </c>
      <c r="J52" s="14">
        <f ca="1"/>
        <v>167.71868107979734</v>
      </c>
      <c r="K52" s="14">
        <f ca="1"/>
        <v>141.50739324128344</v>
      </c>
      <c r="M52" s="4" t="str">
        <f>'Library data'!$G$131</f>
        <v>% relative to RCP8.5</v>
      </c>
    </row>
    <row r="53" spans="1:18" s="4" customFormat="1" x14ac:dyDescent="0.2">
      <c r="A53" s="4" t="str">
        <v>CA CO2</v>
      </c>
      <c r="B53" s="14">
        <f ca="1"/>
        <v>107.22590817325312</v>
      </c>
      <c r="C53" s="14">
        <f ca="1"/>
        <v>118.04645093551567</v>
      </c>
      <c r="D53" s="14">
        <f ca="1"/>
        <v>128.54213858488822</v>
      </c>
      <c r="E53" s="14">
        <f ca="1"/>
        <v>147.95661151698624</v>
      </c>
      <c r="F53" s="14">
        <f ca="1"/>
        <v>154.6526163317665</v>
      </c>
      <c r="G53" s="14">
        <f ca="1"/>
        <v>159.63848677141772</v>
      </c>
      <c r="H53" s="14">
        <f ca="1"/>
        <v>158.23053780751826</v>
      </c>
      <c r="I53" s="14">
        <f ca="1"/>
        <v>144.54407135773079</v>
      </c>
      <c r="J53" s="14">
        <f ca="1"/>
        <v>118.30896660050253</v>
      </c>
      <c r="K53" s="14">
        <f ca="1"/>
        <v>91.334950494164005</v>
      </c>
      <c r="M53" s="4" t="str">
        <f>'Library data'!$G$131</f>
        <v>% relative to RCP8.5</v>
      </c>
    </row>
    <row r="54" spans="1:18" s="4" customFormat="1" x14ac:dyDescent="0.2">
      <c r="A54" s="4" t="str">
        <v>IA CO2</v>
      </c>
      <c r="B54" s="14">
        <f ca="1"/>
        <v>119.92608604191598</v>
      </c>
      <c r="C54" s="14">
        <f ca="1"/>
        <v>143.88439476161824</v>
      </c>
      <c r="D54" s="14">
        <f ca="1"/>
        <v>167.16435311141498</v>
      </c>
      <c r="E54" s="14">
        <f ca="1"/>
        <v>231.57243399348192</v>
      </c>
      <c r="F54" s="14">
        <f ca="1"/>
        <v>309.53400219959292</v>
      </c>
      <c r="G54" s="14">
        <f ca="1"/>
        <v>390.38103262503648</v>
      </c>
      <c r="H54" s="14">
        <f ca="1"/>
        <v>465.75697185778012</v>
      </c>
      <c r="I54" s="14">
        <f ca="1"/>
        <v>525.23524823580954</v>
      </c>
      <c r="J54" s="14">
        <f ca="1"/>
        <v>529.25692639349018</v>
      </c>
      <c r="K54" s="14">
        <f ca="1"/>
        <v>499.92191281586724</v>
      </c>
      <c r="M54" s="4" t="str">
        <f>'Library data'!$G$131</f>
        <v>% relative to RCP8.5</v>
      </c>
    </row>
    <row r="55" spans="1:18" s="4" customFormat="1" x14ac:dyDescent="0.2">
      <c r="A55" s="4" t="str">
        <v>AF CO2</v>
      </c>
      <c r="B55" s="14">
        <f ca="1"/>
        <v>119.77061147174298</v>
      </c>
      <c r="C55" s="14">
        <f ca="1"/>
        <v>138.39198370764734</v>
      </c>
      <c r="D55" s="14">
        <f ca="1"/>
        <v>156.47686239431476</v>
      </c>
      <c r="E55" s="14">
        <f ca="1"/>
        <v>228.62790641008166</v>
      </c>
      <c r="F55" s="14">
        <f ca="1"/>
        <v>336.00194370422895</v>
      </c>
      <c r="G55" s="14">
        <f ca="1"/>
        <v>480.37627357281241</v>
      </c>
      <c r="H55" s="14">
        <f ca="1"/>
        <v>623.28007121371252</v>
      </c>
      <c r="I55" s="14">
        <f ca="1"/>
        <v>744.12703857462395</v>
      </c>
      <c r="J55" s="14">
        <f ca="1"/>
        <v>784.7808082470325</v>
      </c>
      <c r="K55" s="14">
        <f ca="1"/>
        <v>786.03173184290483</v>
      </c>
      <c r="M55" s="4" t="str">
        <f>'Library data'!$G$131</f>
        <v>% relative to RCP8.5</v>
      </c>
    </row>
    <row r="56" spans="1:18" s="4" customFormat="1" ht="13.5" thickBot="1" x14ac:dyDescent="0.25">
      <c r="A56" s="4" t="str">
        <v>LA CO2</v>
      </c>
      <c r="B56" s="16">
        <f ca="1"/>
        <v>116.3365855153737</v>
      </c>
      <c r="C56" s="16">
        <f ca="1"/>
        <v>138.38044058976976</v>
      </c>
      <c r="D56" s="16">
        <f ca="1"/>
        <v>159.79806284349434</v>
      </c>
      <c r="E56" s="16">
        <f ca="1"/>
        <v>207.31362008061376</v>
      </c>
      <c r="F56" s="16">
        <f ca="1"/>
        <v>244.03866473515276</v>
      </c>
      <c r="G56" s="16">
        <f ca="1"/>
        <v>271.17169480255291</v>
      </c>
      <c r="H56" s="16">
        <f ca="1"/>
        <v>289.61476880329616</v>
      </c>
      <c r="I56" s="16">
        <f ca="1"/>
        <v>291.58026720004676</v>
      </c>
      <c r="J56" s="16">
        <f ca="1"/>
        <v>274.25146372473444</v>
      </c>
      <c r="K56" s="16">
        <f ca="1"/>
        <v>255.1598613891322</v>
      </c>
      <c r="M56" s="4" t="str">
        <f>'Library data'!$G$131</f>
        <v>% relative to RCP8.5</v>
      </c>
    </row>
    <row r="57" spans="1:18" s="5" customFormat="1" ht="15" thickTop="1" x14ac:dyDescent="0.25">
      <c r="A57" s="5" t="s">
        <v>100</v>
      </c>
      <c r="B57" s="5" t="s">
        <v>102</v>
      </c>
      <c r="Q57" s="2"/>
      <c r="R57" s="2"/>
    </row>
    <row r="58" spans="1:18" s="4" customFormat="1" x14ac:dyDescent="0.2">
      <c r="A58" s="4" t="str">
        <f t="array" ref="A58:A65">R_CODE&amp;" "&amp;'Base data'!$C$12</f>
        <v>EU CH4</v>
      </c>
      <c r="B58" s="12">
        <f t="array" aca="1" ref="B58:K65" ca="1">(1+(EMIT_CH4/100)*(YMINUSY0/YMINUSY0_LAST))*BAU_CH4</f>
        <v>98.093703842097995</v>
      </c>
      <c r="C58" s="12">
        <f ca="1"/>
        <v>102.6459359446724</v>
      </c>
      <c r="D58" s="12">
        <f ca="1"/>
        <v>106.96375405536186</v>
      </c>
      <c r="E58" s="12">
        <f ca="1"/>
        <v>121.61783264177042</v>
      </c>
      <c r="F58" s="12">
        <f ca="1"/>
        <v>133.06439406818913</v>
      </c>
      <c r="G58" s="12">
        <f ca="1"/>
        <v>132.52281763291998</v>
      </c>
      <c r="H58" s="12">
        <f ca="1"/>
        <v>133.82551745916643</v>
      </c>
      <c r="I58" s="12">
        <f ca="1"/>
        <v>130.45829319964955</v>
      </c>
      <c r="J58" s="12">
        <f ca="1"/>
        <v>143.38307149390363</v>
      </c>
      <c r="K58" s="12">
        <f ca="1"/>
        <v>125.14607435186188</v>
      </c>
      <c r="M58" s="4" t="str">
        <f>'Library data'!$G$138</f>
        <v>% relative to RCP8.5</v>
      </c>
    </row>
    <row r="59" spans="1:18" s="4" customFormat="1" x14ac:dyDescent="0.2">
      <c r="A59" s="4" t="str">
        <v>US CH4</v>
      </c>
      <c r="B59" s="14">
        <f ca="1"/>
        <v>93.981304307516609</v>
      </c>
      <c r="C59" s="14">
        <f ca="1"/>
        <v>100.0080846065283</v>
      </c>
      <c r="D59" s="14">
        <f ca="1"/>
        <v>105.74864726686377</v>
      </c>
      <c r="E59" s="14">
        <f ca="1"/>
        <v>120.73724640120862</v>
      </c>
      <c r="F59" s="14">
        <f ca="1"/>
        <v>134.37058942623398</v>
      </c>
      <c r="G59" s="14">
        <f ca="1"/>
        <v>135.87283266536042</v>
      </c>
      <c r="H59" s="14">
        <f ca="1"/>
        <v>124.77528272055531</v>
      </c>
      <c r="I59" s="14">
        <f ca="1"/>
        <v>124.40719215068938</v>
      </c>
      <c r="J59" s="14">
        <f ca="1"/>
        <v>120.87740076105125</v>
      </c>
      <c r="K59" s="14">
        <f ca="1"/>
        <v>111.43135165324422</v>
      </c>
      <c r="M59" s="4" t="str">
        <f>'Library data'!$G$138</f>
        <v>% relative to RCP8.5</v>
      </c>
    </row>
    <row r="60" spans="1:18" s="4" customFormat="1" x14ac:dyDescent="0.2">
      <c r="A60" s="4" t="str">
        <v>OT CH4</v>
      </c>
      <c r="B60" s="14">
        <f ca="1"/>
        <v>98.60121062138613</v>
      </c>
      <c r="C60" s="14">
        <f ca="1"/>
        <v>100.57439033732567</v>
      </c>
      <c r="D60" s="14">
        <f ca="1"/>
        <v>102.40825762490056</v>
      </c>
      <c r="E60" s="14">
        <f ca="1"/>
        <v>120.70288293514021</v>
      </c>
      <c r="F60" s="14">
        <f ca="1"/>
        <v>135.84106840480513</v>
      </c>
      <c r="G60" s="14">
        <f ca="1"/>
        <v>138.32835525009301</v>
      </c>
      <c r="H60" s="14">
        <f ca="1"/>
        <v>122.07059014336349</v>
      </c>
      <c r="I60" s="14">
        <f ca="1"/>
        <v>105.90349971761182</v>
      </c>
      <c r="J60" s="14">
        <f ca="1"/>
        <v>100.22493132540748</v>
      </c>
      <c r="K60" s="14">
        <f ca="1"/>
        <v>132.76597462386391</v>
      </c>
      <c r="M60" s="4" t="str">
        <f>'Library data'!$G$138</f>
        <v>% relative to RCP8.5</v>
      </c>
    </row>
    <row r="61" spans="1:18" s="4" customFormat="1" x14ac:dyDescent="0.2">
      <c r="A61" s="4" t="str">
        <v>EE CH4</v>
      </c>
      <c r="B61" s="14">
        <f ca="1"/>
        <v>101.06055438600109</v>
      </c>
      <c r="C61" s="14">
        <f ca="1"/>
        <v>103.8047030574443</v>
      </c>
      <c r="D61" s="14">
        <f ca="1"/>
        <v>106.37935466385352</v>
      </c>
      <c r="E61" s="14">
        <f ca="1"/>
        <v>118.54453781191795</v>
      </c>
      <c r="F61" s="14">
        <f ca="1"/>
        <v>134.12089257124464</v>
      </c>
      <c r="G61" s="14">
        <f ca="1"/>
        <v>147.50680107888903</v>
      </c>
      <c r="H61" s="14">
        <f ca="1"/>
        <v>159.22551996040028</v>
      </c>
      <c r="I61" s="14">
        <f ca="1"/>
        <v>168.34278486269889</v>
      </c>
      <c r="J61" s="14">
        <f ca="1"/>
        <v>165.42490487045367</v>
      </c>
      <c r="K61" s="14">
        <f ca="1"/>
        <v>155.48263657216253</v>
      </c>
      <c r="M61" s="4" t="str">
        <f>'Library data'!$G$138</f>
        <v>% relative to RCP8.5</v>
      </c>
    </row>
    <row r="62" spans="1:18" s="4" customFormat="1" x14ac:dyDescent="0.2">
      <c r="A62" s="4" t="str">
        <v>CA CH4</v>
      </c>
      <c r="B62" s="14">
        <f ca="1"/>
        <v>83.240768694906507</v>
      </c>
      <c r="C62" s="14">
        <f ca="1"/>
        <v>73.451769506569917</v>
      </c>
      <c r="D62" s="14">
        <f ca="1"/>
        <v>63.969066891312366</v>
      </c>
      <c r="E62" s="14">
        <f ca="1"/>
        <v>59.378029271428339</v>
      </c>
      <c r="F62" s="14">
        <f ca="1"/>
        <v>53.199858574192326</v>
      </c>
      <c r="G62" s="14">
        <f ca="1"/>
        <v>49.828610251756906</v>
      </c>
      <c r="H62" s="14">
        <f ca="1"/>
        <v>46.419808320319959</v>
      </c>
      <c r="I62" s="14">
        <f ca="1"/>
        <v>36.690024876157757</v>
      </c>
      <c r="J62" s="14">
        <f ca="1"/>
        <v>29.970830727041566</v>
      </c>
      <c r="K62" s="14">
        <f ca="1"/>
        <v>24.607815859844028</v>
      </c>
      <c r="M62" s="4" t="str">
        <f>'Library data'!$G$138</f>
        <v>% relative to RCP8.5</v>
      </c>
    </row>
    <row r="63" spans="1:18" s="4" customFormat="1" x14ac:dyDescent="0.2">
      <c r="A63" s="4" t="str">
        <v>IA CH4</v>
      </c>
      <c r="B63" s="14">
        <f ca="1"/>
        <v>97.861113396248328</v>
      </c>
      <c r="C63" s="14">
        <f ca="1"/>
        <v>97.98113990969216</v>
      </c>
      <c r="D63" s="14">
        <f ca="1"/>
        <v>98.030931053765812</v>
      </c>
      <c r="E63" s="14">
        <f ca="1"/>
        <v>99.671176382204877</v>
      </c>
      <c r="F63" s="14">
        <f ca="1"/>
        <v>100.78204824202565</v>
      </c>
      <c r="G63" s="14">
        <f ca="1"/>
        <v>76.206551829490536</v>
      </c>
      <c r="H63" s="14">
        <f ca="1"/>
        <v>61.004158074094278</v>
      </c>
      <c r="I63" s="14">
        <f ca="1"/>
        <v>45.39104395441845</v>
      </c>
      <c r="J63" s="14">
        <f ca="1"/>
        <v>37.7599336873173</v>
      </c>
      <c r="K63" s="14">
        <f ca="1"/>
        <v>31.647187030249416</v>
      </c>
      <c r="M63" s="4" t="str">
        <f>'Library data'!$G$138</f>
        <v>% relative to RCP8.5</v>
      </c>
    </row>
    <row r="64" spans="1:18" s="4" customFormat="1" x14ac:dyDescent="0.2">
      <c r="A64" s="4" t="str">
        <v>AF CH4</v>
      </c>
      <c r="B64" s="14">
        <f ca="1"/>
        <v>119.83814970832637</v>
      </c>
      <c r="C64" s="14">
        <f ca="1"/>
        <v>150.22298961848031</v>
      </c>
      <c r="D64" s="14">
        <f ca="1"/>
        <v>179.40281132587739</v>
      </c>
      <c r="E64" s="14">
        <f ca="1"/>
        <v>251.32182950594023</v>
      </c>
      <c r="F64" s="14">
        <f ca="1"/>
        <v>289.05565154998766</v>
      </c>
      <c r="G64" s="14">
        <f ca="1"/>
        <v>302.81399058085771</v>
      </c>
      <c r="H64" s="14">
        <f ca="1"/>
        <v>304.36406993916205</v>
      </c>
      <c r="I64" s="14">
        <f ca="1"/>
        <v>282.76375201863266</v>
      </c>
      <c r="J64" s="14">
        <f ca="1"/>
        <v>226.34863373771768</v>
      </c>
      <c r="K64" s="14">
        <f ca="1"/>
        <v>190.48969430875033</v>
      </c>
      <c r="M64" s="4" t="str">
        <f>'Library data'!$G$138</f>
        <v>% relative to RCP8.5</v>
      </c>
    </row>
    <row r="65" spans="1:18" s="4" customFormat="1" ht="13.5" thickBot="1" x14ac:dyDescent="0.25">
      <c r="A65" s="4" t="str">
        <v>LA CH4</v>
      </c>
      <c r="B65" s="16">
        <f ca="1"/>
        <v>107.90379621152979</v>
      </c>
      <c r="C65" s="16">
        <f ca="1"/>
        <v>111.98784363931549</v>
      </c>
      <c r="D65" s="16">
        <f ca="1"/>
        <v>115.84820766624154</v>
      </c>
      <c r="E65" s="16">
        <f ca="1"/>
        <v>117.23124011351786</v>
      </c>
      <c r="F65" s="16">
        <f ca="1"/>
        <v>94.070696295226213</v>
      </c>
      <c r="G65" s="16">
        <f ca="1"/>
        <v>84.85030005905783</v>
      </c>
      <c r="H65" s="16">
        <f ca="1"/>
        <v>78.428862388323495</v>
      </c>
      <c r="I65" s="16">
        <f ca="1"/>
        <v>69.474229984757429</v>
      </c>
      <c r="J65" s="16">
        <f ca="1"/>
        <v>53.455563280855124</v>
      </c>
      <c r="K65" s="16">
        <f ca="1"/>
        <v>45.269462326490626</v>
      </c>
      <c r="M65" s="4" t="str">
        <f>'Library data'!$G$138</f>
        <v>% relative to RCP8.5</v>
      </c>
    </row>
    <row r="66" spans="1:18" s="5" customFormat="1" ht="15" thickTop="1" x14ac:dyDescent="0.25">
      <c r="A66" s="5" t="s">
        <v>100</v>
      </c>
      <c r="B66" s="5" t="s">
        <v>125</v>
      </c>
      <c r="Q66" s="2"/>
      <c r="R66" s="2"/>
    </row>
    <row r="67" spans="1:18" s="4" customFormat="1" x14ac:dyDescent="0.2">
      <c r="A67" s="4" t="str">
        <f t="array" ref="A67:A74">R_CODE&amp;" "&amp;'Base data'!$D$12</f>
        <v>EU N2O</v>
      </c>
      <c r="B67" s="12">
        <f t="array" aca="1" ref="B67:K74" ca="1">(1+(EMIT_N2O/100)*(YMINUSY0/YMINUSY0_LAST))*BAU_N2O</f>
        <v>107.19597088899577</v>
      </c>
      <c r="C67" s="12">
        <f ca="1"/>
        <v>110.91130774596382</v>
      </c>
      <c r="D67" s="12">
        <f ca="1"/>
        <v>114.59211328693075</v>
      </c>
      <c r="E67" s="12">
        <f ca="1"/>
        <v>120.22377917711333</v>
      </c>
      <c r="F67" s="12">
        <f ca="1"/>
        <v>117.35439409018809</v>
      </c>
      <c r="G67" s="12">
        <f ca="1"/>
        <v>118.70225372842185</v>
      </c>
      <c r="H67" s="12">
        <f ca="1"/>
        <v>117.66651798122173</v>
      </c>
      <c r="I67" s="12">
        <f ca="1"/>
        <v>117.12197025148407</v>
      </c>
      <c r="J67" s="12">
        <f ca="1"/>
        <v>113.82755287641663</v>
      </c>
      <c r="K67" s="12">
        <f ca="1"/>
        <v>108.57120244954127</v>
      </c>
      <c r="M67" s="4" t="str">
        <f>'Library data'!$G$138</f>
        <v>% relative to RCP8.5</v>
      </c>
    </row>
    <row r="68" spans="1:18" s="4" customFormat="1" x14ac:dyDescent="0.2">
      <c r="A68" s="4" t="str">
        <v>US N2O</v>
      </c>
      <c r="B68" s="14">
        <f ca="1"/>
        <v>107.19597088899577</v>
      </c>
      <c r="C68" s="14">
        <f ca="1"/>
        <v>110.91130774596382</v>
      </c>
      <c r="D68" s="14">
        <f ca="1"/>
        <v>114.59211328693075</v>
      </c>
      <c r="E68" s="14">
        <f ca="1"/>
        <v>120.22377917711333</v>
      </c>
      <c r="F68" s="14">
        <f ca="1"/>
        <v>117.35439409018809</v>
      </c>
      <c r="G68" s="14">
        <f ca="1"/>
        <v>118.70225372842185</v>
      </c>
      <c r="H68" s="14">
        <f ca="1"/>
        <v>117.66651798122173</v>
      </c>
      <c r="I68" s="14">
        <f ca="1"/>
        <v>117.12197025148407</v>
      </c>
      <c r="J68" s="14">
        <f ca="1"/>
        <v>113.82755287641663</v>
      </c>
      <c r="K68" s="14">
        <f ca="1"/>
        <v>108.57120244954127</v>
      </c>
      <c r="M68" s="4" t="str">
        <f>'Library data'!$G$138</f>
        <v>% relative to RCP8.5</v>
      </c>
    </row>
    <row r="69" spans="1:18" s="4" customFormat="1" x14ac:dyDescent="0.2">
      <c r="A69" s="4" t="str">
        <v>OT N2O</v>
      </c>
      <c r="B69" s="14">
        <f ca="1"/>
        <v>107.19597088899577</v>
      </c>
      <c r="C69" s="14">
        <f ca="1"/>
        <v>110.91130774596382</v>
      </c>
      <c r="D69" s="14">
        <f ca="1"/>
        <v>114.59211328693075</v>
      </c>
      <c r="E69" s="14">
        <f ca="1"/>
        <v>120.22377917711333</v>
      </c>
      <c r="F69" s="14">
        <f ca="1"/>
        <v>117.35439409018809</v>
      </c>
      <c r="G69" s="14">
        <f ca="1"/>
        <v>118.70225372842185</v>
      </c>
      <c r="H69" s="14">
        <f ca="1"/>
        <v>117.66651798122173</v>
      </c>
      <c r="I69" s="14">
        <f ca="1"/>
        <v>117.12197025148407</v>
      </c>
      <c r="J69" s="14">
        <f ca="1"/>
        <v>113.82755287641663</v>
      </c>
      <c r="K69" s="14">
        <f ca="1"/>
        <v>108.57120244954127</v>
      </c>
      <c r="M69" s="4" t="str">
        <f>'Library data'!$G$138</f>
        <v>% relative to RCP8.5</v>
      </c>
    </row>
    <row r="70" spans="1:18" s="4" customFormat="1" x14ac:dyDescent="0.2">
      <c r="A70" s="4" t="str">
        <v>EE N2O</v>
      </c>
      <c r="B70" s="14">
        <f ca="1"/>
        <v>107.19597088899577</v>
      </c>
      <c r="C70" s="14">
        <f ca="1"/>
        <v>110.91130774596382</v>
      </c>
      <c r="D70" s="14">
        <f ca="1"/>
        <v>114.59211328693075</v>
      </c>
      <c r="E70" s="14">
        <f ca="1"/>
        <v>120.22377917711333</v>
      </c>
      <c r="F70" s="14">
        <f ca="1"/>
        <v>117.35439409018809</v>
      </c>
      <c r="G70" s="14">
        <f ca="1"/>
        <v>118.70225372842185</v>
      </c>
      <c r="H70" s="14">
        <f ca="1"/>
        <v>117.66651798122173</v>
      </c>
      <c r="I70" s="14">
        <f ca="1"/>
        <v>117.12197025148407</v>
      </c>
      <c r="J70" s="14">
        <f ca="1"/>
        <v>113.82755287641663</v>
      </c>
      <c r="K70" s="14">
        <f ca="1"/>
        <v>108.57120244954127</v>
      </c>
      <c r="M70" s="4" t="str">
        <f>'Library data'!$G$138</f>
        <v>% relative to RCP8.5</v>
      </c>
    </row>
    <row r="71" spans="1:18" s="4" customFormat="1" x14ac:dyDescent="0.2">
      <c r="A71" s="4" t="str">
        <v>CA N2O</v>
      </c>
      <c r="B71" s="14">
        <f ca="1"/>
        <v>107.19597088899577</v>
      </c>
      <c r="C71" s="14">
        <f ca="1"/>
        <v>110.91130774596382</v>
      </c>
      <c r="D71" s="14">
        <f ca="1"/>
        <v>114.59211328693075</v>
      </c>
      <c r="E71" s="14">
        <f ca="1"/>
        <v>120.22377917711333</v>
      </c>
      <c r="F71" s="14">
        <f ca="1"/>
        <v>117.35439409018809</v>
      </c>
      <c r="G71" s="14">
        <f ca="1"/>
        <v>118.70225372842185</v>
      </c>
      <c r="H71" s="14">
        <f ca="1"/>
        <v>117.66651798122173</v>
      </c>
      <c r="I71" s="14">
        <f ca="1"/>
        <v>117.12197025148407</v>
      </c>
      <c r="J71" s="14">
        <f ca="1"/>
        <v>113.82755287641663</v>
      </c>
      <c r="K71" s="14">
        <f ca="1"/>
        <v>108.57120244954127</v>
      </c>
      <c r="M71" s="4" t="str">
        <f>'Library data'!$G$138</f>
        <v>% relative to RCP8.5</v>
      </c>
    </row>
    <row r="72" spans="1:18" s="4" customFormat="1" x14ac:dyDescent="0.2">
      <c r="A72" s="4" t="str">
        <v>IA N2O</v>
      </c>
      <c r="B72" s="14">
        <f ca="1"/>
        <v>107.19597088899577</v>
      </c>
      <c r="C72" s="14">
        <f ca="1"/>
        <v>110.91130774596382</v>
      </c>
      <c r="D72" s="14">
        <f ca="1"/>
        <v>114.59211328693075</v>
      </c>
      <c r="E72" s="14">
        <f ca="1"/>
        <v>120.22377917711333</v>
      </c>
      <c r="F72" s="14">
        <f ca="1"/>
        <v>117.35439409018809</v>
      </c>
      <c r="G72" s="14">
        <f ca="1"/>
        <v>118.70225372842185</v>
      </c>
      <c r="H72" s="14">
        <f ca="1"/>
        <v>117.66651798122173</v>
      </c>
      <c r="I72" s="14">
        <f ca="1"/>
        <v>117.12197025148407</v>
      </c>
      <c r="J72" s="14">
        <f ca="1"/>
        <v>113.82755287641663</v>
      </c>
      <c r="K72" s="14">
        <f ca="1"/>
        <v>108.57120244954127</v>
      </c>
      <c r="M72" s="4" t="str">
        <f>'Library data'!$G$138</f>
        <v>% relative to RCP8.5</v>
      </c>
    </row>
    <row r="73" spans="1:18" s="4" customFormat="1" x14ac:dyDescent="0.2">
      <c r="A73" s="4" t="str">
        <v>AF N2O</v>
      </c>
      <c r="B73" s="14">
        <f ca="1"/>
        <v>107.19597088899577</v>
      </c>
      <c r="C73" s="14">
        <f ca="1"/>
        <v>110.91130774596382</v>
      </c>
      <c r="D73" s="14">
        <f ca="1"/>
        <v>114.59211328693075</v>
      </c>
      <c r="E73" s="14">
        <f ca="1"/>
        <v>120.22377917711333</v>
      </c>
      <c r="F73" s="14">
        <f ca="1"/>
        <v>117.35439409018809</v>
      </c>
      <c r="G73" s="14">
        <f ca="1"/>
        <v>118.70225372842185</v>
      </c>
      <c r="H73" s="14">
        <f ca="1"/>
        <v>117.66651798122173</v>
      </c>
      <c r="I73" s="14">
        <f ca="1"/>
        <v>117.12197025148407</v>
      </c>
      <c r="J73" s="14">
        <f ca="1"/>
        <v>113.82755287641663</v>
      </c>
      <c r="K73" s="14">
        <f ca="1"/>
        <v>108.57120244954127</v>
      </c>
      <c r="M73" s="4" t="str">
        <f>'Library data'!$G$138</f>
        <v>% relative to RCP8.5</v>
      </c>
    </row>
    <row r="74" spans="1:18" s="4" customFormat="1" ht="13.5" thickBot="1" x14ac:dyDescent="0.25">
      <c r="A74" s="4" t="str">
        <v>LA N2O</v>
      </c>
      <c r="B74" s="16">
        <f ca="1"/>
        <v>107.19597088899577</v>
      </c>
      <c r="C74" s="16">
        <f ca="1"/>
        <v>110.91130774596382</v>
      </c>
      <c r="D74" s="16">
        <f ca="1"/>
        <v>114.59211328693075</v>
      </c>
      <c r="E74" s="16">
        <f ca="1"/>
        <v>120.22377917711333</v>
      </c>
      <c r="F74" s="16">
        <f ca="1"/>
        <v>117.35439409018809</v>
      </c>
      <c r="G74" s="16">
        <f ca="1"/>
        <v>118.70225372842185</v>
      </c>
      <c r="H74" s="16">
        <f ca="1"/>
        <v>117.66651798122173</v>
      </c>
      <c r="I74" s="16">
        <f ca="1"/>
        <v>117.12197025148407</v>
      </c>
      <c r="J74" s="16">
        <f ca="1"/>
        <v>113.82755287641663</v>
      </c>
      <c r="K74" s="16">
        <f ca="1"/>
        <v>108.57120244954127</v>
      </c>
      <c r="M74" s="4" t="str">
        <f>'Library data'!$G$138</f>
        <v>% relative to RCP8.5</v>
      </c>
    </row>
    <row r="75" spans="1:18" s="5" customFormat="1" ht="15" thickTop="1" x14ac:dyDescent="0.25">
      <c r="A75" s="5" t="s">
        <v>100</v>
      </c>
      <c r="B75" s="5" t="s">
        <v>260</v>
      </c>
      <c r="Q75" s="2"/>
      <c r="R75" s="2"/>
    </row>
    <row r="76" spans="1:18" s="4" customFormat="1" x14ac:dyDescent="0.2">
      <c r="A76" s="4" t="str">
        <f t="array" ref="A76:A83">R_CODE&amp;" "&amp;GLIN_NAME</f>
        <v>EU Lin</v>
      </c>
      <c r="B76" s="12">
        <f t="array" aca="1" ref="B76:K83" ca="1">(1+(EMIT_GLIN/100)*(YMINUSY0/YMINUSY0_LAST))*BAU_GLIN</f>
        <v>123.12461561981884</v>
      </c>
      <c r="C76" s="12">
        <f ca="1"/>
        <v>127.87774576472447</v>
      </c>
      <c r="D76" s="12">
        <f ca="1"/>
        <v>132.63087590963011</v>
      </c>
      <c r="E76" s="12">
        <f ca="1"/>
        <v>137.19476273699667</v>
      </c>
      <c r="F76" s="12">
        <f ca="1"/>
        <v>150.7712200616993</v>
      </c>
      <c r="G76" s="12">
        <f ca="1"/>
        <v>169.03284158816098</v>
      </c>
      <c r="H76" s="12">
        <f ca="1"/>
        <v>191.32886988371919</v>
      </c>
      <c r="I76" s="12">
        <f ca="1"/>
        <v>200.99460176845437</v>
      </c>
      <c r="J76" s="12">
        <f ca="1"/>
        <v>192.97575950612435</v>
      </c>
      <c r="K76" s="12">
        <f ca="1"/>
        <v>184.06857667542283</v>
      </c>
      <c r="M76" s="4" t="str">
        <f>'Library data'!$G$138</f>
        <v>% relative to RCP8.5</v>
      </c>
    </row>
    <row r="77" spans="1:18" s="4" customFormat="1" x14ac:dyDescent="0.2">
      <c r="A77" s="4" t="str">
        <v>US Lin</v>
      </c>
      <c r="B77" s="14">
        <f ca="1"/>
        <v>123.12461561981884</v>
      </c>
      <c r="C77" s="14">
        <f ca="1"/>
        <v>127.87774576472447</v>
      </c>
      <c r="D77" s="14">
        <f ca="1"/>
        <v>132.63087590963011</v>
      </c>
      <c r="E77" s="14">
        <f ca="1"/>
        <v>137.19476273699667</v>
      </c>
      <c r="F77" s="14">
        <f ca="1"/>
        <v>150.7712200616993</v>
      </c>
      <c r="G77" s="14">
        <f ca="1"/>
        <v>169.03284158816098</v>
      </c>
      <c r="H77" s="14">
        <f ca="1"/>
        <v>191.32886988371919</v>
      </c>
      <c r="I77" s="14">
        <f ca="1"/>
        <v>200.99460176845437</v>
      </c>
      <c r="J77" s="14">
        <f ca="1"/>
        <v>192.97575950612435</v>
      </c>
      <c r="K77" s="14">
        <f ca="1"/>
        <v>184.06857667542283</v>
      </c>
      <c r="M77" s="4" t="str">
        <f>'Library data'!$G$138</f>
        <v>% relative to RCP8.5</v>
      </c>
    </row>
    <row r="78" spans="1:18" s="4" customFormat="1" x14ac:dyDescent="0.2">
      <c r="A78" s="4" t="str">
        <v>OT Lin</v>
      </c>
      <c r="B78" s="14">
        <f ca="1"/>
        <v>123.12461561981884</v>
      </c>
      <c r="C78" s="14">
        <f ca="1"/>
        <v>127.87774576472447</v>
      </c>
      <c r="D78" s="14">
        <f ca="1"/>
        <v>132.63087590963011</v>
      </c>
      <c r="E78" s="14">
        <f ca="1"/>
        <v>137.19476273699667</v>
      </c>
      <c r="F78" s="14">
        <f ca="1"/>
        <v>150.7712200616993</v>
      </c>
      <c r="G78" s="14">
        <f ca="1"/>
        <v>169.03284158816098</v>
      </c>
      <c r="H78" s="14">
        <f ca="1"/>
        <v>191.32886988371919</v>
      </c>
      <c r="I78" s="14">
        <f ca="1"/>
        <v>200.99460176845437</v>
      </c>
      <c r="J78" s="14">
        <f ca="1"/>
        <v>192.97575950612435</v>
      </c>
      <c r="K78" s="14">
        <f ca="1"/>
        <v>184.06857667542283</v>
      </c>
      <c r="M78" s="4" t="str">
        <f>'Library data'!$G$138</f>
        <v>% relative to RCP8.5</v>
      </c>
    </row>
    <row r="79" spans="1:18" s="4" customFormat="1" x14ac:dyDescent="0.2">
      <c r="A79" s="4" t="str">
        <v>EE Lin</v>
      </c>
      <c r="B79" s="14">
        <f ca="1"/>
        <v>123.12461561981884</v>
      </c>
      <c r="C79" s="14">
        <f ca="1"/>
        <v>127.87774576472447</v>
      </c>
      <c r="D79" s="14">
        <f ca="1"/>
        <v>132.63087590963011</v>
      </c>
      <c r="E79" s="14">
        <f ca="1"/>
        <v>137.19476273699667</v>
      </c>
      <c r="F79" s="14">
        <f ca="1"/>
        <v>150.7712200616993</v>
      </c>
      <c r="G79" s="14">
        <f ca="1"/>
        <v>169.03284158816098</v>
      </c>
      <c r="H79" s="14">
        <f ca="1"/>
        <v>191.32886988371919</v>
      </c>
      <c r="I79" s="14">
        <f ca="1"/>
        <v>200.99460176845437</v>
      </c>
      <c r="J79" s="14">
        <f ca="1"/>
        <v>192.97575950612435</v>
      </c>
      <c r="K79" s="14">
        <f ca="1"/>
        <v>184.06857667542283</v>
      </c>
      <c r="M79" s="4" t="str">
        <f>'Library data'!$G$138</f>
        <v>% relative to RCP8.5</v>
      </c>
    </row>
    <row r="80" spans="1:18" s="4" customFormat="1" x14ac:dyDescent="0.2">
      <c r="A80" s="4" t="str">
        <v>CA Lin</v>
      </c>
      <c r="B80" s="14">
        <f ca="1"/>
        <v>123.12461561981884</v>
      </c>
      <c r="C80" s="14">
        <f ca="1"/>
        <v>127.87774576472447</v>
      </c>
      <c r="D80" s="14">
        <f ca="1"/>
        <v>132.63087590963011</v>
      </c>
      <c r="E80" s="14">
        <f ca="1"/>
        <v>137.19476273699667</v>
      </c>
      <c r="F80" s="14">
        <f ca="1"/>
        <v>150.7712200616993</v>
      </c>
      <c r="G80" s="14">
        <f ca="1"/>
        <v>169.03284158816098</v>
      </c>
      <c r="H80" s="14">
        <f ca="1"/>
        <v>191.32886988371919</v>
      </c>
      <c r="I80" s="14">
        <f ca="1"/>
        <v>200.99460176845437</v>
      </c>
      <c r="J80" s="14">
        <f ca="1"/>
        <v>192.97575950612435</v>
      </c>
      <c r="K80" s="14">
        <f ca="1"/>
        <v>184.06857667542283</v>
      </c>
      <c r="M80" s="4" t="str">
        <f>'Library data'!$G$138</f>
        <v>% relative to RCP8.5</v>
      </c>
    </row>
    <row r="81" spans="1:18" s="4" customFormat="1" x14ac:dyDescent="0.2">
      <c r="A81" s="4" t="str">
        <v>IA Lin</v>
      </c>
      <c r="B81" s="14">
        <f ca="1"/>
        <v>123.12461561981884</v>
      </c>
      <c r="C81" s="14">
        <f ca="1"/>
        <v>127.87774576472447</v>
      </c>
      <c r="D81" s="14">
        <f ca="1"/>
        <v>132.63087590963011</v>
      </c>
      <c r="E81" s="14">
        <f ca="1"/>
        <v>137.19476273699667</v>
      </c>
      <c r="F81" s="14">
        <f ca="1"/>
        <v>150.7712200616993</v>
      </c>
      <c r="G81" s="14">
        <f ca="1"/>
        <v>169.03284158816098</v>
      </c>
      <c r="H81" s="14">
        <f ca="1"/>
        <v>191.32886988371919</v>
      </c>
      <c r="I81" s="14">
        <f ca="1"/>
        <v>200.99460176845437</v>
      </c>
      <c r="J81" s="14">
        <f ca="1"/>
        <v>192.97575950612435</v>
      </c>
      <c r="K81" s="14">
        <f ca="1"/>
        <v>184.06857667542283</v>
      </c>
      <c r="M81" s="4" t="str">
        <f>'Library data'!$G$138</f>
        <v>% relative to RCP8.5</v>
      </c>
    </row>
    <row r="82" spans="1:18" s="4" customFormat="1" x14ac:dyDescent="0.2">
      <c r="A82" s="4" t="str">
        <v>AF Lin</v>
      </c>
      <c r="B82" s="14">
        <f ca="1"/>
        <v>123.12461561981884</v>
      </c>
      <c r="C82" s="14">
        <f ca="1"/>
        <v>127.87774576472447</v>
      </c>
      <c r="D82" s="14">
        <f ca="1"/>
        <v>132.63087590963011</v>
      </c>
      <c r="E82" s="14">
        <f ca="1"/>
        <v>137.19476273699667</v>
      </c>
      <c r="F82" s="14">
        <f ca="1"/>
        <v>150.7712200616993</v>
      </c>
      <c r="G82" s="14">
        <f ca="1"/>
        <v>169.03284158816098</v>
      </c>
      <c r="H82" s="14">
        <f ca="1"/>
        <v>191.32886988371919</v>
      </c>
      <c r="I82" s="14">
        <f ca="1"/>
        <v>200.99460176845437</v>
      </c>
      <c r="J82" s="14">
        <f ca="1"/>
        <v>192.97575950612435</v>
      </c>
      <c r="K82" s="14">
        <f ca="1"/>
        <v>184.06857667542283</v>
      </c>
      <c r="M82" s="4" t="str">
        <f>'Library data'!$G$138</f>
        <v>% relative to RCP8.5</v>
      </c>
    </row>
    <row r="83" spans="1:18" s="4" customFormat="1" ht="13.5" thickBot="1" x14ac:dyDescent="0.25">
      <c r="A83" s="4" t="str">
        <v>LA Lin</v>
      </c>
      <c r="B83" s="16">
        <f ca="1"/>
        <v>123.12461561981884</v>
      </c>
      <c r="C83" s="16">
        <f ca="1"/>
        <v>127.87774576472447</v>
      </c>
      <c r="D83" s="16">
        <f ca="1"/>
        <v>132.63087590963011</v>
      </c>
      <c r="E83" s="16">
        <f ca="1"/>
        <v>137.19476273699667</v>
      </c>
      <c r="F83" s="16">
        <f ca="1"/>
        <v>150.7712200616993</v>
      </c>
      <c r="G83" s="16">
        <f ca="1"/>
        <v>169.03284158816098</v>
      </c>
      <c r="H83" s="16">
        <f ca="1"/>
        <v>191.32886988371919</v>
      </c>
      <c r="I83" s="16">
        <f ca="1"/>
        <v>200.99460176845437</v>
      </c>
      <c r="J83" s="16">
        <f ca="1"/>
        <v>192.97575950612435</v>
      </c>
      <c r="K83" s="16">
        <f ca="1"/>
        <v>184.06857667542283</v>
      </c>
      <c r="M83" s="4" t="str">
        <f>'Library data'!$G$138</f>
        <v>% relative to RCP8.5</v>
      </c>
    </row>
    <row r="84" spans="1:18" s="2" customFormat="1" ht="15" thickTop="1" x14ac:dyDescent="0.25">
      <c r="A84" s="2" t="s">
        <v>103</v>
      </c>
      <c r="B84" s="2" t="s">
        <v>104</v>
      </c>
    </row>
    <row r="85" spans="1:18" s="6" customFormat="1" x14ac:dyDescent="0.2">
      <c r="A85" s="4" t="str">
        <f t="array" ref="A85:A92">R_CODE&amp;" "&amp;'Base data'!$B$12</f>
        <v>EU CO2</v>
      </c>
      <c r="B85" s="29">
        <f t="array" aca="1" ref="B85:B92" ca="1">IF(ZC_CO2_1&lt;er_co2_1_a,0,ZC_CO2_1-er_co2_1_a)</f>
        <v>0</v>
      </c>
      <c r="C85" s="29">
        <f t="array" aca="1" ref="C85:K92" ca="1">IF(ZC_CO2_NOT_1-er_co2_not_1_a&lt;0,0,ZC_CO2_NOT_1-er_co2_not_1_a)</f>
        <v>0</v>
      </c>
      <c r="D85" s="29">
        <f ca="1"/>
        <v>0</v>
      </c>
      <c r="E85" s="29">
        <f ca="1"/>
        <v>0</v>
      </c>
      <c r="F85" s="29">
        <f ca="1"/>
        <v>50.238586513562652</v>
      </c>
      <c r="G85" s="29">
        <f ca="1"/>
        <v>162.44893176622074</v>
      </c>
      <c r="H85" s="29">
        <f ca="1"/>
        <v>241.30036768939343</v>
      </c>
      <c r="I85" s="29">
        <f ca="1"/>
        <v>276.68628891069199</v>
      </c>
      <c r="J85" s="29">
        <f ca="1"/>
        <v>287.07019747981417</v>
      </c>
      <c r="K85" s="29">
        <f ca="1"/>
        <v>291.5176468463203</v>
      </c>
      <c r="M85" s="4" t="str">
        <f>'Library data'!$G$138</f>
        <v>% relative to RCP8.5</v>
      </c>
      <c r="Q85" s="4"/>
      <c r="R85" s="4"/>
    </row>
    <row r="86" spans="1:18" s="6" customFormat="1" x14ac:dyDescent="0.2">
      <c r="A86" s="4" t="str">
        <v>US CO2</v>
      </c>
      <c r="B86" s="26">
        <f ca="1"/>
        <v>0</v>
      </c>
      <c r="C86" s="26">
        <f ca="1"/>
        <v>0</v>
      </c>
      <c r="D86" s="26">
        <f ca="1"/>
        <v>0</v>
      </c>
      <c r="E86" s="26">
        <f ca="1"/>
        <v>0</v>
      </c>
      <c r="F86" s="26">
        <f ca="1"/>
        <v>68.859138006157181</v>
      </c>
      <c r="G86" s="26">
        <f ca="1"/>
        <v>210.88324580252893</v>
      </c>
      <c r="H86" s="26">
        <f ca="1"/>
        <v>285.25571012877396</v>
      </c>
      <c r="I86" s="26">
        <f ca="1"/>
        <v>320.09366323731535</v>
      </c>
      <c r="J86" s="26">
        <f ca="1"/>
        <v>309.34571959868276</v>
      </c>
      <c r="K86" s="26">
        <f ca="1"/>
        <v>286.73800978979136</v>
      </c>
      <c r="M86" s="4" t="str">
        <f>'Library data'!$G$138</f>
        <v>% relative to RCP8.5</v>
      </c>
      <c r="Q86" s="4"/>
      <c r="R86" s="4"/>
    </row>
    <row r="87" spans="1:18" s="6" customFormat="1" x14ac:dyDescent="0.2">
      <c r="A87" s="4" t="str">
        <v>OT CO2</v>
      </c>
      <c r="B87" s="26">
        <f ca="1"/>
        <v>0</v>
      </c>
      <c r="C87" s="26">
        <f ca="1"/>
        <v>0</v>
      </c>
      <c r="D87" s="26">
        <f ca="1"/>
        <v>0</v>
      </c>
      <c r="E87" s="26">
        <f ca="1"/>
        <v>0</v>
      </c>
      <c r="F87" s="26">
        <f ca="1"/>
        <v>50.238586513562652</v>
      </c>
      <c r="G87" s="26">
        <f ca="1"/>
        <v>162.44893176622074</v>
      </c>
      <c r="H87" s="26">
        <f ca="1"/>
        <v>241.30036768939343</v>
      </c>
      <c r="I87" s="26">
        <f ca="1"/>
        <v>276.68628891069199</v>
      </c>
      <c r="J87" s="26">
        <f ca="1"/>
        <v>287.07019747981417</v>
      </c>
      <c r="K87" s="26">
        <f ca="1"/>
        <v>291.5176468463203</v>
      </c>
      <c r="M87" s="4" t="str">
        <f>'Library data'!$G$138</f>
        <v>% relative to RCP8.5</v>
      </c>
      <c r="Q87" s="4"/>
      <c r="R87" s="4"/>
    </row>
    <row r="88" spans="1:18" s="6" customFormat="1" x14ac:dyDescent="0.2">
      <c r="A88" s="4" t="str">
        <v>EE CO2</v>
      </c>
      <c r="B88" s="26">
        <f ca="1"/>
        <v>0</v>
      </c>
      <c r="C88" s="26">
        <f ca="1"/>
        <v>0</v>
      </c>
      <c r="D88" s="26">
        <f ca="1"/>
        <v>0</v>
      </c>
      <c r="E88" s="26">
        <f ca="1"/>
        <v>0</v>
      </c>
      <c r="F88" s="26">
        <f ca="1"/>
        <v>77.304071741567526</v>
      </c>
      <c r="G88" s="26">
        <f ca="1"/>
        <v>201.39006067007199</v>
      </c>
      <c r="H88" s="26">
        <f ca="1"/>
        <v>254.23283754054961</v>
      </c>
      <c r="I88" s="26">
        <f ca="1"/>
        <v>250.57007143923059</v>
      </c>
      <c r="J88" s="26">
        <f ca="1"/>
        <v>225.97605110464542</v>
      </c>
      <c r="K88" s="26">
        <f ca="1"/>
        <v>200.25990256908301</v>
      </c>
      <c r="M88" s="4" t="str">
        <f>'Library data'!$G$138</f>
        <v>% relative to RCP8.5</v>
      </c>
      <c r="Q88" s="4"/>
      <c r="R88" s="4"/>
    </row>
    <row r="89" spans="1:18" s="6" customFormat="1" x14ac:dyDescent="0.2">
      <c r="A89" s="4" t="str">
        <v>CA CO2</v>
      </c>
      <c r="B89" s="26">
        <f ca="1"/>
        <v>0</v>
      </c>
      <c r="C89" s="26">
        <f ca="1"/>
        <v>0</v>
      </c>
      <c r="D89" s="26">
        <f ca="1"/>
        <v>0</v>
      </c>
      <c r="E89" s="26">
        <f ca="1"/>
        <v>0</v>
      </c>
      <c r="F89" s="26">
        <f ca="1"/>
        <v>52.905859524924409</v>
      </c>
      <c r="G89" s="26">
        <f ca="1"/>
        <v>133.4537236461467</v>
      </c>
      <c r="H89" s="26">
        <f ca="1"/>
        <v>169.34718178334893</v>
      </c>
      <c r="I89" s="26">
        <f ca="1"/>
        <v>166.02728749594957</v>
      </c>
      <c r="J89" s="26">
        <f ca="1"/>
        <v>141.28068042265966</v>
      </c>
      <c r="K89" s="26">
        <f ca="1"/>
        <v>114.68482568254507</v>
      </c>
      <c r="M89" s="4" t="str">
        <f>'Library data'!$G$138</f>
        <v>% relative to RCP8.5</v>
      </c>
      <c r="Q89" s="4"/>
      <c r="R89" s="4"/>
    </row>
    <row r="90" spans="1:18" s="6" customFormat="1" x14ac:dyDescent="0.2">
      <c r="A90" s="4" t="str">
        <v>IA CO2</v>
      </c>
      <c r="B90" s="26">
        <f ca="1"/>
        <v>0</v>
      </c>
      <c r="C90" s="26">
        <f ca="1"/>
        <v>0</v>
      </c>
      <c r="D90" s="26">
        <f ca="1"/>
        <v>0</v>
      </c>
      <c r="E90" s="26">
        <f ca="1"/>
        <v>0</v>
      </c>
      <c r="F90" s="26">
        <f ca="1"/>
        <v>113.34593933694896</v>
      </c>
      <c r="G90" s="26">
        <f ca="1"/>
        <v>321.36156041430758</v>
      </c>
      <c r="H90" s="26">
        <f ca="1"/>
        <v>469.99863458265514</v>
      </c>
      <c r="I90" s="26">
        <f ca="1"/>
        <v>554.18314889484145</v>
      </c>
      <c r="J90" s="26">
        <f ca="1"/>
        <v>569.03983328977722</v>
      </c>
      <c r="K90" s="26">
        <f ca="1"/>
        <v>540.31587114487127</v>
      </c>
      <c r="M90" s="4" t="str">
        <f>'Library data'!$G$138</f>
        <v>% relative to RCP8.5</v>
      </c>
      <c r="Q90" s="4"/>
      <c r="R90" s="4"/>
    </row>
    <row r="91" spans="1:18" s="6" customFormat="1" x14ac:dyDescent="0.2">
      <c r="A91" s="4" t="str">
        <v>AF CO2</v>
      </c>
      <c r="B91" s="26">
        <f ca="1"/>
        <v>0</v>
      </c>
      <c r="C91" s="26">
        <f ca="1"/>
        <v>0</v>
      </c>
      <c r="D91" s="26">
        <f ca="1"/>
        <v>0</v>
      </c>
      <c r="E91" s="26">
        <f ca="1"/>
        <v>0</v>
      </c>
      <c r="F91" s="26">
        <f ca="1"/>
        <v>149.33880900133414</v>
      </c>
      <c r="G91" s="26">
        <f ca="1"/>
        <v>465.30252256725333</v>
      </c>
      <c r="H91" s="26">
        <f ca="1"/>
        <v>701.16458500337956</v>
      </c>
      <c r="I91" s="26">
        <f ca="1"/>
        <v>859.48078525777976</v>
      </c>
      <c r="J91" s="26">
        <f ca="1"/>
        <v>923.74337143216349</v>
      </c>
      <c r="K91" s="26">
        <f ca="1"/>
        <v>934.9302394131139</v>
      </c>
      <c r="M91" s="4" t="str">
        <f>'Library data'!$G$138</f>
        <v>% relative to RCP8.5</v>
      </c>
      <c r="Q91" s="4"/>
      <c r="R91" s="4"/>
    </row>
    <row r="92" spans="1:18" s="6" customFormat="1" ht="13.5" thickBot="1" x14ac:dyDescent="0.25">
      <c r="A92" s="4" t="str">
        <v>LA CO2</v>
      </c>
      <c r="B92" s="35">
        <f ca="1"/>
        <v>0</v>
      </c>
      <c r="C92" s="35">
        <f ca="1"/>
        <v>0</v>
      </c>
      <c r="D92" s="35">
        <f ca="1"/>
        <v>0</v>
      </c>
      <c r="E92" s="35">
        <f ca="1"/>
        <v>0</v>
      </c>
      <c r="F92" s="35">
        <f ca="1"/>
        <v>74.702834662126861</v>
      </c>
      <c r="G92" s="35">
        <f ca="1"/>
        <v>246.98941636497014</v>
      </c>
      <c r="H92" s="35">
        <f ca="1"/>
        <v>351.66752413388542</v>
      </c>
      <c r="I92" s="35">
        <f ca="1"/>
        <v>399.5178515668681</v>
      </c>
      <c r="J92" s="35">
        <f ca="1"/>
        <v>395.544282399461</v>
      </c>
      <c r="K92" s="35">
        <f ca="1"/>
        <v>395.663387238751</v>
      </c>
      <c r="M92" s="4" t="str">
        <f>'Library data'!$G$138</f>
        <v>% relative to RCP8.5</v>
      </c>
      <c r="Q92" s="4"/>
      <c r="R92" s="4"/>
    </row>
    <row r="93" spans="1:18" s="8" customFormat="1" ht="15" thickTop="1" x14ac:dyDescent="0.25">
      <c r="A93" s="8" t="s">
        <v>103</v>
      </c>
      <c r="B93" s="8" t="s">
        <v>105</v>
      </c>
      <c r="Q93" s="2"/>
      <c r="R93" s="2"/>
    </row>
    <row r="94" spans="1:18" s="7" customFormat="1" x14ac:dyDescent="0.2">
      <c r="A94" s="4" t="str">
        <f t="array" ref="A94:A101">R_CODE&amp;" "&amp;'Base data'!$C$12</f>
        <v>EU CH4</v>
      </c>
      <c r="B94" s="29">
        <f t="array" aca="1" ref="B94:B101" ca="1">IF(ZC_CH4_1&lt;er_ch4_1_a,0,ZC_CH4_1-er_ch4_1_a)</f>
        <v>0</v>
      </c>
      <c r="C94" s="29">
        <f t="array" aca="1" ref="C94:K101" ca="1">IF(ZC_CH4_NOT_1-er_ch4_not_1_a&lt;0,0,ZC_CH4_NOT_1-er_ch4_not_1_a)</f>
        <v>0</v>
      </c>
      <c r="D94" s="29">
        <f ca="1"/>
        <v>0</v>
      </c>
      <c r="E94" s="29">
        <f ca="1"/>
        <v>0</v>
      </c>
      <c r="F94" s="29">
        <f ca="1"/>
        <v>67.690611398550516</v>
      </c>
      <c r="G94" s="29">
        <f ca="1"/>
        <v>52.351552942511177</v>
      </c>
      <c r="H94" s="29">
        <f ca="1"/>
        <v>31.373234637329404</v>
      </c>
      <c r="I94" s="29">
        <f ca="1"/>
        <v>16.514204888885388</v>
      </c>
      <c r="J94" s="29">
        <f ca="1"/>
        <v>25.500737876798382</v>
      </c>
      <c r="K94" s="29">
        <f ca="1"/>
        <v>5.9890045578958677</v>
      </c>
      <c r="M94" s="4" t="str">
        <f>'Library data'!$G$138</f>
        <v>% relative to RCP8.5</v>
      </c>
      <c r="Q94" s="4"/>
      <c r="R94" s="4"/>
    </row>
    <row r="95" spans="1:18" s="7" customFormat="1" x14ac:dyDescent="0.2">
      <c r="A95" s="4" t="str">
        <v>US CH4</v>
      </c>
      <c r="B95" s="26">
        <f ca="1"/>
        <v>0</v>
      </c>
      <c r="C95" s="26">
        <f ca="1"/>
        <v>0</v>
      </c>
      <c r="D95" s="26">
        <f ca="1"/>
        <v>0</v>
      </c>
      <c r="E95" s="26">
        <f ca="1"/>
        <v>0</v>
      </c>
      <c r="F95" s="26">
        <f ca="1"/>
        <v>76.531591446723496</v>
      </c>
      <c r="G95" s="26">
        <f ca="1"/>
        <v>73.813589201716312</v>
      </c>
      <c r="H95" s="26">
        <f ca="1"/>
        <v>62.24504217588327</v>
      </c>
      <c r="I95" s="26">
        <f ca="1"/>
        <v>46.832781494626147</v>
      </c>
      <c r="J95" s="26">
        <f ca="1"/>
        <v>27.931762047028613</v>
      </c>
      <c r="K95" s="26">
        <f ca="1"/>
        <v>15.250647154778008</v>
      </c>
      <c r="M95" s="4" t="str">
        <f>'Library data'!$G$138</f>
        <v>% relative to RCP8.5</v>
      </c>
      <c r="Q95" s="4"/>
      <c r="R95" s="4"/>
    </row>
    <row r="96" spans="1:18" s="7" customFormat="1" x14ac:dyDescent="0.2">
      <c r="A96" s="4" t="str">
        <v>OT CH4</v>
      </c>
      <c r="B96" s="26">
        <f ca="1"/>
        <v>0</v>
      </c>
      <c r="C96" s="26">
        <f ca="1"/>
        <v>0</v>
      </c>
      <c r="D96" s="26">
        <f ca="1"/>
        <v>0</v>
      </c>
      <c r="E96" s="26">
        <f ca="1"/>
        <v>0</v>
      </c>
      <c r="F96" s="26">
        <f ca="1"/>
        <v>64.93343481615328</v>
      </c>
      <c r="G96" s="26">
        <f ca="1"/>
        <v>95.961550820328142</v>
      </c>
      <c r="H96" s="26">
        <f ca="1"/>
        <v>88.456824952398605</v>
      </c>
      <c r="I96" s="26">
        <f ca="1"/>
        <v>75.776634804899672</v>
      </c>
      <c r="J96" s="26">
        <f ca="1"/>
        <v>71.874563854483526</v>
      </c>
      <c r="K96" s="26">
        <f ca="1"/>
        <v>106.1627037040182</v>
      </c>
      <c r="M96" s="4" t="str">
        <f>'Library data'!$G$138</f>
        <v>% relative to RCP8.5</v>
      </c>
      <c r="Q96" s="4"/>
      <c r="R96" s="4"/>
    </row>
    <row r="97" spans="1:18" s="7" customFormat="1" x14ac:dyDescent="0.2">
      <c r="A97" s="4" t="str">
        <v>EE CH4</v>
      </c>
      <c r="B97" s="26">
        <f ca="1"/>
        <v>0</v>
      </c>
      <c r="C97" s="26">
        <f ca="1"/>
        <v>0</v>
      </c>
      <c r="D97" s="26">
        <f ca="1"/>
        <v>0</v>
      </c>
      <c r="E97" s="26">
        <f ca="1"/>
        <v>0</v>
      </c>
      <c r="F97" s="26">
        <f ca="1"/>
        <v>78.089082631822691</v>
      </c>
      <c r="G97" s="26">
        <f ca="1"/>
        <v>115.97155260453096</v>
      </c>
      <c r="H97" s="26">
        <f ca="1"/>
        <v>129.15176256933921</v>
      </c>
      <c r="I97" s="26">
        <f ca="1"/>
        <v>141.049526125613</v>
      </c>
      <c r="J97" s="26">
        <f ca="1"/>
        <v>139.74852558482979</v>
      </c>
      <c r="K97" s="26">
        <f ca="1"/>
        <v>132.57271953660904</v>
      </c>
      <c r="M97" s="4" t="str">
        <f>'Library data'!$G$138</f>
        <v>% relative to RCP8.5</v>
      </c>
      <c r="Q97" s="4"/>
      <c r="R97" s="4"/>
    </row>
    <row r="98" spans="1:18" s="7" customFormat="1" x14ac:dyDescent="0.2">
      <c r="A98" s="4" t="str">
        <v>CA CH4</v>
      </c>
      <c r="B98" s="26">
        <f ca="1"/>
        <v>0</v>
      </c>
      <c r="C98" s="26">
        <f ca="1"/>
        <v>0</v>
      </c>
      <c r="D98" s="26">
        <f ca="1"/>
        <v>0</v>
      </c>
      <c r="E98" s="26">
        <f ca="1"/>
        <v>0</v>
      </c>
      <c r="F98" s="26">
        <f ca="1"/>
        <v>28.239772895596086</v>
      </c>
      <c r="G98" s="26">
        <f ca="1"/>
        <v>32.589449137909952</v>
      </c>
      <c r="H98" s="26">
        <f ca="1"/>
        <v>32.42289364548445</v>
      </c>
      <c r="I98" s="26">
        <f ca="1"/>
        <v>24.967370593437735</v>
      </c>
      <c r="J98" s="26">
        <f ca="1"/>
        <v>22.688588969184138</v>
      </c>
      <c r="K98" s="26">
        <f ca="1"/>
        <v>18.459797537362803</v>
      </c>
      <c r="M98" s="4" t="str">
        <f>'Library data'!$G$138</f>
        <v>% relative to RCP8.5</v>
      </c>
      <c r="Q98" s="4"/>
      <c r="R98" s="4"/>
    </row>
    <row r="99" spans="1:18" s="7" customFormat="1" x14ac:dyDescent="0.2">
      <c r="A99" s="4" t="str">
        <v>IA CH4</v>
      </c>
      <c r="B99" s="26">
        <f ca="1"/>
        <v>0</v>
      </c>
      <c r="C99" s="26">
        <f ca="1"/>
        <v>0</v>
      </c>
      <c r="D99" s="26">
        <f ca="1"/>
        <v>0</v>
      </c>
      <c r="E99" s="26">
        <f ca="1"/>
        <v>0</v>
      </c>
      <c r="F99" s="26">
        <f ca="1"/>
        <v>52.933737500750787</v>
      </c>
      <c r="G99" s="26">
        <f ca="1"/>
        <v>38.763833566434727</v>
      </c>
      <c r="H99" s="26">
        <f ca="1"/>
        <v>25.839850837941398</v>
      </c>
      <c r="I99" s="26">
        <f ca="1"/>
        <v>17.863061432736281</v>
      </c>
      <c r="J99" s="26">
        <f ca="1"/>
        <v>16.645002879230013</v>
      </c>
      <c r="K99" s="26">
        <f ca="1"/>
        <v>14.263419405591698</v>
      </c>
      <c r="M99" s="4" t="str">
        <f>'Library data'!$G$138</f>
        <v>% relative to RCP8.5</v>
      </c>
      <c r="Q99" s="4"/>
      <c r="R99" s="4"/>
    </row>
    <row r="100" spans="1:18" s="7" customFormat="1" x14ac:dyDescent="0.2">
      <c r="A100" s="4" t="str">
        <v>AF CH4</v>
      </c>
      <c r="B100" s="26">
        <f ca="1"/>
        <v>0</v>
      </c>
      <c r="C100" s="26">
        <f ca="1"/>
        <v>0</v>
      </c>
      <c r="D100" s="26">
        <f ca="1"/>
        <v>0</v>
      </c>
      <c r="E100" s="26">
        <f ca="1"/>
        <v>0</v>
      </c>
      <c r="F100" s="26">
        <f ca="1"/>
        <v>131.46065513697005</v>
      </c>
      <c r="G100" s="26">
        <f ca="1"/>
        <v>230.8128315003998</v>
      </c>
      <c r="H100" s="26">
        <f ca="1"/>
        <v>260.95411655361625</v>
      </c>
      <c r="I100" s="26">
        <f ca="1"/>
        <v>247.39115435227797</v>
      </c>
      <c r="J100" s="26">
        <f ca="1"/>
        <v>197.21631171183239</v>
      </c>
      <c r="K100" s="26">
        <f ca="1"/>
        <v>166.23359376577778</v>
      </c>
      <c r="M100" s="4" t="str">
        <f>'Library data'!$G$138</f>
        <v>% relative to RCP8.5</v>
      </c>
      <c r="Q100" s="4"/>
      <c r="R100" s="4"/>
    </row>
    <row r="101" spans="1:18" s="7" customFormat="1" ht="13.5" thickBot="1" x14ac:dyDescent="0.25">
      <c r="A101" s="4" t="str">
        <v>LA CH4</v>
      </c>
      <c r="B101" s="35">
        <f ca="1"/>
        <v>0</v>
      </c>
      <c r="C101" s="35">
        <f ca="1"/>
        <v>0</v>
      </c>
      <c r="D101" s="35">
        <f ca="1"/>
        <v>0</v>
      </c>
      <c r="E101" s="35">
        <f ca="1"/>
        <v>0</v>
      </c>
      <c r="F101" s="35">
        <f ca="1"/>
        <v>41.1507266632319</v>
      </c>
      <c r="G101" s="35">
        <f ca="1"/>
        <v>55.32464281876031</v>
      </c>
      <c r="H101" s="35">
        <f ca="1"/>
        <v>54.413349748369725</v>
      </c>
      <c r="I101" s="35">
        <f ca="1"/>
        <v>49.324898790189856</v>
      </c>
      <c r="J101" s="35">
        <f ca="1"/>
        <v>37.031843576511193</v>
      </c>
      <c r="K101" s="35">
        <f ca="1"/>
        <v>32.386295104054277</v>
      </c>
      <c r="M101" s="4" t="str">
        <f>'Library data'!$G$138</f>
        <v>% relative to RCP8.5</v>
      </c>
      <c r="Q101" s="4"/>
      <c r="R101" s="4"/>
    </row>
    <row r="102" spans="1:18" s="8" customFormat="1" ht="15" thickTop="1" x14ac:dyDescent="0.25">
      <c r="A102" s="8" t="s">
        <v>103</v>
      </c>
      <c r="B102" s="8" t="s">
        <v>126</v>
      </c>
      <c r="Q102" s="2"/>
      <c r="R102" s="2"/>
    </row>
    <row r="103" spans="1:18" s="7" customFormat="1" x14ac:dyDescent="0.2">
      <c r="A103" s="4" t="str">
        <f t="array" ref="A103:A110">R_CODE&amp;" "&amp;'Base data'!$D$12</f>
        <v>EU N2O</v>
      </c>
      <c r="B103" s="29">
        <f t="array" aca="1" ref="B103:B110" ca="1">IF(ZC_N2O_1&lt;er_n2o_1_a,0,ZC_N2O_1-er_n2o_1_a)</f>
        <v>0</v>
      </c>
      <c r="C103" s="29">
        <f t="array" aca="1" ref="C103:K110" ca="1">IF(ZC_N2O_NOT_1-er_n2o_not_1_a&lt;0,0,ZC_N2O_NOT_1-er_n2o_not_1_a)</f>
        <v>0</v>
      </c>
      <c r="D103" s="29">
        <f ca="1"/>
        <v>0</v>
      </c>
      <c r="E103" s="29">
        <f ca="1"/>
        <v>0</v>
      </c>
      <c r="F103" s="29">
        <f ca="1"/>
        <v>28.379187130889576</v>
      </c>
      <c r="G103" s="29">
        <f ca="1"/>
        <v>6.6700451259851548</v>
      </c>
      <c r="H103" s="29">
        <f ca="1"/>
        <v>0.50824691090063823</v>
      </c>
      <c r="I103" s="29">
        <f ca="1"/>
        <v>3.9556583248785699</v>
      </c>
      <c r="J103" s="29">
        <f ca="1"/>
        <v>5.2026556287102181</v>
      </c>
      <c r="K103" s="29">
        <f ca="1"/>
        <v>3.2014822660550379</v>
      </c>
      <c r="M103" s="4" t="str">
        <f>'Library data'!$G$138</f>
        <v>% relative to RCP8.5</v>
      </c>
      <c r="Q103" s="4"/>
      <c r="R103" s="4"/>
    </row>
    <row r="104" spans="1:18" s="7" customFormat="1" x14ac:dyDescent="0.2">
      <c r="A104" s="4" t="str">
        <v>US N2O</v>
      </c>
      <c r="B104" s="26">
        <f ca="1"/>
        <v>0</v>
      </c>
      <c r="C104" s="26">
        <f ca="1"/>
        <v>0</v>
      </c>
      <c r="D104" s="26">
        <f ca="1"/>
        <v>0</v>
      </c>
      <c r="E104" s="26">
        <f ca="1"/>
        <v>0</v>
      </c>
      <c r="F104" s="26">
        <f ca="1"/>
        <v>28.379187130889576</v>
      </c>
      <c r="G104" s="26">
        <f ca="1"/>
        <v>6.6700451259851548</v>
      </c>
      <c r="H104" s="26">
        <f ca="1"/>
        <v>0.50824691090063823</v>
      </c>
      <c r="I104" s="26">
        <f ca="1"/>
        <v>3.9556583248785699</v>
      </c>
      <c r="J104" s="26">
        <f ca="1"/>
        <v>5.2026556287102181</v>
      </c>
      <c r="K104" s="26">
        <f ca="1"/>
        <v>3.2014822660550379</v>
      </c>
      <c r="M104" s="4" t="str">
        <f>'Library data'!$G$138</f>
        <v>% relative to RCP8.5</v>
      </c>
      <c r="Q104" s="4"/>
      <c r="R104" s="4"/>
    </row>
    <row r="105" spans="1:18" s="7" customFormat="1" x14ac:dyDescent="0.2">
      <c r="A105" s="4" t="str">
        <v>OT N2O</v>
      </c>
      <c r="B105" s="26">
        <f ca="1"/>
        <v>0</v>
      </c>
      <c r="C105" s="26">
        <f ca="1"/>
        <v>0</v>
      </c>
      <c r="D105" s="26">
        <f ca="1"/>
        <v>0</v>
      </c>
      <c r="E105" s="26">
        <f ca="1"/>
        <v>0</v>
      </c>
      <c r="F105" s="26">
        <f ca="1"/>
        <v>28.379187130889576</v>
      </c>
      <c r="G105" s="26">
        <f ca="1"/>
        <v>6.6700451259851548</v>
      </c>
      <c r="H105" s="26">
        <f ca="1"/>
        <v>0.50824691090063823</v>
      </c>
      <c r="I105" s="26">
        <f ca="1"/>
        <v>3.9556583248785699</v>
      </c>
      <c r="J105" s="26">
        <f ca="1"/>
        <v>5.2026556287102181</v>
      </c>
      <c r="K105" s="26">
        <f ca="1"/>
        <v>3.2014822660550379</v>
      </c>
      <c r="M105" s="4" t="str">
        <f>'Library data'!$G$138</f>
        <v>% relative to RCP8.5</v>
      </c>
      <c r="Q105" s="4"/>
      <c r="R105" s="4"/>
    </row>
    <row r="106" spans="1:18" s="7" customFormat="1" x14ac:dyDescent="0.2">
      <c r="A106" s="4" t="str">
        <v>EE N2O</v>
      </c>
      <c r="B106" s="26">
        <f ca="1"/>
        <v>0</v>
      </c>
      <c r="C106" s="26">
        <f ca="1"/>
        <v>0</v>
      </c>
      <c r="D106" s="26">
        <f ca="1"/>
        <v>0</v>
      </c>
      <c r="E106" s="26">
        <f ca="1"/>
        <v>0</v>
      </c>
      <c r="F106" s="26">
        <f ca="1"/>
        <v>28.379187130889576</v>
      </c>
      <c r="G106" s="26">
        <f ca="1"/>
        <v>6.6700451259851548</v>
      </c>
      <c r="H106" s="26">
        <f ca="1"/>
        <v>0.50824691090063823</v>
      </c>
      <c r="I106" s="26">
        <f ca="1"/>
        <v>3.9556583248785699</v>
      </c>
      <c r="J106" s="26">
        <f ca="1"/>
        <v>5.2026556287102181</v>
      </c>
      <c r="K106" s="26">
        <f ca="1"/>
        <v>3.2014822660550379</v>
      </c>
      <c r="M106" s="4" t="str">
        <f>'Library data'!$G$138</f>
        <v>% relative to RCP8.5</v>
      </c>
      <c r="Q106" s="4"/>
      <c r="R106" s="4"/>
    </row>
    <row r="107" spans="1:18" s="7" customFormat="1" x14ac:dyDescent="0.2">
      <c r="A107" s="4" t="str">
        <v>CA N2O</v>
      </c>
      <c r="B107" s="26">
        <f ca="1"/>
        <v>0</v>
      </c>
      <c r="C107" s="26">
        <f ca="1"/>
        <v>0</v>
      </c>
      <c r="D107" s="26">
        <f ca="1"/>
        <v>0</v>
      </c>
      <c r="E107" s="26">
        <f ca="1"/>
        <v>0</v>
      </c>
      <c r="F107" s="26">
        <f ca="1"/>
        <v>28.379187130889576</v>
      </c>
      <c r="G107" s="26">
        <f ca="1"/>
        <v>6.6700451259851548</v>
      </c>
      <c r="H107" s="26">
        <f ca="1"/>
        <v>0.50824691090063823</v>
      </c>
      <c r="I107" s="26">
        <f ca="1"/>
        <v>3.9556583248785699</v>
      </c>
      <c r="J107" s="26">
        <f ca="1"/>
        <v>5.2026556287102181</v>
      </c>
      <c r="K107" s="26">
        <f ca="1"/>
        <v>3.2014822660550379</v>
      </c>
      <c r="M107" s="4" t="str">
        <f>'Library data'!$G$138</f>
        <v>% relative to RCP8.5</v>
      </c>
      <c r="Q107" s="4"/>
      <c r="R107" s="4"/>
    </row>
    <row r="108" spans="1:18" s="7" customFormat="1" x14ac:dyDescent="0.2">
      <c r="A108" s="4" t="str">
        <v>IA N2O</v>
      </c>
      <c r="B108" s="26">
        <f ca="1"/>
        <v>0</v>
      </c>
      <c r="C108" s="26">
        <f ca="1"/>
        <v>0</v>
      </c>
      <c r="D108" s="26">
        <f ca="1"/>
        <v>0</v>
      </c>
      <c r="E108" s="26">
        <f ca="1"/>
        <v>0</v>
      </c>
      <c r="F108" s="26">
        <f ca="1"/>
        <v>28.379187130889576</v>
      </c>
      <c r="G108" s="26">
        <f ca="1"/>
        <v>6.6700451259851548</v>
      </c>
      <c r="H108" s="26">
        <f ca="1"/>
        <v>0.50824691090063823</v>
      </c>
      <c r="I108" s="26">
        <f ca="1"/>
        <v>3.9556583248785699</v>
      </c>
      <c r="J108" s="26">
        <f ca="1"/>
        <v>5.2026556287102181</v>
      </c>
      <c r="K108" s="26">
        <f ca="1"/>
        <v>3.2014822660550379</v>
      </c>
      <c r="M108" s="4" t="str">
        <f>'Library data'!$G$138</f>
        <v>% relative to RCP8.5</v>
      </c>
      <c r="Q108" s="4"/>
      <c r="R108" s="4"/>
    </row>
    <row r="109" spans="1:18" s="7" customFormat="1" x14ac:dyDescent="0.2">
      <c r="A109" s="4" t="str">
        <v>AF N2O</v>
      </c>
      <c r="B109" s="26">
        <f ca="1"/>
        <v>0</v>
      </c>
      <c r="C109" s="26">
        <f ca="1"/>
        <v>0</v>
      </c>
      <c r="D109" s="26">
        <f ca="1"/>
        <v>0</v>
      </c>
      <c r="E109" s="26">
        <f ca="1"/>
        <v>0</v>
      </c>
      <c r="F109" s="26">
        <f ca="1"/>
        <v>28.379187130889576</v>
      </c>
      <c r="G109" s="26">
        <f ca="1"/>
        <v>6.6700451259851548</v>
      </c>
      <c r="H109" s="26">
        <f ca="1"/>
        <v>0.50824691090063823</v>
      </c>
      <c r="I109" s="26">
        <f ca="1"/>
        <v>3.9556583248785699</v>
      </c>
      <c r="J109" s="26">
        <f ca="1"/>
        <v>5.2026556287102181</v>
      </c>
      <c r="K109" s="26">
        <f ca="1"/>
        <v>3.2014822660550379</v>
      </c>
      <c r="M109" s="4" t="str">
        <f>'Library data'!$G$138</f>
        <v>% relative to RCP8.5</v>
      </c>
      <c r="Q109" s="4"/>
      <c r="R109" s="4"/>
    </row>
    <row r="110" spans="1:18" s="7" customFormat="1" ht="13.5" thickBot="1" x14ac:dyDescent="0.25">
      <c r="A110" s="4" t="str">
        <v>LA N2O</v>
      </c>
      <c r="B110" s="35">
        <f ca="1"/>
        <v>0</v>
      </c>
      <c r="C110" s="35">
        <f ca="1"/>
        <v>0</v>
      </c>
      <c r="D110" s="35">
        <f ca="1"/>
        <v>0</v>
      </c>
      <c r="E110" s="35">
        <f ca="1"/>
        <v>0</v>
      </c>
      <c r="F110" s="35">
        <f ca="1"/>
        <v>28.379187130889576</v>
      </c>
      <c r="G110" s="35">
        <f ca="1"/>
        <v>6.6700451259851548</v>
      </c>
      <c r="H110" s="35">
        <f ca="1"/>
        <v>0.50824691090063823</v>
      </c>
      <c r="I110" s="35">
        <f ca="1"/>
        <v>3.9556583248785699</v>
      </c>
      <c r="J110" s="35">
        <f ca="1"/>
        <v>5.2026556287102181</v>
      </c>
      <c r="K110" s="35">
        <f ca="1"/>
        <v>3.2014822660550379</v>
      </c>
      <c r="M110" s="4" t="str">
        <f>'Library data'!$G$138</f>
        <v>% relative to RCP8.5</v>
      </c>
      <c r="Q110" s="4"/>
      <c r="R110" s="4"/>
    </row>
    <row r="111" spans="1:18" s="8" customFormat="1" ht="15" thickTop="1" x14ac:dyDescent="0.25">
      <c r="A111" s="8" t="s">
        <v>103</v>
      </c>
      <c r="B111" s="8" t="s">
        <v>261</v>
      </c>
      <c r="Q111" s="2"/>
      <c r="R111" s="2"/>
    </row>
    <row r="112" spans="1:18" s="7" customFormat="1" x14ac:dyDescent="0.2">
      <c r="A112" s="4" t="str">
        <f t="array" ref="A112:A119">R_CODE&amp;" "&amp;GLIN_NAME</f>
        <v>EU Lin</v>
      </c>
      <c r="B112" s="29">
        <f t="array" aca="1" ref="B112:B119" ca="1">IF(ZC_GLIN_1&lt;er_glin_1_a,0,ZC_GLIN_1-er_glin_1_a)</f>
        <v>0</v>
      </c>
      <c r="C112" s="29">
        <f t="array" aca="1" ref="C112:K119" ca="1">IF(ZC_GLIN_NOT_1-er_glin_not_1_a&lt;0,,ZC_GLIN_NOT_1-er_glin_not_1_a)</f>
        <v>0</v>
      </c>
      <c r="D112" s="29">
        <f ca="1"/>
        <v>0</v>
      </c>
      <c r="E112" s="29">
        <f ca="1"/>
        <v>0</v>
      </c>
      <c r="F112" s="29">
        <f ca="1"/>
        <v>68.926986869561333</v>
      </c>
      <c r="G112" s="29">
        <f ca="1"/>
        <v>158.11467655018768</v>
      </c>
      <c r="H112" s="29">
        <f ca="1"/>
        <v>180.90870104494192</v>
      </c>
      <c r="I112" s="29">
        <f ca="1"/>
        <v>190.89041705981339</v>
      </c>
      <c r="J112" s="29">
        <f ca="1"/>
        <v>183.59267484084953</v>
      </c>
      <c r="K112" s="29">
        <f ca="1"/>
        <v>175.41684182248397</v>
      </c>
      <c r="M112" s="4" t="str">
        <f>'Library data'!$G$138</f>
        <v>% relative to RCP8.5</v>
      </c>
      <c r="Q112" s="4"/>
      <c r="R112" s="4"/>
    </row>
    <row r="113" spans="1:18" s="7" customFormat="1" x14ac:dyDescent="0.2">
      <c r="A113" s="4" t="str">
        <v>US Lin</v>
      </c>
      <c r="B113" s="26">
        <f ca="1"/>
        <v>0</v>
      </c>
      <c r="C113" s="26">
        <f ca="1"/>
        <v>0</v>
      </c>
      <c r="D113" s="26">
        <f ca="1"/>
        <v>0</v>
      </c>
      <c r="E113" s="26">
        <f ca="1"/>
        <v>0</v>
      </c>
      <c r="F113" s="26">
        <f ca="1"/>
        <v>68.926986869561333</v>
      </c>
      <c r="G113" s="26">
        <f ca="1"/>
        <v>158.11467655018768</v>
      </c>
      <c r="H113" s="26">
        <f ca="1"/>
        <v>180.90870104494192</v>
      </c>
      <c r="I113" s="26">
        <f ca="1"/>
        <v>190.89041705981339</v>
      </c>
      <c r="J113" s="26">
        <f ca="1"/>
        <v>183.59267484084953</v>
      </c>
      <c r="K113" s="26">
        <f ca="1"/>
        <v>175.41684182248397</v>
      </c>
      <c r="M113" s="4" t="str">
        <f>'Library data'!$G$138</f>
        <v>% relative to RCP8.5</v>
      </c>
      <c r="Q113" s="4"/>
      <c r="R113" s="4"/>
    </row>
    <row r="114" spans="1:18" s="7" customFormat="1" x14ac:dyDescent="0.2">
      <c r="A114" s="4" t="str">
        <v>OT Lin</v>
      </c>
      <c r="B114" s="26">
        <f ca="1"/>
        <v>0</v>
      </c>
      <c r="C114" s="26">
        <f ca="1"/>
        <v>0</v>
      </c>
      <c r="D114" s="26">
        <f ca="1"/>
        <v>0</v>
      </c>
      <c r="E114" s="26">
        <f ca="1"/>
        <v>0</v>
      </c>
      <c r="F114" s="26">
        <f ca="1"/>
        <v>68.926986869561333</v>
      </c>
      <c r="G114" s="26">
        <f ca="1"/>
        <v>158.11467655018768</v>
      </c>
      <c r="H114" s="26">
        <f ca="1"/>
        <v>180.90870104494192</v>
      </c>
      <c r="I114" s="26">
        <f ca="1"/>
        <v>190.89041705981339</v>
      </c>
      <c r="J114" s="26">
        <f ca="1"/>
        <v>183.59267484084953</v>
      </c>
      <c r="K114" s="26">
        <f ca="1"/>
        <v>175.41684182248397</v>
      </c>
      <c r="M114" s="4" t="str">
        <f>'Library data'!$G$138</f>
        <v>% relative to RCP8.5</v>
      </c>
      <c r="Q114" s="4"/>
      <c r="R114" s="4"/>
    </row>
    <row r="115" spans="1:18" s="7" customFormat="1" x14ac:dyDescent="0.2">
      <c r="A115" s="4" t="str">
        <v>EE Lin</v>
      </c>
      <c r="B115" s="26">
        <f ca="1"/>
        <v>0</v>
      </c>
      <c r="C115" s="26">
        <f ca="1"/>
        <v>0</v>
      </c>
      <c r="D115" s="26">
        <f ca="1"/>
        <v>0</v>
      </c>
      <c r="E115" s="26">
        <f ca="1"/>
        <v>0</v>
      </c>
      <c r="F115" s="26">
        <f ca="1"/>
        <v>68.926986869561333</v>
      </c>
      <c r="G115" s="26">
        <f ca="1"/>
        <v>158.11467655018768</v>
      </c>
      <c r="H115" s="26">
        <f ca="1"/>
        <v>180.90870104494192</v>
      </c>
      <c r="I115" s="26">
        <f ca="1"/>
        <v>190.89041705981339</v>
      </c>
      <c r="J115" s="26">
        <f ca="1"/>
        <v>183.59267484084953</v>
      </c>
      <c r="K115" s="26">
        <f ca="1"/>
        <v>175.41684182248397</v>
      </c>
      <c r="M115" s="4" t="str">
        <f>'Library data'!$G$138</f>
        <v>% relative to RCP8.5</v>
      </c>
      <c r="Q115" s="4"/>
      <c r="R115" s="4"/>
    </row>
    <row r="116" spans="1:18" s="7" customFormat="1" x14ac:dyDescent="0.2">
      <c r="A116" s="4" t="str">
        <v>CA Lin</v>
      </c>
      <c r="B116" s="26">
        <f ca="1"/>
        <v>0</v>
      </c>
      <c r="C116" s="26">
        <f ca="1"/>
        <v>0</v>
      </c>
      <c r="D116" s="26">
        <f ca="1"/>
        <v>0</v>
      </c>
      <c r="E116" s="26">
        <f ca="1"/>
        <v>0</v>
      </c>
      <c r="F116" s="26">
        <f ca="1"/>
        <v>68.926986869561333</v>
      </c>
      <c r="G116" s="26">
        <f ca="1"/>
        <v>158.11467655018768</v>
      </c>
      <c r="H116" s="26">
        <f ca="1"/>
        <v>180.90870104494192</v>
      </c>
      <c r="I116" s="26">
        <f ca="1"/>
        <v>190.89041705981339</v>
      </c>
      <c r="J116" s="26">
        <f ca="1"/>
        <v>183.59267484084953</v>
      </c>
      <c r="K116" s="26">
        <f ca="1"/>
        <v>175.41684182248397</v>
      </c>
      <c r="M116" s="4" t="str">
        <f>'Library data'!$G$138</f>
        <v>% relative to RCP8.5</v>
      </c>
      <c r="Q116" s="4"/>
      <c r="R116" s="4"/>
    </row>
    <row r="117" spans="1:18" s="7" customFormat="1" x14ac:dyDescent="0.2">
      <c r="A117" s="4" t="str">
        <v>IA Lin</v>
      </c>
      <c r="B117" s="26">
        <f ca="1"/>
        <v>0</v>
      </c>
      <c r="C117" s="26">
        <f ca="1"/>
        <v>0</v>
      </c>
      <c r="D117" s="26">
        <f ca="1"/>
        <v>0</v>
      </c>
      <c r="E117" s="26">
        <f ca="1"/>
        <v>0</v>
      </c>
      <c r="F117" s="26">
        <f ca="1"/>
        <v>68.926986869561333</v>
      </c>
      <c r="G117" s="26">
        <f ca="1"/>
        <v>158.11467655018768</v>
      </c>
      <c r="H117" s="26">
        <f ca="1"/>
        <v>180.90870104494192</v>
      </c>
      <c r="I117" s="26">
        <f ca="1"/>
        <v>190.89041705981339</v>
      </c>
      <c r="J117" s="26">
        <f ca="1"/>
        <v>183.59267484084953</v>
      </c>
      <c r="K117" s="26">
        <f ca="1"/>
        <v>175.41684182248397</v>
      </c>
      <c r="M117" s="4" t="str">
        <f>'Library data'!$G$138</f>
        <v>% relative to RCP8.5</v>
      </c>
      <c r="Q117" s="4"/>
      <c r="R117" s="4"/>
    </row>
    <row r="118" spans="1:18" s="7" customFormat="1" x14ac:dyDescent="0.2">
      <c r="A118" s="4" t="str">
        <v>AF Lin</v>
      </c>
      <c r="B118" s="26">
        <f ca="1"/>
        <v>0</v>
      </c>
      <c r="C118" s="26">
        <f ca="1"/>
        <v>0</v>
      </c>
      <c r="D118" s="26">
        <f ca="1"/>
        <v>0</v>
      </c>
      <c r="E118" s="26">
        <f ca="1"/>
        <v>0</v>
      </c>
      <c r="F118" s="26">
        <f ca="1"/>
        <v>68.926986869561333</v>
      </c>
      <c r="G118" s="26">
        <f ca="1"/>
        <v>158.11467655018768</v>
      </c>
      <c r="H118" s="26">
        <f ca="1"/>
        <v>180.90870104494192</v>
      </c>
      <c r="I118" s="26">
        <f ca="1"/>
        <v>190.89041705981339</v>
      </c>
      <c r="J118" s="26">
        <f ca="1"/>
        <v>183.59267484084953</v>
      </c>
      <c r="K118" s="26">
        <f ca="1"/>
        <v>175.41684182248397</v>
      </c>
      <c r="M118" s="4" t="str">
        <f>'Library data'!$G$138</f>
        <v>% relative to RCP8.5</v>
      </c>
      <c r="Q118" s="4"/>
      <c r="R118" s="4"/>
    </row>
    <row r="119" spans="1:18" s="7" customFormat="1" ht="13.5" thickBot="1" x14ac:dyDescent="0.25">
      <c r="A119" s="4" t="str">
        <v>LA Lin</v>
      </c>
      <c r="B119" s="35">
        <f ca="1"/>
        <v>0</v>
      </c>
      <c r="C119" s="35">
        <f ca="1"/>
        <v>0</v>
      </c>
      <c r="D119" s="35">
        <f ca="1"/>
        <v>0</v>
      </c>
      <c r="E119" s="35">
        <f ca="1"/>
        <v>0</v>
      </c>
      <c r="F119" s="35">
        <f ca="1"/>
        <v>68.926986869561333</v>
      </c>
      <c r="G119" s="35">
        <f ca="1"/>
        <v>158.11467655018768</v>
      </c>
      <c r="H119" s="35">
        <f ca="1"/>
        <v>180.90870104494192</v>
      </c>
      <c r="I119" s="35">
        <f ca="1"/>
        <v>190.89041705981339</v>
      </c>
      <c r="J119" s="35">
        <f ca="1"/>
        <v>183.59267484084953</v>
      </c>
      <c r="K119" s="35">
        <f ca="1"/>
        <v>175.41684182248397</v>
      </c>
      <c r="M119" s="4" t="str">
        <f>'Library data'!$G$138</f>
        <v>% relative to RCP8.5</v>
      </c>
    </row>
    <row r="120" spans="1:18" s="2" customFormat="1" ht="15" thickTop="1" x14ac:dyDescent="0.25">
      <c r="A120" s="2" t="s">
        <v>103</v>
      </c>
      <c r="B120" s="2" t="s">
        <v>284</v>
      </c>
    </row>
    <row r="121" spans="1:18" s="6" customFormat="1" x14ac:dyDescent="0.2">
      <c r="A121" s="4" t="str">
        <f t="array" ref="A121:A128">R_CODE&amp;" "&amp;'Base data'!$B$12</f>
        <v>EU CO2</v>
      </c>
      <c r="B121" s="29">
        <f t="array" aca="1" ref="B121:K128" ca="1">cb_co2*E_CO2_0/100</f>
        <v>0</v>
      </c>
      <c r="C121" s="29">
        <f ca="1"/>
        <v>0</v>
      </c>
      <c r="D121" s="29">
        <f ca="1"/>
        <v>0</v>
      </c>
      <c r="E121" s="29">
        <f ca="1"/>
        <v>0</v>
      </c>
      <c r="F121" s="29">
        <f ca="1"/>
        <v>1665.635718949778</v>
      </c>
      <c r="G121" s="29">
        <f ca="1"/>
        <v>5385.9147327324827</v>
      </c>
      <c r="H121" s="29">
        <f ca="1"/>
        <v>8000.1954535616715</v>
      </c>
      <c r="I121" s="29">
        <f ca="1"/>
        <v>9173.3983325524259</v>
      </c>
      <c r="J121" s="29">
        <f ca="1"/>
        <v>9517.6717330464726</v>
      </c>
      <c r="K121" s="29">
        <f ca="1"/>
        <v>9665.1247375427956</v>
      </c>
      <c r="M121" s="4" t="str">
        <f t="shared" ref="M121:M128" si="0">EMIT_NAME</f>
        <v>Mtonne</v>
      </c>
      <c r="Q121" s="4"/>
      <c r="R121" s="4"/>
    </row>
    <row r="122" spans="1:18" s="6" customFormat="1" x14ac:dyDescent="0.2">
      <c r="A122" s="4" t="str">
        <v>US CO2</v>
      </c>
      <c r="B122" s="26">
        <f ca="1"/>
        <v>0</v>
      </c>
      <c r="C122" s="26">
        <f ca="1"/>
        <v>0</v>
      </c>
      <c r="D122" s="26">
        <f ca="1"/>
        <v>0</v>
      </c>
      <c r="E122" s="26">
        <f ca="1"/>
        <v>0</v>
      </c>
      <c r="F122" s="26">
        <f ca="1"/>
        <v>3436.2038846435953</v>
      </c>
      <c r="G122" s="26">
        <f ca="1"/>
        <v>10523.480970210594</v>
      </c>
      <c r="H122" s="26">
        <f ca="1"/>
        <v>14234.810478946369</v>
      </c>
      <c r="I122" s="26">
        <f ca="1"/>
        <v>15973.291576312084</v>
      </c>
      <c r="J122" s="26">
        <f ca="1"/>
        <v>15436.948445213095</v>
      </c>
      <c r="K122" s="26">
        <f ca="1"/>
        <v>14308.780092869485</v>
      </c>
      <c r="M122" s="4" t="str">
        <f t="shared" si="0"/>
        <v>Mtonne</v>
      </c>
      <c r="Q122" s="4"/>
      <c r="R122" s="4"/>
    </row>
    <row r="123" spans="1:18" s="6" customFormat="1" x14ac:dyDescent="0.2">
      <c r="A123" s="4" t="str">
        <v>OT CO2</v>
      </c>
      <c r="B123" s="26">
        <f ca="1"/>
        <v>0</v>
      </c>
      <c r="C123" s="26">
        <f ca="1"/>
        <v>0</v>
      </c>
      <c r="D123" s="26">
        <f ca="1"/>
        <v>0</v>
      </c>
      <c r="E123" s="26">
        <f ca="1"/>
        <v>0</v>
      </c>
      <c r="F123" s="26">
        <f ca="1"/>
        <v>1562.0859539714834</v>
      </c>
      <c r="G123" s="26">
        <f ca="1"/>
        <v>5051.0814925332197</v>
      </c>
      <c r="H123" s="26">
        <f ca="1"/>
        <v>7502.8367876950015</v>
      </c>
      <c r="I123" s="26">
        <f ca="1"/>
        <v>8603.1036213012649</v>
      </c>
      <c r="J123" s="26">
        <f ca="1"/>
        <v>8925.9741248089795</v>
      </c>
      <c r="K123" s="26">
        <f ca="1"/>
        <v>9064.2602245690341</v>
      </c>
      <c r="M123" s="4" t="str">
        <f t="shared" si="0"/>
        <v>Mtonne</v>
      </c>
      <c r="Q123" s="4"/>
      <c r="R123" s="4"/>
    </row>
    <row r="124" spans="1:18" s="6" customFormat="1" x14ac:dyDescent="0.2">
      <c r="A124" s="4" t="str">
        <v>EE CO2</v>
      </c>
      <c r="B124" s="26">
        <f ca="1"/>
        <v>0</v>
      </c>
      <c r="C124" s="26">
        <f ca="1"/>
        <v>0</v>
      </c>
      <c r="D124" s="26">
        <f ca="1"/>
        <v>0</v>
      </c>
      <c r="E124" s="26">
        <f ca="1"/>
        <v>0</v>
      </c>
      <c r="F124" s="26">
        <f ca="1"/>
        <v>2397.2023568688792</v>
      </c>
      <c r="G124" s="26">
        <f ca="1"/>
        <v>6245.1138369813598</v>
      </c>
      <c r="H124" s="26">
        <f ca="1"/>
        <v>7883.7704614459453</v>
      </c>
      <c r="I124" s="26">
        <f ca="1"/>
        <v>7770.1879381333993</v>
      </c>
      <c r="J124" s="26">
        <f ca="1"/>
        <v>7007.5263837970988</v>
      </c>
      <c r="K124" s="26">
        <f ca="1"/>
        <v>6210.0675890633674</v>
      </c>
      <c r="M124" s="4" t="str">
        <f t="shared" si="0"/>
        <v>Mtonne</v>
      </c>
      <c r="Q124" s="4"/>
      <c r="R124" s="4"/>
    </row>
    <row r="125" spans="1:18" s="6" customFormat="1" x14ac:dyDescent="0.2">
      <c r="A125" s="4" t="str">
        <v>CA CO2</v>
      </c>
      <c r="B125" s="26">
        <f ca="1"/>
        <v>0</v>
      </c>
      <c r="C125" s="26">
        <f ca="1"/>
        <v>0</v>
      </c>
      <c r="D125" s="26">
        <f ca="1"/>
        <v>0</v>
      </c>
      <c r="E125" s="26">
        <f ca="1"/>
        <v>0</v>
      </c>
      <c r="F125" s="26">
        <f ca="1"/>
        <v>5539.925977847457</v>
      </c>
      <c r="G125" s="26">
        <f ca="1"/>
        <v>13974.326418786595</v>
      </c>
      <c r="H125" s="26">
        <f ca="1"/>
        <v>17732.834511361638</v>
      </c>
      <c r="I125" s="26">
        <f ca="1"/>
        <v>17385.198752834618</v>
      </c>
      <c r="J125" s="26">
        <f ca="1"/>
        <v>14793.90976102992</v>
      </c>
      <c r="K125" s="26">
        <f ca="1"/>
        <v>12008.980683213775</v>
      </c>
      <c r="M125" s="4" t="str">
        <f t="shared" si="0"/>
        <v>Mtonne</v>
      </c>
      <c r="Q125" s="4"/>
      <c r="R125" s="4"/>
    </row>
    <row r="126" spans="1:18" s="6" customFormat="1" x14ac:dyDescent="0.2">
      <c r="A126" s="4" t="str">
        <v>IA CO2</v>
      </c>
      <c r="B126" s="26">
        <f ca="1"/>
        <v>0</v>
      </c>
      <c r="C126" s="26">
        <f ca="1"/>
        <v>0</v>
      </c>
      <c r="D126" s="26">
        <f ca="1"/>
        <v>0</v>
      </c>
      <c r="E126" s="26">
        <f ca="1"/>
        <v>0</v>
      </c>
      <c r="F126" s="26">
        <f ca="1"/>
        <v>6405.5904776907782</v>
      </c>
      <c r="G126" s="26">
        <f ca="1"/>
        <v>18161.308321476823</v>
      </c>
      <c r="H126" s="26">
        <f ca="1"/>
        <v>26561.328935309375</v>
      </c>
      <c r="I126" s="26">
        <f ca="1"/>
        <v>31318.901428877976</v>
      </c>
      <c r="J126" s="26">
        <f ca="1"/>
        <v>32158.50659380015</v>
      </c>
      <c r="K126" s="26">
        <f ca="1"/>
        <v>30535.211225008927</v>
      </c>
      <c r="M126" s="4" t="str">
        <f t="shared" si="0"/>
        <v>Mtonne</v>
      </c>
      <c r="Q126" s="4"/>
      <c r="R126" s="4"/>
    </row>
    <row r="127" spans="1:18" s="6" customFormat="1" x14ac:dyDescent="0.2">
      <c r="A127" s="4" t="str">
        <v>AF CO2</v>
      </c>
      <c r="B127" s="26">
        <f ca="1"/>
        <v>0</v>
      </c>
      <c r="C127" s="26">
        <f ca="1"/>
        <v>0</v>
      </c>
      <c r="D127" s="26">
        <f ca="1"/>
        <v>0</v>
      </c>
      <c r="E127" s="26">
        <f ca="1"/>
        <v>0</v>
      </c>
      <c r="F127" s="26">
        <f ca="1"/>
        <v>8208.5763896125027</v>
      </c>
      <c r="G127" s="26">
        <f ca="1"/>
        <v>25575.878944759585</v>
      </c>
      <c r="H127" s="26">
        <f ca="1"/>
        <v>38540.303730691812</v>
      </c>
      <c r="I127" s="26">
        <f ca="1"/>
        <v>47242.332574981207</v>
      </c>
      <c r="J127" s="26">
        <f ca="1"/>
        <v>50774.598240778585</v>
      </c>
      <c r="K127" s="26">
        <f ca="1"/>
        <v>51389.497080512345</v>
      </c>
      <c r="M127" s="4" t="str">
        <f t="shared" si="0"/>
        <v>Mtonne</v>
      </c>
      <c r="Q127" s="4"/>
      <c r="R127" s="4"/>
    </row>
    <row r="128" spans="1:18" s="6" customFormat="1" ht="13.5" thickBot="1" x14ac:dyDescent="0.25">
      <c r="A128" s="4" t="str">
        <v>LA CO2</v>
      </c>
      <c r="B128" s="35">
        <f ca="1"/>
        <v>0</v>
      </c>
      <c r="C128" s="35">
        <f ca="1"/>
        <v>0</v>
      </c>
      <c r="D128" s="35">
        <f ca="1"/>
        <v>0</v>
      </c>
      <c r="E128" s="35">
        <f ca="1"/>
        <v>0</v>
      </c>
      <c r="F128" s="35">
        <f ca="1"/>
        <v>2254.1408542777058</v>
      </c>
      <c r="G128" s="35">
        <f ca="1"/>
        <v>7452.84883124721</v>
      </c>
      <c r="H128" s="35">
        <f ca="1"/>
        <v>10611.48665720944</v>
      </c>
      <c r="I128" s="35">
        <f ca="1"/>
        <v>12055.359281924384</v>
      </c>
      <c r="J128" s="35">
        <f ca="1"/>
        <v>11935.457746218783</v>
      </c>
      <c r="K128" s="35">
        <f ca="1"/>
        <v>11939.051707350247</v>
      </c>
      <c r="M128" s="4" t="str">
        <f t="shared" si="0"/>
        <v>Mtonne</v>
      </c>
    </row>
    <row r="129" spans="1:18" s="8" customFormat="1" ht="15" thickTop="1" x14ac:dyDescent="0.25">
      <c r="A129" s="8" t="s">
        <v>103</v>
      </c>
      <c r="B129" s="2" t="s">
        <v>285</v>
      </c>
      <c r="C129" s="2"/>
      <c r="D129" s="2"/>
      <c r="E129" s="2"/>
      <c r="F129" s="2"/>
      <c r="G129" s="2"/>
      <c r="H129" s="2"/>
      <c r="I129" s="2"/>
      <c r="J129" s="2"/>
      <c r="K129" s="2"/>
      <c r="Q129" s="2"/>
      <c r="R129" s="2"/>
    </row>
    <row r="130" spans="1:18" s="7" customFormat="1" x14ac:dyDescent="0.2">
      <c r="A130" s="4" t="str">
        <f t="array" ref="A130:A137">R_CODE&amp;" "&amp;'Base data'!$C$12</f>
        <v>EU CH4</v>
      </c>
      <c r="B130" s="29">
        <f t="array" aca="1" ref="B130:K137" ca="1">cb_ch4*E_CH4_0/100</f>
        <v>0</v>
      </c>
      <c r="C130" s="29">
        <f ca="1"/>
        <v>0</v>
      </c>
      <c r="D130" s="29">
        <f ca="1"/>
        <v>0</v>
      </c>
      <c r="E130" s="29">
        <f ca="1"/>
        <v>0</v>
      </c>
      <c r="F130" s="29">
        <f ca="1"/>
        <v>13.534225032549035</v>
      </c>
      <c r="G130" s="29">
        <f ca="1"/>
        <v>10.467296478615097</v>
      </c>
      <c r="H130" s="29">
        <f ca="1"/>
        <v>6.272840631923593</v>
      </c>
      <c r="I130" s="29">
        <f ca="1"/>
        <v>3.3018901821380546</v>
      </c>
      <c r="J130" s="29">
        <f ca="1"/>
        <v>5.0986793853663785</v>
      </c>
      <c r="K130" s="29">
        <f ca="1"/>
        <v>1.1974560981622364</v>
      </c>
      <c r="M130" s="4" t="str">
        <f t="shared" ref="M130:M137" si="1">EMIT_NAME</f>
        <v>Mtonne</v>
      </c>
      <c r="Q130" s="4"/>
      <c r="R130" s="4"/>
    </row>
    <row r="131" spans="1:18" s="7" customFormat="1" x14ac:dyDescent="0.2">
      <c r="A131" s="4" t="str">
        <v>US CH4</v>
      </c>
      <c r="B131" s="26">
        <f ca="1"/>
        <v>0</v>
      </c>
      <c r="C131" s="26">
        <f ca="1"/>
        <v>0</v>
      </c>
      <c r="D131" s="26">
        <f ca="1"/>
        <v>0</v>
      </c>
      <c r="E131" s="26">
        <f ca="1"/>
        <v>0</v>
      </c>
      <c r="F131" s="26">
        <f ca="1"/>
        <v>22.68626410937345</v>
      </c>
      <c r="G131" s="26">
        <f ca="1"/>
        <v>21.880566545602971</v>
      </c>
      <c r="H131" s="26">
        <f ca="1"/>
        <v>18.451301477040346</v>
      </c>
      <c r="I131" s="26">
        <f ca="1"/>
        <v>13.882644145761494</v>
      </c>
      <c r="J131" s="26">
        <f ca="1"/>
        <v>8.2798138502083063</v>
      </c>
      <c r="K131" s="26">
        <f ca="1"/>
        <v>4.5207502242130753</v>
      </c>
      <c r="M131" s="4" t="str">
        <f t="shared" si="1"/>
        <v>Mtonne</v>
      </c>
      <c r="Q131" s="4"/>
      <c r="R131" s="4"/>
    </row>
    <row r="132" spans="1:18" s="7" customFormat="1" x14ac:dyDescent="0.2">
      <c r="A132" s="4" t="str">
        <v>OT CH4</v>
      </c>
      <c r="B132" s="26">
        <f ca="1"/>
        <v>0</v>
      </c>
      <c r="C132" s="26">
        <f ca="1"/>
        <v>0</v>
      </c>
      <c r="D132" s="26">
        <f ca="1"/>
        <v>0</v>
      </c>
      <c r="E132" s="26">
        <f ca="1"/>
        <v>0</v>
      </c>
      <c r="F132" s="26">
        <f ca="1"/>
        <v>10.109523812660472</v>
      </c>
      <c r="G132" s="26">
        <f ca="1"/>
        <v>14.940309039012986</v>
      </c>
      <c r="H132" s="26">
        <f ca="1"/>
        <v>13.771893952330263</v>
      </c>
      <c r="I132" s="26">
        <f ca="1"/>
        <v>11.797707855319517</v>
      </c>
      <c r="J132" s="26">
        <f ca="1"/>
        <v>11.190192184793041</v>
      </c>
      <c r="K132" s="26">
        <f ca="1"/>
        <v>16.528532398615699</v>
      </c>
      <c r="M132" s="4" t="str">
        <f t="shared" si="1"/>
        <v>Mtonne</v>
      </c>
      <c r="Q132" s="4"/>
      <c r="R132" s="4"/>
    </row>
    <row r="133" spans="1:18" s="7" customFormat="1" x14ac:dyDescent="0.2">
      <c r="A133" s="4" t="str">
        <v>EE CH4</v>
      </c>
      <c r="B133" s="26">
        <f ca="1"/>
        <v>0</v>
      </c>
      <c r="C133" s="26">
        <f ca="1"/>
        <v>0</v>
      </c>
      <c r="D133" s="26">
        <f ca="1"/>
        <v>0</v>
      </c>
      <c r="E133" s="26">
        <f ca="1"/>
        <v>0</v>
      </c>
      <c r="F133" s="26">
        <f ca="1"/>
        <v>30.25044216979127</v>
      </c>
      <c r="G133" s="26">
        <f ca="1"/>
        <v>44.925495692462135</v>
      </c>
      <c r="H133" s="26">
        <f ca="1"/>
        <v>50.031294939790705</v>
      </c>
      <c r="I133" s="26">
        <f ca="1"/>
        <v>54.640295279900208</v>
      </c>
      <c r="J133" s="26">
        <f ca="1"/>
        <v>54.13630880323246</v>
      </c>
      <c r="K133" s="26">
        <f ca="1"/>
        <v>51.356518100519295</v>
      </c>
      <c r="M133" s="4" t="str">
        <f t="shared" si="1"/>
        <v>Mtonne</v>
      </c>
      <c r="Q133" s="4"/>
      <c r="R133" s="4"/>
    </row>
    <row r="134" spans="1:18" s="7" customFormat="1" x14ac:dyDescent="0.2">
      <c r="A134" s="4" t="str">
        <v>CA CH4</v>
      </c>
      <c r="B134" s="26">
        <f ca="1"/>
        <v>0</v>
      </c>
      <c r="C134" s="26">
        <f ca="1"/>
        <v>0</v>
      </c>
      <c r="D134" s="26">
        <f ca="1"/>
        <v>0</v>
      </c>
      <c r="E134" s="26">
        <f ca="1"/>
        <v>0</v>
      </c>
      <c r="F134" s="26">
        <f ca="1"/>
        <v>20.694387975621773</v>
      </c>
      <c r="G134" s="26">
        <f ca="1"/>
        <v>23.881874222751794</v>
      </c>
      <c r="H134" s="26">
        <f ca="1"/>
        <v>23.759820692347461</v>
      </c>
      <c r="I134" s="26">
        <f ca="1"/>
        <v>18.296338844577107</v>
      </c>
      <c r="J134" s="26">
        <f ca="1"/>
        <v>16.62642488250783</v>
      </c>
      <c r="K134" s="26">
        <f ca="1"/>
        <v>13.527524233354836</v>
      </c>
      <c r="M134" s="4" t="str">
        <f t="shared" si="1"/>
        <v>Mtonne</v>
      </c>
      <c r="Q134" s="4"/>
      <c r="R134" s="4"/>
    </row>
    <row r="135" spans="1:18" s="7" customFormat="1" x14ac:dyDescent="0.2">
      <c r="A135" s="4" t="str">
        <v>IA CH4</v>
      </c>
      <c r="B135" s="26">
        <f ca="1"/>
        <v>0</v>
      </c>
      <c r="C135" s="26">
        <f ca="1"/>
        <v>0</v>
      </c>
      <c r="D135" s="26">
        <f ca="1"/>
        <v>0</v>
      </c>
      <c r="E135" s="26">
        <f ca="1"/>
        <v>0</v>
      </c>
      <c r="F135" s="26">
        <f ca="1"/>
        <v>43.384796153943356</v>
      </c>
      <c r="G135" s="26">
        <f ca="1"/>
        <v>31.771061270731249</v>
      </c>
      <c r="H135" s="26">
        <f ca="1"/>
        <v>21.178490584317597</v>
      </c>
      <c r="I135" s="26">
        <f ca="1"/>
        <v>14.64066804150451</v>
      </c>
      <c r="J135" s="26">
        <f ca="1"/>
        <v>13.642340235033503</v>
      </c>
      <c r="K135" s="26">
        <f ca="1"/>
        <v>11.690380702118732</v>
      </c>
      <c r="M135" s="4" t="str">
        <f t="shared" si="1"/>
        <v>Mtonne</v>
      </c>
      <c r="Q135" s="4"/>
      <c r="R135" s="4"/>
    </row>
    <row r="136" spans="1:18" s="7" customFormat="1" x14ac:dyDescent="0.2">
      <c r="A136" s="4" t="str">
        <v>AF CH4</v>
      </c>
      <c r="B136" s="26">
        <f ca="1"/>
        <v>0</v>
      </c>
      <c r="C136" s="26">
        <f ca="1"/>
        <v>0</v>
      </c>
      <c r="D136" s="26">
        <f ca="1"/>
        <v>0</v>
      </c>
      <c r="E136" s="26">
        <f ca="1"/>
        <v>0</v>
      </c>
      <c r="F136" s="26">
        <f ca="1"/>
        <v>89.272026340002739</v>
      </c>
      <c r="G136" s="26">
        <f ca="1"/>
        <v>156.73989416716077</v>
      </c>
      <c r="H136" s="26">
        <f ca="1"/>
        <v>177.20817488878606</v>
      </c>
      <c r="I136" s="26">
        <f ca="1"/>
        <v>167.9978669253517</v>
      </c>
      <c r="J136" s="26">
        <f ca="1"/>
        <v>133.92523987860207</v>
      </c>
      <c r="K136" s="26">
        <f ca="1"/>
        <v>112.88556067052831</v>
      </c>
      <c r="M136" s="4" t="str">
        <f t="shared" si="1"/>
        <v>Mtonne</v>
      </c>
      <c r="Q136" s="4"/>
      <c r="R136" s="4"/>
    </row>
    <row r="137" spans="1:18" s="7" customFormat="1" ht="13.5" thickBot="1" x14ac:dyDescent="0.25">
      <c r="A137" s="4" t="str">
        <v>LA CH4</v>
      </c>
      <c r="B137" s="35">
        <f ca="1"/>
        <v>0</v>
      </c>
      <c r="C137" s="35">
        <f ca="1"/>
        <v>0</v>
      </c>
      <c r="D137" s="35">
        <f ca="1"/>
        <v>0</v>
      </c>
      <c r="E137" s="35">
        <f ca="1"/>
        <v>0</v>
      </c>
      <c r="F137" s="35">
        <f ca="1"/>
        <v>25.081973242508219</v>
      </c>
      <c r="G137" s="35">
        <f ca="1"/>
        <v>33.721183642458847</v>
      </c>
      <c r="H137" s="35">
        <f ca="1"/>
        <v>33.165737110622935</v>
      </c>
      <c r="I137" s="35">
        <f ca="1"/>
        <v>30.064251398757765</v>
      </c>
      <c r="J137" s="35">
        <f ca="1"/>
        <v>22.571453410972524</v>
      </c>
      <c r="K137" s="35">
        <f ca="1"/>
        <v>19.739923279402593</v>
      </c>
      <c r="M137" s="4" t="str">
        <f t="shared" si="1"/>
        <v>Mtonne</v>
      </c>
    </row>
    <row r="138" spans="1:18" s="8" customFormat="1" ht="15" thickTop="1" x14ac:dyDescent="0.25">
      <c r="A138" s="8" t="s">
        <v>103</v>
      </c>
      <c r="B138" s="8" t="s">
        <v>286</v>
      </c>
      <c r="Q138" s="2"/>
      <c r="R138" s="2"/>
    </row>
    <row r="139" spans="1:18" s="7" customFormat="1" x14ac:dyDescent="0.2">
      <c r="A139" s="4" t="str">
        <f t="array" ref="A139:A146">R_CODE&amp;" "&amp;'Base data'!$D$12</f>
        <v>EU N2O</v>
      </c>
      <c r="B139" s="29">
        <f t="array" aca="1" ref="B139:K146" ca="1">cb_n2o*E_N2O_0/100</f>
        <v>0</v>
      </c>
      <c r="C139" s="29">
        <f ca="1"/>
        <v>0</v>
      </c>
      <c r="D139" s="29">
        <f ca="1"/>
        <v>0</v>
      </c>
      <c r="E139" s="29">
        <f ca="1"/>
        <v>0</v>
      </c>
      <c r="F139" s="29">
        <f ca="1"/>
        <v>0.38581562563691962</v>
      </c>
      <c r="G139" s="29">
        <f ca="1"/>
        <v>9.0679399006020164E-2</v>
      </c>
      <c r="H139" s="29">
        <f ca="1"/>
        <v>6.9096270799710825E-3</v>
      </c>
      <c r="I139" s="29">
        <f ca="1"/>
        <v>5.3777255295580965E-2</v>
      </c>
      <c r="J139" s="29">
        <f ca="1"/>
        <v>7.0730208976967066E-2</v>
      </c>
      <c r="K139" s="29">
        <f ca="1"/>
        <v>4.3524216452947052E-2</v>
      </c>
      <c r="M139" s="4" t="str">
        <f t="shared" ref="M139:M146" si="2">EMIT_NAME</f>
        <v>Mtonne</v>
      </c>
      <c r="Q139" s="4"/>
      <c r="R139" s="4"/>
    </row>
    <row r="140" spans="1:18" s="7" customFormat="1" x14ac:dyDescent="0.2">
      <c r="A140" s="4" t="str">
        <v>US N2O</v>
      </c>
      <c r="B140" s="26">
        <f ca="1"/>
        <v>0</v>
      </c>
      <c r="C140" s="26">
        <f ca="1"/>
        <v>0</v>
      </c>
      <c r="D140" s="26">
        <f ca="1"/>
        <v>0</v>
      </c>
      <c r="E140" s="26">
        <f ca="1"/>
        <v>0</v>
      </c>
      <c r="F140" s="26">
        <f ca="1"/>
        <v>0.34029682929616051</v>
      </c>
      <c r="G140" s="26">
        <f ca="1"/>
        <v>7.9980980327814921E-2</v>
      </c>
      <c r="H140" s="26">
        <f ca="1"/>
        <v>6.0944244625950258E-3</v>
      </c>
      <c r="I140" s="26">
        <f ca="1"/>
        <v>4.7432577244961562E-2</v>
      </c>
      <c r="J140" s="26">
        <f ca="1"/>
        <v>6.2385409638560457E-2</v>
      </c>
      <c r="K140" s="26">
        <f ca="1"/>
        <v>3.8389199069080809E-2</v>
      </c>
      <c r="M140" s="4" t="str">
        <f t="shared" si="2"/>
        <v>Mtonne</v>
      </c>
      <c r="Q140" s="4"/>
      <c r="R140" s="4"/>
    </row>
    <row r="141" spans="1:18" s="7" customFormat="1" x14ac:dyDescent="0.2">
      <c r="A141" s="4" t="str">
        <v>OT N2O</v>
      </c>
      <c r="B141" s="26">
        <f ca="1"/>
        <v>0</v>
      </c>
      <c r="C141" s="26">
        <f ca="1"/>
        <v>0</v>
      </c>
      <c r="D141" s="26">
        <f ca="1"/>
        <v>0</v>
      </c>
      <c r="E141" s="26">
        <f ca="1"/>
        <v>0</v>
      </c>
      <c r="F141" s="26">
        <f ca="1"/>
        <v>0.18291462874695785</v>
      </c>
      <c r="G141" s="26">
        <f ca="1"/>
        <v>4.2990971598938339E-2</v>
      </c>
      <c r="H141" s="26">
        <f ca="1"/>
        <v>3.2758441808218301E-3</v>
      </c>
      <c r="I141" s="26">
        <f ca="1"/>
        <v>2.5495718767695949E-2</v>
      </c>
      <c r="J141" s="26">
        <f ca="1"/>
        <v>3.3533089529121048E-2</v>
      </c>
      <c r="K141" s="26">
        <f ca="1"/>
        <v>2.0634767917578137E-2</v>
      </c>
      <c r="M141" s="4" t="str">
        <f t="shared" si="2"/>
        <v>Mtonne</v>
      </c>
      <c r="Q141" s="4"/>
      <c r="R141" s="4"/>
    </row>
    <row r="142" spans="1:18" s="7" customFormat="1" x14ac:dyDescent="0.2">
      <c r="A142" s="4" t="str">
        <v>EE N2O</v>
      </c>
      <c r="B142" s="26">
        <f ca="1"/>
        <v>0</v>
      </c>
      <c r="C142" s="26">
        <f ca="1"/>
        <v>0</v>
      </c>
      <c r="D142" s="26">
        <f ca="1"/>
        <v>0</v>
      </c>
      <c r="E142" s="26">
        <f ca="1"/>
        <v>0</v>
      </c>
      <c r="F142" s="26">
        <f ca="1"/>
        <v>0.12538642347174467</v>
      </c>
      <c r="G142" s="26">
        <f ca="1"/>
        <v>2.9469945664233176E-2</v>
      </c>
      <c r="H142" s="26">
        <f ca="1"/>
        <v>2.2455633455769077E-3</v>
      </c>
      <c r="I142" s="26">
        <f ca="1"/>
        <v>1.7477098535105554E-2</v>
      </c>
      <c r="J142" s="26">
        <f ca="1"/>
        <v>2.2986647884958897E-2</v>
      </c>
      <c r="K142" s="26">
        <f ca="1"/>
        <v>1.4144958039052713E-2</v>
      </c>
      <c r="M142" s="4" t="str">
        <f t="shared" si="2"/>
        <v>Mtonne</v>
      </c>
      <c r="Q142" s="4"/>
      <c r="R142" s="4"/>
    </row>
    <row r="143" spans="1:18" s="7" customFormat="1" x14ac:dyDescent="0.2">
      <c r="A143" s="4" t="str">
        <v>CA N2O</v>
      </c>
      <c r="B143" s="26">
        <f ca="1"/>
        <v>0</v>
      </c>
      <c r="C143" s="26">
        <f ca="1"/>
        <v>0</v>
      </c>
      <c r="D143" s="26">
        <f ca="1"/>
        <v>0</v>
      </c>
      <c r="E143" s="26">
        <f ca="1"/>
        <v>0</v>
      </c>
      <c r="F143" s="26">
        <f ca="1"/>
        <v>0.65884241088272189</v>
      </c>
      <c r="G143" s="26">
        <f ca="1"/>
        <v>0.15484969993088232</v>
      </c>
      <c r="H143" s="26">
        <f ca="1"/>
        <v>1.1799302726926839E-2</v>
      </c>
      <c r="I143" s="26">
        <f ca="1"/>
        <v>9.1833337416300176E-2</v>
      </c>
      <c r="J143" s="26">
        <f ca="1"/>
        <v>0.12078324025289154</v>
      </c>
      <c r="K143" s="26">
        <f ca="1"/>
        <v>7.4324619829231289E-2</v>
      </c>
      <c r="M143" s="4" t="str">
        <f t="shared" si="2"/>
        <v>Mtonne</v>
      </c>
      <c r="Q143" s="4"/>
      <c r="R143" s="4"/>
    </row>
    <row r="144" spans="1:18" s="7" customFormat="1" x14ac:dyDescent="0.2">
      <c r="A144" s="4" t="str">
        <v>IA N2O</v>
      </c>
      <c r="B144" s="26">
        <f ca="1"/>
        <v>0</v>
      </c>
      <c r="C144" s="26">
        <f ca="1"/>
        <v>0</v>
      </c>
      <c r="D144" s="26">
        <f ca="1"/>
        <v>0</v>
      </c>
      <c r="E144" s="26">
        <f ca="1"/>
        <v>0</v>
      </c>
      <c r="F144" s="26">
        <f ca="1"/>
        <v>0.31516960335203509</v>
      </c>
      <c r="G144" s="26">
        <f ca="1"/>
        <v>7.4075253353848292E-2</v>
      </c>
      <c r="H144" s="26">
        <f ca="1"/>
        <v>5.6444173885127815E-3</v>
      </c>
      <c r="I144" s="26">
        <f ca="1"/>
        <v>4.3930196432270939E-2</v>
      </c>
      <c r="J144" s="26">
        <f ca="1"/>
        <v>5.7778924509541918E-2</v>
      </c>
      <c r="K144" s="26">
        <f ca="1"/>
        <v>3.5554573542836788E-2</v>
      </c>
      <c r="M144" s="4" t="str">
        <f t="shared" si="2"/>
        <v>Mtonne</v>
      </c>
      <c r="Q144" s="4"/>
      <c r="R144" s="4"/>
    </row>
    <row r="145" spans="1:18" s="7" customFormat="1" x14ac:dyDescent="0.2">
      <c r="A145" s="4" t="str">
        <v>AF N2O</v>
      </c>
      <c r="B145" s="26">
        <f ca="1"/>
        <v>0</v>
      </c>
      <c r="C145" s="26">
        <f ca="1"/>
        <v>0</v>
      </c>
      <c r="D145" s="26">
        <f ca="1"/>
        <v>0</v>
      </c>
      <c r="E145" s="26">
        <f ca="1"/>
        <v>0</v>
      </c>
      <c r="F145" s="26">
        <f ca="1"/>
        <v>0.55299424342416692</v>
      </c>
      <c r="G145" s="26">
        <f ca="1"/>
        <v>0.12997188894231704</v>
      </c>
      <c r="H145" s="26">
        <f ca="1"/>
        <v>9.903652795616856E-3</v>
      </c>
      <c r="I145" s="26">
        <f ca="1"/>
        <v>7.7079596132257649E-2</v>
      </c>
      <c r="J145" s="26">
        <f ca="1"/>
        <v>0.10137847148072655</v>
      </c>
      <c r="K145" s="26">
        <f ca="1"/>
        <v>6.2383790465442346E-2</v>
      </c>
      <c r="M145" s="4" t="str">
        <f t="shared" si="2"/>
        <v>Mtonne</v>
      </c>
      <c r="Q145" s="4"/>
      <c r="R145" s="4"/>
    </row>
    <row r="146" spans="1:18" s="7" customFormat="1" ht="13.5" thickBot="1" x14ac:dyDescent="0.25">
      <c r="A146" s="4" t="str">
        <v>LA N2O</v>
      </c>
      <c r="B146" s="35">
        <f ca="1"/>
        <v>0</v>
      </c>
      <c r="C146" s="35">
        <f ca="1"/>
        <v>0</v>
      </c>
      <c r="D146" s="35">
        <f ca="1"/>
        <v>0</v>
      </c>
      <c r="E146" s="35">
        <f ca="1"/>
        <v>0</v>
      </c>
      <c r="F146" s="35">
        <f ca="1"/>
        <v>0.53191155276825541</v>
      </c>
      <c r="G146" s="35">
        <f ca="1"/>
        <v>0.1250167611790185</v>
      </c>
      <c r="H146" s="35">
        <f ca="1"/>
        <v>9.5260798810044515E-3</v>
      </c>
      <c r="I146" s="35">
        <f ca="1"/>
        <v>7.414096648020807E-2</v>
      </c>
      <c r="J146" s="35">
        <f ca="1"/>
        <v>9.7513456647727814E-2</v>
      </c>
      <c r="K146" s="35">
        <f ca="1"/>
        <v>6.0005432694153017E-2</v>
      </c>
      <c r="M146" s="4" t="str">
        <f t="shared" si="2"/>
        <v>Mtonne</v>
      </c>
    </row>
    <row r="147" spans="1:18" s="8" customFormat="1" ht="15" thickTop="1" x14ac:dyDescent="0.25">
      <c r="A147" s="8" t="s">
        <v>103</v>
      </c>
      <c r="B147" s="8" t="s">
        <v>287</v>
      </c>
      <c r="Q147" s="2"/>
      <c r="R147" s="2"/>
    </row>
    <row r="148" spans="1:18" s="7" customFormat="1" x14ac:dyDescent="0.2">
      <c r="A148" s="4" t="str">
        <f t="array" ref="A148:A155">R_CODE&amp;" "&amp;GLIN_NAME</f>
        <v>EU Lin</v>
      </c>
      <c r="B148" s="29">
        <f t="array" aca="1" ref="B148:K155" ca="1">cb_glin*E_GLIN_0/100</f>
        <v>0</v>
      </c>
      <c r="C148" s="29">
        <f ca="1"/>
        <v>0</v>
      </c>
      <c r="D148" s="29">
        <f ca="1"/>
        <v>0</v>
      </c>
      <c r="E148" s="29">
        <f ca="1"/>
        <v>0</v>
      </c>
      <c r="F148" s="29">
        <f ca="1"/>
        <v>57.322050763175206</v>
      </c>
      <c r="G148" s="29">
        <f ca="1"/>
        <v>131.49359818621895</v>
      </c>
      <c r="H148" s="29">
        <f ca="1"/>
        <v>150.44989220873288</v>
      </c>
      <c r="I148" s="29">
        <f ca="1"/>
        <v>158.75103024035536</v>
      </c>
      <c r="J148" s="29">
        <f ca="1"/>
        <v>152.68197704463608</v>
      </c>
      <c r="K148" s="29">
        <f ca="1"/>
        <v>145.88267336700855</v>
      </c>
      <c r="M148" s="4" t="str">
        <f t="shared" ref="M148:M155" si="3">EMIT_NAME</f>
        <v>Mtonne</v>
      </c>
      <c r="Q148" s="4"/>
      <c r="R148" s="4"/>
    </row>
    <row r="149" spans="1:18" s="7" customFormat="1" x14ac:dyDescent="0.2">
      <c r="A149" s="4" t="str">
        <v>US Lin</v>
      </c>
      <c r="B149" s="26">
        <f ca="1"/>
        <v>0</v>
      </c>
      <c r="C149" s="26">
        <f ca="1"/>
        <v>0</v>
      </c>
      <c r="D149" s="26">
        <f ca="1"/>
        <v>0</v>
      </c>
      <c r="E149" s="26">
        <f ca="1"/>
        <v>0</v>
      </c>
      <c r="F149" s="26">
        <f ca="1"/>
        <v>149.22143227893224</v>
      </c>
      <c r="G149" s="26">
        <f ca="1"/>
        <v>342.30567112688391</v>
      </c>
      <c r="H149" s="26">
        <f ca="1"/>
        <v>391.65291720547839</v>
      </c>
      <c r="I149" s="26">
        <f ca="1"/>
        <v>413.26253671720036</v>
      </c>
      <c r="J149" s="26">
        <f ca="1"/>
        <v>397.46350652925634</v>
      </c>
      <c r="K149" s="26">
        <f ca="1"/>
        <v>379.76347975479911</v>
      </c>
      <c r="M149" s="4" t="str">
        <f t="shared" si="3"/>
        <v>Mtonne</v>
      </c>
      <c r="Q149" s="4"/>
      <c r="R149" s="4"/>
    </row>
    <row r="150" spans="1:18" s="7" customFormat="1" x14ac:dyDescent="0.2">
      <c r="A150" s="4" t="str">
        <v>OT Lin</v>
      </c>
      <c r="B150" s="26">
        <f ca="1"/>
        <v>0</v>
      </c>
      <c r="C150" s="26">
        <f ca="1"/>
        <v>0</v>
      </c>
      <c r="D150" s="26">
        <f ca="1"/>
        <v>0</v>
      </c>
      <c r="E150" s="26">
        <f ca="1"/>
        <v>0</v>
      </c>
      <c r="F150" s="26">
        <f ca="1"/>
        <v>53.744196346718802</v>
      </c>
      <c r="G150" s="26">
        <f ca="1"/>
        <v>123.28619903104874</v>
      </c>
      <c r="H150" s="26">
        <f ca="1"/>
        <v>141.05930334933689</v>
      </c>
      <c r="I150" s="26">
        <f ca="1"/>
        <v>148.8423115692616</v>
      </c>
      <c r="J150" s="26">
        <f ca="1"/>
        <v>143.15206877008106</v>
      </c>
      <c r="K150" s="26">
        <f ca="1"/>
        <v>136.777155329159</v>
      </c>
      <c r="M150" s="4" t="str">
        <f t="shared" si="3"/>
        <v>Mtonne</v>
      </c>
      <c r="Q150" s="4"/>
      <c r="R150" s="4"/>
    </row>
    <row r="151" spans="1:18" s="7" customFormat="1" x14ac:dyDescent="0.2">
      <c r="A151" s="4" t="str">
        <v>EE Lin</v>
      </c>
      <c r="B151" s="26">
        <f ca="1"/>
        <v>0</v>
      </c>
      <c r="C151" s="26">
        <f ca="1"/>
        <v>0</v>
      </c>
      <c r="D151" s="26">
        <f ca="1"/>
        <v>0</v>
      </c>
      <c r="E151" s="26">
        <f ca="1"/>
        <v>0</v>
      </c>
      <c r="F151" s="26">
        <f ca="1"/>
        <v>19.220422468951348</v>
      </c>
      <c r="G151" s="26">
        <f ca="1"/>
        <v>44.090580770450885</v>
      </c>
      <c r="H151" s="26">
        <f ca="1"/>
        <v>50.446738212613425</v>
      </c>
      <c r="I151" s="26">
        <f ca="1"/>
        <v>53.230158865165571</v>
      </c>
      <c r="J151" s="26">
        <f ca="1"/>
        <v>51.195169452623432</v>
      </c>
      <c r="K151" s="26">
        <f ca="1"/>
        <v>48.915322736764985</v>
      </c>
      <c r="M151" s="4" t="str">
        <f t="shared" si="3"/>
        <v>Mtonne</v>
      </c>
      <c r="Q151" s="4"/>
      <c r="R151" s="4"/>
    </row>
    <row r="152" spans="1:18" s="7" customFormat="1" x14ac:dyDescent="0.2">
      <c r="A152" s="4" t="str">
        <v>CA Lin</v>
      </c>
      <c r="B152" s="26">
        <f ca="1"/>
        <v>0</v>
      </c>
      <c r="C152" s="26">
        <f ca="1"/>
        <v>0</v>
      </c>
      <c r="D152" s="26">
        <f ca="1"/>
        <v>0</v>
      </c>
      <c r="E152" s="26">
        <f ca="1"/>
        <v>0</v>
      </c>
      <c r="F152" s="26">
        <f ca="1"/>
        <v>59.659144170384877</v>
      </c>
      <c r="G152" s="26">
        <f ca="1"/>
        <v>136.85476055427424</v>
      </c>
      <c r="H152" s="26">
        <f ca="1"/>
        <v>156.58392695653222</v>
      </c>
      <c r="I152" s="26">
        <f ca="1"/>
        <v>165.22351301483465</v>
      </c>
      <c r="J152" s="26">
        <f ca="1"/>
        <v>158.90701674925171</v>
      </c>
      <c r="K152" s="26">
        <f ca="1"/>
        <v>151.83049675456928</v>
      </c>
      <c r="M152" s="4" t="str">
        <f t="shared" si="3"/>
        <v>Mtonne</v>
      </c>
      <c r="Q152" s="4"/>
      <c r="R152" s="4"/>
    </row>
    <row r="153" spans="1:18" s="7" customFormat="1" x14ac:dyDescent="0.2">
      <c r="A153" s="4" t="str">
        <v>IA Lin</v>
      </c>
      <c r="B153" s="26">
        <f ca="1"/>
        <v>0</v>
      </c>
      <c r="C153" s="26">
        <f ca="1"/>
        <v>0</v>
      </c>
      <c r="D153" s="26">
        <f ca="1"/>
        <v>0</v>
      </c>
      <c r="E153" s="26">
        <f ca="1"/>
        <v>0</v>
      </c>
      <c r="F153" s="26">
        <f ca="1"/>
        <v>45.896162266164531</v>
      </c>
      <c r="G153" s="26">
        <f ca="1"/>
        <v>105.28324508573888</v>
      </c>
      <c r="H153" s="26">
        <f ca="1"/>
        <v>120.4610193425759</v>
      </c>
      <c r="I153" s="26">
        <f ca="1"/>
        <v>127.10750831184235</v>
      </c>
      <c r="J153" s="26">
        <f ca="1"/>
        <v>122.24818722049611</v>
      </c>
      <c r="K153" s="26">
        <f ca="1"/>
        <v>116.80417499953423</v>
      </c>
      <c r="M153" s="4" t="str">
        <f t="shared" si="3"/>
        <v>Mtonne</v>
      </c>
      <c r="Q153" s="4"/>
      <c r="R153" s="4"/>
    </row>
    <row r="154" spans="1:18" s="7" customFormat="1" x14ac:dyDescent="0.2">
      <c r="A154" s="4" t="str">
        <v>AF Lin</v>
      </c>
      <c r="B154" s="26">
        <f ca="1"/>
        <v>0</v>
      </c>
      <c r="C154" s="26">
        <f ca="1"/>
        <v>0</v>
      </c>
      <c r="D154" s="26">
        <f ca="1"/>
        <v>0</v>
      </c>
      <c r="E154" s="26">
        <f ca="1"/>
        <v>0</v>
      </c>
      <c r="F154" s="26">
        <f ca="1"/>
        <v>26.964051673293397</v>
      </c>
      <c r="G154" s="26">
        <f ca="1"/>
        <v>61.854035733108283</v>
      </c>
      <c r="H154" s="26">
        <f ca="1"/>
        <v>70.770996741167224</v>
      </c>
      <c r="I154" s="26">
        <f ca="1"/>
        <v>74.67581716981114</v>
      </c>
      <c r="J154" s="26">
        <f ca="1"/>
        <v>71.820960063364581</v>
      </c>
      <c r="K154" s="26">
        <f ca="1"/>
        <v>68.622596200504631</v>
      </c>
      <c r="M154" s="4" t="str">
        <f t="shared" si="3"/>
        <v>Mtonne</v>
      </c>
      <c r="Q154" s="4"/>
      <c r="R154" s="4"/>
    </row>
    <row r="155" spans="1:18" s="7" customFormat="1" ht="13.5" thickBot="1" x14ac:dyDescent="0.25">
      <c r="A155" s="4" t="str">
        <v>LA Lin</v>
      </c>
      <c r="B155" s="35">
        <f ca="1"/>
        <v>0</v>
      </c>
      <c r="C155" s="35">
        <f ca="1"/>
        <v>0</v>
      </c>
      <c r="D155" s="35">
        <f ca="1"/>
        <v>0</v>
      </c>
      <c r="E155" s="35">
        <f ca="1"/>
        <v>0</v>
      </c>
      <c r="F155" s="35">
        <f ca="1"/>
        <v>23.050915123225494</v>
      </c>
      <c r="G155" s="35">
        <f ca="1"/>
        <v>52.877518000197831</v>
      </c>
      <c r="H155" s="35">
        <f ca="1"/>
        <v>60.500412135112263</v>
      </c>
      <c r="I155" s="35">
        <f ca="1"/>
        <v>63.838548605205823</v>
      </c>
      <c r="J155" s="35">
        <f ca="1"/>
        <v>61.398000365387112</v>
      </c>
      <c r="K155" s="35">
        <f ca="1"/>
        <v>58.663796513931153</v>
      </c>
      <c r="M155" s="4" t="str">
        <f t="shared" si="3"/>
        <v>Mtonne</v>
      </c>
    </row>
    <row r="156" spans="1:18" s="2" customFormat="1" ht="15" thickTop="1" x14ac:dyDescent="0.25">
      <c r="A156" s="2" t="s">
        <v>283</v>
      </c>
      <c r="B156" s="2" t="s">
        <v>288</v>
      </c>
    </row>
    <row r="157" spans="1:18" s="6" customFormat="1" x14ac:dyDescent="0.2">
      <c r="A157" s="4" t="str">
        <f t="array" ref="A157:A164">R_CODE&amp;" "&amp;'Base data'!$B$12</f>
        <v>EU CO2</v>
      </c>
      <c r="B157" s="27">
        <f t="array" ref="B157:B164">0</f>
        <v>0</v>
      </c>
      <c r="C157" s="27">
        <f t="array" ref="C157:K164" ca="1">cumcbe_co2+cbe_co2*YAGG</f>
        <v>0</v>
      </c>
      <c r="D157" s="27">
        <f ca="1"/>
        <v>0</v>
      </c>
      <c r="E157" s="27">
        <f ca="1"/>
        <v>0</v>
      </c>
      <c r="F157" s="27">
        <f ca="1"/>
        <v>0</v>
      </c>
      <c r="G157" s="27">
        <f ca="1"/>
        <v>16656.357189497779</v>
      </c>
      <c r="H157" s="27">
        <f ca="1"/>
        <v>70515.504516822606</v>
      </c>
      <c r="I157" s="27">
        <f ca="1"/>
        <v>150517.45905243931</v>
      </c>
      <c r="J157" s="27">
        <f ca="1"/>
        <v>242251.44237796357</v>
      </c>
      <c r="K157" s="27">
        <f ca="1"/>
        <v>337428.15970842831</v>
      </c>
      <c r="M157" s="4" t="str">
        <f t="shared" ref="M157:M165" si="4">EMIT_NAME</f>
        <v>Mtonne</v>
      </c>
      <c r="Q157" s="4"/>
      <c r="R157" s="4"/>
    </row>
    <row r="158" spans="1:18" s="6" customFormat="1" x14ac:dyDescent="0.2">
      <c r="A158" s="4" t="str">
        <v>US CO2</v>
      </c>
      <c r="B158" s="28">
        <v>0</v>
      </c>
      <c r="C158" s="28">
        <f ca="1"/>
        <v>0</v>
      </c>
      <c r="D158" s="28">
        <f ca="1"/>
        <v>0</v>
      </c>
      <c r="E158" s="28">
        <f ca="1"/>
        <v>0</v>
      </c>
      <c r="F158" s="28">
        <f ca="1"/>
        <v>0</v>
      </c>
      <c r="G158" s="28">
        <f ca="1"/>
        <v>34362.038846435957</v>
      </c>
      <c r="H158" s="28">
        <f ca="1"/>
        <v>139596.84854854189</v>
      </c>
      <c r="I158" s="28">
        <f ca="1"/>
        <v>281944.95333800558</v>
      </c>
      <c r="J158" s="28">
        <f ca="1"/>
        <v>441677.86910112645</v>
      </c>
      <c r="K158" s="28">
        <f ca="1"/>
        <v>596047.35355325742</v>
      </c>
      <c r="M158" s="4" t="str">
        <f t="shared" si="4"/>
        <v>Mtonne</v>
      </c>
      <c r="Q158" s="4"/>
      <c r="R158" s="4"/>
    </row>
    <row r="159" spans="1:18" s="6" customFormat="1" x14ac:dyDescent="0.2">
      <c r="A159" s="4" t="str">
        <v>OT CO2</v>
      </c>
      <c r="B159" s="28">
        <v>0</v>
      </c>
      <c r="C159" s="28">
        <f ca="1"/>
        <v>0</v>
      </c>
      <c r="D159" s="28">
        <f ca="1"/>
        <v>0</v>
      </c>
      <c r="E159" s="28">
        <f ca="1"/>
        <v>0</v>
      </c>
      <c r="F159" s="28">
        <f ca="1"/>
        <v>0</v>
      </c>
      <c r="G159" s="28">
        <f ca="1"/>
        <v>15620.859539714835</v>
      </c>
      <c r="H159" s="28">
        <f ca="1"/>
        <v>66131.674465047035</v>
      </c>
      <c r="I159" s="28">
        <f ca="1"/>
        <v>141160.04234199703</v>
      </c>
      <c r="J159" s="28">
        <f ca="1"/>
        <v>227191.07855500968</v>
      </c>
      <c r="K159" s="28">
        <f ca="1"/>
        <v>316450.8198030995</v>
      </c>
      <c r="M159" s="4" t="str">
        <f t="shared" si="4"/>
        <v>Mtonne</v>
      </c>
      <c r="Q159" s="4"/>
      <c r="R159" s="4"/>
    </row>
    <row r="160" spans="1:18" s="6" customFormat="1" x14ac:dyDescent="0.2">
      <c r="A160" s="4" t="str">
        <v>EE CO2</v>
      </c>
      <c r="B160" s="28">
        <v>0</v>
      </c>
      <c r="C160" s="28">
        <f ca="1"/>
        <v>0</v>
      </c>
      <c r="D160" s="28">
        <f ca="1"/>
        <v>0</v>
      </c>
      <c r="E160" s="28">
        <f ca="1"/>
        <v>0</v>
      </c>
      <c r="F160" s="28">
        <f ca="1"/>
        <v>0</v>
      </c>
      <c r="G160" s="28">
        <f ca="1"/>
        <v>23972.02356868879</v>
      </c>
      <c r="H160" s="28">
        <f ca="1"/>
        <v>86423.161938502395</v>
      </c>
      <c r="I160" s="28">
        <f ca="1"/>
        <v>165260.86655296184</v>
      </c>
      <c r="J160" s="28">
        <f ca="1"/>
        <v>242962.74593429582</v>
      </c>
      <c r="K160" s="28">
        <f ca="1"/>
        <v>313038.00977226679</v>
      </c>
      <c r="M160" s="4" t="str">
        <f t="shared" si="4"/>
        <v>Mtonne</v>
      </c>
      <c r="Q160" s="4"/>
      <c r="R160" s="4"/>
    </row>
    <row r="161" spans="1:18" s="6" customFormat="1" x14ac:dyDescent="0.2">
      <c r="A161" s="4" t="str">
        <v>CA CO2</v>
      </c>
      <c r="B161" s="28">
        <v>0</v>
      </c>
      <c r="C161" s="28">
        <f ca="1"/>
        <v>0</v>
      </c>
      <c r="D161" s="28">
        <f ca="1"/>
        <v>0</v>
      </c>
      <c r="E161" s="28">
        <f ca="1"/>
        <v>0</v>
      </c>
      <c r="F161" s="28">
        <f ca="1"/>
        <v>0</v>
      </c>
      <c r="G161" s="28">
        <f ca="1"/>
        <v>55399.259778474574</v>
      </c>
      <c r="H161" s="28">
        <f ca="1"/>
        <v>195142.52396634052</v>
      </c>
      <c r="I161" s="28">
        <f ca="1"/>
        <v>372470.8690799569</v>
      </c>
      <c r="J161" s="28">
        <f ca="1"/>
        <v>546322.85660830303</v>
      </c>
      <c r="K161" s="28">
        <f ca="1"/>
        <v>694261.95421860227</v>
      </c>
      <c r="M161" s="4" t="str">
        <f t="shared" si="4"/>
        <v>Mtonne</v>
      </c>
      <c r="Q161" s="4"/>
      <c r="R161" s="4"/>
    </row>
    <row r="162" spans="1:18" s="6" customFormat="1" x14ac:dyDescent="0.2">
      <c r="A162" s="4" t="str">
        <v>IA CO2</v>
      </c>
      <c r="B162" s="28">
        <v>0</v>
      </c>
      <c r="C162" s="28">
        <f ca="1"/>
        <v>0</v>
      </c>
      <c r="D162" s="28">
        <f ca="1"/>
        <v>0</v>
      </c>
      <c r="E162" s="28">
        <f ca="1"/>
        <v>0</v>
      </c>
      <c r="F162" s="28">
        <f ca="1"/>
        <v>0</v>
      </c>
      <c r="G162" s="28">
        <f ca="1"/>
        <v>64055.904776907781</v>
      </c>
      <c r="H162" s="28">
        <f ca="1"/>
        <v>245668.98799167603</v>
      </c>
      <c r="I162" s="28">
        <f ca="1"/>
        <v>511282.2773447698</v>
      </c>
      <c r="J162" s="28">
        <f ca="1"/>
        <v>824471.29163354961</v>
      </c>
      <c r="K162" s="28">
        <f ca="1"/>
        <v>1146056.3575715511</v>
      </c>
      <c r="M162" s="4" t="str">
        <f t="shared" si="4"/>
        <v>Mtonne</v>
      </c>
      <c r="Q162" s="4"/>
      <c r="R162" s="4"/>
    </row>
    <row r="163" spans="1:18" s="6" customFormat="1" x14ac:dyDescent="0.2">
      <c r="A163" s="4" t="str">
        <v>AF CO2</v>
      </c>
      <c r="B163" s="28">
        <v>0</v>
      </c>
      <c r="C163" s="28">
        <f ca="1"/>
        <v>0</v>
      </c>
      <c r="D163" s="28">
        <f ca="1"/>
        <v>0</v>
      </c>
      <c r="E163" s="28">
        <f ca="1"/>
        <v>0</v>
      </c>
      <c r="F163" s="28">
        <f ca="1"/>
        <v>0</v>
      </c>
      <c r="G163" s="28">
        <f ca="1"/>
        <v>82085.76389612502</v>
      </c>
      <c r="H163" s="28">
        <f ca="1"/>
        <v>337844.55334372085</v>
      </c>
      <c r="I163" s="28">
        <f ca="1"/>
        <v>723247.59065063903</v>
      </c>
      <c r="J163" s="28">
        <f ca="1"/>
        <v>1195670.9164004512</v>
      </c>
      <c r="K163" s="28">
        <f ca="1"/>
        <v>1703416.8988082372</v>
      </c>
      <c r="M163" s="4" t="str">
        <f t="shared" si="4"/>
        <v>Mtonne</v>
      </c>
      <c r="Q163" s="4"/>
      <c r="R163" s="4"/>
    </row>
    <row r="164" spans="1:18" s="6" customFormat="1" ht="13.5" thickBot="1" x14ac:dyDescent="0.25">
      <c r="A164" s="4" t="str">
        <v>LA CO2</v>
      </c>
      <c r="B164" s="36">
        <v>0</v>
      </c>
      <c r="C164" s="36">
        <f ca="1"/>
        <v>0</v>
      </c>
      <c r="D164" s="36">
        <f ca="1"/>
        <v>0</v>
      </c>
      <c r="E164" s="36">
        <f ca="1"/>
        <v>0</v>
      </c>
      <c r="F164" s="36">
        <f ca="1"/>
        <v>0</v>
      </c>
      <c r="G164" s="36">
        <f ca="1"/>
        <v>22541.408542777059</v>
      </c>
      <c r="H164" s="36">
        <f ca="1"/>
        <v>97069.896855249157</v>
      </c>
      <c r="I164" s="36">
        <f ca="1"/>
        <v>203184.76342734357</v>
      </c>
      <c r="J164" s="36">
        <f ca="1"/>
        <v>323738.35624658741</v>
      </c>
      <c r="K164" s="36">
        <f ca="1"/>
        <v>443092.93370877521</v>
      </c>
      <c r="M164" s="4" t="str">
        <f t="shared" si="4"/>
        <v>Mtonne</v>
      </c>
    </row>
    <row r="165" spans="1:18" s="6" customFormat="1" ht="13.5" thickTop="1" x14ac:dyDescent="0.2">
      <c r="A165" s="58" t="s">
        <v>204</v>
      </c>
      <c r="B165" s="28">
        <f t="shared" ref="B165:K165" si="5">SUM(B157:B164)</f>
        <v>0</v>
      </c>
      <c r="C165" s="28">
        <f t="shared" ca="1" si="5"/>
        <v>0</v>
      </c>
      <c r="D165" s="28">
        <f t="shared" ca="1" si="5"/>
        <v>0</v>
      </c>
      <c r="E165" s="28">
        <f t="shared" ca="1" si="5"/>
        <v>0</v>
      </c>
      <c r="F165" s="28">
        <f t="shared" ca="1" si="5"/>
        <v>0</v>
      </c>
      <c r="G165" s="28">
        <f t="shared" ca="1" si="5"/>
        <v>314693.61613862182</v>
      </c>
      <c r="H165" s="28">
        <f t="shared" ca="1" si="5"/>
        <v>1238393.1516259005</v>
      </c>
      <c r="I165" s="28">
        <f t="shared" ca="1" si="5"/>
        <v>2549068.8217881131</v>
      </c>
      <c r="J165" s="28">
        <f t="shared" ca="1" si="5"/>
        <v>4044286.5568572865</v>
      </c>
      <c r="K165" s="28">
        <f t="shared" ca="1" si="5"/>
        <v>5549792.4871442178</v>
      </c>
      <c r="M165" s="4" t="str">
        <f t="shared" si="4"/>
        <v>Mtonne</v>
      </c>
    </row>
    <row r="166" spans="1:18" s="8" customFormat="1" ht="14.25" x14ac:dyDescent="0.25">
      <c r="A166" s="2" t="s">
        <v>283</v>
      </c>
      <c r="B166" s="2" t="s">
        <v>289</v>
      </c>
      <c r="C166" s="2"/>
      <c r="D166" s="2"/>
      <c r="E166" s="2"/>
      <c r="F166" s="2"/>
      <c r="G166" s="2"/>
      <c r="H166" s="2"/>
      <c r="I166" s="2"/>
      <c r="J166" s="2"/>
      <c r="K166" s="2"/>
      <c r="Q166" s="2"/>
      <c r="R166" s="2"/>
    </row>
    <row r="167" spans="1:18" s="7" customFormat="1" x14ac:dyDescent="0.2">
      <c r="A167" s="4" t="str">
        <f t="array" ref="A167:A174">R_CODE&amp;" "&amp;'Base data'!$C$12</f>
        <v>EU CH4</v>
      </c>
      <c r="B167" s="29">
        <f t="array" ref="B167:B174">0</f>
        <v>0</v>
      </c>
      <c r="C167" s="29">
        <f t="array" ref="C167:K174" ca="1">cumcbe_ch4+cbe_ch4*YAGG</f>
        <v>0</v>
      </c>
      <c r="D167" s="29">
        <f ca="1"/>
        <v>0</v>
      </c>
      <c r="E167" s="29">
        <f ca="1"/>
        <v>0</v>
      </c>
      <c r="F167" s="29">
        <f ca="1"/>
        <v>0</v>
      </c>
      <c r="G167" s="29">
        <f ca="1"/>
        <v>135.34225032549034</v>
      </c>
      <c r="H167" s="29">
        <f ca="1"/>
        <v>240.01521511164131</v>
      </c>
      <c r="I167" s="29">
        <f ca="1"/>
        <v>302.74362143087723</v>
      </c>
      <c r="J167" s="29">
        <f ca="1"/>
        <v>335.76252325225778</v>
      </c>
      <c r="K167" s="29">
        <f ca="1"/>
        <v>386.74931710592159</v>
      </c>
      <c r="M167" s="4" t="str">
        <f t="shared" ref="M167:M175" si="6">EMIT_NAME</f>
        <v>Mtonne</v>
      </c>
      <c r="Q167" s="4"/>
      <c r="R167" s="4"/>
    </row>
    <row r="168" spans="1:18" s="7" customFormat="1" x14ac:dyDescent="0.2">
      <c r="A168" s="4" t="str">
        <v>US CH4</v>
      </c>
      <c r="B168" s="26">
        <v>0</v>
      </c>
      <c r="C168" s="26">
        <f ca="1"/>
        <v>0</v>
      </c>
      <c r="D168" s="26">
        <f ca="1"/>
        <v>0</v>
      </c>
      <c r="E168" s="26">
        <f ca="1"/>
        <v>0</v>
      </c>
      <c r="F168" s="26">
        <f ca="1"/>
        <v>0</v>
      </c>
      <c r="G168" s="26">
        <f ca="1"/>
        <v>226.86264109373451</v>
      </c>
      <c r="H168" s="26">
        <f ca="1"/>
        <v>445.66830654976422</v>
      </c>
      <c r="I168" s="26">
        <f ca="1"/>
        <v>630.18132132016763</v>
      </c>
      <c r="J168" s="26">
        <f ca="1"/>
        <v>769.00776277778255</v>
      </c>
      <c r="K168" s="26">
        <f ca="1"/>
        <v>851.80590127986557</v>
      </c>
      <c r="M168" s="4" t="str">
        <f t="shared" si="6"/>
        <v>Mtonne</v>
      </c>
      <c r="Q168" s="4"/>
      <c r="R168" s="4"/>
    </row>
    <row r="169" spans="1:18" s="7" customFormat="1" x14ac:dyDescent="0.2">
      <c r="A169" s="4" t="str">
        <v>OT CH4</v>
      </c>
      <c r="B169" s="26">
        <v>0</v>
      </c>
      <c r="C169" s="26">
        <f ca="1"/>
        <v>0</v>
      </c>
      <c r="D169" s="26">
        <f ca="1"/>
        <v>0</v>
      </c>
      <c r="E169" s="26">
        <f ca="1"/>
        <v>0</v>
      </c>
      <c r="F169" s="26">
        <f ca="1"/>
        <v>0</v>
      </c>
      <c r="G169" s="26">
        <f ca="1"/>
        <v>101.09523812660471</v>
      </c>
      <c r="H169" s="26">
        <f ca="1"/>
        <v>250.49832851673455</v>
      </c>
      <c r="I169" s="26">
        <f ca="1"/>
        <v>388.2172680400372</v>
      </c>
      <c r="J169" s="26">
        <f ca="1"/>
        <v>506.19434659323235</v>
      </c>
      <c r="K169" s="26">
        <f ca="1"/>
        <v>618.09626844116281</v>
      </c>
      <c r="M169" s="4" t="str">
        <f t="shared" si="6"/>
        <v>Mtonne</v>
      </c>
      <c r="Q169" s="4"/>
      <c r="R169" s="4"/>
    </row>
    <row r="170" spans="1:18" s="7" customFormat="1" x14ac:dyDescent="0.2">
      <c r="A170" s="4" t="str">
        <v>EE CH4</v>
      </c>
      <c r="B170" s="26">
        <v>0</v>
      </c>
      <c r="C170" s="26">
        <f ca="1"/>
        <v>0</v>
      </c>
      <c r="D170" s="26">
        <f ca="1"/>
        <v>0</v>
      </c>
      <c r="E170" s="26">
        <f ca="1"/>
        <v>0</v>
      </c>
      <c r="F170" s="26">
        <f ca="1"/>
        <v>0</v>
      </c>
      <c r="G170" s="26">
        <f ca="1"/>
        <v>302.50442169791268</v>
      </c>
      <c r="H170" s="26">
        <f ca="1"/>
        <v>751.75937862253409</v>
      </c>
      <c r="I170" s="26">
        <f ca="1"/>
        <v>1252.0723280204411</v>
      </c>
      <c r="J170" s="26">
        <f ca="1"/>
        <v>1798.475280819443</v>
      </c>
      <c r="K170" s="26">
        <f ca="1"/>
        <v>2339.8383688517679</v>
      </c>
      <c r="M170" s="4" t="str">
        <f t="shared" si="6"/>
        <v>Mtonne</v>
      </c>
      <c r="Q170" s="4"/>
      <c r="R170" s="4"/>
    </row>
    <row r="171" spans="1:18" s="7" customFormat="1" x14ac:dyDescent="0.2">
      <c r="A171" s="4" t="str">
        <v>CA CH4</v>
      </c>
      <c r="B171" s="26">
        <v>0</v>
      </c>
      <c r="C171" s="26">
        <f ca="1"/>
        <v>0</v>
      </c>
      <c r="D171" s="26">
        <f ca="1"/>
        <v>0</v>
      </c>
      <c r="E171" s="26">
        <f ca="1"/>
        <v>0</v>
      </c>
      <c r="F171" s="26">
        <f ca="1"/>
        <v>0</v>
      </c>
      <c r="G171" s="26">
        <f ca="1"/>
        <v>206.94387975621771</v>
      </c>
      <c r="H171" s="26">
        <f ca="1"/>
        <v>445.76262198373564</v>
      </c>
      <c r="I171" s="26">
        <f ca="1"/>
        <v>683.36082890721025</v>
      </c>
      <c r="J171" s="26">
        <f ca="1"/>
        <v>866.32421735298135</v>
      </c>
      <c r="K171" s="26">
        <f ca="1"/>
        <v>1032.5884661780597</v>
      </c>
      <c r="M171" s="4" t="str">
        <f t="shared" si="6"/>
        <v>Mtonne</v>
      </c>
      <c r="Q171" s="4"/>
      <c r="R171" s="4"/>
    </row>
    <row r="172" spans="1:18" s="7" customFormat="1" x14ac:dyDescent="0.2">
      <c r="A172" s="4" t="str">
        <v>IA CH4</v>
      </c>
      <c r="B172" s="26">
        <v>0</v>
      </c>
      <c r="C172" s="26">
        <f ca="1"/>
        <v>0</v>
      </c>
      <c r="D172" s="26">
        <f ca="1"/>
        <v>0</v>
      </c>
      <c r="E172" s="26">
        <f ca="1"/>
        <v>0</v>
      </c>
      <c r="F172" s="26">
        <f ca="1"/>
        <v>0</v>
      </c>
      <c r="G172" s="26">
        <f ca="1"/>
        <v>433.84796153943353</v>
      </c>
      <c r="H172" s="26">
        <f ca="1"/>
        <v>751.55857424674605</v>
      </c>
      <c r="I172" s="26">
        <f ca="1"/>
        <v>963.34348008992197</v>
      </c>
      <c r="J172" s="26">
        <f ca="1"/>
        <v>1109.750160504967</v>
      </c>
      <c r="K172" s="26">
        <f ca="1"/>
        <v>1246.173562855302</v>
      </c>
      <c r="M172" s="4" t="str">
        <f t="shared" si="6"/>
        <v>Mtonne</v>
      </c>
      <c r="Q172" s="4"/>
      <c r="R172" s="4"/>
    </row>
    <row r="173" spans="1:18" s="7" customFormat="1" x14ac:dyDescent="0.2">
      <c r="A173" s="4" t="str">
        <v>AF CH4</v>
      </c>
      <c r="B173" s="26">
        <v>0</v>
      </c>
      <c r="C173" s="26">
        <f ca="1"/>
        <v>0</v>
      </c>
      <c r="D173" s="26">
        <f ca="1"/>
        <v>0</v>
      </c>
      <c r="E173" s="26">
        <f ca="1"/>
        <v>0</v>
      </c>
      <c r="F173" s="26">
        <f ca="1"/>
        <v>0</v>
      </c>
      <c r="G173" s="26">
        <f ca="1"/>
        <v>892.72026340002742</v>
      </c>
      <c r="H173" s="26">
        <f ca="1"/>
        <v>2460.119205071635</v>
      </c>
      <c r="I173" s="26">
        <f ca="1"/>
        <v>4232.2009539594956</v>
      </c>
      <c r="J173" s="26">
        <f ca="1"/>
        <v>5912.1796232130127</v>
      </c>
      <c r="K173" s="26">
        <f ca="1"/>
        <v>7251.4320219990332</v>
      </c>
      <c r="M173" s="4" t="str">
        <f t="shared" si="6"/>
        <v>Mtonne</v>
      </c>
      <c r="Q173" s="4"/>
      <c r="R173" s="4"/>
    </row>
    <row r="174" spans="1:18" s="7" customFormat="1" ht="13.5" thickBot="1" x14ac:dyDescent="0.25">
      <c r="A174" s="4" t="str">
        <v>LA CH4</v>
      </c>
      <c r="B174" s="35">
        <v>0</v>
      </c>
      <c r="C174" s="35">
        <f ca="1"/>
        <v>0</v>
      </c>
      <c r="D174" s="35">
        <f ca="1"/>
        <v>0</v>
      </c>
      <c r="E174" s="35">
        <f ca="1"/>
        <v>0</v>
      </c>
      <c r="F174" s="35">
        <f ca="1"/>
        <v>0</v>
      </c>
      <c r="G174" s="35">
        <f ca="1"/>
        <v>250.81973242508218</v>
      </c>
      <c r="H174" s="35">
        <f ca="1"/>
        <v>588.03156884967063</v>
      </c>
      <c r="I174" s="35">
        <f ca="1"/>
        <v>919.68893995589997</v>
      </c>
      <c r="J174" s="35">
        <f ca="1"/>
        <v>1220.3314539434778</v>
      </c>
      <c r="K174" s="35">
        <f ca="1"/>
        <v>1446.045988053203</v>
      </c>
      <c r="M174" s="4" t="str">
        <f t="shared" si="6"/>
        <v>Mtonne</v>
      </c>
    </row>
    <row r="175" spans="1:18" s="6" customFormat="1" ht="13.5" thickTop="1" x14ac:dyDescent="0.2">
      <c r="A175" s="58" t="s">
        <v>204</v>
      </c>
      <c r="B175" s="26">
        <f t="shared" ref="B175:K175" si="7">SUM(B167:B174)</f>
        <v>0</v>
      </c>
      <c r="C175" s="26">
        <f t="shared" ca="1" si="7"/>
        <v>0</v>
      </c>
      <c r="D175" s="26">
        <f t="shared" ca="1" si="7"/>
        <v>0</v>
      </c>
      <c r="E175" s="26">
        <f t="shared" ca="1" si="7"/>
        <v>0</v>
      </c>
      <c r="F175" s="26">
        <f t="shared" ca="1" si="7"/>
        <v>0</v>
      </c>
      <c r="G175" s="26">
        <f t="shared" ca="1" si="7"/>
        <v>2550.1363883645031</v>
      </c>
      <c r="H175" s="26">
        <f t="shared" ca="1" si="7"/>
        <v>5933.4131989524612</v>
      </c>
      <c r="I175" s="26">
        <f t="shared" ca="1" si="7"/>
        <v>9371.8087417240513</v>
      </c>
      <c r="J175" s="26">
        <f t="shared" ca="1" si="7"/>
        <v>12518.025368457154</v>
      </c>
      <c r="K175" s="26">
        <f t="shared" ca="1" si="7"/>
        <v>15172.729894764316</v>
      </c>
      <c r="M175" s="4" t="str">
        <f t="shared" si="6"/>
        <v>Mtonne</v>
      </c>
    </row>
    <row r="176" spans="1:18" s="8" customFormat="1" ht="14.25" x14ac:dyDescent="0.25">
      <c r="A176" s="2" t="s">
        <v>283</v>
      </c>
      <c r="B176" s="8" t="s">
        <v>290</v>
      </c>
      <c r="Q176" s="2"/>
      <c r="R176" s="2"/>
    </row>
    <row r="177" spans="1:18" s="7" customFormat="1" x14ac:dyDescent="0.2">
      <c r="A177" s="4" t="str">
        <f t="array" ref="A177:A184">R_CODE&amp;" "&amp;'Base data'!$D$12</f>
        <v>EU N2O</v>
      </c>
      <c r="B177" s="29">
        <f t="array" ref="B177:B184">0</f>
        <v>0</v>
      </c>
      <c r="C177" s="29">
        <f t="array" ref="C177:K184" ca="1">cumcbe_n2o+cbe_n2o*YAGG</f>
        <v>0</v>
      </c>
      <c r="D177" s="29">
        <f ca="1"/>
        <v>0</v>
      </c>
      <c r="E177" s="29">
        <f ca="1"/>
        <v>0</v>
      </c>
      <c r="F177" s="29">
        <f ca="1"/>
        <v>0</v>
      </c>
      <c r="G177" s="29">
        <f ca="1"/>
        <v>3.8581562563691962</v>
      </c>
      <c r="H177" s="29">
        <f ca="1"/>
        <v>4.7649502464293976</v>
      </c>
      <c r="I177" s="29">
        <f ca="1"/>
        <v>4.8340465172291083</v>
      </c>
      <c r="J177" s="29">
        <f ca="1"/>
        <v>5.3718190701849178</v>
      </c>
      <c r="K177" s="29">
        <f ca="1"/>
        <v>6.0791211599545889</v>
      </c>
      <c r="M177" s="4" t="str">
        <f t="shared" ref="M177:M185" si="8">EMIT_NAME</f>
        <v>Mtonne</v>
      </c>
      <c r="Q177" s="4"/>
      <c r="R177" s="4"/>
    </row>
    <row r="178" spans="1:18" s="7" customFormat="1" x14ac:dyDescent="0.2">
      <c r="A178" s="4" t="str">
        <v>US N2O</v>
      </c>
      <c r="B178" s="26">
        <v>0</v>
      </c>
      <c r="C178" s="26">
        <f ca="1"/>
        <v>0</v>
      </c>
      <c r="D178" s="26">
        <f ca="1"/>
        <v>0</v>
      </c>
      <c r="E178" s="26">
        <f ca="1"/>
        <v>0</v>
      </c>
      <c r="F178" s="26">
        <f ca="1"/>
        <v>0</v>
      </c>
      <c r="G178" s="26">
        <f ca="1"/>
        <v>3.4029682929616052</v>
      </c>
      <c r="H178" s="26">
        <f ca="1"/>
        <v>4.2027780962397543</v>
      </c>
      <c r="I178" s="26">
        <f ca="1"/>
        <v>4.2637223408657041</v>
      </c>
      <c r="J178" s="26">
        <f ca="1"/>
        <v>4.7380481133153198</v>
      </c>
      <c r="K178" s="26">
        <f ca="1"/>
        <v>5.3619022097009239</v>
      </c>
      <c r="M178" s="4" t="str">
        <f t="shared" si="8"/>
        <v>Mtonne</v>
      </c>
      <c r="Q178" s="4"/>
      <c r="R178" s="4"/>
    </row>
    <row r="179" spans="1:18" s="7" customFormat="1" x14ac:dyDescent="0.2">
      <c r="A179" s="4" t="str">
        <v>OT N2O</v>
      </c>
      <c r="B179" s="26">
        <v>0</v>
      </c>
      <c r="C179" s="26">
        <f ca="1"/>
        <v>0</v>
      </c>
      <c r="D179" s="26">
        <f ca="1"/>
        <v>0</v>
      </c>
      <c r="E179" s="26">
        <f ca="1"/>
        <v>0</v>
      </c>
      <c r="F179" s="26">
        <f ca="1"/>
        <v>0</v>
      </c>
      <c r="G179" s="26">
        <f ca="1"/>
        <v>1.8291462874695785</v>
      </c>
      <c r="H179" s="26">
        <f ca="1"/>
        <v>2.2590560034589617</v>
      </c>
      <c r="I179" s="26">
        <f ca="1"/>
        <v>2.29181444526718</v>
      </c>
      <c r="J179" s="26">
        <f ca="1"/>
        <v>2.5467716329441394</v>
      </c>
      <c r="K179" s="26">
        <f ca="1"/>
        <v>2.8821025282353498</v>
      </c>
      <c r="M179" s="4" t="str">
        <f t="shared" si="8"/>
        <v>Mtonne</v>
      </c>
      <c r="Q179" s="4"/>
      <c r="R179" s="4"/>
    </row>
    <row r="180" spans="1:18" s="7" customFormat="1" x14ac:dyDescent="0.2">
      <c r="A180" s="4" t="str">
        <v>EE N2O</v>
      </c>
      <c r="B180" s="26">
        <v>0</v>
      </c>
      <c r="C180" s="26">
        <f ca="1"/>
        <v>0</v>
      </c>
      <c r="D180" s="26">
        <f ca="1"/>
        <v>0</v>
      </c>
      <c r="E180" s="26">
        <f ca="1"/>
        <v>0</v>
      </c>
      <c r="F180" s="26">
        <f ca="1"/>
        <v>0</v>
      </c>
      <c r="G180" s="26">
        <f ca="1"/>
        <v>1.2538642347174467</v>
      </c>
      <c r="H180" s="26">
        <f ca="1"/>
        <v>1.5485636913597784</v>
      </c>
      <c r="I180" s="26">
        <f ca="1"/>
        <v>1.5710193248155475</v>
      </c>
      <c r="J180" s="26">
        <f ca="1"/>
        <v>1.745790310166603</v>
      </c>
      <c r="K180" s="26">
        <f ca="1"/>
        <v>1.975656789016192</v>
      </c>
      <c r="M180" s="4" t="str">
        <f t="shared" si="8"/>
        <v>Mtonne</v>
      </c>
      <c r="Q180" s="4"/>
      <c r="R180" s="4"/>
    </row>
    <row r="181" spans="1:18" s="7" customFormat="1" x14ac:dyDescent="0.2">
      <c r="A181" s="4" t="str">
        <v>CA N2O</v>
      </c>
      <c r="B181" s="26">
        <v>0</v>
      </c>
      <c r="C181" s="26">
        <f ca="1"/>
        <v>0</v>
      </c>
      <c r="D181" s="26">
        <f ca="1"/>
        <v>0</v>
      </c>
      <c r="E181" s="26">
        <f ca="1"/>
        <v>0</v>
      </c>
      <c r="F181" s="26">
        <f ca="1"/>
        <v>0</v>
      </c>
      <c r="G181" s="26">
        <f ca="1"/>
        <v>6.5884241088272191</v>
      </c>
      <c r="H181" s="26">
        <f ca="1"/>
        <v>8.1369211081360433</v>
      </c>
      <c r="I181" s="26">
        <f ca="1"/>
        <v>8.2549141354053113</v>
      </c>
      <c r="J181" s="26">
        <f ca="1"/>
        <v>9.1732475095683128</v>
      </c>
      <c r="K181" s="26">
        <f ca="1"/>
        <v>10.381079912097228</v>
      </c>
      <c r="M181" s="4" t="str">
        <f t="shared" si="8"/>
        <v>Mtonne</v>
      </c>
      <c r="Q181" s="4"/>
      <c r="R181" s="4"/>
    </row>
    <row r="182" spans="1:18" s="7" customFormat="1" x14ac:dyDescent="0.2">
      <c r="A182" s="4" t="str">
        <v>IA N2O</v>
      </c>
      <c r="B182" s="26">
        <v>0</v>
      </c>
      <c r="C182" s="26">
        <f ca="1"/>
        <v>0</v>
      </c>
      <c r="D182" s="26">
        <f ca="1"/>
        <v>0</v>
      </c>
      <c r="E182" s="26">
        <f ca="1"/>
        <v>0</v>
      </c>
      <c r="F182" s="26">
        <f ca="1"/>
        <v>0</v>
      </c>
      <c r="G182" s="26">
        <f ca="1"/>
        <v>3.1516960335203508</v>
      </c>
      <c r="H182" s="26">
        <f ca="1"/>
        <v>3.8924485670588336</v>
      </c>
      <c r="I182" s="26">
        <f ca="1"/>
        <v>3.9488927409439616</v>
      </c>
      <c r="J182" s="26">
        <f ca="1"/>
        <v>4.3881947052666712</v>
      </c>
      <c r="K182" s="26">
        <f ca="1"/>
        <v>4.9659839503620908</v>
      </c>
      <c r="M182" s="4" t="str">
        <f t="shared" si="8"/>
        <v>Mtonne</v>
      </c>
      <c r="Q182" s="4"/>
      <c r="R182" s="4"/>
    </row>
    <row r="183" spans="1:18" s="7" customFormat="1" x14ac:dyDescent="0.2">
      <c r="A183" s="4" t="str">
        <v>AF N2O</v>
      </c>
      <c r="B183" s="26">
        <v>0</v>
      </c>
      <c r="C183" s="26">
        <f ca="1"/>
        <v>0</v>
      </c>
      <c r="D183" s="26">
        <f ca="1"/>
        <v>0</v>
      </c>
      <c r="E183" s="26">
        <f ca="1"/>
        <v>0</v>
      </c>
      <c r="F183" s="26">
        <f ca="1"/>
        <v>0</v>
      </c>
      <c r="G183" s="26">
        <f ca="1"/>
        <v>5.5299424342416694</v>
      </c>
      <c r="H183" s="26">
        <f ca="1"/>
        <v>6.8296613236648396</v>
      </c>
      <c r="I183" s="26">
        <f ca="1"/>
        <v>6.928697851621008</v>
      </c>
      <c r="J183" s="26">
        <f ca="1"/>
        <v>7.6994938129435848</v>
      </c>
      <c r="K183" s="26">
        <f ca="1"/>
        <v>8.71327852775085</v>
      </c>
      <c r="M183" s="4" t="str">
        <f t="shared" si="8"/>
        <v>Mtonne</v>
      </c>
      <c r="Q183" s="4"/>
      <c r="R183" s="4"/>
    </row>
    <row r="184" spans="1:18" s="7" customFormat="1" ht="13.5" thickBot="1" x14ac:dyDescent="0.25">
      <c r="A184" s="4" t="str">
        <v>LA N2O</v>
      </c>
      <c r="B184" s="35">
        <v>0</v>
      </c>
      <c r="C184" s="35">
        <f ca="1"/>
        <v>0</v>
      </c>
      <c r="D184" s="35">
        <f ca="1"/>
        <v>0</v>
      </c>
      <c r="E184" s="35">
        <f ca="1"/>
        <v>0</v>
      </c>
      <c r="F184" s="35">
        <f ca="1"/>
        <v>0</v>
      </c>
      <c r="G184" s="35">
        <f ca="1"/>
        <v>5.3191155276825537</v>
      </c>
      <c r="H184" s="35">
        <f ca="1"/>
        <v>6.5692831394727387</v>
      </c>
      <c r="I184" s="35">
        <f ca="1"/>
        <v>6.6645439382827831</v>
      </c>
      <c r="J184" s="35">
        <f ca="1"/>
        <v>7.4059536030848641</v>
      </c>
      <c r="K184" s="35">
        <f ca="1"/>
        <v>8.3810881695621422</v>
      </c>
      <c r="M184" s="4" t="str">
        <f t="shared" si="8"/>
        <v>Mtonne</v>
      </c>
    </row>
    <row r="185" spans="1:18" s="6" customFormat="1" ht="13.5" thickTop="1" x14ac:dyDescent="0.2">
      <c r="A185" s="58" t="s">
        <v>204</v>
      </c>
      <c r="B185" s="26">
        <f t="shared" ref="B185:K185" si="9">SUM(B177:B184)</f>
        <v>0</v>
      </c>
      <c r="C185" s="26">
        <f t="shared" ca="1" si="9"/>
        <v>0</v>
      </c>
      <c r="D185" s="26">
        <f t="shared" ca="1" si="9"/>
        <v>0</v>
      </c>
      <c r="E185" s="26">
        <f t="shared" ca="1" si="9"/>
        <v>0</v>
      </c>
      <c r="F185" s="26">
        <f t="shared" ca="1" si="9"/>
        <v>0</v>
      </c>
      <c r="G185" s="26">
        <f t="shared" ca="1" si="9"/>
        <v>30.933313175789621</v>
      </c>
      <c r="H185" s="26">
        <f t="shared" ca="1" si="9"/>
        <v>38.203662175820348</v>
      </c>
      <c r="I185" s="26">
        <f t="shared" ca="1" si="9"/>
        <v>38.757651294430602</v>
      </c>
      <c r="J185" s="26">
        <f t="shared" ca="1" si="9"/>
        <v>43.06931875747442</v>
      </c>
      <c r="K185" s="26">
        <f t="shared" ca="1" si="9"/>
        <v>48.740213246679367</v>
      </c>
      <c r="M185" s="4" t="str">
        <f t="shared" si="8"/>
        <v>Mtonne</v>
      </c>
    </row>
    <row r="186" spans="1:18" s="8" customFormat="1" ht="14.25" x14ac:dyDescent="0.25">
      <c r="A186" s="2" t="s">
        <v>283</v>
      </c>
      <c r="B186" s="8" t="s">
        <v>291</v>
      </c>
      <c r="Q186" s="2"/>
      <c r="R186" s="2"/>
    </row>
    <row r="187" spans="1:18" s="7" customFormat="1" x14ac:dyDescent="0.2">
      <c r="A187" s="4" t="str">
        <f t="array" ref="A187:A194">R_CODE&amp;" "&amp;GLIN_NAME</f>
        <v>EU Lin</v>
      </c>
      <c r="B187" s="29">
        <f t="array" ref="B187:B194">0</f>
        <v>0</v>
      </c>
      <c r="C187" s="29">
        <f t="array" ref="C187:K194" ca="1">cumcbe_glin+cbe_glin*YAGG</f>
        <v>0</v>
      </c>
      <c r="D187" s="29">
        <f ca="1"/>
        <v>0</v>
      </c>
      <c r="E187" s="29">
        <f ca="1"/>
        <v>0</v>
      </c>
      <c r="F187" s="29">
        <f ca="1"/>
        <v>0</v>
      </c>
      <c r="G187" s="29">
        <f ca="1"/>
        <v>573.22050763175207</v>
      </c>
      <c r="H187" s="29">
        <f ca="1"/>
        <v>1888.1564894939415</v>
      </c>
      <c r="I187" s="29">
        <f ca="1"/>
        <v>3392.6554115812705</v>
      </c>
      <c r="J187" s="29">
        <f ca="1"/>
        <v>4980.1657139848239</v>
      </c>
      <c r="K187" s="29">
        <f ca="1"/>
        <v>6506.9854844311849</v>
      </c>
      <c r="M187" s="4" t="str">
        <f t="shared" ref="M187:M195" si="10">EMIT_NAME</f>
        <v>Mtonne</v>
      </c>
      <c r="Q187" s="4"/>
      <c r="R187" s="4"/>
    </row>
    <row r="188" spans="1:18" s="7" customFormat="1" x14ac:dyDescent="0.2">
      <c r="A188" s="4" t="str">
        <v>US Lin</v>
      </c>
      <c r="B188" s="26">
        <v>0</v>
      </c>
      <c r="C188" s="26">
        <f ca="1"/>
        <v>0</v>
      </c>
      <c r="D188" s="26">
        <f ca="1"/>
        <v>0</v>
      </c>
      <c r="E188" s="26">
        <f ca="1"/>
        <v>0</v>
      </c>
      <c r="F188" s="26">
        <f ca="1"/>
        <v>0</v>
      </c>
      <c r="G188" s="26">
        <f ca="1"/>
        <v>1492.2143227893225</v>
      </c>
      <c r="H188" s="26">
        <f ca="1"/>
        <v>4915.2710340581616</v>
      </c>
      <c r="I188" s="26">
        <f ca="1"/>
        <v>8831.8002061129446</v>
      </c>
      <c r="J188" s="26">
        <f ca="1"/>
        <v>12964.425573284949</v>
      </c>
      <c r="K188" s="26">
        <f ca="1"/>
        <v>16939.060638577514</v>
      </c>
      <c r="M188" s="4" t="str">
        <f t="shared" si="10"/>
        <v>Mtonne</v>
      </c>
      <c r="Q188" s="4"/>
      <c r="R188" s="4"/>
    </row>
    <row r="189" spans="1:18" s="7" customFormat="1" x14ac:dyDescent="0.2">
      <c r="A189" s="4" t="str">
        <v>OT Lin</v>
      </c>
      <c r="B189" s="26">
        <v>0</v>
      </c>
      <c r="C189" s="26">
        <f ca="1"/>
        <v>0</v>
      </c>
      <c r="D189" s="26">
        <f ca="1"/>
        <v>0</v>
      </c>
      <c r="E189" s="26">
        <f ca="1"/>
        <v>0</v>
      </c>
      <c r="F189" s="26">
        <f ca="1"/>
        <v>0</v>
      </c>
      <c r="G189" s="26">
        <f ca="1"/>
        <v>537.44196346718797</v>
      </c>
      <c r="H189" s="26">
        <f ca="1"/>
        <v>1770.3039537776754</v>
      </c>
      <c r="I189" s="26">
        <f ca="1"/>
        <v>3180.8969872710441</v>
      </c>
      <c r="J189" s="26">
        <f ca="1"/>
        <v>4669.3201029636602</v>
      </c>
      <c r="K189" s="26">
        <f ca="1"/>
        <v>6100.8407906644707</v>
      </c>
      <c r="M189" s="4" t="str">
        <f t="shared" si="10"/>
        <v>Mtonne</v>
      </c>
      <c r="Q189" s="4"/>
      <c r="R189" s="4"/>
    </row>
    <row r="190" spans="1:18" s="7" customFormat="1" x14ac:dyDescent="0.2">
      <c r="A190" s="4" t="str">
        <v>EE Lin</v>
      </c>
      <c r="B190" s="26">
        <v>0</v>
      </c>
      <c r="C190" s="26">
        <f ca="1"/>
        <v>0</v>
      </c>
      <c r="D190" s="26">
        <f ca="1"/>
        <v>0</v>
      </c>
      <c r="E190" s="26">
        <f ca="1"/>
        <v>0</v>
      </c>
      <c r="F190" s="26">
        <f ca="1"/>
        <v>0</v>
      </c>
      <c r="G190" s="26">
        <f ca="1"/>
        <v>192.20422468951347</v>
      </c>
      <c r="H190" s="26">
        <f ca="1"/>
        <v>633.11003239402226</v>
      </c>
      <c r="I190" s="26">
        <f ca="1"/>
        <v>1137.5774145201565</v>
      </c>
      <c r="J190" s="26">
        <f ca="1"/>
        <v>1669.8790031718122</v>
      </c>
      <c r="K190" s="26">
        <f ca="1"/>
        <v>2181.8306976980466</v>
      </c>
      <c r="M190" s="4" t="str">
        <f t="shared" si="10"/>
        <v>Mtonne</v>
      </c>
      <c r="Q190" s="4"/>
      <c r="R190" s="4"/>
    </row>
    <row r="191" spans="1:18" s="7" customFormat="1" x14ac:dyDescent="0.2">
      <c r="A191" s="4" t="str">
        <v>CA Lin</v>
      </c>
      <c r="B191" s="26">
        <v>0</v>
      </c>
      <c r="C191" s="26">
        <f ca="1"/>
        <v>0</v>
      </c>
      <c r="D191" s="26">
        <f ca="1"/>
        <v>0</v>
      </c>
      <c r="E191" s="26">
        <f ca="1"/>
        <v>0</v>
      </c>
      <c r="F191" s="26">
        <f ca="1"/>
        <v>0</v>
      </c>
      <c r="G191" s="26">
        <f ca="1"/>
        <v>596.59144170384877</v>
      </c>
      <c r="H191" s="26">
        <f ca="1"/>
        <v>1965.139047246591</v>
      </c>
      <c r="I191" s="26">
        <f ca="1"/>
        <v>3530.9783168119129</v>
      </c>
      <c r="J191" s="26">
        <f ca="1"/>
        <v>5183.2134469602597</v>
      </c>
      <c r="K191" s="26">
        <f ca="1"/>
        <v>6772.2836144527773</v>
      </c>
      <c r="M191" s="4" t="str">
        <f t="shared" si="10"/>
        <v>Mtonne</v>
      </c>
      <c r="Q191" s="4"/>
      <c r="R191" s="4"/>
    </row>
    <row r="192" spans="1:18" s="7" customFormat="1" x14ac:dyDescent="0.2">
      <c r="A192" s="4" t="str">
        <v>IA Lin</v>
      </c>
      <c r="B192" s="26">
        <v>0</v>
      </c>
      <c r="C192" s="26">
        <f ca="1"/>
        <v>0</v>
      </c>
      <c r="D192" s="26">
        <f ca="1"/>
        <v>0</v>
      </c>
      <c r="E192" s="26">
        <f ca="1"/>
        <v>0</v>
      </c>
      <c r="F192" s="26">
        <f ca="1"/>
        <v>0</v>
      </c>
      <c r="G192" s="26">
        <f ca="1"/>
        <v>458.96162266164532</v>
      </c>
      <c r="H192" s="26">
        <f ca="1"/>
        <v>1511.7940735190341</v>
      </c>
      <c r="I192" s="26">
        <f ca="1"/>
        <v>2716.4042669447931</v>
      </c>
      <c r="J192" s="26">
        <f ca="1"/>
        <v>3987.4793500632168</v>
      </c>
      <c r="K192" s="26">
        <f ca="1"/>
        <v>5209.9612222681781</v>
      </c>
      <c r="M192" s="4" t="str">
        <f t="shared" si="10"/>
        <v>Mtonne</v>
      </c>
      <c r="Q192" s="4"/>
      <c r="R192" s="4"/>
    </row>
    <row r="193" spans="1:18" s="7" customFormat="1" x14ac:dyDescent="0.2">
      <c r="A193" s="4" t="str">
        <v>AF Lin</v>
      </c>
      <c r="B193" s="26">
        <v>0</v>
      </c>
      <c r="C193" s="26">
        <f ca="1"/>
        <v>0</v>
      </c>
      <c r="D193" s="26">
        <f ca="1"/>
        <v>0</v>
      </c>
      <c r="E193" s="26">
        <f ca="1"/>
        <v>0</v>
      </c>
      <c r="F193" s="26">
        <f ca="1"/>
        <v>0</v>
      </c>
      <c r="G193" s="26">
        <f ca="1"/>
        <v>269.64051673293397</v>
      </c>
      <c r="H193" s="26">
        <f ca="1"/>
        <v>888.18087406401685</v>
      </c>
      <c r="I193" s="26">
        <f ca="1"/>
        <v>1595.8908414756891</v>
      </c>
      <c r="J193" s="26">
        <f ca="1"/>
        <v>2342.6490131738005</v>
      </c>
      <c r="K193" s="26">
        <f ca="1"/>
        <v>3060.8586138074461</v>
      </c>
      <c r="M193" s="4" t="str">
        <f t="shared" si="10"/>
        <v>Mtonne</v>
      </c>
      <c r="Q193" s="4"/>
      <c r="R193" s="4"/>
    </row>
    <row r="194" spans="1:18" s="7" customFormat="1" ht="13.5" thickBot="1" x14ac:dyDescent="0.25">
      <c r="A194" s="4" t="str">
        <v>LA Lin</v>
      </c>
      <c r="B194" s="35">
        <v>0</v>
      </c>
      <c r="C194" s="35">
        <f ca="1"/>
        <v>0</v>
      </c>
      <c r="D194" s="35">
        <f ca="1"/>
        <v>0</v>
      </c>
      <c r="E194" s="35">
        <f ca="1"/>
        <v>0</v>
      </c>
      <c r="F194" s="35">
        <f ca="1"/>
        <v>0</v>
      </c>
      <c r="G194" s="35">
        <f ca="1"/>
        <v>230.50915123225494</v>
      </c>
      <c r="H194" s="35">
        <f ca="1"/>
        <v>759.28433123423326</v>
      </c>
      <c r="I194" s="35">
        <f ca="1"/>
        <v>1364.288452585356</v>
      </c>
      <c r="J194" s="35">
        <f ca="1"/>
        <v>2002.6739386374143</v>
      </c>
      <c r="K194" s="35">
        <f ca="1"/>
        <v>2616.6539422912856</v>
      </c>
      <c r="M194" s="4" t="str">
        <f t="shared" si="10"/>
        <v>Mtonne</v>
      </c>
    </row>
    <row r="195" spans="1:18" s="6" customFormat="1" ht="13.5" thickTop="1" x14ac:dyDescent="0.2">
      <c r="A195" s="58" t="s">
        <v>204</v>
      </c>
      <c r="B195" s="26">
        <f t="shared" ref="B195:K195" si="11">SUM(B187:B194)</f>
        <v>0</v>
      </c>
      <c r="C195" s="26">
        <f t="shared" ca="1" si="11"/>
        <v>0</v>
      </c>
      <c r="D195" s="26">
        <f t="shared" ca="1" si="11"/>
        <v>0</v>
      </c>
      <c r="E195" s="26">
        <f t="shared" ca="1" si="11"/>
        <v>0</v>
      </c>
      <c r="F195" s="26">
        <f t="shared" ca="1" si="11"/>
        <v>0</v>
      </c>
      <c r="G195" s="26">
        <f t="shared" ca="1" si="11"/>
        <v>4350.7837509084593</v>
      </c>
      <c r="H195" s="26">
        <f t="shared" ca="1" si="11"/>
        <v>14331.239835787679</v>
      </c>
      <c r="I195" s="26">
        <f t="shared" ca="1" si="11"/>
        <v>25750.491897303164</v>
      </c>
      <c r="J195" s="26">
        <f t="shared" ca="1" si="11"/>
        <v>37799.806142239948</v>
      </c>
      <c r="K195" s="26">
        <f t="shared" ca="1" si="11"/>
        <v>49388.475004190899</v>
      </c>
      <c r="M195" s="4" t="str">
        <f t="shared" si="10"/>
        <v>Mtonne</v>
      </c>
    </row>
    <row r="196" spans="1:18" s="2" customFormat="1" ht="14.25" x14ac:dyDescent="0.25">
      <c r="A196" s="2" t="s">
        <v>292</v>
      </c>
      <c r="B196" s="2" t="s">
        <v>293</v>
      </c>
    </row>
    <row r="197" spans="1:18" s="6" customFormat="1" x14ac:dyDescent="0.2">
      <c r="A197" s="4" t="str">
        <f t="array" ref="A197:A204">R_CODE&amp;" "&amp;'Base data'!$B$12</f>
        <v>EU CO2</v>
      </c>
      <c r="B197" s="32">
        <f t="array" ref="B197:K204" ca="1">((CROSS*cumcbe_co2_g+(1-CROSS)*cumcbe_co2+IES_CO2)/IES_CO2)^-(LN(1/(1-LEARN))/LN(2))</f>
        <v>1</v>
      </c>
      <c r="C197" s="32">
        <f ca="1"/>
        <v>1</v>
      </c>
      <c r="D197" s="32">
        <f ca="1"/>
        <v>1</v>
      </c>
      <c r="E197" s="32">
        <f ca="1"/>
        <v>1</v>
      </c>
      <c r="F197" s="32">
        <f ca="1"/>
        <v>1</v>
      </c>
      <c r="G197" s="32">
        <f ca="1"/>
        <v>0.87604852344234463</v>
      </c>
      <c r="H197" s="32">
        <f ca="1"/>
        <v>0.70006111127378545</v>
      </c>
      <c r="I197" s="32">
        <f ca="1"/>
        <v>0.58810868600566046</v>
      </c>
      <c r="J197" s="32">
        <f ca="1"/>
        <v>0.51867755845607244</v>
      </c>
      <c r="K197" s="32">
        <f ca="1"/>
        <v>0.47349163711060438</v>
      </c>
      <c r="M197" s="4"/>
    </row>
    <row r="198" spans="1:18" s="6" customFormat="1" x14ac:dyDescent="0.2">
      <c r="A198" s="4" t="str">
        <v>US CO2</v>
      </c>
      <c r="B198" s="33">
        <f ca="1"/>
        <v>1</v>
      </c>
      <c r="C198" s="33">
        <f ca="1"/>
        <v>1</v>
      </c>
      <c r="D198" s="33">
        <f ca="1"/>
        <v>1</v>
      </c>
      <c r="E198" s="33">
        <f ca="1"/>
        <v>1</v>
      </c>
      <c r="F198" s="33">
        <f ca="1"/>
        <v>1</v>
      </c>
      <c r="G198" s="33">
        <f ca="1"/>
        <v>0.8590901274328171</v>
      </c>
      <c r="H198" s="33">
        <f ca="1"/>
        <v>0.67465016787967369</v>
      </c>
      <c r="I198" s="33">
        <f ca="1"/>
        <v>0.56465435682388754</v>
      </c>
      <c r="J198" s="33">
        <f ca="1"/>
        <v>0.49747715800708053</v>
      </c>
      <c r="K198" s="33">
        <f ca="1"/>
        <v>0.4545469210319531</v>
      </c>
      <c r="M198" s="4"/>
    </row>
    <row r="199" spans="1:18" s="6" customFormat="1" x14ac:dyDescent="0.2">
      <c r="A199" s="4" t="str">
        <v>OT CO2</v>
      </c>
      <c r="B199" s="33">
        <f ca="1"/>
        <v>1</v>
      </c>
      <c r="C199" s="33">
        <f ca="1"/>
        <v>1</v>
      </c>
      <c r="D199" s="33">
        <f ca="1"/>
        <v>1</v>
      </c>
      <c r="E199" s="33">
        <f ca="1"/>
        <v>1</v>
      </c>
      <c r="F199" s="33">
        <f ca="1"/>
        <v>1</v>
      </c>
      <c r="G199" s="33">
        <f ca="1"/>
        <v>0.87708357914499691</v>
      </c>
      <c r="H199" s="33">
        <f ca="1"/>
        <v>0.70181063653884346</v>
      </c>
      <c r="I199" s="33">
        <f ca="1"/>
        <v>0.58993681561369082</v>
      </c>
      <c r="J199" s="33">
        <f ca="1"/>
        <v>0.52043505952635771</v>
      </c>
      <c r="K199" s="33">
        <f ca="1"/>
        <v>0.47517590993073405</v>
      </c>
      <c r="M199" s="4"/>
    </row>
    <row r="200" spans="1:18" s="6" customFormat="1" x14ac:dyDescent="0.2">
      <c r="A200" s="4" t="str">
        <v>EE CO2</v>
      </c>
      <c r="B200" s="33">
        <f ca="1"/>
        <v>1</v>
      </c>
      <c r="C200" s="33">
        <f ca="1"/>
        <v>1</v>
      </c>
      <c r="D200" s="33">
        <f ca="1"/>
        <v>1</v>
      </c>
      <c r="E200" s="33">
        <f ca="1"/>
        <v>1</v>
      </c>
      <c r="F200" s="33">
        <f ca="1"/>
        <v>1</v>
      </c>
      <c r="G200" s="33">
        <f ca="1"/>
        <v>0.86887595427684117</v>
      </c>
      <c r="H200" s="33">
        <f ca="1"/>
        <v>0.69385954207187939</v>
      </c>
      <c r="I200" s="33">
        <f ca="1"/>
        <v>0.585274865236598</v>
      </c>
      <c r="J200" s="33">
        <f ca="1"/>
        <v>0.51859515242847964</v>
      </c>
      <c r="K200" s="33">
        <f ca="1"/>
        <v>0.47545226067357671</v>
      </c>
      <c r="M200" s="4"/>
    </row>
    <row r="201" spans="1:18" s="6" customFormat="1" x14ac:dyDescent="0.2">
      <c r="A201" s="4" t="str">
        <v>CA CO2</v>
      </c>
      <c r="B201" s="33">
        <f ca="1"/>
        <v>1</v>
      </c>
      <c r="C201" s="33">
        <f ca="1"/>
        <v>1</v>
      </c>
      <c r="D201" s="33">
        <f ca="1"/>
        <v>1</v>
      </c>
      <c r="E201" s="33">
        <f ca="1"/>
        <v>1</v>
      </c>
      <c r="F201" s="33">
        <f ca="1"/>
        <v>1</v>
      </c>
      <c r="G201" s="33">
        <f ca="1"/>
        <v>0.84058062927084232</v>
      </c>
      <c r="H201" s="33">
        <f ca="1"/>
        <v>0.65672625600621837</v>
      </c>
      <c r="I201" s="33">
        <f ca="1"/>
        <v>0.55054164822605667</v>
      </c>
      <c r="J201" s="33">
        <f ca="1"/>
        <v>0.48767039913335508</v>
      </c>
      <c r="K201" s="33">
        <f ca="1"/>
        <v>0.44811823760703801</v>
      </c>
      <c r="M201" s="4"/>
    </row>
    <row r="202" spans="1:18" s="6" customFormat="1" x14ac:dyDescent="0.2">
      <c r="A202" s="4" t="str">
        <v>IA CO2</v>
      </c>
      <c r="B202" s="33">
        <f ca="1"/>
        <v>1</v>
      </c>
      <c r="C202" s="33">
        <f ca="1"/>
        <v>1</v>
      </c>
      <c r="D202" s="33">
        <f ca="1"/>
        <v>1</v>
      </c>
      <c r="E202" s="33">
        <f ca="1"/>
        <v>1</v>
      </c>
      <c r="F202" s="33">
        <f ca="1"/>
        <v>1</v>
      </c>
      <c r="G202" s="33">
        <f ca="1"/>
        <v>0.83342295238002218</v>
      </c>
      <c r="H202" s="33">
        <f ca="1"/>
        <v>0.64199967599936292</v>
      </c>
      <c r="I202" s="33">
        <f ca="1"/>
        <v>0.53143832778041011</v>
      </c>
      <c r="J202" s="33">
        <f ca="1"/>
        <v>0.46499367550543269</v>
      </c>
      <c r="K202" s="33">
        <f ca="1"/>
        <v>0.42267554676123059</v>
      </c>
      <c r="M202" s="4"/>
    </row>
    <row r="203" spans="1:18" s="6" customFormat="1" x14ac:dyDescent="0.2">
      <c r="A203" s="4" t="str">
        <v>AF CO2</v>
      </c>
      <c r="B203" s="33">
        <f ca="1"/>
        <v>1</v>
      </c>
      <c r="C203" s="33">
        <f ca="1"/>
        <v>1</v>
      </c>
      <c r="D203" s="33">
        <f ca="1"/>
        <v>1</v>
      </c>
      <c r="E203" s="33">
        <f ca="1"/>
        <v>1</v>
      </c>
      <c r="F203" s="33">
        <f ca="1"/>
        <v>1</v>
      </c>
      <c r="G203" s="33">
        <f ca="1"/>
        <v>0.81928144909698919</v>
      </c>
      <c r="H203" s="33">
        <f ca="1"/>
        <v>0.61827200055078047</v>
      </c>
      <c r="I203" s="33">
        <f ca="1"/>
        <v>0.50683283849852057</v>
      </c>
      <c r="J203" s="33">
        <f ca="1"/>
        <v>0.44044715160627501</v>
      </c>
      <c r="K203" s="33">
        <f ca="1"/>
        <v>0.39806510652115917</v>
      </c>
      <c r="M203" s="4"/>
    </row>
    <row r="204" spans="1:18" s="6" customFormat="1" ht="13.5" thickBot="1" x14ac:dyDescent="0.25">
      <c r="A204" s="4" t="str">
        <v>LA CO2</v>
      </c>
      <c r="B204" s="34">
        <f ca="1"/>
        <v>1</v>
      </c>
      <c r="C204" s="34">
        <f ca="1"/>
        <v>1</v>
      </c>
      <c r="D204" s="34">
        <f ca="1"/>
        <v>1</v>
      </c>
      <c r="E204" s="34">
        <f ca="1"/>
        <v>1</v>
      </c>
      <c r="F204" s="34">
        <f ca="1"/>
        <v>1</v>
      </c>
      <c r="G204" s="34">
        <f ca="1"/>
        <v>0.87025965504264979</v>
      </c>
      <c r="H204" s="34">
        <f ca="1"/>
        <v>0.68983242279884016</v>
      </c>
      <c r="I204" s="34">
        <f ca="1"/>
        <v>0.57823489478783052</v>
      </c>
      <c r="J204" s="34">
        <f ca="1"/>
        <v>0.50957229712743635</v>
      </c>
      <c r="K204" s="34">
        <f ca="1"/>
        <v>0.46536439395106105</v>
      </c>
      <c r="M204" s="4"/>
    </row>
    <row r="205" spans="1:18" s="2" customFormat="1" ht="15" thickTop="1" x14ac:dyDescent="0.25">
      <c r="A205" s="2" t="s">
        <v>292</v>
      </c>
      <c r="B205" s="2" t="s">
        <v>294</v>
      </c>
    </row>
    <row r="206" spans="1:18" s="7" customFormat="1" x14ac:dyDescent="0.2">
      <c r="A206" s="4" t="str">
        <f t="array" ref="A206:A213">R_CODE&amp;" "&amp;'Base data'!$C$12</f>
        <v>EU CH4</v>
      </c>
      <c r="B206" s="29">
        <f t="array" ref="B206:K213" ca="1">((CROSS*cumcbe_ch4_g+(1-CROSS)*cumcbe_ch4+IES_CH4)/IES_CH4)^-(LN(1/(1-LEARN))/LN(2))</f>
        <v>1</v>
      </c>
      <c r="C206" s="29">
        <f ca="1"/>
        <v>1</v>
      </c>
      <c r="D206" s="29">
        <f ca="1"/>
        <v>1</v>
      </c>
      <c r="E206" s="29">
        <f ca="1"/>
        <v>1</v>
      </c>
      <c r="F206" s="29">
        <f ca="1"/>
        <v>1</v>
      </c>
      <c r="G206" s="29">
        <f ca="1"/>
        <v>0.91693334090485046</v>
      </c>
      <c r="H206" s="29">
        <f ca="1"/>
        <v>0.84467738366637912</v>
      </c>
      <c r="I206" s="29">
        <f ca="1"/>
        <v>0.79263678301124274</v>
      </c>
      <c r="J206" s="29">
        <f ca="1"/>
        <v>0.75580711033006986</v>
      </c>
      <c r="K206" s="29">
        <f ca="1"/>
        <v>0.72877049456443366</v>
      </c>
      <c r="M206" s="4"/>
    </row>
    <row r="207" spans="1:18" s="7" customFormat="1" x14ac:dyDescent="0.2">
      <c r="A207" s="4" t="str">
        <v>US CH4</v>
      </c>
      <c r="B207" s="26">
        <f ca="1"/>
        <v>1</v>
      </c>
      <c r="C207" s="26">
        <f ca="1"/>
        <v>1</v>
      </c>
      <c r="D207" s="26">
        <f ca="1"/>
        <v>1</v>
      </c>
      <c r="E207" s="26">
        <f ca="1"/>
        <v>1</v>
      </c>
      <c r="F207" s="26">
        <f ca="1"/>
        <v>1</v>
      </c>
      <c r="G207" s="26">
        <f ca="1"/>
        <v>0.90882828885654998</v>
      </c>
      <c r="H207" s="26">
        <f ca="1"/>
        <v>0.83184695356080995</v>
      </c>
      <c r="I207" s="26">
        <f ca="1"/>
        <v>0.77705032473064906</v>
      </c>
      <c r="J207" s="26">
        <f ca="1"/>
        <v>0.73893893393439225</v>
      </c>
      <c r="K207" s="26">
        <f ca="1"/>
        <v>0.71315016070139592</v>
      </c>
      <c r="M207" s="4"/>
    </row>
    <row r="208" spans="1:18" s="7" customFormat="1" x14ac:dyDescent="0.2">
      <c r="A208" s="4" t="str">
        <v>OT CH4</v>
      </c>
      <c r="B208" s="26">
        <f ca="1"/>
        <v>1</v>
      </c>
      <c r="C208" s="26">
        <f ca="1"/>
        <v>1</v>
      </c>
      <c r="D208" s="26">
        <f ca="1"/>
        <v>1</v>
      </c>
      <c r="E208" s="26">
        <f ca="1"/>
        <v>1</v>
      </c>
      <c r="F208" s="26">
        <f ca="1"/>
        <v>1</v>
      </c>
      <c r="G208" s="26">
        <f ca="1"/>
        <v>0.92004367797708975</v>
      </c>
      <c r="H208" s="26">
        <f ca="1"/>
        <v>0.84400352422026226</v>
      </c>
      <c r="I208" s="26">
        <f ca="1"/>
        <v>0.7884441404595055</v>
      </c>
      <c r="J208" s="26">
        <f ca="1"/>
        <v>0.74898385976239856</v>
      </c>
      <c r="K208" s="26">
        <f ca="1"/>
        <v>0.72082630963899463</v>
      </c>
      <c r="M208" s="4"/>
    </row>
    <row r="209" spans="1:13" s="7" customFormat="1" x14ac:dyDescent="0.2">
      <c r="A209" s="4" t="str">
        <v>EE CH4</v>
      </c>
      <c r="B209" s="26">
        <f ca="1"/>
        <v>1</v>
      </c>
      <c r="C209" s="26">
        <f ca="1"/>
        <v>1</v>
      </c>
      <c r="D209" s="26">
        <f ca="1"/>
        <v>1</v>
      </c>
      <c r="E209" s="26">
        <f ca="1"/>
        <v>1</v>
      </c>
      <c r="F209" s="26">
        <f ca="1"/>
        <v>1</v>
      </c>
      <c r="G209" s="26">
        <f ca="1"/>
        <v>0.90234635042282985</v>
      </c>
      <c r="H209" s="26">
        <f ca="1"/>
        <v>0.81414219950637201</v>
      </c>
      <c r="I209" s="26">
        <f ca="1"/>
        <v>0.75058938042001344</v>
      </c>
      <c r="J209" s="26">
        <f ca="1"/>
        <v>0.70428799345397441</v>
      </c>
      <c r="K209" s="26">
        <f ca="1"/>
        <v>0.67101304856102806</v>
      </c>
      <c r="M209" s="4"/>
    </row>
    <row r="210" spans="1:13" s="7" customFormat="1" x14ac:dyDescent="0.2">
      <c r="A210" s="4" t="str">
        <v>CA CH4</v>
      </c>
      <c r="B210" s="26">
        <f ca="1"/>
        <v>1</v>
      </c>
      <c r="C210" s="26">
        <f ca="1"/>
        <v>1</v>
      </c>
      <c r="D210" s="26">
        <f ca="1"/>
        <v>1</v>
      </c>
      <c r="E210" s="26">
        <f ca="1"/>
        <v>1</v>
      </c>
      <c r="F210" s="26">
        <f ca="1"/>
        <v>1</v>
      </c>
      <c r="G210" s="26">
        <f ca="1"/>
        <v>0.91056728974810386</v>
      </c>
      <c r="H210" s="26">
        <f ca="1"/>
        <v>0.83184125098370998</v>
      </c>
      <c r="I210" s="26">
        <f ca="1"/>
        <v>0.77463520257908147</v>
      </c>
      <c r="J210" s="26">
        <f ca="1"/>
        <v>0.73535683238891159</v>
      </c>
      <c r="K210" s="26">
        <f ca="1"/>
        <v>0.70743653089286285</v>
      </c>
      <c r="M210" s="4"/>
    </row>
    <row r="211" spans="1:13" s="7" customFormat="1" x14ac:dyDescent="0.2">
      <c r="A211" s="4" t="str">
        <v>IA CH4</v>
      </c>
      <c r="B211" s="26">
        <f ca="1"/>
        <v>1</v>
      </c>
      <c r="C211" s="26">
        <f ca="1"/>
        <v>1</v>
      </c>
      <c r="D211" s="26">
        <f ca="1"/>
        <v>1</v>
      </c>
      <c r="E211" s="26">
        <f ca="1"/>
        <v>1</v>
      </c>
      <c r="F211" s="26">
        <f ca="1"/>
        <v>1</v>
      </c>
      <c r="G211" s="26">
        <f ca="1"/>
        <v>0.8915270566933069</v>
      </c>
      <c r="H211" s="26">
        <f ca="1"/>
        <v>0.81415331462682472</v>
      </c>
      <c r="I211" s="26">
        <f ca="1"/>
        <v>0.76240804749398816</v>
      </c>
      <c r="J211" s="26">
        <f ca="1"/>
        <v>0.72669904707974775</v>
      </c>
      <c r="K211" s="26">
        <f ca="1"/>
        <v>0.70092173013191539</v>
      </c>
      <c r="M211" s="4"/>
    </row>
    <row r="212" spans="1:13" s="7" customFormat="1" x14ac:dyDescent="0.2">
      <c r="A212" s="4" t="str">
        <v>AF CH4</v>
      </c>
      <c r="B212" s="26">
        <f ca="1"/>
        <v>1</v>
      </c>
      <c r="C212" s="26">
        <f ca="1"/>
        <v>1</v>
      </c>
      <c r="D212" s="26">
        <f ca="1"/>
        <v>1</v>
      </c>
      <c r="E212" s="26">
        <f ca="1"/>
        <v>1</v>
      </c>
      <c r="F212" s="26">
        <f ca="1"/>
        <v>1</v>
      </c>
      <c r="G212" s="26">
        <f ca="1"/>
        <v>0.85750082069122413</v>
      </c>
      <c r="H212" s="26">
        <f ca="1"/>
        <v>0.73727518244477686</v>
      </c>
      <c r="I212" s="26">
        <f ca="1"/>
        <v>0.66031014163107127</v>
      </c>
      <c r="J212" s="26">
        <f ca="1"/>
        <v>0.6111302087266226</v>
      </c>
      <c r="K212" s="26">
        <f ca="1"/>
        <v>0.58044434949645474</v>
      </c>
      <c r="M212" s="4"/>
    </row>
    <row r="213" spans="1:13" s="7" customFormat="1" ht="13.5" thickBot="1" x14ac:dyDescent="0.25">
      <c r="A213" s="4" t="str">
        <v>LA CH4</v>
      </c>
      <c r="B213" s="35">
        <f ca="1"/>
        <v>1</v>
      </c>
      <c r="C213" s="35">
        <f ca="1"/>
        <v>1</v>
      </c>
      <c r="D213" s="35">
        <f ca="1"/>
        <v>1</v>
      </c>
      <c r="E213" s="35">
        <f ca="1"/>
        <v>1</v>
      </c>
      <c r="F213" s="35">
        <f ca="1"/>
        <v>1</v>
      </c>
      <c r="G213" s="35">
        <f ca="1"/>
        <v>0.90675466495647283</v>
      </c>
      <c r="H213" s="35">
        <f ca="1"/>
        <v>0.823417594190752</v>
      </c>
      <c r="I213" s="35">
        <f ca="1"/>
        <v>0.76426261247895255</v>
      </c>
      <c r="J213" s="35">
        <f ca="1"/>
        <v>0.72290146683190259</v>
      </c>
      <c r="K213" s="35">
        <f ca="1"/>
        <v>0.69504243691614298</v>
      </c>
      <c r="M213" s="4"/>
    </row>
    <row r="214" spans="1:13" s="2" customFormat="1" ht="15" thickTop="1" x14ac:dyDescent="0.25">
      <c r="A214" s="2" t="s">
        <v>292</v>
      </c>
      <c r="B214" s="2" t="s">
        <v>295</v>
      </c>
    </row>
    <row r="215" spans="1:13" s="7" customFormat="1" x14ac:dyDescent="0.2">
      <c r="A215" s="4" t="str">
        <f t="array" ref="A215:A222">R_CODE&amp;" "&amp;'Base data'!$D$12</f>
        <v>EU N2O</v>
      </c>
      <c r="B215" s="29">
        <f t="array" ref="B215:K222" ca="1">((CROSS*cumcbe_n2o_g+(1-CROSS)*cumcbe_n2o+IES_N2O)/IES_N2O)^-(LN(1/(1-LEARN))/LN(2))</f>
        <v>1</v>
      </c>
      <c r="C215" s="29">
        <f ca="1"/>
        <v>1</v>
      </c>
      <c r="D215" s="29">
        <f ca="1"/>
        <v>1</v>
      </c>
      <c r="E215" s="29">
        <f ca="1"/>
        <v>1</v>
      </c>
      <c r="F215" s="29">
        <f ca="1"/>
        <v>1</v>
      </c>
      <c r="G215" s="29">
        <f ca="1"/>
        <v>0.94970143599947887</v>
      </c>
      <c r="H215" s="29">
        <f ca="1"/>
        <v>0.93929643367634119</v>
      </c>
      <c r="I215" s="29">
        <f ca="1"/>
        <v>0.93852259746422062</v>
      </c>
      <c r="J215" s="29">
        <f ca="1"/>
        <v>0.93258793942024809</v>
      </c>
      <c r="K215" s="29">
        <f ca="1"/>
        <v>0.92501145081413649</v>
      </c>
      <c r="M215" s="4"/>
    </row>
    <row r="216" spans="1:13" s="7" customFormat="1" x14ac:dyDescent="0.2">
      <c r="A216" s="4" t="str">
        <v>US N2O</v>
      </c>
      <c r="B216" s="26">
        <f ca="1"/>
        <v>1</v>
      </c>
      <c r="C216" s="26">
        <f ca="1"/>
        <v>1</v>
      </c>
      <c r="D216" s="26">
        <f ca="1"/>
        <v>1</v>
      </c>
      <c r="E216" s="26">
        <f ca="1"/>
        <v>1</v>
      </c>
      <c r="F216" s="26">
        <f ca="1"/>
        <v>1</v>
      </c>
      <c r="G216" s="26">
        <f ca="1"/>
        <v>0.95148661234819443</v>
      </c>
      <c r="H216" s="26">
        <f ca="1"/>
        <v>0.94140524817846183</v>
      </c>
      <c r="I216" s="26">
        <f ca="1"/>
        <v>0.9406548807771058</v>
      </c>
      <c r="J216" s="26">
        <f ca="1"/>
        <v>0.93489747512566546</v>
      </c>
      <c r="K216" s="26">
        <f ca="1"/>
        <v>0.9275403151661834</v>
      </c>
      <c r="M216" s="4"/>
    </row>
    <row r="217" spans="1:13" s="7" customFormat="1" x14ac:dyDescent="0.2">
      <c r="A217" s="4" t="str">
        <v>OT N2O</v>
      </c>
      <c r="B217" s="26">
        <f ca="1"/>
        <v>1</v>
      </c>
      <c r="C217" s="26">
        <f ca="1"/>
        <v>1</v>
      </c>
      <c r="D217" s="26">
        <f ca="1"/>
        <v>1</v>
      </c>
      <c r="E217" s="26">
        <f ca="1"/>
        <v>1</v>
      </c>
      <c r="F217" s="26">
        <f ca="1"/>
        <v>1</v>
      </c>
      <c r="G217" s="26">
        <f ca="1"/>
        <v>0.9577669123828414</v>
      </c>
      <c r="H217" s="26">
        <f ca="1"/>
        <v>0.94884943214331419</v>
      </c>
      <c r="I217" s="26">
        <f ca="1"/>
        <v>0.94818379880662607</v>
      </c>
      <c r="J217" s="26">
        <f ca="1"/>
        <v>0.94306786616821647</v>
      </c>
      <c r="K217" s="26">
        <f ca="1"/>
        <v>0.9365082223618264</v>
      </c>
      <c r="M217" s="4"/>
    </row>
    <row r="218" spans="1:13" s="7" customFormat="1" x14ac:dyDescent="0.2">
      <c r="A218" s="4" t="str">
        <v>EE N2O</v>
      </c>
      <c r="B218" s="26">
        <f ca="1"/>
        <v>1</v>
      </c>
      <c r="C218" s="26">
        <f ca="1"/>
        <v>1</v>
      </c>
      <c r="D218" s="26">
        <f ca="1"/>
        <v>1</v>
      </c>
      <c r="E218" s="26">
        <f ca="1"/>
        <v>1</v>
      </c>
      <c r="F218" s="26">
        <f ca="1"/>
        <v>1</v>
      </c>
      <c r="G218" s="26">
        <f ca="1"/>
        <v>0.9601054917235935</v>
      </c>
      <c r="H218" s="26">
        <f ca="1"/>
        <v>0.95163160761785692</v>
      </c>
      <c r="I218" s="26">
        <f ca="1"/>
        <v>0.95099840539140235</v>
      </c>
      <c r="J218" s="26">
        <f ca="1"/>
        <v>0.94612860474283367</v>
      </c>
      <c r="K218" s="26">
        <f ca="1"/>
        <v>0.93987651427803565</v>
      </c>
      <c r="M218" s="4"/>
    </row>
    <row r="219" spans="1:13" s="7" customFormat="1" x14ac:dyDescent="0.2">
      <c r="A219" s="4" t="str">
        <v>CA N2O</v>
      </c>
      <c r="B219" s="26">
        <f ca="1"/>
        <v>1</v>
      </c>
      <c r="C219" s="26">
        <f ca="1"/>
        <v>1</v>
      </c>
      <c r="D219" s="26">
        <f ca="1"/>
        <v>1</v>
      </c>
      <c r="E219" s="26">
        <f ca="1"/>
        <v>1</v>
      </c>
      <c r="F219" s="26">
        <f ca="1"/>
        <v>1</v>
      </c>
      <c r="G219" s="26">
        <f ca="1"/>
        <v>0.93927445432991408</v>
      </c>
      <c r="H219" s="26">
        <f ca="1"/>
        <v>0.92704133612973805</v>
      </c>
      <c r="I219" s="26">
        <f ca="1"/>
        <v>0.92613570984674198</v>
      </c>
      <c r="J219" s="26">
        <f ca="1"/>
        <v>0.91920912732095661</v>
      </c>
      <c r="K219" s="26">
        <f ca="1"/>
        <v>0.91041378172896359</v>
      </c>
      <c r="M219" s="4"/>
    </row>
    <row r="220" spans="1:13" s="7" customFormat="1" x14ac:dyDescent="0.2">
      <c r="A220" s="4" t="str">
        <v>IA N2O</v>
      </c>
      <c r="B220" s="26">
        <f ca="1"/>
        <v>1</v>
      </c>
      <c r="C220" s="26">
        <f ca="1"/>
        <v>1</v>
      </c>
      <c r="D220" s="26">
        <f ca="1"/>
        <v>1</v>
      </c>
      <c r="E220" s="26">
        <f ca="1"/>
        <v>1</v>
      </c>
      <c r="F220" s="26">
        <f ca="1"/>
        <v>1</v>
      </c>
      <c r="G220" s="26">
        <f ca="1"/>
        <v>0.9524779882654274</v>
      </c>
      <c r="H220" s="26">
        <f ca="1"/>
        <v>0.94257771935602408</v>
      </c>
      <c r="I220" s="26">
        <f ca="1"/>
        <v>0.94184050194699387</v>
      </c>
      <c r="J220" s="26">
        <f ca="1"/>
        <v>0.9361824935236418</v>
      </c>
      <c r="K220" s="26">
        <f ca="1"/>
        <v>0.9289485245022715</v>
      </c>
      <c r="M220" s="4"/>
    </row>
    <row r="221" spans="1:13" s="7" customFormat="1" x14ac:dyDescent="0.2">
      <c r="A221" s="4" t="str">
        <v>AF N2O</v>
      </c>
      <c r="B221" s="26">
        <f ca="1"/>
        <v>1</v>
      </c>
      <c r="C221" s="26">
        <f ca="1"/>
        <v>1</v>
      </c>
      <c r="D221" s="26">
        <f ca="1"/>
        <v>1</v>
      </c>
      <c r="E221" s="26">
        <f ca="1"/>
        <v>1</v>
      </c>
      <c r="F221" s="26">
        <f ca="1"/>
        <v>1</v>
      </c>
      <c r="G221" s="26">
        <f ca="1"/>
        <v>0.94326089577512306</v>
      </c>
      <c r="H221" s="26">
        <f ca="1"/>
        <v>0.93171428472093454</v>
      </c>
      <c r="I221" s="26">
        <f ca="1"/>
        <v>0.93085799280265602</v>
      </c>
      <c r="J221" s="26">
        <f ca="1"/>
        <v>0.92430203495098151</v>
      </c>
      <c r="K221" s="26">
        <f ca="1"/>
        <v>0.91596039213345359</v>
      </c>
      <c r="M221" s="4"/>
    </row>
    <row r="222" spans="1:13" s="7" customFormat="1" ht="13.5" thickBot="1" x14ac:dyDescent="0.25">
      <c r="A222" s="4" t="str">
        <v>LA N2O</v>
      </c>
      <c r="B222" s="35">
        <f ca="1"/>
        <v>1</v>
      </c>
      <c r="C222" s="35">
        <f ca="1"/>
        <v>1</v>
      </c>
      <c r="D222" s="35">
        <f ca="1"/>
        <v>1</v>
      </c>
      <c r="E222" s="35">
        <f ca="1"/>
        <v>1</v>
      </c>
      <c r="F222" s="35">
        <f ca="1"/>
        <v>1</v>
      </c>
      <c r="G222" s="35">
        <f ca="1"/>
        <v>0.94406324845077971</v>
      </c>
      <c r="H222" s="35">
        <f ca="1"/>
        <v>0.9326566564681068</v>
      </c>
      <c r="I222" s="35">
        <f ca="1"/>
        <v>0.93181044998157181</v>
      </c>
      <c r="J222" s="35">
        <f ca="1"/>
        <v>0.92533036192101559</v>
      </c>
      <c r="K222" s="35">
        <f ca="1"/>
        <v>0.91708184975165707</v>
      </c>
      <c r="M222" s="4"/>
    </row>
    <row r="223" spans="1:13" s="2" customFormat="1" ht="15" thickTop="1" x14ac:dyDescent="0.25">
      <c r="A223" s="2" t="s">
        <v>292</v>
      </c>
      <c r="B223" s="2" t="s">
        <v>296</v>
      </c>
    </row>
    <row r="224" spans="1:13" s="7" customFormat="1" x14ac:dyDescent="0.2">
      <c r="A224" s="4" t="str">
        <f t="array" ref="A224:A231">R_CODE&amp;" "&amp;GLIN_NAME</f>
        <v>EU Lin</v>
      </c>
      <c r="B224" s="29">
        <f t="array" ref="B224:K231" ca="1">((CROSS*cumcbe_glin_g+(1-CROSS)*cumcbe_glin+IES_GLIN)/IES_GLIN)^-(LN(1/(1-LEARN))/LN(2))</f>
        <v>1</v>
      </c>
      <c r="C224" s="29">
        <f ca="1"/>
        <v>1</v>
      </c>
      <c r="D224" s="29">
        <f ca="1"/>
        <v>1</v>
      </c>
      <c r="E224" s="29">
        <f ca="1"/>
        <v>1</v>
      </c>
      <c r="F224" s="29">
        <f ca="1"/>
        <v>1</v>
      </c>
      <c r="G224" s="29">
        <f ca="1"/>
        <v>0.84873817270554519</v>
      </c>
      <c r="H224" s="29">
        <f ca="1"/>
        <v>0.68847211717343149</v>
      </c>
      <c r="I224" s="29">
        <f ca="1"/>
        <v>0.59826451942358794</v>
      </c>
      <c r="J224" s="29">
        <f ca="1"/>
        <v>0.54021657707600235</v>
      </c>
      <c r="K224" s="29">
        <f ca="1"/>
        <v>0.50131496368152151</v>
      </c>
      <c r="M224" s="4"/>
    </row>
    <row r="225" spans="1:13" s="7" customFormat="1" x14ac:dyDescent="0.2">
      <c r="A225" s="4" t="str">
        <v>US Lin</v>
      </c>
      <c r="B225" s="26">
        <f ca="1"/>
        <v>1</v>
      </c>
      <c r="C225" s="26">
        <f ca="1"/>
        <v>1</v>
      </c>
      <c r="D225" s="26">
        <f ca="1"/>
        <v>1</v>
      </c>
      <c r="E225" s="26">
        <f ca="1"/>
        <v>1</v>
      </c>
      <c r="F225" s="26">
        <f ca="1"/>
        <v>1</v>
      </c>
      <c r="G225" s="26">
        <f ca="1"/>
        <v>0.79592689215965584</v>
      </c>
      <c r="H225" s="26">
        <f ca="1"/>
        <v>0.62069593147998259</v>
      </c>
      <c r="I225" s="26">
        <f ca="1"/>
        <v>0.53186708490975609</v>
      </c>
      <c r="J225" s="26">
        <f ca="1"/>
        <v>0.47703645602140543</v>
      </c>
      <c r="K225" s="26">
        <f ca="1"/>
        <v>0.44105763581564955</v>
      </c>
      <c r="M225" s="4"/>
    </row>
    <row r="226" spans="1:13" s="7" customFormat="1" x14ac:dyDescent="0.2">
      <c r="A226" s="4" t="str">
        <v>OT Lin</v>
      </c>
      <c r="B226" s="26">
        <f ca="1"/>
        <v>1</v>
      </c>
      <c r="C226" s="26">
        <f ca="1"/>
        <v>1</v>
      </c>
      <c r="D226" s="26">
        <f ca="1"/>
        <v>1</v>
      </c>
      <c r="E226" s="26">
        <f ca="1"/>
        <v>1</v>
      </c>
      <c r="F226" s="26">
        <f ca="1"/>
        <v>1</v>
      </c>
      <c r="G226" s="26">
        <f ca="1"/>
        <v>0.8511010656015281</v>
      </c>
      <c r="H226" s="26">
        <f ca="1"/>
        <v>0.69178148788400984</v>
      </c>
      <c r="I226" s="26">
        <f ca="1"/>
        <v>0.60161022488021731</v>
      </c>
      <c r="J226" s="26">
        <f ca="1"/>
        <v>0.54344897943667803</v>
      </c>
      <c r="K226" s="26">
        <f ca="1"/>
        <v>0.50442363773633392</v>
      </c>
      <c r="M226" s="4"/>
    </row>
    <row r="227" spans="1:13" s="7" customFormat="1" x14ac:dyDescent="0.2">
      <c r="A227" s="4" t="str">
        <v>EE Lin</v>
      </c>
      <c r="B227" s="26">
        <f ca="1"/>
        <v>1</v>
      </c>
      <c r="C227" s="26">
        <f ca="1"/>
        <v>1</v>
      </c>
      <c r="D227" s="26">
        <f ca="1"/>
        <v>1</v>
      </c>
      <c r="E227" s="26">
        <f ca="1"/>
        <v>1</v>
      </c>
      <c r="F227" s="26">
        <f ca="1"/>
        <v>1</v>
      </c>
      <c r="G227" s="26">
        <f ca="1"/>
        <v>0.87538868084482491</v>
      </c>
      <c r="H227" s="26">
        <f ca="1"/>
        <v>0.72751100391874735</v>
      </c>
      <c r="I227" s="26">
        <f ca="1"/>
        <v>0.63845827308084646</v>
      </c>
      <c r="J227" s="26">
        <f ca="1"/>
        <v>0.57941046232065396</v>
      </c>
      <c r="K227" s="26">
        <f ca="1"/>
        <v>0.53920524475828446</v>
      </c>
      <c r="M227" s="4"/>
    </row>
    <row r="228" spans="1:13" s="7" customFormat="1" x14ac:dyDescent="0.2">
      <c r="A228" s="4" t="str">
        <v>CA Lin</v>
      </c>
      <c r="B228" s="26">
        <f ca="1"/>
        <v>1</v>
      </c>
      <c r="C228" s="26">
        <f ca="1"/>
        <v>1</v>
      </c>
      <c r="D228" s="26">
        <f ca="1"/>
        <v>1</v>
      </c>
      <c r="E228" s="26">
        <f ca="1"/>
        <v>1</v>
      </c>
      <c r="F228" s="26">
        <f ca="1"/>
        <v>1</v>
      </c>
      <c r="G228" s="26">
        <f ca="1"/>
        <v>0.84720915899383109</v>
      </c>
      <c r="H228" s="26">
        <f ca="1"/>
        <v>0.68634512411033177</v>
      </c>
      <c r="I228" s="26">
        <f ca="1"/>
        <v>0.59611980707233803</v>
      </c>
      <c r="J228" s="26">
        <f ca="1"/>
        <v>0.53814719619632079</v>
      </c>
      <c r="K228" s="26">
        <f ca="1"/>
        <v>0.49932623471028303</v>
      </c>
      <c r="M228" s="4"/>
    </row>
    <row r="229" spans="1:13" s="7" customFormat="1" x14ac:dyDescent="0.2">
      <c r="A229" s="4" t="str">
        <v>IA Lin</v>
      </c>
      <c r="B229" s="26">
        <f ca="1"/>
        <v>1</v>
      </c>
      <c r="C229" s="26">
        <f ca="1"/>
        <v>1</v>
      </c>
      <c r="D229" s="26">
        <f ca="1"/>
        <v>1</v>
      </c>
      <c r="E229" s="26">
        <f ca="1"/>
        <v>1</v>
      </c>
      <c r="F229" s="26">
        <f ca="1"/>
        <v>1</v>
      </c>
      <c r="G229" s="26">
        <f ca="1"/>
        <v>0.85638029107974079</v>
      </c>
      <c r="H229" s="26">
        <f ca="1"/>
        <v>0.69927616917054847</v>
      </c>
      <c r="I229" s="26">
        <f ca="1"/>
        <v>0.60922746332610855</v>
      </c>
      <c r="J229" s="26">
        <f ca="1"/>
        <v>0.55082777576560493</v>
      </c>
      <c r="K229" s="26">
        <f ca="1"/>
        <v>0.5115304688689154</v>
      </c>
      <c r="M229" s="4"/>
    </row>
    <row r="230" spans="1:13" s="7" customFormat="1" x14ac:dyDescent="0.2">
      <c r="A230" s="4" t="str">
        <v>AF Lin</v>
      </c>
      <c r="B230" s="26">
        <f ca="1"/>
        <v>1</v>
      </c>
      <c r="C230" s="26">
        <f ca="1"/>
        <v>1</v>
      </c>
      <c r="D230" s="26">
        <f ca="1"/>
        <v>1</v>
      </c>
      <c r="E230" s="26">
        <f ca="1"/>
        <v>1</v>
      </c>
      <c r="F230" s="26">
        <f ca="1"/>
        <v>1</v>
      </c>
      <c r="G230" s="26">
        <f ca="1"/>
        <v>0.8696923380292445</v>
      </c>
      <c r="H230" s="26">
        <f ca="1"/>
        <v>0.71883277976121207</v>
      </c>
      <c r="I230" s="26">
        <f ca="1"/>
        <v>0.62938009614230772</v>
      </c>
      <c r="J230" s="26">
        <f ca="1"/>
        <v>0.5704864094471146</v>
      </c>
      <c r="K230" s="26">
        <f ca="1"/>
        <v>0.53053884121429873</v>
      </c>
      <c r="M230" s="4"/>
    </row>
    <row r="231" spans="1:13" s="7" customFormat="1" ht="13.5" thickBot="1" x14ac:dyDescent="0.25">
      <c r="A231" s="4" t="str">
        <v>LA Lin</v>
      </c>
      <c r="B231" s="35">
        <f ca="1"/>
        <v>1</v>
      </c>
      <c r="C231" s="35">
        <f ca="1"/>
        <v>1</v>
      </c>
      <c r="D231" s="35">
        <f ca="1"/>
        <v>1</v>
      </c>
      <c r="E231" s="35">
        <f ca="1"/>
        <v>1</v>
      </c>
      <c r="F231" s="35">
        <f ca="1"/>
        <v>1</v>
      </c>
      <c r="G231" s="35">
        <f ca="1"/>
        <v>0.87255181922805836</v>
      </c>
      <c r="H231" s="35">
        <f ca="1"/>
        <v>0.72316474812154719</v>
      </c>
      <c r="I231" s="35">
        <f ca="1"/>
        <v>0.63390089872464517</v>
      </c>
      <c r="J231" s="35">
        <f ca="1"/>
        <v>0.57492496023193107</v>
      </c>
      <c r="K231" s="35">
        <f ca="1"/>
        <v>0.53484621459556225</v>
      </c>
      <c r="M231" s="4"/>
    </row>
    <row r="232" spans="1:13" s="2" customFormat="1" ht="13.5" thickTop="1" x14ac:dyDescent="0.2">
      <c r="A232" s="2" t="s">
        <v>297</v>
      </c>
      <c r="B232" s="2" t="s">
        <v>298</v>
      </c>
    </row>
    <row r="233" spans="1:13" s="7" customFormat="1" ht="13.5" thickBot="1" x14ac:dyDescent="0.25">
      <c r="A233" s="4"/>
      <c r="B233" s="34">
        <f t="array" aca="1" ref="B233:K233" ca="1">(1-AUTO/100)^YMINUSY0</f>
        <v>0.9532626895480365</v>
      </c>
      <c r="C233" s="34">
        <f ca="1"/>
        <v>0.90870975528435627</v>
      </c>
      <c r="D233" s="34">
        <f ca="1"/>
        <v>0.86623910534090343</v>
      </c>
      <c r="E233" s="34">
        <f ca="1"/>
        <v>0.78715992543207214</v>
      </c>
      <c r="F233" s="34">
        <f ca="1"/>
        <v>0.71529990320903036</v>
      </c>
      <c r="G233" s="34">
        <f ca="1"/>
        <v>0.65000000000000169</v>
      </c>
      <c r="H233" s="34">
        <f ca="1"/>
        <v>0.59066134093483313</v>
      </c>
      <c r="I233" s="34">
        <f ca="1"/>
        <v>0.53673972257682201</v>
      </c>
      <c r="J233" s="34">
        <f ca="1"/>
        <v>0.48774062195417722</v>
      </c>
      <c r="K233" s="34">
        <f ca="1"/>
        <v>0.44321466121822012</v>
      </c>
      <c r="M233" s="4"/>
    </row>
    <row r="234" spans="1:13" s="2" customFormat="1" ht="13.5" thickTop="1" x14ac:dyDescent="0.2">
      <c r="A234" s="2" t="s">
        <v>308</v>
      </c>
      <c r="B234" s="2" t="s">
        <v>309</v>
      </c>
    </row>
    <row r="235" spans="1:13" s="7" customFormat="1" x14ac:dyDescent="0.2">
      <c r="A235" s="58" t="s">
        <v>12</v>
      </c>
      <c r="B235" s="26">
        <f t="array" aca="1" ref="B235:K235" ca="1">C0_INIT_CO2*(1+C0G/100)^YMINUSY0</f>
        <v>-99.236343326911253</v>
      </c>
      <c r="C235" s="26">
        <f ca="1"/>
        <v>-98.478518368966036</v>
      </c>
      <c r="D235" s="26">
        <f ca="1"/>
        <v>-97.72648059188252</v>
      </c>
      <c r="E235" s="26">
        <f ca="1"/>
        <v>-96.239590141021054</v>
      </c>
      <c r="F235" s="26">
        <f ca="1"/>
        <v>-94.775322455243057</v>
      </c>
      <c r="G235" s="26">
        <f ca="1"/>
        <v>-93.333333333333329</v>
      </c>
      <c r="H235" s="26">
        <f ca="1"/>
        <v>-91.913283811034987</v>
      </c>
      <c r="I235" s="26">
        <f ca="1"/>
        <v>-90.514840081369982</v>
      </c>
      <c r="J235" s="26">
        <f ca="1"/>
        <v>-89.137673416172177</v>
      </c>
      <c r="K235" s="26">
        <f ca="1"/>
        <v>-87.781460088814086</v>
      </c>
      <c r="M235" s="4" t="str">
        <f>CURRENCY_NAME&amp;" per "&amp;EMIT_NAME</f>
        <v>$M(2015) per Mtonne</v>
      </c>
    </row>
    <row r="236" spans="1:13" s="7" customFormat="1" x14ac:dyDescent="0.2">
      <c r="A236" s="58" t="s">
        <v>13</v>
      </c>
      <c r="B236" s="26">
        <f t="array" aca="1" ref="B236:K236" ca="1">C0_INIT_CH4*(1+C0G/100)^YMINUSY0</f>
        <v>-4945.2777757910771</v>
      </c>
      <c r="C236" s="26">
        <f ca="1"/>
        <v>-4907.5128320534741</v>
      </c>
      <c r="D236" s="26">
        <f ca="1"/>
        <v>-4870.0362828288116</v>
      </c>
      <c r="E236" s="26">
        <f ca="1"/>
        <v>-4795.9395753608815</v>
      </c>
      <c r="F236" s="26">
        <f ca="1"/>
        <v>-4722.970235686279</v>
      </c>
      <c r="G236" s="26">
        <f ca="1"/>
        <v>-4651.1111111111113</v>
      </c>
      <c r="H236" s="26">
        <f ca="1"/>
        <v>-4580.3453099165763</v>
      </c>
      <c r="I236" s="26">
        <f ca="1"/>
        <v>-4510.6561973882708</v>
      </c>
      <c r="J236" s="26">
        <f ca="1"/>
        <v>-4442.0273919059136</v>
      </c>
      <c r="K236" s="26">
        <f ca="1"/>
        <v>-4374.4427610925686</v>
      </c>
      <c r="M236" s="4" t="str">
        <f>CURRENCY_NAME&amp;" per "&amp;EMIT_NAME</f>
        <v>$M(2015) per Mtonne</v>
      </c>
    </row>
    <row r="237" spans="1:13" s="7" customFormat="1" x14ac:dyDescent="0.2">
      <c r="A237" s="58" t="s">
        <v>144</v>
      </c>
      <c r="B237" s="26">
        <f t="array" aca="1" ref="B237:K237" ca="1">C0_INIT_N2O*(1+C0G/100)^YMINUSY0</f>
        <v>-8368.9316205695159</v>
      </c>
      <c r="C237" s="26">
        <f ca="1"/>
        <v>-8305.0217157828029</v>
      </c>
      <c r="D237" s="26">
        <f ca="1"/>
        <v>-8241.599863248759</v>
      </c>
      <c r="E237" s="26">
        <f ca="1"/>
        <v>-8116.2054352261093</v>
      </c>
      <c r="F237" s="26">
        <f ca="1"/>
        <v>-7992.718860392165</v>
      </c>
      <c r="G237" s="26">
        <f ca="1"/>
        <v>-7871.1111111111122</v>
      </c>
      <c r="H237" s="26">
        <f ca="1"/>
        <v>-7751.3536013972844</v>
      </c>
      <c r="I237" s="26">
        <f ca="1"/>
        <v>-7633.4181801955356</v>
      </c>
      <c r="J237" s="26">
        <f ca="1"/>
        <v>-7517.2771247638548</v>
      </c>
      <c r="K237" s="26">
        <f ca="1"/>
        <v>-7402.9031341566551</v>
      </c>
      <c r="M237" s="4" t="str">
        <f>CURRENCY_NAME&amp;" per "&amp;EMIT_NAME</f>
        <v>$M(2015) per Mtonne</v>
      </c>
    </row>
    <row r="238" spans="1:13" s="7" customFormat="1" x14ac:dyDescent="0.2">
      <c r="A238" s="4" t="str">
        <f>GLIN_NAME</f>
        <v>Lin</v>
      </c>
      <c r="B238" s="26">
        <f t="array" aca="1" ref="B238:K238" ca="1">C0_INIT_GLIN*(1+C0G/100)^YMINUSY0</f>
        <v>-266.28418792721186</v>
      </c>
      <c r="C238" s="26">
        <f ca="1"/>
        <v>-264.25069095672552</v>
      </c>
      <c r="D238" s="26">
        <f ca="1"/>
        <v>-262.23272292155139</v>
      </c>
      <c r="E238" s="26">
        <f ca="1"/>
        <v>-258.24290021173977</v>
      </c>
      <c r="F238" s="26">
        <f ca="1"/>
        <v>-254.31378192156888</v>
      </c>
      <c r="G238" s="26">
        <f ca="1"/>
        <v>-250.44444444444443</v>
      </c>
      <c r="H238" s="26">
        <f ca="1"/>
        <v>-246.63397822627718</v>
      </c>
      <c r="I238" s="26">
        <f ca="1"/>
        <v>-242.88148755167612</v>
      </c>
      <c r="J238" s="26">
        <f ca="1"/>
        <v>-239.18609033339533</v>
      </c>
      <c r="K238" s="26">
        <f ca="1"/>
        <v>-235.54691790498447</v>
      </c>
      <c r="M238" s="4" t="str">
        <f>CURRENCY_NAME&amp;" per "&amp;EMIT_NAME</f>
        <v>$M(2015) per Mtonne</v>
      </c>
    </row>
    <row r="239" spans="1:13" s="2" customFormat="1" ht="14.25" x14ac:dyDescent="0.25">
      <c r="A239" s="2" t="s">
        <v>310</v>
      </c>
      <c r="B239" s="2" t="s">
        <v>311</v>
      </c>
    </row>
    <row r="240" spans="1:13" s="7" customFormat="1" x14ac:dyDescent="0.2">
      <c r="A240" s="58" t="s">
        <v>12</v>
      </c>
      <c r="B240" s="29">
        <f t="array" aca="1" ref="B240:K240" ca="1">QMAX_MINUS_Q0_PROP_INIT_CO2*(1+QMAX_MINUS_Q0_PROPG/100)^YMINUSY0</f>
        <v>60.740182089407554</v>
      </c>
      <c r="C240" s="29">
        <f ca="1"/>
        <v>61.489495337573096</v>
      </c>
      <c r="D240" s="29">
        <f ca="1"/>
        <v>62.248052389832772</v>
      </c>
      <c r="E240" s="29">
        <f ca="1"/>
        <v>63.793355453293785</v>
      </c>
      <c r="F240" s="29">
        <f ca="1"/>
        <v>65.377020545224184</v>
      </c>
      <c r="G240" s="29">
        <f ca="1"/>
        <v>66.999999999999716</v>
      </c>
      <c r="H240" s="29">
        <f ca="1"/>
        <v>68.663269793623002</v>
      </c>
      <c r="I240" s="29">
        <f ca="1"/>
        <v>70.367830130625066</v>
      </c>
      <c r="J240" s="29">
        <f ca="1"/>
        <v>72.114706045536749</v>
      </c>
      <c r="K240" s="29">
        <f ca="1"/>
        <v>73.904948019291439</v>
      </c>
      <c r="M240" s="4" t="str">
        <f>'Library data'!$G$138</f>
        <v>% relative to RCP8.5</v>
      </c>
    </row>
    <row r="241" spans="1:15" s="7" customFormat="1" x14ac:dyDescent="0.2">
      <c r="A241" s="58" t="s">
        <v>13</v>
      </c>
      <c r="B241" s="26">
        <f t="array" aca="1" ref="B241:K241" ca="1">QMAX_MINUS_Q0_PROP_INIT_CH4*(1+QMAX_MINUS_Q0_PROPG/100)^YMINUSY0</f>
        <v>52.304045688100942</v>
      </c>
      <c r="C241" s="26">
        <f ca="1"/>
        <v>52.949287651799054</v>
      </c>
      <c r="D241" s="26">
        <f ca="1"/>
        <v>53.602489557911554</v>
      </c>
      <c r="E241" s="26">
        <f ca="1"/>
        <v>54.933167195891869</v>
      </c>
      <c r="F241" s="26">
        <f ca="1"/>
        <v>56.296878802831941</v>
      </c>
      <c r="G241" s="26">
        <f ca="1"/>
        <v>57.694444444444194</v>
      </c>
      <c r="H241" s="26">
        <f ca="1"/>
        <v>59.126704544508691</v>
      </c>
      <c r="I241" s="26">
        <f ca="1"/>
        <v>60.59452039026047</v>
      </c>
      <c r="J241" s="26">
        <f ca="1"/>
        <v>62.098774650323314</v>
      </c>
      <c r="K241" s="26">
        <f ca="1"/>
        <v>63.640371905500963</v>
      </c>
      <c r="M241" s="4" t="str">
        <f>'Library data'!$G$138</f>
        <v>% relative to RCP8.5</v>
      </c>
    </row>
    <row r="242" spans="1:15" s="7" customFormat="1" x14ac:dyDescent="0.2">
      <c r="A242" s="58" t="s">
        <v>144</v>
      </c>
      <c r="B242" s="26">
        <f t="array" aca="1" ref="B242:K242" ca="1">QMAX_MINUS_Q0_PROP_INIT_N2O*(1+QMAX_MINUS_Q0_PROPG/100)^YMINUSY0</f>
        <v>52.304045688100942</v>
      </c>
      <c r="C242" s="26">
        <f ca="1"/>
        <v>52.949287651799054</v>
      </c>
      <c r="D242" s="26">
        <f ca="1"/>
        <v>53.602489557911554</v>
      </c>
      <c r="E242" s="26">
        <f ca="1"/>
        <v>54.933167195891869</v>
      </c>
      <c r="F242" s="26">
        <f ca="1"/>
        <v>56.296878802831941</v>
      </c>
      <c r="G242" s="26">
        <f ca="1"/>
        <v>57.694444444444194</v>
      </c>
      <c r="H242" s="26">
        <f ca="1"/>
        <v>59.126704544508691</v>
      </c>
      <c r="I242" s="26">
        <f ca="1"/>
        <v>60.59452039026047</v>
      </c>
      <c r="J242" s="26">
        <f ca="1"/>
        <v>62.098774650323314</v>
      </c>
      <c r="K242" s="26">
        <f ca="1"/>
        <v>63.640371905500963</v>
      </c>
      <c r="M242" s="4" t="str">
        <f>'Library data'!$G$138</f>
        <v>% relative to RCP8.5</v>
      </c>
    </row>
    <row r="243" spans="1:15" s="7" customFormat="1" x14ac:dyDescent="0.2">
      <c r="A243" s="4" t="str">
        <f>GLIN_NAME</f>
        <v>Lin</v>
      </c>
      <c r="B243" s="26">
        <f t="array" aca="1" ref="B243:K243" ca="1">QMAX_MINUS_Q0_PROP_INIT_GLIN*(1+QMAX_MINUS_Q0_PROPG/100)^YMINUSY0</f>
        <v>70.863545770975477</v>
      </c>
      <c r="C243" s="26">
        <f ca="1"/>
        <v>71.737744560501937</v>
      </c>
      <c r="D243" s="26">
        <f ca="1"/>
        <v>72.622727788138235</v>
      </c>
      <c r="E243" s="26">
        <f ca="1"/>
        <v>74.425581362176089</v>
      </c>
      <c r="F243" s="26">
        <f ca="1"/>
        <v>76.273190636094881</v>
      </c>
      <c r="G243" s="26">
        <f ca="1"/>
        <v>78.16666666666633</v>
      </c>
      <c r="H243" s="26">
        <f ca="1"/>
        <v>80.107148092560166</v>
      </c>
      <c r="I243" s="26">
        <f ca="1"/>
        <v>82.095801819062572</v>
      </c>
      <c r="J243" s="26">
        <f ca="1"/>
        <v>84.133823719792886</v>
      </c>
      <c r="K243" s="26">
        <f ca="1"/>
        <v>86.222439355840024</v>
      </c>
      <c r="M243" s="4" t="str">
        <f>'Library data'!$G$138</f>
        <v>% relative to RCP8.5</v>
      </c>
    </row>
    <row r="244" spans="1:15" s="2" customFormat="1" ht="14.25" x14ac:dyDescent="0.25">
      <c r="A244" s="2" t="s">
        <v>299</v>
      </c>
      <c r="B244" s="2" t="s">
        <v>300</v>
      </c>
    </row>
    <row r="245" spans="1:15" s="6" customFormat="1" x14ac:dyDescent="0.2">
      <c r="A245" s="4" t="str">
        <f t="array" ref="A245:A252">R_CODE&amp;" "&amp;'Base data'!$B$12</f>
        <v>EU CO2</v>
      </c>
      <c r="B245" s="29">
        <f t="array" aca="1" ref="B245:K252" ca="1">Q0_PROP_INIT_CO2*(1+Q0PROPG/100)^YMINUSY0</f>
        <v>9.8631093161029799</v>
      </c>
      <c r="C245" s="29">
        <f ca="1"/>
        <v>9.7280925381397392</v>
      </c>
      <c r="D245" s="29">
        <f ca="1"/>
        <v>9.5949240140837944</v>
      </c>
      <c r="E245" s="29">
        <f ca="1"/>
        <v>9.3340308705426374</v>
      </c>
      <c r="F245" s="29">
        <f ca="1"/>
        <v>9.0802316062491801</v>
      </c>
      <c r="G245" s="29">
        <f ca="1"/>
        <v>8.8333333333333286</v>
      </c>
      <c r="H245" s="29">
        <f ca="1"/>
        <v>8.5931484086900962</v>
      </c>
      <c r="I245" s="29">
        <f ca="1"/>
        <v>8.3594942913705523</v>
      </c>
      <c r="J245" s="29">
        <f ca="1"/>
        <v>8.132193403850362</v>
      </c>
      <c r="K245" s="29">
        <f ca="1"/>
        <v>7.9110729970705931</v>
      </c>
      <c r="M245" s="4" t="str">
        <f>'Library data'!$G$138</f>
        <v>% relative to RCP8.5</v>
      </c>
    </row>
    <row r="246" spans="1:15" s="6" customFormat="1" x14ac:dyDescent="0.2">
      <c r="A246" s="4" t="str">
        <v>US CO2</v>
      </c>
      <c r="B246" s="26">
        <f ca="1"/>
        <v>10.685035092444894</v>
      </c>
      <c r="C246" s="26">
        <f ca="1"/>
        <v>10.53876691631805</v>
      </c>
      <c r="D246" s="26">
        <f ca="1"/>
        <v>10.394501015257443</v>
      </c>
      <c r="E246" s="26">
        <f ca="1"/>
        <v>10.111866776421188</v>
      </c>
      <c r="F246" s="26">
        <f ca="1"/>
        <v>9.8369175734366117</v>
      </c>
      <c r="G246" s="26">
        <f ca="1"/>
        <v>9.5694444444444375</v>
      </c>
      <c r="H246" s="26">
        <f ca="1"/>
        <v>9.3092441094142711</v>
      </c>
      <c r="I246" s="26">
        <f ca="1"/>
        <v>9.0561188156514305</v>
      </c>
      <c r="J246" s="26">
        <f ca="1"/>
        <v>8.8098761875045568</v>
      </c>
      <c r="K246" s="26">
        <f ca="1"/>
        <v>8.5703290801598087</v>
      </c>
      <c r="M246" s="4" t="str">
        <f>'Library data'!$G$138</f>
        <v>% relative to RCP8.5</v>
      </c>
    </row>
    <row r="247" spans="1:15" s="6" customFormat="1" x14ac:dyDescent="0.2">
      <c r="A247" s="4" t="str">
        <v>OT CO2</v>
      </c>
      <c r="B247" s="26">
        <f ca="1"/>
        <v>9.8631093161029799</v>
      </c>
      <c r="C247" s="26">
        <f ca="1"/>
        <v>9.7280925381397392</v>
      </c>
      <c r="D247" s="26">
        <f ca="1"/>
        <v>9.5949240140837944</v>
      </c>
      <c r="E247" s="26">
        <f ca="1"/>
        <v>9.3340308705426374</v>
      </c>
      <c r="F247" s="26">
        <f ca="1"/>
        <v>9.0802316062491801</v>
      </c>
      <c r="G247" s="26">
        <f ca="1"/>
        <v>8.8333333333333286</v>
      </c>
      <c r="H247" s="26">
        <f ca="1"/>
        <v>8.5931484086900962</v>
      </c>
      <c r="I247" s="26">
        <f ca="1"/>
        <v>8.3594942913705523</v>
      </c>
      <c r="J247" s="26">
        <f ca="1"/>
        <v>8.132193403850362</v>
      </c>
      <c r="K247" s="26">
        <f ca="1"/>
        <v>7.9110729970705931</v>
      </c>
      <c r="M247" s="4" t="str">
        <f>'Library data'!$G$138</f>
        <v>% relative to RCP8.5</v>
      </c>
    </row>
    <row r="248" spans="1:15" s="6" customFormat="1" x14ac:dyDescent="0.2">
      <c r="A248" s="4" t="str">
        <v>EE CO2</v>
      </c>
      <c r="B248" s="26">
        <f ca="1"/>
        <v>6.9041765212720874</v>
      </c>
      <c r="C248" s="26">
        <f ca="1"/>
        <v>6.8096647766978187</v>
      </c>
      <c r="D248" s="26">
        <f ca="1"/>
        <v>6.7164468098586569</v>
      </c>
      <c r="E248" s="26">
        <f ca="1"/>
        <v>6.5338216093798467</v>
      </c>
      <c r="F248" s="26">
        <f ca="1"/>
        <v>6.3561621243744275</v>
      </c>
      <c r="G248" s="26">
        <f ca="1"/>
        <v>6.1833333333333309</v>
      </c>
      <c r="H248" s="26">
        <f ca="1"/>
        <v>6.0152038860830688</v>
      </c>
      <c r="I248" s="26">
        <f ca="1"/>
        <v>5.8516460039593881</v>
      </c>
      <c r="J248" s="26">
        <f ca="1"/>
        <v>5.6925353826952536</v>
      </c>
      <c r="K248" s="26">
        <f ca="1"/>
        <v>5.5377510979494158</v>
      </c>
      <c r="M248" s="4" t="str">
        <f>'Library data'!$G$138</f>
        <v>% relative to RCP8.5</v>
      </c>
    </row>
    <row r="249" spans="1:15" s="6" customFormat="1" x14ac:dyDescent="0.2">
      <c r="A249" s="4" t="str">
        <v>CA CO2</v>
      </c>
      <c r="B249" s="26">
        <f ca="1"/>
        <v>6.9041765212720874</v>
      </c>
      <c r="C249" s="26">
        <f ca="1"/>
        <v>6.8096647766978187</v>
      </c>
      <c r="D249" s="26">
        <f ca="1"/>
        <v>6.7164468098586569</v>
      </c>
      <c r="E249" s="26">
        <f ca="1"/>
        <v>6.5338216093798467</v>
      </c>
      <c r="F249" s="26">
        <f ca="1"/>
        <v>6.3561621243744275</v>
      </c>
      <c r="G249" s="26">
        <f ca="1"/>
        <v>6.1833333333333309</v>
      </c>
      <c r="H249" s="26">
        <f ca="1"/>
        <v>6.0152038860830688</v>
      </c>
      <c r="I249" s="26">
        <f ca="1"/>
        <v>5.8516460039593881</v>
      </c>
      <c r="J249" s="26">
        <f ca="1"/>
        <v>5.6925353826952536</v>
      </c>
      <c r="K249" s="26">
        <f ca="1"/>
        <v>5.5377510979494158</v>
      </c>
      <c r="M249" s="4" t="str">
        <f>'Library data'!$G$138</f>
        <v>% relative to RCP8.5</v>
      </c>
    </row>
    <row r="250" spans="1:15" s="6" customFormat="1" x14ac:dyDescent="0.2">
      <c r="A250" s="4" t="str">
        <v>IA CO2</v>
      </c>
      <c r="B250" s="26">
        <f ca="1"/>
        <v>6.9041765212720874</v>
      </c>
      <c r="C250" s="26">
        <f ca="1"/>
        <v>6.8096647766978187</v>
      </c>
      <c r="D250" s="26">
        <f ca="1"/>
        <v>6.7164468098586569</v>
      </c>
      <c r="E250" s="26">
        <f ca="1"/>
        <v>6.5338216093798467</v>
      </c>
      <c r="F250" s="26">
        <f ca="1"/>
        <v>6.3561621243744275</v>
      </c>
      <c r="G250" s="26">
        <f ca="1"/>
        <v>6.1833333333333309</v>
      </c>
      <c r="H250" s="26">
        <f ca="1"/>
        <v>6.0152038860830688</v>
      </c>
      <c r="I250" s="26">
        <f ca="1"/>
        <v>5.8516460039593881</v>
      </c>
      <c r="J250" s="26">
        <f ca="1"/>
        <v>5.6925353826952536</v>
      </c>
      <c r="K250" s="26">
        <f ca="1"/>
        <v>5.5377510979494158</v>
      </c>
      <c r="M250" s="4" t="str">
        <f>'Library data'!$G$138</f>
        <v>% relative to RCP8.5</v>
      </c>
    </row>
    <row r="251" spans="1:15" s="6" customFormat="1" x14ac:dyDescent="0.2">
      <c r="A251" s="4" t="str">
        <v>AF CO2</v>
      </c>
      <c r="B251" s="26">
        <f ca="1"/>
        <v>6.9041765212720874</v>
      </c>
      <c r="C251" s="26">
        <f ca="1"/>
        <v>6.8096647766978187</v>
      </c>
      <c r="D251" s="26">
        <f ca="1"/>
        <v>6.7164468098586569</v>
      </c>
      <c r="E251" s="26">
        <f ca="1"/>
        <v>6.5338216093798467</v>
      </c>
      <c r="F251" s="26">
        <f ca="1"/>
        <v>6.3561621243744275</v>
      </c>
      <c r="G251" s="26">
        <f ca="1"/>
        <v>6.1833333333333309</v>
      </c>
      <c r="H251" s="26">
        <f ca="1"/>
        <v>6.0152038860830688</v>
      </c>
      <c r="I251" s="26">
        <f ca="1"/>
        <v>5.8516460039593881</v>
      </c>
      <c r="J251" s="26">
        <f ca="1"/>
        <v>5.6925353826952536</v>
      </c>
      <c r="K251" s="26">
        <f ca="1"/>
        <v>5.5377510979494158</v>
      </c>
      <c r="M251" s="4" t="str">
        <f>'Library data'!$G$138</f>
        <v>% relative to RCP8.5</v>
      </c>
    </row>
    <row r="252" spans="1:15" s="6" customFormat="1" ht="13.5" thickBot="1" x14ac:dyDescent="0.25">
      <c r="A252" s="4" t="str">
        <v>LA CO2</v>
      </c>
      <c r="B252" s="35">
        <f ca="1"/>
        <v>6.9041765212720874</v>
      </c>
      <c r="C252" s="35">
        <f ca="1"/>
        <v>6.8096647766978187</v>
      </c>
      <c r="D252" s="35">
        <f ca="1"/>
        <v>6.7164468098586569</v>
      </c>
      <c r="E252" s="35">
        <f ca="1"/>
        <v>6.5338216093798467</v>
      </c>
      <c r="F252" s="35">
        <f ca="1"/>
        <v>6.3561621243744275</v>
      </c>
      <c r="G252" s="35">
        <f ca="1"/>
        <v>6.1833333333333309</v>
      </c>
      <c r="H252" s="35">
        <f ca="1"/>
        <v>6.0152038860830688</v>
      </c>
      <c r="I252" s="35">
        <f ca="1"/>
        <v>5.8516460039593881</v>
      </c>
      <c r="J252" s="35">
        <f ca="1"/>
        <v>5.6925353826952536</v>
      </c>
      <c r="K252" s="35">
        <f ca="1"/>
        <v>5.5377510979494158</v>
      </c>
      <c r="M252" s="4" t="str">
        <f>'Library data'!$G$138</f>
        <v>% relative to RCP8.5</v>
      </c>
      <c r="O252" s="7"/>
    </row>
    <row r="253" spans="1:15" s="8" customFormat="1" ht="15" thickTop="1" x14ac:dyDescent="0.25">
      <c r="A253" s="2" t="s">
        <v>299</v>
      </c>
      <c r="B253" s="2" t="s">
        <v>301</v>
      </c>
    </row>
    <row r="254" spans="1:15" s="7" customFormat="1" x14ac:dyDescent="0.2">
      <c r="A254" s="4" t="str">
        <f t="array" ref="A254:A261">R_CODE&amp;" "&amp;'Base data'!$C$12</f>
        <v>EU CH4</v>
      </c>
      <c r="B254" s="29">
        <f t="array" aca="1" ref="B254:K261" ca="1">Q0_PROP_INIT_CH4*(1+Q0PROPG/100)^YMINUSY0</f>
        <v>9.8631093161029799</v>
      </c>
      <c r="C254" s="29">
        <f ca="1"/>
        <v>9.7280925381397392</v>
      </c>
      <c r="D254" s="29">
        <f ca="1"/>
        <v>9.5949240140837944</v>
      </c>
      <c r="E254" s="29">
        <f ca="1"/>
        <v>9.3340308705426374</v>
      </c>
      <c r="F254" s="29">
        <f ca="1"/>
        <v>9.0802316062491801</v>
      </c>
      <c r="G254" s="29">
        <f ca="1"/>
        <v>8.8333333333333286</v>
      </c>
      <c r="H254" s="29">
        <f ca="1"/>
        <v>8.5931484086900962</v>
      </c>
      <c r="I254" s="29">
        <f ca="1"/>
        <v>8.3594942913705523</v>
      </c>
      <c r="J254" s="29">
        <f ca="1"/>
        <v>8.132193403850362</v>
      </c>
      <c r="K254" s="29">
        <f ca="1"/>
        <v>7.9110729970705931</v>
      </c>
      <c r="M254" s="4" t="str">
        <f>'Library data'!$G$138</f>
        <v>% relative to RCP8.5</v>
      </c>
    </row>
    <row r="255" spans="1:15" s="7" customFormat="1" x14ac:dyDescent="0.2">
      <c r="A255" s="4" t="str">
        <v>US CH4</v>
      </c>
      <c r="B255" s="26">
        <f ca="1"/>
        <v>10.685035092444894</v>
      </c>
      <c r="C255" s="26">
        <f ca="1"/>
        <v>10.53876691631805</v>
      </c>
      <c r="D255" s="26">
        <f ca="1"/>
        <v>10.394501015257443</v>
      </c>
      <c r="E255" s="26">
        <f ca="1"/>
        <v>10.111866776421188</v>
      </c>
      <c r="F255" s="26">
        <f ca="1"/>
        <v>9.8369175734366117</v>
      </c>
      <c r="G255" s="26">
        <f ca="1"/>
        <v>9.5694444444444375</v>
      </c>
      <c r="H255" s="26">
        <f ca="1"/>
        <v>9.3092441094142711</v>
      </c>
      <c r="I255" s="26">
        <f ca="1"/>
        <v>9.0561188156514305</v>
      </c>
      <c r="J255" s="26">
        <f ca="1"/>
        <v>8.8098761875045568</v>
      </c>
      <c r="K255" s="26">
        <f ca="1"/>
        <v>8.5703290801598087</v>
      </c>
      <c r="M255" s="4" t="str">
        <f>'Library data'!$G$138</f>
        <v>% relative to RCP8.5</v>
      </c>
    </row>
    <row r="256" spans="1:15" s="7" customFormat="1" x14ac:dyDescent="0.2">
      <c r="A256" s="4" t="str">
        <v>OT CH4</v>
      </c>
      <c r="B256" s="26">
        <f ca="1"/>
        <v>9.8631093161029799</v>
      </c>
      <c r="C256" s="26">
        <f ca="1"/>
        <v>9.7280925381397392</v>
      </c>
      <c r="D256" s="26">
        <f ca="1"/>
        <v>9.5949240140837944</v>
      </c>
      <c r="E256" s="26">
        <f ca="1"/>
        <v>9.3340308705426374</v>
      </c>
      <c r="F256" s="26">
        <f ca="1"/>
        <v>9.0802316062491801</v>
      </c>
      <c r="G256" s="26">
        <f ca="1"/>
        <v>8.8333333333333286</v>
      </c>
      <c r="H256" s="26">
        <f ca="1"/>
        <v>8.5931484086900962</v>
      </c>
      <c r="I256" s="26">
        <f ca="1"/>
        <v>8.3594942913705523</v>
      </c>
      <c r="J256" s="26">
        <f ca="1"/>
        <v>8.132193403850362</v>
      </c>
      <c r="K256" s="26">
        <f ca="1"/>
        <v>7.9110729970705931</v>
      </c>
      <c r="M256" s="4" t="str">
        <f>'Library data'!$G$138</f>
        <v>% relative to RCP8.5</v>
      </c>
    </row>
    <row r="257" spans="1:13" s="7" customFormat="1" x14ac:dyDescent="0.2">
      <c r="A257" s="4" t="str">
        <v>EE CH4</v>
      </c>
      <c r="B257" s="26">
        <f ca="1"/>
        <v>6.9041765212720874</v>
      </c>
      <c r="C257" s="26">
        <f ca="1"/>
        <v>6.8096647766978187</v>
      </c>
      <c r="D257" s="26">
        <f ca="1"/>
        <v>6.7164468098586569</v>
      </c>
      <c r="E257" s="26">
        <f ca="1"/>
        <v>6.5338216093798467</v>
      </c>
      <c r="F257" s="26">
        <f ca="1"/>
        <v>6.3561621243744275</v>
      </c>
      <c r="G257" s="26">
        <f ca="1"/>
        <v>6.1833333333333309</v>
      </c>
      <c r="H257" s="26">
        <f ca="1"/>
        <v>6.0152038860830688</v>
      </c>
      <c r="I257" s="26">
        <f ca="1"/>
        <v>5.8516460039593881</v>
      </c>
      <c r="J257" s="26">
        <f ca="1"/>
        <v>5.6925353826952536</v>
      </c>
      <c r="K257" s="26">
        <f ca="1"/>
        <v>5.5377510979494158</v>
      </c>
      <c r="M257" s="4" t="str">
        <f>'Library data'!$G$138</f>
        <v>% relative to RCP8.5</v>
      </c>
    </row>
    <row r="258" spans="1:13" s="7" customFormat="1" x14ac:dyDescent="0.2">
      <c r="A258" s="4" t="str">
        <v>CA CH4</v>
      </c>
      <c r="B258" s="26">
        <f ca="1"/>
        <v>6.9041765212720874</v>
      </c>
      <c r="C258" s="26">
        <f ca="1"/>
        <v>6.8096647766978187</v>
      </c>
      <c r="D258" s="26">
        <f ca="1"/>
        <v>6.7164468098586569</v>
      </c>
      <c r="E258" s="26">
        <f ca="1"/>
        <v>6.5338216093798467</v>
      </c>
      <c r="F258" s="26">
        <f ca="1"/>
        <v>6.3561621243744275</v>
      </c>
      <c r="G258" s="26">
        <f ca="1"/>
        <v>6.1833333333333309</v>
      </c>
      <c r="H258" s="26">
        <f ca="1"/>
        <v>6.0152038860830688</v>
      </c>
      <c r="I258" s="26">
        <f ca="1"/>
        <v>5.8516460039593881</v>
      </c>
      <c r="J258" s="26">
        <f ca="1"/>
        <v>5.6925353826952536</v>
      </c>
      <c r="K258" s="26">
        <f ca="1"/>
        <v>5.5377510979494158</v>
      </c>
      <c r="M258" s="4" t="str">
        <f>'Library data'!$G$138</f>
        <v>% relative to RCP8.5</v>
      </c>
    </row>
    <row r="259" spans="1:13" s="7" customFormat="1" x14ac:dyDescent="0.2">
      <c r="A259" s="4" t="str">
        <v>IA CH4</v>
      </c>
      <c r="B259" s="26">
        <f ca="1"/>
        <v>6.9041765212720874</v>
      </c>
      <c r="C259" s="26">
        <f ca="1"/>
        <v>6.8096647766978187</v>
      </c>
      <c r="D259" s="26">
        <f ca="1"/>
        <v>6.7164468098586569</v>
      </c>
      <c r="E259" s="26">
        <f ca="1"/>
        <v>6.5338216093798467</v>
      </c>
      <c r="F259" s="26">
        <f ca="1"/>
        <v>6.3561621243744275</v>
      </c>
      <c r="G259" s="26">
        <f ca="1"/>
        <v>6.1833333333333309</v>
      </c>
      <c r="H259" s="26">
        <f ca="1"/>
        <v>6.0152038860830688</v>
      </c>
      <c r="I259" s="26">
        <f ca="1"/>
        <v>5.8516460039593881</v>
      </c>
      <c r="J259" s="26">
        <f ca="1"/>
        <v>5.6925353826952536</v>
      </c>
      <c r="K259" s="26">
        <f ca="1"/>
        <v>5.5377510979494158</v>
      </c>
      <c r="M259" s="4" t="str">
        <f>'Library data'!$G$138</f>
        <v>% relative to RCP8.5</v>
      </c>
    </row>
    <row r="260" spans="1:13" s="7" customFormat="1" x14ac:dyDescent="0.2">
      <c r="A260" s="4" t="str">
        <v>AF CH4</v>
      </c>
      <c r="B260" s="26">
        <f ca="1"/>
        <v>6.9041765212720874</v>
      </c>
      <c r="C260" s="26">
        <f ca="1"/>
        <v>6.8096647766978187</v>
      </c>
      <c r="D260" s="26">
        <f ca="1"/>
        <v>6.7164468098586569</v>
      </c>
      <c r="E260" s="26">
        <f ca="1"/>
        <v>6.5338216093798467</v>
      </c>
      <c r="F260" s="26">
        <f ca="1"/>
        <v>6.3561621243744275</v>
      </c>
      <c r="G260" s="26">
        <f ca="1"/>
        <v>6.1833333333333309</v>
      </c>
      <c r="H260" s="26">
        <f ca="1"/>
        <v>6.0152038860830688</v>
      </c>
      <c r="I260" s="26">
        <f ca="1"/>
        <v>5.8516460039593881</v>
      </c>
      <c r="J260" s="26">
        <f ca="1"/>
        <v>5.6925353826952536</v>
      </c>
      <c r="K260" s="26">
        <f ca="1"/>
        <v>5.5377510979494158</v>
      </c>
      <c r="M260" s="4" t="str">
        <f>'Library data'!$G$138</f>
        <v>% relative to RCP8.5</v>
      </c>
    </row>
    <row r="261" spans="1:13" s="7" customFormat="1" ht="13.5" thickBot="1" x14ac:dyDescent="0.25">
      <c r="A261" s="4" t="str">
        <v>LA CH4</v>
      </c>
      <c r="B261" s="35">
        <f ca="1"/>
        <v>6.9041765212720874</v>
      </c>
      <c r="C261" s="35">
        <f ca="1"/>
        <v>6.8096647766978187</v>
      </c>
      <c r="D261" s="35">
        <f ca="1"/>
        <v>6.7164468098586569</v>
      </c>
      <c r="E261" s="35">
        <f ca="1"/>
        <v>6.5338216093798467</v>
      </c>
      <c r="F261" s="35">
        <f ca="1"/>
        <v>6.3561621243744275</v>
      </c>
      <c r="G261" s="35">
        <f ca="1"/>
        <v>6.1833333333333309</v>
      </c>
      <c r="H261" s="35">
        <f ca="1"/>
        <v>6.0152038860830688</v>
      </c>
      <c r="I261" s="35">
        <f ca="1"/>
        <v>5.8516460039593881</v>
      </c>
      <c r="J261" s="35">
        <f ca="1"/>
        <v>5.6925353826952536</v>
      </c>
      <c r="K261" s="35">
        <f ca="1"/>
        <v>5.5377510979494158</v>
      </c>
      <c r="M261" s="4" t="str">
        <f>'Library data'!$G$138</f>
        <v>% relative to RCP8.5</v>
      </c>
    </row>
    <row r="262" spans="1:13" s="8" customFormat="1" ht="15" thickTop="1" x14ac:dyDescent="0.25">
      <c r="A262" s="2" t="s">
        <v>299</v>
      </c>
      <c r="B262" s="2" t="s">
        <v>302</v>
      </c>
    </row>
    <row r="263" spans="1:13" s="7" customFormat="1" x14ac:dyDescent="0.2">
      <c r="A263" s="4" t="str">
        <f t="array" ref="A263:A270">R_CODE&amp;" "&amp;'Base data'!$D$12</f>
        <v>EU N2O</v>
      </c>
      <c r="B263" s="29">
        <f t="array" aca="1" ref="B263:K270" ca="1">Q0_PROP_INIT_N2O*(1+Q0PROPG/100)^YMINUSY0</f>
        <v>9.8631093161029799</v>
      </c>
      <c r="C263" s="29">
        <f ca="1"/>
        <v>9.7280925381397392</v>
      </c>
      <c r="D263" s="29">
        <f ca="1"/>
        <v>9.5949240140837944</v>
      </c>
      <c r="E263" s="29">
        <f ca="1"/>
        <v>9.3340308705426374</v>
      </c>
      <c r="F263" s="29">
        <f ca="1"/>
        <v>9.0802316062491801</v>
      </c>
      <c r="G263" s="29">
        <f ca="1"/>
        <v>8.8333333333333286</v>
      </c>
      <c r="H263" s="29">
        <f ca="1"/>
        <v>8.5931484086900962</v>
      </c>
      <c r="I263" s="29">
        <f ca="1"/>
        <v>8.3594942913705523</v>
      </c>
      <c r="J263" s="29">
        <f ca="1"/>
        <v>8.132193403850362</v>
      </c>
      <c r="K263" s="29">
        <f ca="1"/>
        <v>7.9110729970705931</v>
      </c>
      <c r="M263" s="4" t="str">
        <f>'Library data'!$G$138</f>
        <v>% relative to RCP8.5</v>
      </c>
    </row>
    <row r="264" spans="1:13" s="7" customFormat="1" x14ac:dyDescent="0.2">
      <c r="A264" s="4" t="str">
        <v>US N2O</v>
      </c>
      <c r="B264" s="26">
        <f ca="1"/>
        <v>10.685035092444894</v>
      </c>
      <c r="C264" s="26">
        <f ca="1"/>
        <v>10.53876691631805</v>
      </c>
      <c r="D264" s="26">
        <f ca="1"/>
        <v>10.394501015257443</v>
      </c>
      <c r="E264" s="26">
        <f ca="1"/>
        <v>10.111866776421188</v>
      </c>
      <c r="F264" s="26">
        <f ca="1"/>
        <v>9.8369175734366117</v>
      </c>
      <c r="G264" s="26">
        <f ca="1"/>
        <v>9.5694444444444375</v>
      </c>
      <c r="H264" s="26">
        <f ca="1"/>
        <v>9.3092441094142711</v>
      </c>
      <c r="I264" s="26">
        <f ca="1"/>
        <v>9.0561188156514305</v>
      </c>
      <c r="J264" s="26">
        <f ca="1"/>
        <v>8.8098761875045568</v>
      </c>
      <c r="K264" s="26">
        <f ca="1"/>
        <v>8.5703290801598087</v>
      </c>
      <c r="M264" s="4" t="str">
        <f>'Library data'!$G$138</f>
        <v>% relative to RCP8.5</v>
      </c>
    </row>
    <row r="265" spans="1:13" s="7" customFormat="1" x14ac:dyDescent="0.2">
      <c r="A265" s="4" t="str">
        <v>OT N2O</v>
      </c>
      <c r="B265" s="26">
        <f ca="1"/>
        <v>9.8631093161029799</v>
      </c>
      <c r="C265" s="26">
        <f ca="1"/>
        <v>9.7280925381397392</v>
      </c>
      <c r="D265" s="26">
        <f ca="1"/>
        <v>9.5949240140837944</v>
      </c>
      <c r="E265" s="26">
        <f ca="1"/>
        <v>9.3340308705426374</v>
      </c>
      <c r="F265" s="26">
        <f ca="1"/>
        <v>9.0802316062491801</v>
      </c>
      <c r="G265" s="26">
        <f ca="1"/>
        <v>8.8333333333333286</v>
      </c>
      <c r="H265" s="26">
        <f ca="1"/>
        <v>8.5931484086900962</v>
      </c>
      <c r="I265" s="26">
        <f ca="1"/>
        <v>8.3594942913705523</v>
      </c>
      <c r="J265" s="26">
        <f ca="1"/>
        <v>8.132193403850362</v>
      </c>
      <c r="K265" s="26">
        <f ca="1"/>
        <v>7.9110729970705931</v>
      </c>
      <c r="M265" s="4" t="str">
        <f>'Library data'!$G$138</f>
        <v>% relative to RCP8.5</v>
      </c>
    </row>
    <row r="266" spans="1:13" s="7" customFormat="1" x14ac:dyDescent="0.2">
      <c r="A266" s="4" t="str">
        <v>EE N2O</v>
      </c>
      <c r="B266" s="26">
        <f ca="1"/>
        <v>6.9041765212720874</v>
      </c>
      <c r="C266" s="26">
        <f ca="1"/>
        <v>6.8096647766978187</v>
      </c>
      <c r="D266" s="26">
        <f ca="1"/>
        <v>6.7164468098586569</v>
      </c>
      <c r="E266" s="26">
        <f ca="1"/>
        <v>6.5338216093798467</v>
      </c>
      <c r="F266" s="26">
        <f ca="1"/>
        <v>6.3561621243744275</v>
      </c>
      <c r="G266" s="26">
        <f ca="1"/>
        <v>6.1833333333333309</v>
      </c>
      <c r="H266" s="26">
        <f ca="1"/>
        <v>6.0152038860830688</v>
      </c>
      <c r="I266" s="26">
        <f ca="1"/>
        <v>5.8516460039593881</v>
      </c>
      <c r="J266" s="26">
        <f ca="1"/>
        <v>5.6925353826952536</v>
      </c>
      <c r="K266" s="26">
        <f ca="1"/>
        <v>5.5377510979494158</v>
      </c>
      <c r="M266" s="4" t="str">
        <f>'Library data'!$G$138</f>
        <v>% relative to RCP8.5</v>
      </c>
    </row>
    <row r="267" spans="1:13" s="7" customFormat="1" x14ac:dyDescent="0.2">
      <c r="A267" s="4" t="str">
        <v>CA N2O</v>
      </c>
      <c r="B267" s="26">
        <f ca="1"/>
        <v>6.9041765212720874</v>
      </c>
      <c r="C267" s="26">
        <f ca="1"/>
        <v>6.8096647766978187</v>
      </c>
      <c r="D267" s="26">
        <f ca="1"/>
        <v>6.7164468098586569</v>
      </c>
      <c r="E267" s="26">
        <f ca="1"/>
        <v>6.5338216093798467</v>
      </c>
      <c r="F267" s="26">
        <f ca="1"/>
        <v>6.3561621243744275</v>
      </c>
      <c r="G267" s="26">
        <f ca="1"/>
        <v>6.1833333333333309</v>
      </c>
      <c r="H267" s="26">
        <f ca="1"/>
        <v>6.0152038860830688</v>
      </c>
      <c r="I267" s="26">
        <f ca="1"/>
        <v>5.8516460039593881</v>
      </c>
      <c r="J267" s="26">
        <f ca="1"/>
        <v>5.6925353826952536</v>
      </c>
      <c r="K267" s="26">
        <f ca="1"/>
        <v>5.5377510979494158</v>
      </c>
      <c r="M267" s="4" t="str">
        <f>'Library data'!$G$138</f>
        <v>% relative to RCP8.5</v>
      </c>
    </row>
    <row r="268" spans="1:13" s="7" customFormat="1" x14ac:dyDescent="0.2">
      <c r="A268" s="4" t="str">
        <v>IA N2O</v>
      </c>
      <c r="B268" s="26">
        <f ca="1"/>
        <v>6.9041765212720874</v>
      </c>
      <c r="C268" s="26">
        <f ca="1"/>
        <v>6.8096647766978187</v>
      </c>
      <c r="D268" s="26">
        <f ca="1"/>
        <v>6.7164468098586569</v>
      </c>
      <c r="E268" s="26">
        <f ca="1"/>
        <v>6.5338216093798467</v>
      </c>
      <c r="F268" s="26">
        <f ca="1"/>
        <v>6.3561621243744275</v>
      </c>
      <c r="G268" s="26">
        <f ca="1"/>
        <v>6.1833333333333309</v>
      </c>
      <c r="H268" s="26">
        <f ca="1"/>
        <v>6.0152038860830688</v>
      </c>
      <c r="I268" s="26">
        <f ca="1"/>
        <v>5.8516460039593881</v>
      </c>
      <c r="J268" s="26">
        <f ca="1"/>
        <v>5.6925353826952536</v>
      </c>
      <c r="K268" s="26">
        <f ca="1"/>
        <v>5.5377510979494158</v>
      </c>
      <c r="M268" s="4" t="str">
        <f>'Library data'!$G$138</f>
        <v>% relative to RCP8.5</v>
      </c>
    </row>
    <row r="269" spans="1:13" s="7" customFormat="1" x14ac:dyDescent="0.2">
      <c r="A269" s="4" t="str">
        <v>AF N2O</v>
      </c>
      <c r="B269" s="26">
        <f ca="1"/>
        <v>6.9041765212720874</v>
      </c>
      <c r="C269" s="26">
        <f ca="1"/>
        <v>6.8096647766978187</v>
      </c>
      <c r="D269" s="26">
        <f ca="1"/>
        <v>6.7164468098586569</v>
      </c>
      <c r="E269" s="26">
        <f ca="1"/>
        <v>6.5338216093798467</v>
      </c>
      <c r="F269" s="26">
        <f ca="1"/>
        <v>6.3561621243744275</v>
      </c>
      <c r="G269" s="26">
        <f ca="1"/>
        <v>6.1833333333333309</v>
      </c>
      <c r="H269" s="26">
        <f ca="1"/>
        <v>6.0152038860830688</v>
      </c>
      <c r="I269" s="26">
        <f ca="1"/>
        <v>5.8516460039593881</v>
      </c>
      <c r="J269" s="26">
        <f ca="1"/>
        <v>5.6925353826952536</v>
      </c>
      <c r="K269" s="26">
        <f ca="1"/>
        <v>5.5377510979494158</v>
      </c>
      <c r="M269" s="4" t="str">
        <f>'Library data'!$G$138</f>
        <v>% relative to RCP8.5</v>
      </c>
    </row>
    <row r="270" spans="1:13" s="7" customFormat="1" ht="13.5" thickBot="1" x14ac:dyDescent="0.25">
      <c r="A270" s="4" t="str">
        <v>LA N2O</v>
      </c>
      <c r="B270" s="35">
        <f ca="1"/>
        <v>6.9041765212720874</v>
      </c>
      <c r="C270" s="35">
        <f ca="1"/>
        <v>6.8096647766978187</v>
      </c>
      <c r="D270" s="35">
        <f ca="1"/>
        <v>6.7164468098586569</v>
      </c>
      <c r="E270" s="35">
        <f ca="1"/>
        <v>6.5338216093798467</v>
      </c>
      <c r="F270" s="35">
        <f ca="1"/>
        <v>6.3561621243744275</v>
      </c>
      <c r="G270" s="35">
        <f ca="1"/>
        <v>6.1833333333333309</v>
      </c>
      <c r="H270" s="35">
        <f ca="1"/>
        <v>6.0152038860830688</v>
      </c>
      <c r="I270" s="35">
        <f ca="1"/>
        <v>5.8516460039593881</v>
      </c>
      <c r="J270" s="35">
        <f ca="1"/>
        <v>5.6925353826952536</v>
      </c>
      <c r="K270" s="35">
        <f ca="1"/>
        <v>5.5377510979494158</v>
      </c>
      <c r="M270" s="4" t="str">
        <f>'Library data'!$G$138</f>
        <v>% relative to RCP8.5</v>
      </c>
    </row>
    <row r="271" spans="1:13" s="8" customFormat="1" ht="15" thickTop="1" x14ac:dyDescent="0.25">
      <c r="A271" s="2" t="s">
        <v>299</v>
      </c>
      <c r="B271" s="2" t="s">
        <v>303</v>
      </c>
    </row>
    <row r="272" spans="1:13" s="7" customFormat="1" x14ac:dyDescent="0.2">
      <c r="A272" s="4" t="str">
        <f t="array" ref="A272:A279">R_CODE&amp;" "&amp;GLIN_NAME</f>
        <v>EU Lin</v>
      </c>
      <c r="B272" s="29">
        <f t="array" aca="1" ref="B272:K279" ca="1">Q0_PROP_INIT_GLIN*(1+Q0PROPG/100)^YMINUSY0</f>
        <v>9.8631093161029799</v>
      </c>
      <c r="C272" s="29">
        <f ca="1"/>
        <v>9.7280925381397392</v>
      </c>
      <c r="D272" s="29">
        <f ca="1"/>
        <v>9.5949240140837944</v>
      </c>
      <c r="E272" s="29">
        <f ca="1"/>
        <v>9.3340308705426374</v>
      </c>
      <c r="F272" s="29">
        <f ca="1"/>
        <v>9.0802316062491801</v>
      </c>
      <c r="G272" s="29">
        <f ca="1"/>
        <v>8.8333333333333286</v>
      </c>
      <c r="H272" s="29">
        <f ca="1"/>
        <v>8.5931484086900962</v>
      </c>
      <c r="I272" s="29">
        <f ca="1"/>
        <v>8.3594942913705523</v>
      </c>
      <c r="J272" s="29">
        <f ca="1"/>
        <v>8.132193403850362</v>
      </c>
      <c r="K272" s="29">
        <f ca="1"/>
        <v>7.9110729970705931</v>
      </c>
      <c r="M272" s="4" t="str">
        <f>'Library data'!$G$138</f>
        <v>% relative to RCP8.5</v>
      </c>
    </row>
    <row r="273" spans="1:13" s="7" customFormat="1" x14ac:dyDescent="0.2">
      <c r="A273" s="4" t="str">
        <v>US Lin</v>
      </c>
      <c r="B273" s="26">
        <f ca="1"/>
        <v>10.685035092444894</v>
      </c>
      <c r="C273" s="26">
        <f ca="1"/>
        <v>10.53876691631805</v>
      </c>
      <c r="D273" s="26">
        <f ca="1"/>
        <v>10.394501015257443</v>
      </c>
      <c r="E273" s="26">
        <f ca="1"/>
        <v>10.111866776421188</v>
      </c>
      <c r="F273" s="26">
        <f ca="1"/>
        <v>9.8369175734366117</v>
      </c>
      <c r="G273" s="26">
        <f ca="1"/>
        <v>9.5694444444444375</v>
      </c>
      <c r="H273" s="26">
        <f ca="1"/>
        <v>9.3092441094142711</v>
      </c>
      <c r="I273" s="26">
        <f ca="1"/>
        <v>9.0561188156514305</v>
      </c>
      <c r="J273" s="26">
        <f ca="1"/>
        <v>8.8098761875045568</v>
      </c>
      <c r="K273" s="26">
        <f ca="1"/>
        <v>8.5703290801598087</v>
      </c>
      <c r="M273" s="4" t="str">
        <f>'Library data'!$G$138</f>
        <v>% relative to RCP8.5</v>
      </c>
    </row>
    <row r="274" spans="1:13" s="7" customFormat="1" x14ac:dyDescent="0.2">
      <c r="A274" s="4" t="str">
        <v>OT Lin</v>
      </c>
      <c r="B274" s="26">
        <f ca="1"/>
        <v>9.8631093161029799</v>
      </c>
      <c r="C274" s="26">
        <f ca="1"/>
        <v>9.7280925381397392</v>
      </c>
      <c r="D274" s="26">
        <f ca="1"/>
        <v>9.5949240140837944</v>
      </c>
      <c r="E274" s="26">
        <f ca="1"/>
        <v>9.3340308705426374</v>
      </c>
      <c r="F274" s="26">
        <f ca="1"/>
        <v>9.0802316062491801</v>
      </c>
      <c r="G274" s="26">
        <f ca="1"/>
        <v>8.8333333333333286</v>
      </c>
      <c r="H274" s="26">
        <f ca="1"/>
        <v>8.5931484086900962</v>
      </c>
      <c r="I274" s="26">
        <f ca="1"/>
        <v>8.3594942913705523</v>
      </c>
      <c r="J274" s="26">
        <f ca="1"/>
        <v>8.132193403850362</v>
      </c>
      <c r="K274" s="26">
        <f ca="1"/>
        <v>7.9110729970705931</v>
      </c>
      <c r="M274" s="4" t="str">
        <f>'Library data'!$G$138</f>
        <v>% relative to RCP8.5</v>
      </c>
    </row>
    <row r="275" spans="1:13" s="7" customFormat="1" x14ac:dyDescent="0.2">
      <c r="A275" s="4" t="str">
        <v>EE Lin</v>
      </c>
      <c r="B275" s="26">
        <f ca="1"/>
        <v>6.9041765212720874</v>
      </c>
      <c r="C275" s="26">
        <f ca="1"/>
        <v>6.8096647766978187</v>
      </c>
      <c r="D275" s="26">
        <f ca="1"/>
        <v>6.7164468098586569</v>
      </c>
      <c r="E275" s="26">
        <f ca="1"/>
        <v>6.5338216093798467</v>
      </c>
      <c r="F275" s="26">
        <f ca="1"/>
        <v>6.3561621243744275</v>
      </c>
      <c r="G275" s="26">
        <f ca="1"/>
        <v>6.1833333333333309</v>
      </c>
      <c r="H275" s="26">
        <f ca="1"/>
        <v>6.0152038860830688</v>
      </c>
      <c r="I275" s="26">
        <f ca="1"/>
        <v>5.8516460039593881</v>
      </c>
      <c r="J275" s="26">
        <f ca="1"/>
        <v>5.6925353826952536</v>
      </c>
      <c r="K275" s="26">
        <f ca="1"/>
        <v>5.5377510979494158</v>
      </c>
      <c r="M275" s="4" t="str">
        <f>'Library data'!$G$138</f>
        <v>% relative to RCP8.5</v>
      </c>
    </row>
    <row r="276" spans="1:13" s="7" customFormat="1" x14ac:dyDescent="0.2">
      <c r="A276" s="4" t="str">
        <v>CA Lin</v>
      </c>
      <c r="B276" s="26">
        <f ca="1"/>
        <v>6.9041765212720874</v>
      </c>
      <c r="C276" s="26">
        <f ca="1"/>
        <v>6.8096647766978187</v>
      </c>
      <c r="D276" s="26">
        <f ca="1"/>
        <v>6.7164468098586569</v>
      </c>
      <c r="E276" s="26">
        <f ca="1"/>
        <v>6.5338216093798467</v>
      </c>
      <c r="F276" s="26">
        <f ca="1"/>
        <v>6.3561621243744275</v>
      </c>
      <c r="G276" s="26">
        <f ca="1"/>
        <v>6.1833333333333309</v>
      </c>
      <c r="H276" s="26">
        <f ca="1"/>
        <v>6.0152038860830688</v>
      </c>
      <c r="I276" s="26">
        <f ca="1"/>
        <v>5.8516460039593881</v>
      </c>
      <c r="J276" s="26">
        <f ca="1"/>
        <v>5.6925353826952536</v>
      </c>
      <c r="K276" s="26">
        <f ca="1"/>
        <v>5.5377510979494158</v>
      </c>
      <c r="M276" s="4" t="str">
        <f>'Library data'!$G$138</f>
        <v>% relative to RCP8.5</v>
      </c>
    </row>
    <row r="277" spans="1:13" s="7" customFormat="1" x14ac:dyDescent="0.2">
      <c r="A277" s="4" t="str">
        <v>IA Lin</v>
      </c>
      <c r="B277" s="26">
        <f ca="1"/>
        <v>6.9041765212720874</v>
      </c>
      <c r="C277" s="26">
        <f ca="1"/>
        <v>6.8096647766978187</v>
      </c>
      <c r="D277" s="26">
        <f ca="1"/>
        <v>6.7164468098586569</v>
      </c>
      <c r="E277" s="26">
        <f ca="1"/>
        <v>6.5338216093798467</v>
      </c>
      <c r="F277" s="26">
        <f ca="1"/>
        <v>6.3561621243744275</v>
      </c>
      <c r="G277" s="26">
        <f ca="1"/>
        <v>6.1833333333333309</v>
      </c>
      <c r="H277" s="26">
        <f ca="1"/>
        <v>6.0152038860830688</v>
      </c>
      <c r="I277" s="26">
        <f ca="1"/>
        <v>5.8516460039593881</v>
      </c>
      <c r="J277" s="26">
        <f ca="1"/>
        <v>5.6925353826952536</v>
      </c>
      <c r="K277" s="26">
        <f ca="1"/>
        <v>5.5377510979494158</v>
      </c>
      <c r="M277" s="4" t="str">
        <f>'Library data'!$G$138</f>
        <v>% relative to RCP8.5</v>
      </c>
    </row>
    <row r="278" spans="1:13" s="7" customFormat="1" x14ac:dyDescent="0.2">
      <c r="A278" s="4" t="str">
        <v>AF Lin</v>
      </c>
      <c r="B278" s="26">
        <f ca="1"/>
        <v>6.9041765212720874</v>
      </c>
      <c r="C278" s="26">
        <f ca="1"/>
        <v>6.8096647766978187</v>
      </c>
      <c r="D278" s="26">
        <f ca="1"/>
        <v>6.7164468098586569</v>
      </c>
      <c r="E278" s="26">
        <f ca="1"/>
        <v>6.5338216093798467</v>
      </c>
      <c r="F278" s="26">
        <f ca="1"/>
        <v>6.3561621243744275</v>
      </c>
      <c r="G278" s="26">
        <f ca="1"/>
        <v>6.1833333333333309</v>
      </c>
      <c r="H278" s="26">
        <f ca="1"/>
        <v>6.0152038860830688</v>
      </c>
      <c r="I278" s="26">
        <f ca="1"/>
        <v>5.8516460039593881</v>
      </c>
      <c r="J278" s="26">
        <f ca="1"/>
        <v>5.6925353826952536</v>
      </c>
      <c r="K278" s="26">
        <f ca="1"/>
        <v>5.5377510979494158</v>
      </c>
      <c r="M278" s="4" t="str">
        <f>'Library data'!$G$138</f>
        <v>% relative to RCP8.5</v>
      </c>
    </row>
    <row r="279" spans="1:13" s="7" customFormat="1" ht="13.5" thickBot="1" x14ac:dyDescent="0.25">
      <c r="A279" s="4" t="str">
        <v>LA Lin</v>
      </c>
      <c r="B279" s="35">
        <f ca="1"/>
        <v>6.9041765212720874</v>
      </c>
      <c r="C279" s="35">
        <f ca="1"/>
        <v>6.8096647766978187</v>
      </c>
      <c r="D279" s="35">
        <f ca="1"/>
        <v>6.7164468098586569</v>
      </c>
      <c r="E279" s="35">
        <f ca="1"/>
        <v>6.5338216093798467</v>
      </c>
      <c r="F279" s="35">
        <f ca="1"/>
        <v>6.3561621243744275</v>
      </c>
      <c r="G279" s="35">
        <f ca="1"/>
        <v>6.1833333333333309</v>
      </c>
      <c r="H279" s="35">
        <f ca="1"/>
        <v>6.0152038860830688</v>
      </c>
      <c r="I279" s="35">
        <f ca="1"/>
        <v>5.8516460039593881</v>
      </c>
      <c r="J279" s="35">
        <f ca="1"/>
        <v>5.6925353826952536</v>
      </c>
      <c r="K279" s="35">
        <f ca="1"/>
        <v>5.5377510979494158</v>
      </c>
      <c r="M279" s="4" t="str">
        <f>'Library data'!$G$138</f>
        <v>% relative to RCP8.5</v>
      </c>
    </row>
    <row r="280" spans="1:13" s="2" customFormat="1" ht="15" thickTop="1" x14ac:dyDescent="0.25">
      <c r="A280" s="2" t="s">
        <v>299</v>
      </c>
      <c r="B280" s="2" t="s">
        <v>304</v>
      </c>
    </row>
    <row r="281" spans="1:13" s="6" customFormat="1" x14ac:dyDescent="0.2">
      <c r="A281" s="4" t="str">
        <f t="array" ref="A281:A288">R_CODE&amp;" "&amp;'Base data'!$B$12</f>
        <v>EU CO2</v>
      </c>
      <c r="B281" s="29">
        <f t="array" aca="1" ref="B281:K288" ca="1">(Q0_PROP_CO2/100)*(ZC_CO2/100)*E_CO2_0</f>
        <v>345.84691649592543</v>
      </c>
      <c r="C281" s="29">
        <f ca="1"/>
        <v>361.37160662402772</v>
      </c>
      <c r="D281" s="29">
        <f ca="1"/>
        <v>375.75833495728938</v>
      </c>
      <c r="E281" s="29">
        <f ca="1"/>
        <v>423.48323037482476</v>
      </c>
      <c r="F281" s="29">
        <f ca="1"/>
        <v>480.42535842126568</v>
      </c>
      <c r="G281" s="29">
        <f ca="1"/>
        <v>557.16749175263146</v>
      </c>
      <c r="H281" s="29">
        <f ca="1"/>
        <v>628.03753428477626</v>
      </c>
      <c r="I281" s="29">
        <f ca="1"/>
        <v>661.82750584867631</v>
      </c>
      <c r="J281" s="29">
        <f ca="1"/>
        <v>647.13601890548705</v>
      </c>
      <c r="K281" s="29">
        <f ca="1"/>
        <v>635.47107695538227</v>
      </c>
      <c r="M281" s="4" t="str">
        <f t="shared" ref="M281:M288" si="12">EMIT_NAME</f>
        <v>Mtonne</v>
      </c>
    </row>
    <row r="282" spans="1:13" s="6" customFormat="1" x14ac:dyDescent="0.2">
      <c r="A282" s="4" t="str">
        <v>US CO2</v>
      </c>
      <c r="B282" s="26">
        <f ca="1"/>
        <v>561.19130436800765</v>
      </c>
      <c r="C282" s="26">
        <f ca="1"/>
        <v>627.27461886033143</v>
      </c>
      <c r="D282" s="26">
        <f ca="1"/>
        <v>689.32023175087545</v>
      </c>
      <c r="E282" s="26">
        <f ca="1"/>
        <v>811.9482608763235</v>
      </c>
      <c r="F282" s="26">
        <f ca="1"/>
        <v>935.42195302473817</v>
      </c>
      <c r="G282" s="26">
        <f ca="1"/>
        <v>1080.0085671428985</v>
      </c>
      <c r="H282" s="26">
        <f ca="1"/>
        <v>1130.7393875558269</v>
      </c>
      <c r="I282" s="26">
        <f ca="1"/>
        <v>1170.1380741550258</v>
      </c>
      <c r="J282" s="26">
        <f ca="1"/>
        <v>1076.1291313495394</v>
      </c>
      <c r="K282" s="26">
        <f ca="1"/>
        <v>951.54915922904308</v>
      </c>
      <c r="M282" s="4" t="str">
        <f t="shared" si="12"/>
        <v>Mtonne</v>
      </c>
    </row>
    <row r="283" spans="1:13" s="6" customFormat="1" x14ac:dyDescent="0.2">
      <c r="A283" s="4" t="str">
        <v>OT CO2</v>
      </c>
      <c r="B283" s="26">
        <f ca="1"/>
        <v>324.34619667214457</v>
      </c>
      <c r="C283" s="26">
        <f ca="1"/>
        <v>338.90574298408308</v>
      </c>
      <c r="D283" s="26">
        <f ca="1"/>
        <v>352.39807266776779</v>
      </c>
      <c r="E283" s="26">
        <f ca="1"/>
        <v>397.15599178437736</v>
      </c>
      <c r="F283" s="26">
        <f ca="1"/>
        <v>450.55812371432609</v>
      </c>
      <c r="G283" s="26">
        <f ca="1"/>
        <v>522.52932797639551</v>
      </c>
      <c r="H283" s="26">
        <f ca="1"/>
        <v>588.99349942597701</v>
      </c>
      <c r="I283" s="26">
        <f ca="1"/>
        <v>620.68280541561137</v>
      </c>
      <c r="J283" s="26">
        <f ca="1"/>
        <v>606.9046634510637</v>
      </c>
      <c r="K283" s="26">
        <f ca="1"/>
        <v>595.9649112790579</v>
      </c>
      <c r="M283" s="4" t="str">
        <f t="shared" si="12"/>
        <v>Mtonne</v>
      </c>
    </row>
    <row r="284" spans="1:13" s="6" customFormat="1" x14ac:dyDescent="0.2">
      <c r="A284" s="4" t="str">
        <v>EE CO2</v>
      </c>
      <c r="B284" s="26">
        <f ca="1"/>
        <v>223.19571588003475</v>
      </c>
      <c r="C284" s="26">
        <f ca="1"/>
        <v>234.24212607594504</v>
      </c>
      <c r="D284" s="26">
        <f ca="1"/>
        <v>244.4990888170442</v>
      </c>
      <c r="E284" s="26">
        <f ca="1"/>
        <v>284.98587258976153</v>
      </c>
      <c r="F284" s="26">
        <f ca="1"/>
        <v>331.25752533072597</v>
      </c>
      <c r="G284" s="26">
        <f ca="1"/>
        <v>377.06852594770095</v>
      </c>
      <c r="H284" s="26">
        <f ca="1"/>
        <v>387.00695861333054</v>
      </c>
      <c r="I284" s="26">
        <f ca="1"/>
        <v>352.74562001247421</v>
      </c>
      <c r="J284" s="26">
        <f ca="1"/>
        <v>296.06665953002465</v>
      </c>
      <c r="K284" s="26">
        <f ca="1"/>
        <v>243.00482063517981</v>
      </c>
      <c r="M284" s="4" t="str">
        <f t="shared" si="12"/>
        <v>Mtonne</v>
      </c>
    </row>
    <row r="285" spans="1:13" s="6" customFormat="1" x14ac:dyDescent="0.2">
      <c r="A285" s="4" t="str">
        <v>CA CO2</v>
      </c>
      <c r="B285" s="26">
        <f ca="1"/>
        <v>775.19650732399919</v>
      </c>
      <c r="C285" s="26">
        <f ca="1"/>
        <v>841.74172414231202</v>
      </c>
      <c r="D285" s="26">
        <f ca="1"/>
        <v>904.03509084285872</v>
      </c>
      <c r="E285" s="26">
        <f ca="1"/>
        <v>1012.2827516941982</v>
      </c>
      <c r="F285" s="26">
        <f ca="1"/>
        <v>1029.3247728006681</v>
      </c>
      <c r="G285" s="26">
        <f ca="1"/>
        <v>1033.6189170727926</v>
      </c>
      <c r="H285" s="26">
        <f ca="1"/>
        <v>996.64580714891054</v>
      </c>
      <c r="I285" s="26">
        <f ca="1"/>
        <v>885.68342309678576</v>
      </c>
      <c r="J285" s="26">
        <f ca="1"/>
        <v>705.21832211047661</v>
      </c>
      <c r="K285" s="26">
        <f ca="1"/>
        <v>529.62760977076925</v>
      </c>
      <c r="M285" s="4" t="str">
        <f t="shared" si="12"/>
        <v>Mtonne</v>
      </c>
    </row>
    <row r="286" spans="1:13" s="6" customFormat="1" x14ac:dyDescent="0.2">
      <c r="A286" s="4" t="str">
        <v>IA CO2</v>
      </c>
      <c r="B286" s="26">
        <f ca="1"/>
        <v>467.92769531458407</v>
      </c>
      <c r="C286" s="26">
        <f ca="1"/>
        <v>553.72308698509994</v>
      </c>
      <c r="D286" s="26">
        <f ca="1"/>
        <v>634.50705558141169</v>
      </c>
      <c r="E286" s="26">
        <f ca="1"/>
        <v>855.08115907053411</v>
      </c>
      <c r="F286" s="26">
        <f ca="1"/>
        <v>1111.8764532611265</v>
      </c>
      <c r="G286" s="26">
        <f ca="1"/>
        <v>1364.1576778081342</v>
      </c>
      <c r="H286" s="26">
        <f ca="1"/>
        <v>1583.298939340347</v>
      </c>
      <c r="I286" s="26">
        <f ca="1"/>
        <v>1736.9411857229591</v>
      </c>
      <c r="J286" s="26">
        <f ca="1"/>
        <v>1702.6504322360045</v>
      </c>
      <c r="K286" s="26">
        <f ca="1"/>
        <v>1564.5477024930199</v>
      </c>
      <c r="M286" s="4" t="str">
        <f t="shared" si="12"/>
        <v>Mtonne</v>
      </c>
    </row>
    <row r="287" spans="1:13" s="6" customFormat="1" x14ac:dyDescent="0.2">
      <c r="A287" s="4" t="str">
        <v>AF CO2</v>
      </c>
      <c r="B287" s="26">
        <f ca="1"/>
        <v>454.52451707571691</v>
      </c>
      <c r="C287" s="26">
        <f ca="1"/>
        <v>518.00246735541668</v>
      </c>
      <c r="D287" s="26">
        <f ca="1"/>
        <v>577.67672474592018</v>
      </c>
      <c r="E287" s="26">
        <f ca="1"/>
        <v>821.09172068850853</v>
      </c>
      <c r="F287" s="26">
        <f ca="1"/>
        <v>1173.9021997850134</v>
      </c>
      <c r="G287" s="26">
        <f ca="1"/>
        <v>1632.6735940810104</v>
      </c>
      <c r="H287" s="26">
        <f ca="1"/>
        <v>2060.7663491890848</v>
      </c>
      <c r="I287" s="26">
        <f ca="1"/>
        <v>2393.4275819967656</v>
      </c>
      <c r="J287" s="26">
        <f ca="1"/>
        <v>2455.5527793874749</v>
      </c>
      <c r="K287" s="26">
        <f ca="1"/>
        <v>2392.5921376731299</v>
      </c>
      <c r="M287" s="4" t="str">
        <f t="shared" si="12"/>
        <v>Mtonne</v>
      </c>
    </row>
    <row r="288" spans="1:13" s="6" customFormat="1" ht="13.5" thickBot="1" x14ac:dyDescent="0.25">
      <c r="A288" s="4" t="str">
        <v>LA CO2</v>
      </c>
      <c r="B288" s="35">
        <f ca="1"/>
        <v>242.36626386891072</v>
      </c>
      <c r="C288" s="35">
        <f ca="1"/>
        <v>284.34422399539545</v>
      </c>
      <c r="D288" s="35">
        <f ca="1"/>
        <v>323.85831987056042</v>
      </c>
      <c r="E288" s="35">
        <f ca="1"/>
        <v>408.73241064386116</v>
      </c>
      <c r="F288" s="35">
        <f ca="1"/>
        <v>468.05573896424232</v>
      </c>
      <c r="G288" s="35">
        <f ca="1"/>
        <v>505.95394105945854</v>
      </c>
      <c r="H288" s="35">
        <f ca="1"/>
        <v>525.6722188153127</v>
      </c>
      <c r="I288" s="35">
        <f ca="1"/>
        <v>514.84932018644736</v>
      </c>
      <c r="J288" s="35">
        <f ca="1"/>
        <v>471.08433335629985</v>
      </c>
      <c r="K288" s="35">
        <f ca="1"/>
        <v>426.37306149542087</v>
      </c>
      <c r="M288" s="4" t="str">
        <f t="shared" si="12"/>
        <v>Mtonne</v>
      </c>
    </row>
    <row r="289" spans="1:13" s="8" customFormat="1" ht="15" thickTop="1" x14ac:dyDescent="0.25">
      <c r="A289" s="2" t="s">
        <v>299</v>
      </c>
      <c r="B289" s="2" t="s">
        <v>305</v>
      </c>
    </row>
    <row r="290" spans="1:13" s="7" customFormat="1" x14ac:dyDescent="0.2">
      <c r="A290" s="4" t="str">
        <f t="array" ref="A290:A297">R_CODE&amp;" "&amp;'Base data'!$C$12</f>
        <v>EU CH4</v>
      </c>
      <c r="B290" s="29">
        <f t="array" aca="1" ref="B290:K297" ca="1">(Q0_PROP_CH4/100)*(ZC_CH4/100)*E_CH4_0</f>
        <v>1.9344608108562242</v>
      </c>
      <c r="C290" s="29">
        <f ca="1"/>
        <v>1.9965234182562868</v>
      </c>
      <c r="D290" s="29">
        <f ca="1"/>
        <v>2.0520272934176234</v>
      </c>
      <c r="E290" s="29">
        <f ca="1"/>
        <v>2.2697156327105215</v>
      </c>
      <c r="F290" s="29">
        <f ca="1"/>
        <v>2.4158153873574251</v>
      </c>
      <c r="G290" s="29">
        <f ca="1"/>
        <v>2.3405624682878723</v>
      </c>
      <c r="H290" s="29">
        <f ca="1"/>
        <v>2.2993029691095819</v>
      </c>
      <c r="I290" s="29">
        <f ca="1"/>
        <v>2.1805028279349981</v>
      </c>
      <c r="J290" s="29">
        <f ca="1"/>
        <v>2.3313664079438192</v>
      </c>
      <c r="K290" s="29">
        <f ca="1"/>
        <v>1.9795094494342469</v>
      </c>
      <c r="M290" s="4" t="str">
        <f t="shared" ref="M290:M297" si="13">EMIT_NAME</f>
        <v>Mtonne</v>
      </c>
    </row>
    <row r="291" spans="1:13" s="7" customFormat="1" x14ac:dyDescent="0.2">
      <c r="A291" s="4" t="str">
        <v>US CH4</v>
      </c>
      <c r="B291" s="26">
        <f ca="1"/>
        <v>2.9767314792875226</v>
      </c>
      <c r="C291" s="26">
        <f ca="1"/>
        <v>3.1242598544271698</v>
      </c>
      <c r="D291" s="26">
        <f ca="1"/>
        <v>3.2583723064116388</v>
      </c>
      <c r="E291" s="26">
        <f ca="1"/>
        <v>3.6190521841273458</v>
      </c>
      <c r="F291" s="26">
        <f ca="1"/>
        <v>3.9181900180608338</v>
      </c>
      <c r="G291" s="26">
        <f ca="1"/>
        <v>3.8542652056934532</v>
      </c>
      <c r="H291" s="26">
        <f ca="1"/>
        <v>3.44322355414333</v>
      </c>
      <c r="I291" s="26">
        <f ca="1"/>
        <v>3.3397183236208448</v>
      </c>
      <c r="J291" s="26">
        <f ca="1"/>
        <v>3.1567279607062284</v>
      </c>
      <c r="K291" s="26">
        <f ca="1"/>
        <v>2.8309169969721406</v>
      </c>
      <c r="M291" s="4" t="str">
        <f t="shared" si="13"/>
        <v>Mtonne</v>
      </c>
    </row>
    <row r="292" spans="1:13" s="7" customFormat="1" x14ac:dyDescent="0.2">
      <c r="A292" s="4" t="str">
        <v>OT CH4</v>
      </c>
      <c r="B292" s="26">
        <f ca="1"/>
        <v>1.5141134480902978</v>
      </c>
      <c r="C292" s="26">
        <f ca="1"/>
        <v>1.5232718793969882</v>
      </c>
      <c r="D292" s="26">
        <f ca="1"/>
        <v>1.5298147355825655</v>
      </c>
      <c r="E292" s="26">
        <f ca="1"/>
        <v>1.7540792014369149</v>
      </c>
      <c r="F292" s="26">
        <f ca="1"/>
        <v>1.9203939882050902</v>
      </c>
      <c r="G292" s="26">
        <f ca="1"/>
        <v>1.9023838715832022</v>
      </c>
      <c r="H292" s="26">
        <f ca="1"/>
        <v>1.6331485119431162</v>
      </c>
      <c r="I292" s="26">
        <f ca="1"/>
        <v>1.3783281967497714</v>
      </c>
      <c r="J292" s="26">
        <f ca="1"/>
        <v>1.2689537369454693</v>
      </c>
      <c r="K292" s="26">
        <f ca="1"/>
        <v>1.6352512989589407</v>
      </c>
      <c r="M292" s="4" t="str">
        <f t="shared" si="13"/>
        <v>Mtonne</v>
      </c>
    </row>
    <row r="293" spans="1:13" s="7" customFormat="1" x14ac:dyDescent="0.2">
      <c r="A293" s="4" t="str">
        <v>EE CH4</v>
      </c>
      <c r="B293" s="26">
        <f ca="1"/>
        <v>2.7029310614758373</v>
      </c>
      <c r="C293" s="26">
        <f ca="1"/>
        <v>2.7383198198375256</v>
      </c>
      <c r="D293" s="26">
        <f ca="1"/>
        <v>2.7678231495798795</v>
      </c>
      <c r="E293" s="26">
        <f ca="1"/>
        <v>3.0004764805818991</v>
      </c>
      <c r="F293" s="26">
        <f ca="1"/>
        <v>3.3024238133983244</v>
      </c>
      <c r="G293" s="26">
        <f ca="1"/>
        <v>3.5332641767723008</v>
      </c>
      <c r="H293" s="26">
        <f ca="1"/>
        <v>3.7102607697169989</v>
      </c>
      <c r="I293" s="26">
        <f ca="1"/>
        <v>3.8160491448428262</v>
      </c>
      <c r="J293" s="26">
        <f ca="1"/>
        <v>3.647942955812177</v>
      </c>
      <c r="K293" s="26">
        <f ca="1"/>
        <v>3.335467663092357</v>
      </c>
      <c r="M293" s="4" t="str">
        <f t="shared" si="13"/>
        <v>Mtonne</v>
      </c>
    </row>
    <row r="294" spans="1:13" s="7" customFormat="1" x14ac:dyDescent="0.2">
      <c r="A294" s="4" t="str">
        <v>CA CH4</v>
      </c>
      <c r="B294" s="26">
        <f ca="1"/>
        <v>4.2115247359023957</v>
      </c>
      <c r="C294" s="26">
        <f ca="1"/>
        <v>3.6653831836090376</v>
      </c>
      <c r="D294" s="26">
        <f ca="1"/>
        <v>3.1484803172086426</v>
      </c>
      <c r="E294" s="26">
        <f ca="1"/>
        <v>2.8430496198319544</v>
      </c>
      <c r="F294" s="26">
        <f ca="1"/>
        <v>2.4779744890900766</v>
      </c>
      <c r="G294" s="26">
        <f ca="1"/>
        <v>2.2578382231594798</v>
      </c>
      <c r="H294" s="26">
        <f ca="1"/>
        <v>2.0461858747975543</v>
      </c>
      <c r="I294" s="26">
        <f ca="1"/>
        <v>1.5733213601500893</v>
      </c>
      <c r="J294" s="26">
        <f ca="1"/>
        <v>1.2502472462495009</v>
      </c>
      <c r="K294" s="26">
        <f ca="1"/>
        <v>0.99861454491693213</v>
      </c>
      <c r="M294" s="4" t="str">
        <f t="shared" si="13"/>
        <v>Mtonne</v>
      </c>
    </row>
    <row r="295" spans="1:13" s="7" customFormat="1" x14ac:dyDescent="0.2">
      <c r="A295" s="4" t="str">
        <v>IA CH4</v>
      </c>
      <c r="B295" s="26">
        <f ca="1"/>
        <v>5.5376696077958689</v>
      </c>
      <c r="C295" s="26">
        <f ca="1"/>
        <v>5.4685630381638166</v>
      </c>
      <c r="D295" s="26">
        <f ca="1"/>
        <v>5.3964444268056155</v>
      </c>
      <c r="E295" s="26">
        <f ca="1"/>
        <v>5.3375488021585609</v>
      </c>
      <c r="F295" s="26">
        <f ca="1"/>
        <v>5.2502882600552558</v>
      </c>
      <c r="G295" s="26">
        <f ca="1"/>
        <v>3.8620684992715169</v>
      </c>
      <c r="H295" s="26">
        <f ca="1"/>
        <v>3.0075634061252328</v>
      </c>
      <c r="I295" s="26">
        <f ca="1"/>
        <v>2.1769738819514273</v>
      </c>
      <c r="J295" s="26">
        <f ca="1"/>
        <v>1.7617406022907378</v>
      </c>
      <c r="K295" s="26">
        <f ca="1"/>
        <v>1.4363938844005497</v>
      </c>
      <c r="M295" s="4" t="str">
        <f t="shared" si="13"/>
        <v>Mtonne</v>
      </c>
    </row>
    <row r="296" spans="1:13" s="7" customFormat="1" x14ac:dyDescent="0.2">
      <c r="A296" s="4" t="str">
        <v>AF CH4</v>
      </c>
      <c r="B296" s="26">
        <f ca="1"/>
        <v>5.6185801687302224</v>
      </c>
      <c r="C296" s="26">
        <f ca="1"/>
        <v>6.9467510331844933</v>
      </c>
      <c r="D296" s="26">
        <f ca="1"/>
        <v>8.1825454176351631</v>
      </c>
      <c r="E296" s="26">
        <f ca="1"/>
        <v>11.151083962856653</v>
      </c>
      <c r="F296" s="26">
        <f ca="1"/>
        <v>12.476593671736564</v>
      </c>
      <c r="G296" s="26">
        <f ca="1"/>
        <v>12.71505362713323</v>
      </c>
      <c r="H296" s="26">
        <f ca="1"/>
        <v>12.432639349703356</v>
      </c>
      <c r="I296" s="26">
        <f ca="1"/>
        <v>11.236249696885924</v>
      </c>
      <c r="J296" s="26">
        <f ca="1"/>
        <v>8.7499025572056208</v>
      </c>
      <c r="K296" s="26">
        <f ca="1"/>
        <v>7.1634876613129173</v>
      </c>
      <c r="M296" s="4" t="str">
        <f t="shared" si="13"/>
        <v>Mtonne</v>
      </c>
    </row>
    <row r="297" spans="1:13" s="7" customFormat="1" ht="13.5" thickBot="1" x14ac:dyDescent="0.25">
      <c r="A297" s="4" t="str">
        <v>LA CH4</v>
      </c>
      <c r="B297" s="35">
        <f ca="1"/>
        <v>4.5408044796282514</v>
      </c>
      <c r="C297" s="35">
        <f ca="1"/>
        <v>4.6481571955688041</v>
      </c>
      <c r="D297" s="35">
        <f ca="1"/>
        <v>4.7425627991580681</v>
      </c>
      <c r="E297" s="35">
        <f ca="1"/>
        <v>4.6686876971485916</v>
      </c>
      <c r="F297" s="35">
        <f ca="1"/>
        <v>3.6444627548702995</v>
      </c>
      <c r="G297" s="35">
        <f ca="1"/>
        <v>3.197865791558455</v>
      </c>
      <c r="H297" s="35">
        <f ca="1"/>
        <v>2.8754807170422629</v>
      </c>
      <c r="I297" s="35">
        <f ca="1"/>
        <v>2.4779125718552875</v>
      </c>
      <c r="J297" s="35">
        <f ca="1"/>
        <v>1.8547391556105965</v>
      </c>
      <c r="K297" s="35">
        <f ca="1"/>
        <v>1.5279986121152869</v>
      </c>
      <c r="M297" s="4" t="str">
        <f t="shared" si="13"/>
        <v>Mtonne</v>
      </c>
    </row>
    <row r="298" spans="1:13" s="8" customFormat="1" ht="15" thickTop="1" x14ac:dyDescent="0.25">
      <c r="A298" s="2" t="s">
        <v>299</v>
      </c>
      <c r="B298" s="2" t="s">
        <v>306</v>
      </c>
    </row>
    <row r="299" spans="1:13" s="7" customFormat="1" x14ac:dyDescent="0.2">
      <c r="A299" s="4" t="str">
        <f t="array" ref="A299:A306">R_CODE&amp;" "&amp;'Base data'!$D$12</f>
        <v>EU N2O</v>
      </c>
      <c r="B299" s="29">
        <f t="array" aca="1" ref="B299:K306" ca="1">(Q0_PROP_N2O/100)*(ZC_N2O/100)*E_N2O_0</f>
        <v>0.14373818929528168</v>
      </c>
      <c r="C299" s="29">
        <f ca="1"/>
        <v>0.14668421472080309</v>
      </c>
      <c r="D299" s="29">
        <f ca="1"/>
        <v>0.14947760452561004</v>
      </c>
      <c r="E299" s="29">
        <f ca="1"/>
        <v>0.15255957477832116</v>
      </c>
      <c r="F299" s="29">
        <f ca="1"/>
        <v>0.14486922690536436</v>
      </c>
      <c r="G299" s="29">
        <f ca="1"/>
        <v>0.14254876035281969</v>
      </c>
      <c r="H299" s="29">
        <f ca="1"/>
        <v>0.13746276497983248</v>
      </c>
      <c r="I299" s="29">
        <f ca="1"/>
        <v>0.13310618497475488</v>
      </c>
      <c r="J299" s="29">
        <f ca="1"/>
        <v>0.12584470844446607</v>
      </c>
      <c r="K299" s="29">
        <f ca="1"/>
        <v>0.11676962905639075</v>
      </c>
      <c r="M299" s="4" t="str">
        <f t="shared" ref="M299:M306" si="14">EMIT_NAME</f>
        <v>Mtonne</v>
      </c>
    </row>
    <row r="300" spans="1:13" s="7" customFormat="1" x14ac:dyDescent="0.2">
      <c r="A300" s="4" t="str">
        <v>US N2O</v>
      </c>
      <c r="B300" s="26">
        <f ca="1"/>
        <v>0.13734484569922314</v>
      </c>
      <c r="C300" s="26">
        <f ca="1"/>
        <v>0.14015983460007131</v>
      </c>
      <c r="D300" s="26">
        <f ca="1"/>
        <v>0.14282897697343769</v>
      </c>
      <c r="E300" s="26">
        <f ca="1"/>
        <v>0.14577386399951978</v>
      </c>
      <c r="F300" s="26">
        <f ca="1"/>
        <v>0.13842557578771555</v>
      </c>
      <c r="G300" s="26">
        <f ca="1"/>
        <v>0.13620832147157311</v>
      </c>
      <c r="H300" s="26">
        <f ca="1"/>
        <v>0.13134854653524858</v>
      </c>
      <c r="I300" s="26">
        <f ca="1"/>
        <v>0.12718574323636669</v>
      </c>
      <c r="J300" s="26">
        <f ca="1"/>
        <v>0.12024725056096335</v>
      </c>
      <c r="K300" s="26">
        <f ca="1"/>
        <v>0.11157582242920298</v>
      </c>
      <c r="M300" s="4" t="str">
        <f t="shared" si="14"/>
        <v>Mtonne</v>
      </c>
    </row>
    <row r="301" spans="1:13" s="7" customFormat="1" x14ac:dyDescent="0.2">
      <c r="A301" s="4" t="str">
        <v>OT N2O</v>
      </c>
      <c r="B301" s="26">
        <f ca="1"/>
        <v>6.8146067148791165E-2</v>
      </c>
      <c r="C301" s="26">
        <f ca="1"/>
        <v>6.9542773531791488E-2</v>
      </c>
      <c r="D301" s="26">
        <f ca="1"/>
        <v>7.0867115588306953E-2</v>
      </c>
      <c r="E301" s="26">
        <f ca="1"/>
        <v>7.232827321678087E-2</v>
      </c>
      <c r="F301" s="26">
        <f ca="1"/>
        <v>6.8682290439917831E-2</v>
      </c>
      <c r="G301" s="26">
        <f ca="1"/>
        <v>6.7582160611641046E-2</v>
      </c>
      <c r="H301" s="26">
        <f ca="1"/>
        <v>6.517089757914224E-2</v>
      </c>
      <c r="I301" s="26">
        <f ca="1"/>
        <v>6.3105449315040293E-2</v>
      </c>
      <c r="J301" s="26">
        <f ca="1"/>
        <v>5.9662793819945104E-2</v>
      </c>
      <c r="K301" s="26">
        <f ca="1"/>
        <v>5.5360311839391232E-2</v>
      </c>
      <c r="M301" s="4" t="str">
        <f t="shared" si="14"/>
        <v>Mtonne</v>
      </c>
    </row>
    <row r="302" spans="1:13" s="7" customFormat="1" x14ac:dyDescent="0.2">
      <c r="A302" s="4" t="str">
        <v>EE N2O</v>
      </c>
      <c r="B302" s="26">
        <f ca="1"/>
        <v>3.2699484914850321E-2</v>
      </c>
      <c r="C302" s="26">
        <f ca="1"/>
        <v>3.3369686163613139E-2</v>
      </c>
      <c r="D302" s="26">
        <f ca="1"/>
        <v>3.4005163820813457E-2</v>
      </c>
      <c r="E302" s="26">
        <f ca="1"/>
        <v>3.4706291616291074E-2</v>
      </c>
      <c r="F302" s="26">
        <f ca="1"/>
        <v>3.2956788471061475E-2</v>
      </c>
      <c r="G302" s="26">
        <f ca="1"/>
        <v>3.2428897717724704E-2</v>
      </c>
      <c r="H302" s="26">
        <f ca="1"/>
        <v>3.1271867496380099E-2</v>
      </c>
      <c r="I302" s="26">
        <f ca="1"/>
        <v>3.0280774434370519E-2</v>
      </c>
      <c r="J302" s="26">
        <f ca="1"/>
        <v>2.8628836675686692E-2</v>
      </c>
      <c r="K302" s="26">
        <f ca="1"/>
        <v>2.6564316293133217E-2</v>
      </c>
      <c r="M302" s="4" t="str">
        <f t="shared" si="14"/>
        <v>Mtonne</v>
      </c>
    </row>
    <row r="303" spans="1:13" s="7" customFormat="1" x14ac:dyDescent="0.2">
      <c r="A303" s="4" t="str">
        <v>CA N2O</v>
      </c>
      <c r="B303" s="26">
        <f ca="1"/>
        <v>0.17181929972488602</v>
      </c>
      <c r="C303" s="26">
        <f ca="1"/>
        <v>0.17534086924003378</v>
      </c>
      <c r="D303" s="26">
        <f ca="1"/>
        <v>0.17867998379597538</v>
      </c>
      <c r="E303" s="26">
        <f ca="1"/>
        <v>0.18236405671487044</v>
      </c>
      <c r="F303" s="26">
        <f ca="1"/>
        <v>0.17317130012978674</v>
      </c>
      <c r="G303" s="26">
        <f ca="1"/>
        <v>0.17039750048720048</v>
      </c>
      <c r="H303" s="26">
        <f ca="1"/>
        <v>0.16431789027591925</v>
      </c>
      <c r="I303" s="26">
        <f ca="1"/>
        <v>0.1591101961388369</v>
      </c>
      <c r="J303" s="26">
        <f ca="1"/>
        <v>0.15043009644842098</v>
      </c>
      <c r="K303" s="26">
        <f ca="1"/>
        <v>0.13958208317476248</v>
      </c>
      <c r="M303" s="4" t="str">
        <f t="shared" si="14"/>
        <v>Mtonne</v>
      </c>
    </row>
    <row r="304" spans="1:13" s="7" customFormat="1" x14ac:dyDescent="0.2">
      <c r="A304" s="4" t="str">
        <v>IA N2O</v>
      </c>
      <c r="B304" s="26">
        <f ca="1"/>
        <v>8.2192979152576437E-2</v>
      </c>
      <c r="C304" s="26">
        <f ca="1"/>
        <v>8.3877587867699527E-2</v>
      </c>
      <c r="D304" s="26">
        <f ca="1"/>
        <v>8.5474915836816046E-2</v>
      </c>
      <c r="E304" s="26">
        <f ca="1"/>
        <v>8.7237261097820817E-2</v>
      </c>
      <c r="F304" s="26">
        <f ca="1"/>
        <v>8.2839733860995177E-2</v>
      </c>
      <c r="G304" s="26">
        <f ca="1"/>
        <v>8.1512834865587996E-2</v>
      </c>
      <c r="H304" s="26">
        <f ca="1"/>
        <v>7.8604539486944611E-2</v>
      </c>
      <c r="I304" s="26">
        <f ca="1"/>
        <v>7.6113341488072736E-2</v>
      </c>
      <c r="J304" s="26">
        <f ca="1"/>
        <v>7.1961053275753195E-2</v>
      </c>
      <c r="K304" s="26">
        <f ca="1"/>
        <v>6.677170300906983E-2</v>
      </c>
      <c r="M304" s="4" t="str">
        <f t="shared" si="14"/>
        <v>Mtonne</v>
      </c>
    </row>
    <row r="305" spans="1:13" s="7" customFormat="1" x14ac:dyDescent="0.2">
      <c r="A305" s="4" t="str">
        <v>AF N2O</v>
      </c>
      <c r="B305" s="26">
        <f ca="1"/>
        <v>0.14421519029069729</v>
      </c>
      <c r="C305" s="26">
        <f ca="1"/>
        <v>0.14717099222076066</v>
      </c>
      <c r="D305" s="26">
        <f ca="1"/>
        <v>0.14997365200262805</v>
      </c>
      <c r="E305" s="26">
        <f ca="1"/>
        <v>0.15306584989828914</v>
      </c>
      <c r="F305" s="26">
        <f ca="1"/>
        <v>0.14534998129483978</v>
      </c>
      <c r="G305" s="26">
        <f ca="1"/>
        <v>0.14302181418017712</v>
      </c>
      <c r="H305" s="26">
        <f ca="1"/>
        <v>0.13791894072581512</v>
      </c>
      <c r="I305" s="26">
        <f ca="1"/>
        <v>0.13354790323376611</v>
      </c>
      <c r="J305" s="26">
        <f ca="1"/>
        <v>0.12626232919988331</v>
      </c>
      <c r="K305" s="26">
        <f ca="1"/>
        <v>0.11715713379376982</v>
      </c>
      <c r="M305" s="4" t="str">
        <f t="shared" si="14"/>
        <v>Mtonne</v>
      </c>
    </row>
    <row r="306" spans="1:13" s="7" customFormat="1" ht="13.5" thickBot="1" x14ac:dyDescent="0.25">
      <c r="A306" s="4" t="str">
        <v>LA N2O</v>
      </c>
      <c r="B306" s="35">
        <f ca="1"/>
        <v>0.13871704219795114</v>
      </c>
      <c r="C306" s="35">
        <f ca="1"/>
        <v>0.1415601553279543</v>
      </c>
      <c r="D306" s="35">
        <f ca="1"/>
        <v>0.14425596479465563</v>
      </c>
      <c r="E306" s="35">
        <f ca="1"/>
        <v>0.14723027384706691</v>
      </c>
      <c r="F306" s="35">
        <f ca="1"/>
        <v>0.13980856973600161</v>
      </c>
      <c r="G306" s="35">
        <f ca="1"/>
        <v>0.13756916308793943</v>
      </c>
      <c r="H306" s="35">
        <f ca="1"/>
        <v>0.132660834701223</v>
      </c>
      <c r="I306" s="35">
        <f ca="1"/>
        <v>0.12845644131512282</v>
      </c>
      <c r="J306" s="35">
        <f ca="1"/>
        <v>0.12144862696035712</v>
      </c>
      <c r="K306" s="35">
        <f ca="1"/>
        <v>0.11269056359113443</v>
      </c>
      <c r="M306" s="4" t="str">
        <f t="shared" si="14"/>
        <v>Mtonne</v>
      </c>
    </row>
    <row r="307" spans="1:13" s="8" customFormat="1" ht="15" thickTop="1" x14ac:dyDescent="0.25">
      <c r="A307" s="2" t="s">
        <v>299</v>
      </c>
      <c r="B307" s="2" t="s">
        <v>307</v>
      </c>
    </row>
    <row r="308" spans="1:13" s="7" customFormat="1" x14ac:dyDescent="0.2">
      <c r="A308" s="4" t="str">
        <f t="array" ref="A308:A315">R_CODE&amp;" "&amp;GLIN_NAME</f>
        <v>EU Lin</v>
      </c>
      <c r="B308" s="29">
        <f t="array" aca="1" ref="B308:K315" ca="1">(Q0_PROP_GLIN/100)*(ZC_GLIN/100)*E_GLIN_0</f>
        <v>10.099297366163515</v>
      </c>
      <c r="C308" s="29">
        <f ca="1"/>
        <v>10.345585890897574</v>
      </c>
      <c r="D308" s="29">
        <f ca="1"/>
        <v>10.583238981388122</v>
      </c>
      <c r="E308" s="29">
        <f ca="1"/>
        <v>10.649744568348018</v>
      </c>
      <c r="F308" s="29">
        <f ca="1"/>
        <v>11.385387093960505</v>
      </c>
      <c r="G308" s="29">
        <f ca="1"/>
        <v>12.41732754734408</v>
      </c>
      <c r="H308" s="29">
        <f ca="1"/>
        <v>13.673045035126259</v>
      </c>
      <c r="I308" s="29">
        <f ca="1"/>
        <v>13.973230546195705</v>
      </c>
      <c r="J308" s="29">
        <f ca="1"/>
        <v>13.050972758680302</v>
      </c>
      <c r="K308" s="29">
        <f ca="1"/>
        <v>12.110092810846197</v>
      </c>
      <c r="M308" s="4" t="str">
        <f t="shared" ref="M308:M315" si="15">EMIT_NAME</f>
        <v>Mtonne</v>
      </c>
    </row>
    <row r="309" spans="1:13" s="7" customFormat="1" x14ac:dyDescent="0.2">
      <c r="A309" s="4" t="str">
        <v>US Lin</v>
      </c>
      <c r="B309" s="26">
        <f ca="1"/>
        <v>28.4814929755515</v>
      </c>
      <c r="C309" s="26">
        <f ca="1"/>
        <v>29.176062571122962</v>
      </c>
      <c r="D309" s="26">
        <f ca="1"/>
        <v>29.846278981435077</v>
      </c>
      <c r="E309" s="26">
        <f ca="1"/>
        <v>30.033834445855739</v>
      </c>
      <c r="F309" s="26">
        <f ca="1"/>
        <v>32.108453765012221</v>
      </c>
      <c r="G309" s="26">
        <f ca="1"/>
        <v>35.018676497209746</v>
      </c>
      <c r="H309" s="26">
        <f ca="1"/>
        <v>38.559983135765691</v>
      </c>
      <c r="I309" s="26">
        <f ca="1"/>
        <v>39.406550101258915</v>
      </c>
      <c r="J309" s="26">
        <f ca="1"/>
        <v>36.80564849945312</v>
      </c>
      <c r="K309" s="26">
        <f ca="1"/>
        <v>34.152229686887338</v>
      </c>
      <c r="M309" s="4" t="str">
        <f t="shared" si="15"/>
        <v>Mtonne</v>
      </c>
    </row>
    <row r="310" spans="1:13" s="7" customFormat="1" x14ac:dyDescent="0.2">
      <c r="A310" s="4" t="str">
        <v>OT Lin</v>
      </c>
      <c r="B310" s="26">
        <f ca="1"/>
        <v>9.4689323460088684</v>
      </c>
      <c r="C310" s="26">
        <f ca="1"/>
        <v>9.6998483487516456</v>
      </c>
      <c r="D310" s="26">
        <f ca="1"/>
        <v>9.9226679127358057</v>
      </c>
      <c r="E310" s="26">
        <f ca="1"/>
        <v>9.9850224390679756</v>
      </c>
      <c r="F310" s="26">
        <f ca="1"/>
        <v>10.674748570829342</v>
      </c>
      <c r="G310" s="26">
        <f ca="1"/>
        <v>11.642278685442722</v>
      </c>
      <c r="H310" s="26">
        <f ca="1"/>
        <v>12.819618405861958</v>
      </c>
      <c r="I310" s="26">
        <f ca="1"/>
        <v>13.101067321812479</v>
      </c>
      <c r="J310" s="26">
        <f ca="1"/>
        <v>12.236373840776723</v>
      </c>
      <c r="K310" s="26">
        <f ca="1"/>
        <v>11.354220533596516</v>
      </c>
      <c r="M310" s="4" t="str">
        <f t="shared" si="15"/>
        <v>Mtonne</v>
      </c>
    </row>
    <row r="311" spans="1:13" s="7" customFormat="1" x14ac:dyDescent="0.2">
      <c r="A311" s="4" t="str">
        <v>EE Lin</v>
      </c>
      <c r="B311" s="26">
        <f ca="1"/>
        <v>2.3704478748229385</v>
      </c>
      <c r="C311" s="26">
        <f ca="1"/>
        <v>2.4282552735836807</v>
      </c>
      <c r="D311" s="26">
        <f ca="1"/>
        <v>2.4840358138404559</v>
      </c>
      <c r="E311" s="26">
        <f ca="1"/>
        <v>2.4996456153501252</v>
      </c>
      <c r="F311" s="26">
        <f ca="1"/>
        <v>2.6723113165611716</v>
      </c>
      <c r="G311" s="26">
        <f ca="1"/>
        <v>2.9145223304543242</v>
      </c>
      <c r="H311" s="26">
        <f ca="1"/>
        <v>3.2092569780610036</v>
      </c>
      <c r="I311" s="26">
        <f ca="1"/>
        <v>3.2797147615055491</v>
      </c>
      <c r="J311" s="26">
        <f ca="1"/>
        <v>3.0632478199756084</v>
      </c>
      <c r="K311" s="26">
        <f ca="1"/>
        <v>2.8424099941403917</v>
      </c>
      <c r="M311" s="4" t="str">
        <f t="shared" si="15"/>
        <v>Mtonne</v>
      </c>
    </row>
    <row r="312" spans="1:13" s="7" customFormat="1" x14ac:dyDescent="0.2">
      <c r="A312" s="4" t="str">
        <v>CA Lin</v>
      </c>
      <c r="B312" s="26">
        <f ca="1"/>
        <v>7.3577410559467209</v>
      </c>
      <c r="C312" s="26">
        <f ca="1"/>
        <v>7.5371720722187687</v>
      </c>
      <c r="D312" s="26">
        <f ca="1"/>
        <v>7.7103118301224596</v>
      </c>
      <c r="E312" s="26">
        <f ca="1"/>
        <v>7.758763803550246</v>
      </c>
      <c r="F312" s="26">
        <f ca="1"/>
        <v>8.2947087328810536</v>
      </c>
      <c r="G312" s="26">
        <f ca="1"/>
        <v>9.0465185237870216</v>
      </c>
      <c r="H312" s="26">
        <f ca="1"/>
        <v>9.9613588121302694</v>
      </c>
      <c r="I312" s="26">
        <f ca="1"/>
        <v>10.180055933238515</v>
      </c>
      <c r="J312" s="26">
        <f ca="1"/>
        <v>9.5081543403511244</v>
      </c>
      <c r="K312" s="26">
        <f ca="1"/>
        <v>8.822685760716082</v>
      </c>
      <c r="M312" s="4" t="str">
        <f t="shared" si="15"/>
        <v>Mtonne</v>
      </c>
    </row>
    <row r="313" spans="1:13" s="7" customFormat="1" x14ac:dyDescent="0.2">
      <c r="A313" s="4" t="str">
        <v>IA Lin</v>
      </c>
      <c r="B313" s="26">
        <f ca="1"/>
        <v>5.660357387154467</v>
      </c>
      <c r="C313" s="26">
        <f ca="1"/>
        <v>5.798394818849518</v>
      </c>
      <c r="D313" s="26">
        <f ca="1"/>
        <v>5.9315923451294363</v>
      </c>
      <c r="E313" s="26">
        <f ca="1"/>
        <v>5.9688667590601243</v>
      </c>
      <c r="F313" s="26">
        <f ca="1"/>
        <v>6.3811726307642873</v>
      </c>
      <c r="G313" s="26">
        <f ca="1"/>
        <v>6.9595447250431741</v>
      </c>
      <c r="H313" s="26">
        <f ca="1"/>
        <v>7.6633372266840096</v>
      </c>
      <c r="I313" s="26">
        <f ca="1"/>
        <v>7.8315823246837493</v>
      </c>
      <c r="J313" s="26">
        <f ca="1"/>
        <v>7.3146841196745989</v>
      </c>
      <c r="K313" s="26">
        <f ca="1"/>
        <v>6.7873487447413412</v>
      </c>
      <c r="M313" s="4" t="str">
        <f t="shared" si="15"/>
        <v>Mtonne</v>
      </c>
    </row>
    <row r="314" spans="1:13" s="7" customFormat="1" x14ac:dyDescent="0.2">
      <c r="A314" s="4" t="str">
        <v>AF Lin</v>
      </c>
      <c r="B314" s="26">
        <f ca="1"/>
        <v>3.3254669135824413</v>
      </c>
      <c r="C314" s="26">
        <f ca="1"/>
        <v>3.4065640741574121</v>
      </c>
      <c r="D314" s="26">
        <f ca="1"/>
        <v>3.4848177843595467</v>
      </c>
      <c r="E314" s="26">
        <f ca="1"/>
        <v>3.5067165483017284</v>
      </c>
      <c r="F314" s="26">
        <f ca="1"/>
        <v>3.7489467540727519</v>
      </c>
      <c r="G314" s="26">
        <f ca="1"/>
        <v>4.088741069468572</v>
      </c>
      <c r="H314" s="26">
        <f ca="1"/>
        <v>4.5022200281550617</v>
      </c>
      <c r="I314" s="26">
        <f ca="1"/>
        <v>4.6010642297668332</v>
      </c>
      <c r="J314" s="26">
        <f ca="1"/>
        <v>4.2973858997820518</v>
      </c>
      <c r="K314" s="26">
        <f ca="1"/>
        <v>3.9875757196542359</v>
      </c>
      <c r="M314" s="4" t="str">
        <f t="shared" si="15"/>
        <v>Mtonne</v>
      </c>
    </row>
    <row r="315" spans="1:13" s="7" customFormat="1" ht="13.5" thickBot="1" x14ac:dyDescent="0.25">
      <c r="A315" s="4" t="str">
        <v>LA Lin</v>
      </c>
      <c r="B315" s="35">
        <f ca="1"/>
        <v>2.8428611730486586</v>
      </c>
      <c r="C315" s="35">
        <f ca="1"/>
        <v>2.9121891727053186</v>
      </c>
      <c r="D315" s="35">
        <f ca="1"/>
        <v>2.9790863754626282</v>
      </c>
      <c r="E315" s="35">
        <f ca="1"/>
        <v>2.9978070987074492</v>
      </c>
      <c r="F315" s="35">
        <f ca="1"/>
        <v>3.2048838385521377</v>
      </c>
      <c r="G315" s="35">
        <f ca="1"/>
        <v>3.4953657742213733</v>
      </c>
      <c r="H315" s="35">
        <f ca="1"/>
        <v>3.8488389279374382</v>
      </c>
      <c r="I315" s="35">
        <f ca="1"/>
        <v>3.9333384434176213</v>
      </c>
      <c r="J315" s="35">
        <f ca="1"/>
        <v>3.6737311895057299</v>
      </c>
      <c r="K315" s="35">
        <f ca="1"/>
        <v>3.4088819653251248</v>
      </c>
      <c r="M315" s="4" t="str">
        <f t="shared" si="15"/>
        <v>Mtonne</v>
      </c>
    </row>
    <row r="316" spans="1:13" s="2" customFormat="1" ht="15" thickTop="1" x14ac:dyDescent="0.25">
      <c r="A316" s="2" t="s">
        <v>312</v>
      </c>
      <c r="B316" s="2" t="s">
        <v>313</v>
      </c>
    </row>
    <row r="317" spans="1:13" s="6" customFormat="1" x14ac:dyDescent="0.2">
      <c r="A317" s="4" t="str">
        <f t="array" ref="A317:A324">R_CODE&amp;" "&amp;'Base data'!$B$12</f>
        <v>EU CO2</v>
      </c>
      <c r="B317" s="29">
        <f t="array" aca="1" ref="B317:K324" ca="1">(QMAX_MINUS_Q0_PROP_CO2/100)*(ZC_CO2/100)*E_CO2_0+Q0_CO2</f>
        <v>2475.6828546139322</v>
      </c>
      <c r="C317" s="29">
        <f ca="1"/>
        <v>2645.5354993421565</v>
      </c>
      <c r="D317" s="29">
        <f ca="1"/>
        <v>2813.5290235010048</v>
      </c>
      <c r="E317" s="29">
        <f ca="1"/>
        <v>3317.7758054153169</v>
      </c>
      <c r="F317" s="29">
        <f ca="1"/>
        <v>3939.4537059292402</v>
      </c>
      <c r="G317" s="29">
        <f ca="1"/>
        <v>4783.2303537254065</v>
      </c>
      <c r="H317" s="29">
        <f ca="1"/>
        <v>5646.3508004105806</v>
      </c>
      <c r="I317" s="29">
        <f ca="1"/>
        <v>6232.9020091724269</v>
      </c>
      <c r="J317" s="29">
        <f ca="1"/>
        <v>6385.8121001644649</v>
      </c>
      <c r="K317" s="29">
        <f ca="1"/>
        <v>6572.0181076225545</v>
      </c>
      <c r="M317" s="4" t="str">
        <f t="shared" ref="M317:M324" si="16">EMIT_NAME</f>
        <v>Mtonne</v>
      </c>
    </row>
    <row r="318" spans="1:13" s="6" customFormat="1" x14ac:dyDescent="0.2">
      <c r="A318" s="4" t="str">
        <v>US CO2</v>
      </c>
      <c r="B318" s="26">
        <f ca="1"/>
        <v>3751.341053001669</v>
      </c>
      <c r="C318" s="26">
        <f ca="1"/>
        <v>4287.1714604982189</v>
      </c>
      <c r="D318" s="26">
        <f ca="1"/>
        <v>4817.3531057115342</v>
      </c>
      <c r="E318" s="26">
        <f ca="1"/>
        <v>5934.3361602646783</v>
      </c>
      <c r="F318" s="26">
        <f ca="1"/>
        <v>7152.3186368491397</v>
      </c>
      <c r="G318" s="26">
        <f ca="1"/>
        <v>8641.6360386919914</v>
      </c>
      <c r="H318" s="26">
        <f ca="1"/>
        <v>9470.8648286220432</v>
      </c>
      <c r="I318" s="26">
        <f ca="1"/>
        <v>10262.34179935479</v>
      </c>
      <c r="J318" s="26">
        <f ca="1"/>
        <v>9884.963026697711</v>
      </c>
      <c r="K318" s="26">
        <f ca="1"/>
        <v>9157.0906842823133</v>
      </c>
      <c r="M318" s="4" t="str">
        <f t="shared" si="16"/>
        <v>Mtonne</v>
      </c>
    </row>
    <row r="319" spans="1:13" s="6" customFormat="1" x14ac:dyDescent="0.2">
      <c r="A319" s="4" t="str">
        <v>OT CO2</v>
      </c>
      <c r="B319" s="26">
        <f ca="1"/>
        <v>2321.7738246624699</v>
      </c>
      <c r="C319" s="26">
        <f ca="1"/>
        <v>2481.0670167790281</v>
      </c>
      <c r="D319" s="26">
        <f ca="1"/>
        <v>2638.6166667181924</v>
      </c>
      <c r="E319" s="26">
        <f ca="1"/>
        <v>3111.5152761814411</v>
      </c>
      <c r="F319" s="26">
        <f ca="1"/>
        <v>3694.5445095480204</v>
      </c>
      <c r="G319" s="26">
        <f ca="1"/>
        <v>4485.8649854577206</v>
      </c>
      <c r="H319" s="26">
        <f ca="1"/>
        <v>5295.3266888862581</v>
      </c>
      <c r="I319" s="26">
        <f ca="1"/>
        <v>5845.4129977158909</v>
      </c>
      <c r="J319" s="26">
        <f ca="1"/>
        <v>5988.8169261029288</v>
      </c>
      <c r="K319" s="26">
        <f ca="1"/>
        <v>6163.4468199543817</v>
      </c>
      <c r="M319" s="4" t="str">
        <f t="shared" si="16"/>
        <v>Mtonne</v>
      </c>
    </row>
    <row r="320" spans="1:13" s="6" customFormat="1" x14ac:dyDescent="0.2">
      <c r="A320" s="4" t="str">
        <v>EE CO2</v>
      </c>
      <c r="B320" s="26">
        <f ca="1"/>
        <v>2186.7823047164293</v>
      </c>
      <c r="C320" s="26">
        <f ca="1"/>
        <v>2349.3873779387873</v>
      </c>
      <c r="D320" s="26">
        <f ca="1"/>
        <v>2510.5174942051203</v>
      </c>
      <c r="E320" s="26">
        <f ca="1"/>
        <v>3067.4623704461687</v>
      </c>
      <c r="F320" s="26">
        <f ca="1"/>
        <v>3738.4440658153958</v>
      </c>
      <c r="G320" s="26">
        <f ca="1"/>
        <v>4462.8245213917762</v>
      </c>
      <c r="H320" s="26">
        <f ca="1"/>
        <v>4804.6732114159931</v>
      </c>
      <c r="I320" s="26">
        <f ca="1"/>
        <v>4594.6194195493181</v>
      </c>
      <c r="J320" s="26">
        <f ca="1"/>
        <v>4046.7258450303802</v>
      </c>
      <c r="K320" s="26">
        <f ca="1"/>
        <v>3486.0647414991518</v>
      </c>
      <c r="M320" s="4" t="str">
        <f t="shared" si="16"/>
        <v>Mtonne</v>
      </c>
    </row>
    <row r="321" spans="1:13" s="6" customFormat="1" x14ac:dyDescent="0.2">
      <c r="A321" s="4" t="str">
        <v>CA CO2</v>
      </c>
      <c r="B321" s="26">
        <f ca="1"/>
        <v>7595.0651570984674</v>
      </c>
      <c r="C321" s="26">
        <f ca="1"/>
        <v>8442.4497647499084</v>
      </c>
      <c r="D321" s="26">
        <f ca="1"/>
        <v>9282.6354565052134</v>
      </c>
      <c r="E321" s="26">
        <f ca="1"/>
        <v>10895.765536923711</v>
      </c>
      <c r="F321" s="26">
        <f ca="1"/>
        <v>11616.560513852597</v>
      </c>
      <c r="G321" s="26">
        <f ca="1"/>
        <v>12233.478881042092</v>
      </c>
      <c r="H321" s="26">
        <f ca="1"/>
        <v>12373.310878016597</v>
      </c>
      <c r="I321" s="26">
        <f ca="1"/>
        <v>11536.297049385053</v>
      </c>
      <c r="J321" s="26">
        <f ca="1"/>
        <v>9639.1306437664389</v>
      </c>
      <c r="K321" s="26">
        <f ca="1"/>
        <v>7597.8580660266098</v>
      </c>
      <c r="M321" s="4" t="str">
        <f t="shared" si="16"/>
        <v>Mtonne</v>
      </c>
    </row>
    <row r="322" spans="1:13" s="6" customFormat="1" x14ac:dyDescent="0.2">
      <c r="A322" s="4" t="str">
        <v>IA CO2</v>
      </c>
      <c r="B322" s="26">
        <f ca="1"/>
        <v>4584.5683012601476</v>
      </c>
      <c r="C322" s="26">
        <f ca="1"/>
        <v>5553.698018495269</v>
      </c>
      <c r="D322" s="26">
        <f ca="1"/>
        <v>6515.1206531722246</v>
      </c>
      <c r="E322" s="26">
        <f ca="1"/>
        <v>9203.7168554740147</v>
      </c>
      <c r="F322" s="26">
        <f ca="1"/>
        <v>12548.206790061326</v>
      </c>
      <c r="G322" s="26">
        <f ca="1"/>
        <v>16145.596666456862</v>
      </c>
      <c r="H322" s="26">
        <f ca="1"/>
        <v>19656.581955965608</v>
      </c>
      <c r="I322" s="26">
        <f ca="1"/>
        <v>22624.189358483061</v>
      </c>
      <c r="J322" s="26">
        <f ca="1"/>
        <v>23272.324955869761</v>
      </c>
      <c r="K322" s="26">
        <f ca="1"/>
        <v>22444.470722013441</v>
      </c>
      <c r="M322" s="4" t="str">
        <f t="shared" si="16"/>
        <v>Mtonne</v>
      </c>
    </row>
    <row r="323" spans="1:13" s="6" customFormat="1" x14ac:dyDescent="0.2">
      <c r="A323" s="4" t="str">
        <v>AF CO2</v>
      </c>
      <c r="B323" s="26">
        <f ca="1"/>
        <v>4453.2493246205195</v>
      </c>
      <c r="C323" s="26">
        <f ca="1"/>
        <v>5195.4295281259419</v>
      </c>
      <c r="D323" s="26">
        <f ca="1"/>
        <v>5931.5866185291452</v>
      </c>
      <c r="E323" s="26">
        <f ca="1"/>
        <v>8837.8695161585438</v>
      </c>
      <c r="F323" s="26">
        <f ca="1"/>
        <v>13248.205329833327</v>
      </c>
      <c r="G323" s="26">
        <f ca="1"/>
        <v>19323.638144500514</v>
      </c>
      <c r="H323" s="26">
        <f ca="1"/>
        <v>25584.317420062227</v>
      </c>
      <c r="I323" s="26">
        <f ca="1"/>
        <v>31175.125142981004</v>
      </c>
      <c r="J323" s="26">
        <f ca="1"/>
        <v>33563.214824517432</v>
      </c>
      <c r="K323" s="26">
        <f ca="1"/>
        <v>34323.31535699129</v>
      </c>
      <c r="M323" s="4" t="str">
        <f t="shared" si="16"/>
        <v>Mtonne</v>
      </c>
    </row>
    <row r="324" spans="1:13" s="6" customFormat="1" ht="13.5" thickBot="1" x14ac:dyDescent="0.25">
      <c r="A324" s="4" t="str">
        <v>LA CO2</v>
      </c>
      <c r="B324" s="35">
        <f ca="1"/>
        <v>2374.6076621543993</v>
      </c>
      <c r="C324" s="35">
        <f ca="1"/>
        <v>2851.8983414110317</v>
      </c>
      <c r="D324" s="35">
        <f ca="1"/>
        <v>3325.3783546298487</v>
      </c>
      <c r="E324" s="35">
        <f ca="1"/>
        <v>4399.4155844932175</v>
      </c>
      <c r="F324" s="35">
        <f ca="1"/>
        <v>5282.2956944290372</v>
      </c>
      <c r="G324" s="35">
        <f ca="1"/>
        <v>5988.2581002481793</v>
      </c>
      <c r="H324" s="35">
        <f ca="1"/>
        <v>6526.1959029812178</v>
      </c>
      <c r="I324" s="35">
        <f ca="1"/>
        <v>6706.0696163619632</v>
      </c>
      <c r="J324" s="35">
        <f ca="1"/>
        <v>6438.9186881359055</v>
      </c>
      <c r="K324" s="35">
        <f ca="1"/>
        <v>6116.6033353539788</v>
      </c>
      <c r="M324" s="4" t="str">
        <f t="shared" si="16"/>
        <v>Mtonne</v>
      </c>
    </row>
    <row r="325" spans="1:13" s="2" customFormat="1" ht="15" thickTop="1" x14ac:dyDescent="0.25">
      <c r="A325" s="2" t="s">
        <v>312</v>
      </c>
      <c r="B325" s="2" t="s">
        <v>314</v>
      </c>
    </row>
    <row r="326" spans="1:13" s="7" customFormat="1" x14ac:dyDescent="0.2">
      <c r="A326" s="4" t="str">
        <f t="array" ref="A326:A333">R_CODE&amp;" "&amp;'Base data'!$C$12</f>
        <v>EU CH4</v>
      </c>
      <c r="B326" s="29">
        <f t="array" aca="1" ref="B326:K333" ca="1">(QMAX_MINUS_Q0_PROP_CH4/100)*(ZC_CH4/100)*E_CH4_0+Q0_CH4</f>
        <v>12.192901976835525</v>
      </c>
      <c r="C326" s="29">
        <f ca="1"/>
        <v>12.863452609394567</v>
      </c>
      <c r="D326" s="29">
        <f ca="1"/>
        <v>13.515773270615007</v>
      </c>
      <c r="E326" s="29">
        <f ca="1"/>
        <v>15.627574640045058</v>
      </c>
      <c r="F326" s="29">
        <f ca="1"/>
        <v>17.393722556429832</v>
      </c>
      <c r="G326" s="29">
        <f ca="1"/>
        <v>17.627821105501368</v>
      </c>
      <c r="H326" s="29">
        <f ca="1"/>
        <v>18.120070963221011</v>
      </c>
      <c r="I326" s="29">
        <f ca="1"/>
        <v>17.986066952157341</v>
      </c>
      <c r="J326" s="29">
        <f ca="1"/>
        <v>20.134066123089568</v>
      </c>
      <c r="K326" s="29">
        <f ca="1"/>
        <v>17.903609454464799</v>
      </c>
      <c r="M326" s="4" t="str">
        <f t="shared" ref="M326:M333" si="17">EMIT_NAME</f>
        <v>Mtonne</v>
      </c>
    </row>
    <row r="327" spans="1:13" s="7" customFormat="1" x14ac:dyDescent="0.2">
      <c r="A327" s="4" t="str">
        <v>US CH4</v>
      </c>
      <c r="B327" s="26">
        <f ca="1"/>
        <v>17.548054637968658</v>
      </c>
      <c r="C327" s="26">
        <f ca="1"/>
        <v>18.821289217026237</v>
      </c>
      <c r="D327" s="26">
        <f ca="1"/>
        <v>20.061186339894356</v>
      </c>
      <c r="E327" s="26">
        <f ca="1"/>
        <v>23.279714563985848</v>
      </c>
      <c r="F327" s="26">
        <f ca="1"/>
        <v>26.342070967199916</v>
      </c>
      <c r="G327" s="26">
        <f ca="1"/>
        <v>27.091736416797296</v>
      </c>
      <c r="H327" s="26">
        <f ca="1"/>
        <v>25.312503097542827</v>
      </c>
      <c r="I327" s="26">
        <f ca="1"/>
        <v>25.685784467168112</v>
      </c>
      <c r="J327" s="26">
        <f ca="1"/>
        <v>25.407771459173031</v>
      </c>
      <c r="K327" s="26">
        <f ca="1"/>
        <v>23.852351394162355</v>
      </c>
      <c r="M327" s="4" t="str">
        <f t="shared" si="17"/>
        <v>Mtonne</v>
      </c>
    </row>
    <row r="328" spans="1:13" s="7" customFormat="1" x14ac:dyDescent="0.2">
      <c r="A328" s="4" t="str">
        <v>OT CH4</v>
      </c>
      <c r="B328" s="26">
        <f ca="1"/>
        <v>9.5434535301865875</v>
      </c>
      <c r="C328" s="26">
        <f ca="1"/>
        <v>9.8143279726515456</v>
      </c>
      <c r="D328" s="26">
        <f ca="1"/>
        <v>10.076195954364312</v>
      </c>
      <c r="E328" s="26">
        <f ca="1"/>
        <v>12.07728547574494</v>
      </c>
      <c r="F328" s="26">
        <f ca="1"/>
        <v>13.826718881202783</v>
      </c>
      <c r="G328" s="26">
        <f ca="1"/>
        <v>14.32770242906212</v>
      </c>
      <c r="H328" s="26">
        <f ca="1"/>
        <v>12.870320843950386</v>
      </c>
      <c r="I328" s="26">
        <f ca="1"/>
        <v>11.369259838229711</v>
      </c>
      <c r="J328" s="26">
        <f ca="1"/>
        <v>10.958894474822237</v>
      </c>
      <c r="K328" s="26">
        <f ca="1"/>
        <v>14.789977701210072</v>
      </c>
      <c r="M328" s="4" t="str">
        <f t="shared" si="17"/>
        <v>Mtonne</v>
      </c>
    </row>
    <row r="329" spans="1:13" s="7" customFormat="1" x14ac:dyDescent="0.2">
      <c r="A329" s="4" t="str">
        <v>EE CH4</v>
      </c>
      <c r="B329" s="26">
        <f ca="1"/>
        <v>23.179555506931251</v>
      </c>
      <c r="C329" s="26">
        <f ca="1"/>
        <v>24.030422820172014</v>
      </c>
      <c r="D329" s="26">
        <f ca="1"/>
        <v>24.857212922715529</v>
      </c>
      <c r="E329" s="26">
        <f ca="1"/>
        <v>28.227010969758286</v>
      </c>
      <c r="F329" s="26">
        <f ca="1"/>
        <v>32.552173826149833</v>
      </c>
      <c r="G329" s="26">
        <f ca="1"/>
        <v>36.500872870195657</v>
      </c>
      <c r="H329" s="26">
        <f ca="1"/>
        <v>40.180428110460213</v>
      </c>
      <c r="I329" s="26">
        <f ca="1"/>
        <v>43.331711500521351</v>
      </c>
      <c r="J329" s="26">
        <f ca="1"/>
        <v>43.442651696464381</v>
      </c>
      <c r="K329" s="26">
        <f ca="1"/>
        <v>41.666985061296074</v>
      </c>
      <c r="M329" s="4" t="str">
        <f t="shared" si="17"/>
        <v>Mtonne</v>
      </c>
    </row>
    <row r="330" spans="1:13" s="7" customFormat="1" x14ac:dyDescent="0.2">
      <c r="A330" s="4" t="str">
        <v>CA CH4</v>
      </c>
      <c r="B330" s="26">
        <f ca="1"/>
        <v>36.116818803125902</v>
      </c>
      <c r="C330" s="26">
        <f ca="1"/>
        <v>32.16596800051628</v>
      </c>
      <c r="D330" s="26">
        <f ca="1"/>
        <v>28.275811494572331</v>
      </c>
      <c r="E330" s="26">
        <f ca="1"/>
        <v>26.746016283053891</v>
      </c>
      <c r="F330" s="26">
        <f ca="1"/>
        <v>24.425531325920005</v>
      </c>
      <c r="G330" s="26">
        <f ca="1"/>
        <v>23.324909155334772</v>
      </c>
      <c r="H330" s="26">
        <f ca="1"/>
        <v>22.159257676439104</v>
      </c>
      <c r="I330" s="26">
        <f ca="1"/>
        <v>17.865259247975299</v>
      </c>
      <c r="J330" s="26">
        <f ca="1"/>
        <v>14.888954216442325</v>
      </c>
      <c r="K330" s="26">
        <f ca="1"/>
        <v>12.474789603107796</v>
      </c>
      <c r="M330" s="4" t="str">
        <f t="shared" si="17"/>
        <v>Mtonne</v>
      </c>
    </row>
    <row r="331" spans="1:13" s="7" customFormat="1" x14ac:dyDescent="0.2">
      <c r="A331" s="4" t="str">
        <v>IA CH4</v>
      </c>
      <c r="B331" s="26">
        <f ca="1"/>
        <v>47.489453905222383</v>
      </c>
      <c r="C331" s="26">
        <f ca="1"/>
        <v>47.989968547077197</v>
      </c>
      <c r="D331" s="26">
        <f ca="1"/>
        <v>48.464284346732768</v>
      </c>
      <c r="E331" s="26">
        <f ca="1"/>
        <v>50.213041017049051</v>
      </c>
      <c r="F331" s="26">
        <f ca="1"/>
        <v>51.752381201139983</v>
      </c>
      <c r="G331" s="26">
        <f ca="1"/>
        <v>39.89763127100067</v>
      </c>
      <c r="H331" s="26">
        <f ca="1"/>
        <v>32.570536878108243</v>
      </c>
      <c r="I331" s="26">
        <f ca="1"/>
        <v>24.719808528769505</v>
      </c>
      <c r="J331" s="26">
        <f ca="1"/>
        <v>20.980230308397523</v>
      </c>
      <c r="K331" s="26">
        <f ca="1"/>
        <v>17.943571507440971</v>
      </c>
      <c r="M331" s="4" t="str">
        <f t="shared" si="17"/>
        <v>Mtonne</v>
      </c>
    </row>
    <row r="332" spans="1:13" s="7" customFormat="1" x14ac:dyDescent="0.2">
      <c r="A332" s="4" t="str">
        <v>AF CH4</v>
      </c>
      <c r="B332" s="26">
        <f ca="1"/>
        <v>48.18331948877551</v>
      </c>
      <c r="C332" s="26">
        <f ca="1"/>
        <v>60.961967752837175</v>
      </c>
      <c r="D332" s="26">
        <f ca="1"/>
        <v>73.485646554701432</v>
      </c>
      <c r="E332" s="26">
        <f ca="1"/>
        <v>104.9039282198296</v>
      </c>
      <c r="F332" s="26">
        <f ca="1"/>
        <v>122.98247254421149</v>
      </c>
      <c r="G332" s="26">
        <f ca="1"/>
        <v>131.35461509863194</v>
      </c>
      <c r="H332" s="26">
        <f ca="1"/>
        <v>134.63980097876993</v>
      </c>
      <c r="I332" s="26">
        <f ca="1"/>
        <v>127.58900940027988</v>
      </c>
      <c r="J332" s="26">
        <f ca="1"/>
        <v>104.20090823104913</v>
      </c>
      <c r="K332" s="26">
        <f ca="1"/>
        <v>89.486981592853567</v>
      </c>
      <c r="M332" s="4" t="str">
        <f t="shared" si="17"/>
        <v>Mtonne</v>
      </c>
    </row>
    <row r="333" spans="1:13" s="7" customFormat="1" ht="13.5" thickBot="1" x14ac:dyDescent="0.25">
      <c r="A333" s="4" t="str">
        <v>LA CH4</v>
      </c>
      <c r="B333" s="35">
        <f ca="1"/>
        <v>38.940626707732278</v>
      </c>
      <c r="C333" s="35">
        <f ca="1"/>
        <v>40.790408021357685</v>
      </c>
      <c r="D333" s="35">
        <f ca="1"/>
        <v>42.59191679783283</v>
      </c>
      <c r="E333" s="35">
        <f ca="1"/>
        <v>43.920723823248039</v>
      </c>
      <c r="F333" s="35">
        <f ca="1"/>
        <v>35.923670553170638</v>
      </c>
      <c r="G333" s="35">
        <f ca="1"/>
        <v>33.035993595093423</v>
      </c>
      <c r="H333" s="35">
        <f ca="1"/>
        <v>31.140141732664226</v>
      </c>
      <c r="I333" s="35">
        <f ca="1"/>
        <v>28.137004690376077</v>
      </c>
      <c r="J333" s="35">
        <f ca="1"/>
        <v>22.087732209904154</v>
      </c>
      <c r="K333" s="35">
        <f ca="1"/>
        <v>19.087906637254633</v>
      </c>
      <c r="M333" s="4" t="str">
        <f t="shared" si="17"/>
        <v>Mtonne</v>
      </c>
    </row>
    <row r="334" spans="1:13" s="2" customFormat="1" ht="15" thickTop="1" x14ac:dyDescent="0.25">
      <c r="A334" s="2" t="s">
        <v>312</v>
      </c>
      <c r="B334" s="2" t="s">
        <v>315</v>
      </c>
    </row>
    <row r="335" spans="1:13" s="7" customFormat="1" x14ac:dyDescent="0.2">
      <c r="A335" s="4" t="str">
        <f t="array" ref="A335:A342">R_CODE&amp;" "&amp;'Base data'!$D$12</f>
        <v>EU N2O</v>
      </c>
      <c r="B335" s="29">
        <f t="array" aca="1" ref="B335:K342" ca="1">(QMAX_MINUS_Q0_PROP_N2O/100)*(ZC_N2O/100)*E_N2O_0+Q0_N2O</f>
        <v>0.90598147172052323</v>
      </c>
      <c r="C335" s="29">
        <f ca="1"/>
        <v>0.94507553848541792</v>
      </c>
      <c r="D335" s="29">
        <f ca="1"/>
        <v>0.98454119898084302</v>
      </c>
      <c r="E335" s="29">
        <f ca="1"/>
        <v>1.0504118258438329</v>
      </c>
      <c r="F335" s="29">
        <f ca="1"/>
        <v>1.0430495446561105</v>
      </c>
      <c r="G335" s="29">
        <f ca="1"/>
        <v>1.0735983680660439</v>
      </c>
      <c r="H335" s="29">
        <f ca="1"/>
        <v>1.0833000651496252</v>
      </c>
      <c r="I335" s="29">
        <f ca="1"/>
        <v>1.0979379269915575</v>
      </c>
      <c r="J335" s="29">
        <f ca="1"/>
        <v>1.0868157285051119</v>
      </c>
      <c r="K335" s="29">
        <f ca="1"/>
        <v>1.0561191487950956</v>
      </c>
      <c r="M335" s="4" t="str">
        <f t="shared" ref="M335:M342" si="18">EMIT_NAME</f>
        <v>Mtonne</v>
      </c>
    </row>
    <row r="336" spans="1:13" s="7" customFormat="1" x14ac:dyDescent="0.2">
      <c r="A336" s="4" t="str">
        <v>US N2O</v>
      </c>
      <c r="B336" s="26">
        <f ca="1"/>
        <v>0.8096581345490409</v>
      </c>
      <c r="C336" s="26">
        <f ca="1"/>
        <v>0.84435639368485738</v>
      </c>
      <c r="D336" s="26">
        <f ca="1"/>
        <v>0.87937118670030512</v>
      </c>
      <c r="E336" s="26">
        <f ca="1"/>
        <v>0.93769688087998593</v>
      </c>
      <c r="F336" s="26">
        <f ca="1"/>
        <v>0.9306379538173023</v>
      </c>
      <c r="G336" s="26">
        <f ca="1"/>
        <v>0.95741204773124322</v>
      </c>
      <c r="H336" s="26">
        <f ca="1"/>
        <v>0.96559530299171192</v>
      </c>
      <c r="I336" s="26">
        <f ca="1"/>
        <v>0.97818596405580693</v>
      </c>
      <c r="J336" s="26">
        <f ca="1"/>
        <v>0.96784224009070297</v>
      </c>
      <c r="K336" s="26">
        <f ca="1"/>
        <v>0.94010023131038534</v>
      </c>
      <c r="M336" s="4" t="str">
        <f t="shared" si="18"/>
        <v>Mtonne</v>
      </c>
    </row>
    <row r="337" spans="1:13" s="7" customFormat="1" x14ac:dyDescent="0.2">
      <c r="A337" s="4" t="str">
        <v>OT N2O</v>
      </c>
      <c r="B337" s="26">
        <f ca="1"/>
        <v>0.42952450222255623</v>
      </c>
      <c r="C337" s="26">
        <f ca="1"/>
        <v>0.44805894259599771</v>
      </c>
      <c r="D337" s="26">
        <f ca="1"/>
        <v>0.46676955501833539</v>
      </c>
      <c r="E337" s="26">
        <f ca="1"/>
        <v>0.49799872371279336</v>
      </c>
      <c r="F337" s="26">
        <f ca="1"/>
        <v>0.49450827687575871</v>
      </c>
      <c r="G337" s="26">
        <f ca="1"/>
        <v>0.50899142976377276</v>
      </c>
      <c r="H337" s="26">
        <f ca="1"/>
        <v>0.51359099028527622</v>
      </c>
      <c r="I337" s="26">
        <f ca="1"/>
        <v>0.52053077936210856</v>
      </c>
      <c r="J337" s="26">
        <f ca="1"/>
        <v>0.51525776118499422</v>
      </c>
      <c r="K337" s="26">
        <f ca="1"/>
        <v>0.50070455724933249</v>
      </c>
      <c r="M337" s="4" t="str">
        <f t="shared" si="18"/>
        <v>Mtonne</v>
      </c>
    </row>
    <row r="338" spans="1:13" s="7" customFormat="1" x14ac:dyDescent="0.2">
      <c r="A338" s="4" t="str">
        <v>EE N2O</v>
      </c>
      <c r="B338" s="26">
        <f ca="1"/>
        <v>0.28042133091547594</v>
      </c>
      <c r="C338" s="26">
        <f ca="1"/>
        <v>0.29283930316643808</v>
      </c>
      <c r="D338" s="26">
        <f ca="1"/>
        <v>0.30539292139892849</v>
      </c>
      <c r="E338" s="26">
        <f ca="1"/>
        <v>0.32649976779111034</v>
      </c>
      <c r="F338" s="26">
        <f ca="1"/>
        <v>0.32485688321078177</v>
      </c>
      <c r="G338" s="26">
        <f ca="1"/>
        <v>0.33501120032201015</v>
      </c>
      <c r="H338" s="26">
        <f ca="1"/>
        <v>0.33866003006413453</v>
      </c>
      <c r="I338" s="26">
        <f ca="1"/>
        <v>0.34384195066663609</v>
      </c>
      <c r="J338" s="26">
        <f ca="1"/>
        <v>0.34093531484510897</v>
      </c>
      <c r="K338" s="26">
        <f ca="1"/>
        <v>0.33184401168001293</v>
      </c>
      <c r="M338" s="4" t="str">
        <f t="shared" si="18"/>
        <v>Mtonne</v>
      </c>
    </row>
    <row r="339" spans="1:13" s="7" customFormat="1" x14ac:dyDescent="0.2">
      <c r="A339" s="4" t="str">
        <v>CA N2O</v>
      </c>
      <c r="B339" s="26">
        <f ca="1"/>
        <v>1.4734726504494895</v>
      </c>
      <c r="C339" s="26">
        <f ca="1"/>
        <v>1.5387228310477288</v>
      </c>
      <c r="D339" s="26">
        <f ca="1"/>
        <v>1.6046857628595532</v>
      </c>
      <c r="E339" s="26">
        <f ca="1"/>
        <v>1.7155915944330178</v>
      </c>
      <c r="F339" s="26">
        <f ca="1"/>
        <v>1.7069590646284678</v>
      </c>
      <c r="G339" s="26">
        <f ca="1"/>
        <v>1.7603148792469219</v>
      </c>
      <c r="H339" s="26">
        <f ca="1"/>
        <v>1.7794876390851795</v>
      </c>
      <c r="I339" s="26">
        <f ca="1"/>
        <v>1.8067160181091995</v>
      </c>
      <c r="J339" s="26">
        <f ca="1"/>
        <v>1.7914431129637349</v>
      </c>
      <c r="K339" s="26">
        <f ca="1"/>
        <v>1.7436729004517932</v>
      </c>
      <c r="M339" s="4" t="str">
        <f t="shared" si="18"/>
        <v>Mtonne</v>
      </c>
    </row>
    <row r="340" spans="1:13" s="7" customFormat="1" x14ac:dyDescent="0.2">
      <c r="A340" s="4" t="str">
        <v>IA N2O</v>
      </c>
      <c r="B340" s="26">
        <f ca="1"/>
        <v>0.70486323151243291</v>
      </c>
      <c r="C340" s="26">
        <f ca="1"/>
        <v>0.73607687714013736</v>
      </c>
      <c r="D340" s="26">
        <f ca="1"/>
        <v>0.76763148065635023</v>
      </c>
      <c r="E340" s="26">
        <f ca="1"/>
        <v>0.82068536178037288</v>
      </c>
      <c r="F340" s="26">
        <f ca="1"/>
        <v>0.81655582951365158</v>
      </c>
      <c r="G340" s="26">
        <f ca="1"/>
        <v>0.84207958246588266</v>
      </c>
      <c r="H340" s="26">
        <f ca="1"/>
        <v>0.85125123112355094</v>
      </c>
      <c r="I340" s="26">
        <f ca="1"/>
        <v>0.86427643605142079</v>
      </c>
      <c r="J340" s="26">
        <f ca="1"/>
        <v>0.85697035590657988</v>
      </c>
      <c r="K340" s="26">
        <f ca="1"/>
        <v>0.83411858030631258</v>
      </c>
      <c r="M340" s="4" t="str">
        <f t="shared" si="18"/>
        <v>Mtonne</v>
      </c>
    </row>
    <row r="341" spans="1:13" s="7" customFormat="1" x14ac:dyDescent="0.2">
      <c r="A341" s="4" t="str">
        <v>AF N2O</v>
      </c>
      <c r="B341" s="26">
        <f ca="1"/>
        <v>1.2367477868490782</v>
      </c>
      <c r="C341" s="26">
        <f ca="1"/>
        <v>1.2915150174602186</v>
      </c>
      <c r="D341" s="26">
        <f ca="1"/>
        <v>1.346880490248237</v>
      </c>
      <c r="E341" s="26">
        <f ca="1"/>
        <v>1.4399684357254039</v>
      </c>
      <c r="F341" s="26">
        <f ca="1"/>
        <v>1.4327227891045258</v>
      </c>
      <c r="G341" s="26">
        <f ca="1"/>
        <v>1.4775065763195601</v>
      </c>
      <c r="H341" s="26">
        <f ca="1"/>
        <v>1.4935990828825565</v>
      </c>
      <c r="I341" s="26">
        <f ca="1"/>
        <v>1.5164530106342335</v>
      </c>
      <c r="J341" s="26">
        <f ca="1"/>
        <v>1.5036338167173002</v>
      </c>
      <c r="K341" s="26">
        <f ca="1"/>
        <v>1.4635382611035388</v>
      </c>
      <c r="M341" s="4" t="str">
        <f t="shared" si="18"/>
        <v>Mtonne</v>
      </c>
    </row>
    <row r="342" spans="1:13" s="7" customFormat="1" ht="13.5" thickBot="1" x14ac:dyDescent="0.25">
      <c r="A342" s="4" t="str">
        <v>LA N2O</v>
      </c>
      <c r="B342" s="35">
        <f ca="1"/>
        <v>1.1895972580333152</v>
      </c>
      <c r="C342" s="35">
        <f ca="1"/>
        <v>1.2422765092580765</v>
      </c>
      <c r="D342" s="35">
        <f ca="1"/>
        <v>1.2955311949091795</v>
      </c>
      <c r="E342" s="35">
        <f ca="1"/>
        <v>1.3850701986358189</v>
      </c>
      <c r="F342" s="35">
        <f ca="1"/>
        <v>1.3781007894769515</v>
      </c>
      <c r="G342" s="35">
        <f ca="1"/>
        <v>1.4211772122058595</v>
      </c>
      <c r="H342" s="35">
        <f ca="1"/>
        <v>1.4366561982091388</v>
      </c>
      <c r="I342" s="35">
        <f ca="1"/>
        <v>1.4586388288455374</v>
      </c>
      <c r="J342" s="35">
        <f ca="1"/>
        <v>1.4463083617155872</v>
      </c>
      <c r="K342" s="35">
        <f ca="1"/>
        <v>1.4077414335798399</v>
      </c>
      <c r="M342" s="4" t="str">
        <f t="shared" si="18"/>
        <v>Mtonne</v>
      </c>
    </row>
    <row r="343" spans="1:13" s="2" customFormat="1" ht="15" thickTop="1" x14ac:dyDescent="0.25">
      <c r="A343" s="2" t="s">
        <v>312</v>
      </c>
      <c r="B343" s="2" t="s">
        <v>316</v>
      </c>
    </row>
    <row r="344" spans="1:13" s="7" customFormat="1" x14ac:dyDescent="0.2">
      <c r="A344" s="4" t="str">
        <f t="array" ref="A344:A351">R_CODE&amp;" "&amp;GLIN_NAME</f>
        <v>EU Lin</v>
      </c>
      <c r="B344" s="32">
        <f t="array" aca="1" ref="B344:K351" ca="1">(QMAX_MINUS_Q0_PROP_GLIN/100)*(ZC_GLIN/100)*E_GLIN_0+Q0_GLIN</f>
        <v>82.659784959399474</v>
      </c>
      <c r="C344" s="32">
        <f ca="1"/>
        <v>86.636903542350012</v>
      </c>
      <c r="D344" s="32">
        <f ca="1"/>
        <v>90.686393788451383</v>
      </c>
      <c r="E344" s="32">
        <f ca="1"/>
        <v>95.56626582813891</v>
      </c>
      <c r="F344" s="32">
        <f ca="1"/>
        <v>107.02169219500388</v>
      </c>
      <c r="G344" s="32">
        <f ca="1"/>
        <v>122.29896188138844</v>
      </c>
      <c r="H344" s="32">
        <f ca="1"/>
        <v>141.13606457257981</v>
      </c>
      <c r="I344" s="32">
        <f ca="1"/>
        <v>151.19966144127301</v>
      </c>
      <c r="J344" s="32">
        <f ca="1"/>
        <v>148.07336916783882</v>
      </c>
      <c r="K344" s="32">
        <f ca="1"/>
        <v>144.09746587179825</v>
      </c>
      <c r="M344" s="4" t="str">
        <f t="shared" ref="M344:M351" si="19">EMIT_NAME</f>
        <v>Mtonne</v>
      </c>
    </row>
    <row r="345" spans="1:13" s="7" customFormat="1" x14ac:dyDescent="0.2">
      <c r="A345" s="4" t="str">
        <v>US Lin</v>
      </c>
      <c r="B345" s="33">
        <f ca="1"/>
        <v>217.37180205144747</v>
      </c>
      <c r="C345" s="33">
        <f ca="1"/>
        <v>227.77851204437545</v>
      </c>
      <c r="D345" s="33">
        <f ca="1"/>
        <v>238.37174747444169</v>
      </c>
      <c r="E345" s="33">
        <f ca="1"/>
        <v>251.08951472641414</v>
      </c>
      <c r="F345" s="33">
        <f ca="1"/>
        <v>281.07000058759388</v>
      </c>
      <c r="G345" s="33">
        <f ca="1"/>
        <v>321.0638308169423</v>
      </c>
      <c r="H345" s="33">
        <f ca="1"/>
        <v>370.37320483221094</v>
      </c>
      <c r="I345" s="33">
        <f ca="1"/>
        <v>396.63599831639937</v>
      </c>
      <c r="J345" s="33">
        <f ca="1"/>
        <v>388.29752838962639</v>
      </c>
      <c r="K345" s="33">
        <f ca="1"/>
        <v>377.74330133678183</v>
      </c>
      <c r="M345" s="4" t="str">
        <f t="shared" si="19"/>
        <v>Mtonne</v>
      </c>
    </row>
    <row r="346" spans="1:13" s="7" customFormat="1" x14ac:dyDescent="0.2">
      <c r="A346" s="4" t="str">
        <v>OT Lin</v>
      </c>
      <c r="B346" s="33">
        <f ca="1"/>
        <v>77.500432271510022</v>
      </c>
      <c r="C346" s="33">
        <f ca="1"/>
        <v>81.229312155786474</v>
      </c>
      <c r="D346" s="33">
        <f ca="1"/>
        <v>85.026046501348461</v>
      </c>
      <c r="E346" s="33">
        <f ca="1"/>
        <v>89.601332932243452</v>
      </c>
      <c r="F346" s="33">
        <f ca="1"/>
        <v>100.34174915426186</v>
      </c>
      <c r="G346" s="33">
        <f ca="1"/>
        <v>114.66546176983169</v>
      </c>
      <c r="H346" s="33">
        <f ca="1"/>
        <v>132.32681428880107</v>
      </c>
      <c r="I346" s="33">
        <f ca="1"/>
        <v>141.76227444530912</v>
      </c>
      <c r="J346" s="33">
        <f ca="1"/>
        <v>138.83111508266092</v>
      </c>
      <c r="K346" s="33">
        <f ca="1"/>
        <v>135.10337463107112</v>
      </c>
      <c r="M346" s="4" t="str">
        <f t="shared" si="19"/>
        <v>Mtonne</v>
      </c>
    </row>
    <row r="347" spans="1:13" s="7" customFormat="1" x14ac:dyDescent="0.2">
      <c r="A347" s="4" t="str">
        <v>EE Lin</v>
      </c>
      <c r="B347" s="33">
        <f ca="1"/>
        <v>26.700408291923779</v>
      </c>
      <c r="C347" s="33">
        <f ca="1"/>
        <v>28.00918506327455</v>
      </c>
      <c r="D347" s="33">
        <f ca="1"/>
        <v>29.343097134735245</v>
      </c>
      <c r="E347" s="33">
        <f ca="1"/>
        <v>30.972657161116075</v>
      </c>
      <c r="F347" s="33">
        <f ca="1"/>
        <v>34.739729752198443</v>
      </c>
      <c r="G347" s="33">
        <f ca="1"/>
        <v>39.7584838663862</v>
      </c>
      <c r="H347" s="33">
        <f ca="1"/>
        <v>45.948360901605824</v>
      </c>
      <c r="I347" s="33">
        <f ca="1"/>
        <v>49.29254822775264</v>
      </c>
      <c r="J347" s="33">
        <f ca="1"/>
        <v>48.337055494376621</v>
      </c>
      <c r="K347" s="33">
        <f ca="1"/>
        <v>47.098556398942598</v>
      </c>
      <c r="M347" s="4" t="str">
        <f t="shared" si="19"/>
        <v>Mtonne</v>
      </c>
    </row>
    <row r="348" spans="1:13" s="7" customFormat="1" x14ac:dyDescent="0.2">
      <c r="A348" s="4" t="str">
        <v>CA Lin</v>
      </c>
      <c r="B348" s="33">
        <f ca="1"/>
        <v>82.876612637897423</v>
      </c>
      <c r="C348" s="33">
        <f ca="1"/>
        <v>86.938984430973122</v>
      </c>
      <c r="D348" s="33">
        <f ca="1"/>
        <v>91.079374826160532</v>
      </c>
      <c r="E348" s="33">
        <f ca="1"/>
        <v>96.137440365833058</v>
      </c>
      <c r="F348" s="33">
        <f ca="1"/>
        <v>107.83022844969196</v>
      </c>
      <c r="G348" s="33">
        <f ca="1"/>
        <v>123.4081677867546</v>
      </c>
      <c r="H348" s="33">
        <f ca="1"/>
        <v>142.62120886520441</v>
      </c>
      <c r="I348" s="33">
        <f ca="1"/>
        <v>153.00138412647442</v>
      </c>
      <c r="J348" s="33">
        <f ca="1"/>
        <v>150.03558673953773</v>
      </c>
      <c r="K348" s="33">
        <f ca="1"/>
        <v>146.19135302361667</v>
      </c>
      <c r="M348" s="4" t="str">
        <f t="shared" si="19"/>
        <v>Mtonne</v>
      </c>
    </row>
    <row r="349" spans="1:13" s="7" customFormat="1" x14ac:dyDescent="0.2">
      <c r="A349" s="4" t="str">
        <v>IA Lin</v>
      </c>
      <c r="B349" s="33">
        <f ca="1"/>
        <v>63.757509675896223</v>
      </c>
      <c r="C349" s="33">
        <f ca="1"/>
        <v>66.882718352507538</v>
      </c>
      <c r="D349" s="33">
        <f ca="1"/>
        <v>70.067947240137485</v>
      </c>
      <c r="E349" s="33">
        <f ca="1"/>
        <v>73.959149502421084</v>
      </c>
      <c r="F349" s="33">
        <f ca="1"/>
        <v>82.95448637329531</v>
      </c>
      <c r="G349" s="33">
        <f ca="1"/>
        <v>94.938695022758424</v>
      </c>
      <c r="H349" s="33">
        <f ca="1"/>
        <v>109.71941075754347</v>
      </c>
      <c r="I349" s="33">
        <f ca="1"/>
        <v>117.70494616485439</v>
      </c>
      <c r="J349" s="33">
        <f ca="1"/>
        <v>115.42333921235333</v>
      </c>
      <c r="K349" s="33">
        <f ca="1"/>
        <v>112.46594555764253</v>
      </c>
      <c r="M349" s="4" t="str">
        <f t="shared" si="19"/>
        <v>Mtonne</v>
      </c>
    </row>
    <row r="350" spans="1:13" s="7" customFormat="1" x14ac:dyDescent="0.2">
      <c r="A350" s="4" t="str">
        <v>AF Lin</v>
      </c>
      <c r="B350" s="33">
        <f ca="1"/>
        <v>37.457615203020268</v>
      </c>
      <c r="C350" s="33">
        <f ca="1"/>
        <v>39.293679137021485</v>
      </c>
      <c r="D350" s="33">
        <f ca="1"/>
        <v>41.165005018676702</v>
      </c>
      <c r="E350" s="33">
        <f ca="1"/>
        <v>43.451091124590661</v>
      </c>
      <c r="F350" s="33">
        <f ca="1"/>
        <v>48.735862578864221</v>
      </c>
      <c r="G350" s="33">
        <f ca="1"/>
        <v>55.776599872184278</v>
      </c>
      <c r="H350" s="33">
        <f ca="1"/>
        <v>64.460288511110434</v>
      </c>
      <c r="I350" s="33">
        <f ca="1"/>
        <v>69.151800365912848</v>
      </c>
      <c r="J350" s="33">
        <f ca="1"/>
        <v>67.811353480428068</v>
      </c>
      <c r="K350" s="33">
        <f ca="1"/>
        <v>66.073881077802369</v>
      </c>
      <c r="M350" s="4" t="str">
        <f t="shared" si="19"/>
        <v>Mtonne</v>
      </c>
    </row>
    <row r="351" spans="1:13" s="7" customFormat="1" ht="13.5" thickBot="1" x14ac:dyDescent="0.25">
      <c r="A351" s="4" t="str">
        <v>LA Lin</v>
      </c>
      <c r="B351" s="34">
        <f ca="1"/>
        <v>32.021608592986404</v>
      </c>
      <c r="C351" s="34">
        <f ca="1"/>
        <v>33.591215209094344</v>
      </c>
      <c r="D351" s="34">
        <f ca="1"/>
        <v>35.190966410752708</v>
      </c>
      <c r="E351" s="34">
        <f ca="1"/>
        <v>37.145286089052419</v>
      </c>
      <c r="F351" s="34">
        <f ca="1"/>
        <v>41.663109289886904</v>
      </c>
      <c r="G351" s="34">
        <f ca="1"/>
        <v>47.682065184189504</v>
      </c>
      <c r="H351" s="34">
        <f ca="1"/>
        <v>55.105540416981029</v>
      </c>
      <c r="I351" s="34">
        <f ca="1"/>
        <v>59.116200345799051</v>
      </c>
      <c r="J351" s="34">
        <f ca="1"/>
        <v>57.970284748288726</v>
      </c>
      <c r="K351" s="34">
        <f ca="1"/>
        <v>56.48496164599176</v>
      </c>
      <c r="M351" s="4" t="str">
        <f t="shared" si="19"/>
        <v>Mtonne</v>
      </c>
    </row>
    <row r="352" spans="1:13" s="2" customFormat="1" ht="15" thickTop="1" x14ac:dyDescent="0.25">
      <c r="A352" s="2" t="s">
        <v>317</v>
      </c>
      <c r="B352" s="2" t="s">
        <v>318</v>
      </c>
    </row>
    <row r="353" spans="1:16" s="6" customFormat="1" x14ac:dyDescent="0.2">
      <c r="A353" s="4" t="str">
        <f t="array" ref="A353:A360">R_CODE&amp;" "&amp;'Base data'!$B$12</f>
        <v>EU CO2</v>
      </c>
      <c r="B353" s="12">
        <f t="array" aca="1" ref="B353:K360" ca="1">CMAX_INIT_CO2*learnfac_co2*AUTOFAC</f>
        <v>142.98940343220548</v>
      </c>
      <c r="C353" s="12">
        <f ca="1"/>
        <v>136.30646329265343</v>
      </c>
      <c r="D353" s="12">
        <f ca="1"/>
        <v>129.93586580113552</v>
      </c>
      <c r="E353" s="12">
        <f ca="1"/>
        <v>118.07398881481082</v>
      </c>
      <c r="F353" s="12">
        <f ca="1"/>
        <v>107.29498548135456</v>
      </c>
      <c r="G353" s="12">
        <f ca="1"/>
        <v>85.414731035628819</v>
      </c>
      <c r="H353" s="12">
        <f ca="1"/>
        <v>62.024855208195532</v>
      </c>
      <c r="I353" s="12">
        <f ca="1"/>
        <v>47.349193945754628</v>
      </c>
      <c r="J353" s="12">
        <f ca="1"/>
        <v>37.947017243255836</v>
      </c>
      <c r="K353" s="12">
        <f ca="1"/>
        <v>31.478765329745542</v>
      </c>
      <c r="M353" s="4" t="str">
        <f t="shared" ref="M353:M360" si="20">CURRENCY_NAME&amp;" per "&amp;EMIT_NAME</f>
        <v>$M(2015) per Mtonne</v>
      </c>
      <c r="O353"/>
      <c r="P353"/>
    </row>
    <row r="354" spans="1:16" s="6" customFormat="1" x14ac:dyDescent="0.2">
      <c r="A354" s="4" t="str">
        <v>US CO2</v>
      </c>
      <c r="B354" s="14">
        <f ca="1"/>
        <v>142.98940343220548</v>
      </c>
      <c r="C354" s="14">
        <f ca="1"/>
        <v>136.30646329265343</v>
      </c>
      <c r="D354" s="14">
        <f ca="1"/>
        <v>129.93586580113552</v>
      </c>
      <c r="E354" s="14">
        <f ca="1"/>
        <v>118.07398881481082</v>
      </c>
      <c r="F354" s="14">
        <f ca="1"/>
        <v>107.29498548135456</v>
      </c>
      <c r="G354" s="14">
        <f ca="1"/>
        <v>83.761287424699873</v>
      </c>
      <c r="H354" s="14">
        <f ca="1"/>
        <v>59.773465923257753</v>
      </c>
      <c r="I354" s="14">
        <f ca="1"/>
        <v>45.460863425017088</v>
      </c>
      <c r="J354" s="14">
        <f ca="1"/>
        <v>36.395972768155488</v>
      </c>
      <c r="K354" s="14">
        <f ca="1"/>
        <v>30.219278941944321</v>
      </c>
      <c r="M354" s="4" t="str">
        <f t="shared" si="20"/>
        <v>$M(2015) per Mtonne</v>
      </c>
      <c r="O354"/>
      <c r="P354"/>
    </row>
    <row r="355" spans="1:16" s="6" customFormat="1" x14ac:dyDescent="0.2">
      <c r="A355" s="4" t="str">
        <v>OT CO2</v>
      </c>
      <c r="B355" s="14">
        <f ca="1"/>
        <v>176.35359756638675</v>
      </c>
      <c r="C355" s="14">
        <f ca="1"/>
        <v>168.1113047276059</v>
      </c>
      <c r="D355" s="14">
        <f ca="1"/>
        <v>160.25423448806714</v>
      </c>
      <c r="E355" s="14">
        <f ca="1"/>
        <v>145.62458620493334</v>
      </c>
      <c r="F355" s="14">
        <f ca="1"/>
        <v>132.33048209367061</v>
      </c>
      <c r="G355" s="14">
        <f ca="1"/>
        <v>105.46930039218616</v>
      </c>
      <c r="H355" s="14">
        <f ca="1"/>
        <v>76.688496157166981</v>
      </c>
      <c r="I355" s="14">
        <f ca="1"/>
        <v>58.578866708814047</v>
      </c>
      <c r="J355" s="14">
        <f ca="1"/>
        <v>46.959904129726816</v>
      </c>
      <c r="K355" s="14">
        <f ca="1"/>
        <v>38.961912038716811</v>
      </c>
      <c r="M355" s="4" t="str">
        <f t="shared" si="20"/>
        <v>$M(2015) per Mtonne</v>
      </c>
      <c r="O355"/>
      <c r="P355"/>
    </row>
    <row r="356" spans="1:16" s="6" customFormat="1" x14ac:dyDescent="0.2">
      <c r="A356" s="4" t="str">
        <v>EE CO2</v>
      </c>
      <c r="B356" s="14">
        <f ca="1"/>
        <v>100.09258240254384</v>
      </c>
      <c r="C356" s="14">
        <f ca="1"/>
        <v>95.414524304857423</v>
      </c>
      <c r="D356" s="14">
        <f ca="1"/>
        <v>90.955106060794876</v>
      </c>
      <c r="E356" s="14">
        <f ca="1"/>
        <v>82.651792170367585</v>
      </c>
      <c r="F356" s="14">
        <f ca="1"/>
        <v>75.106489836948199</v>
      </c>
      <c r="G356" s="14">
        <f ca="1"/>
        <v>59.300783879394565</v>
      </c>
      <c r="H356" s="14">
        <f ca="1"/>
        <v>43.032780791763592</v>
      </c>
      <c r="I356" s="14">
        <f ca="1"/>
        <v>32.984728223819246</v>
      </c>
      <c r="J356" s="14">
        <f ca="1"/>
        <v>26.558691829728243</v>
      </c>
      <c r="K356" s="14">
        <f ca="1"/>
        <v>22.126378327187002</v>
      </c>
      <c r="M356" s="4" t="str">
        <f t="shared" si="20"/>
        <v>$M(2015) per Mtonne</v>
      </c>
      <c r="O356"/>
      <c r="P356"/>
    </row>
    <row r="357" spans="1:16" s="6" customFormat="1" x14ac:dyDescent="0.2">
      <c r="A357" s="4" t="str">
        <v>CA CO2</v>
      </c>
      <c r="B357" s="14">
        <f ca="1"/>
        <v>142.98940343220548</v>
      </c>
      <c r="C357" s="14">
        <f ca="1"/>
        <v>136.30646329265343</v>
      </c>
      <c r="D357" s="14">
        <f ca="1"/>
        <v>129.93586580113552</v>
      </c>
      <c r="E357" s="14">
        <f ca="1"/>
        <v>118.07398881481082</v>
      </c>
      <c r="F357" s="14">
        <f ca="1"/>
        <v>107.29498548135456</v>
      </c>
      <c r="G357" s="14">
        <f ca="1"/>
        <v>81.956611353907334</v>
      </c>
      <c r="H357" s="14">
        <f ca="1"/>
        <v>58.185421649961818</v>
      </c>
      <c r="I357" s="14">
        <f ca="1"/>
        <v>44.324635730375995</v>
      </c>
      <c r="J357" s="14">
        <f ca="1"/>
        <v>35.678499567291666</v>
      </c>
      <c r="K357" s="14">
        <f ca="1"/>
        <v>29.79188593000638</v>
      </c>
      <c r="M357" s="4" t="str">
        <f t="shared" si="20"/>
        <v>$M(2015) per Mtonne</v>
      </c>
      <c r="O357"/>
      <c r="P357"/>
    </row>
    <row r="358" spans="1:16" s="6" customFormat="1" x14ac:dyDescent="0.2">
      <c r="A358" s="4" t="str">
        <v>IA CO2</v>
      </c>
      <c r="B358" s="14">
        <f ca="1"/>
        <v>176.35359756638675</v>
      </c>
      <c r="C358" s="14">
        <f ca="1"/>
        <v>168.1113047276059</v>
      </c>
      <c r="D358" s="14">
        <f ca="1"/>
        <v>160.25423448806714</v>
      </c>
      <c r="E358" s="14">
        <f ca="1"/>
        <v>145.62458620493334</v>
      </c>
      <c r="F358" s="14">
        <f ca="1"/>
        <v>132.33048209367061</v>
      </c>
      <c r="G358" s="14">
        <f ca="1"/>
        <v>100.21911002369792</v>
      </c>
      <c r="H358" s="14">
        <f ca="1"/>
        <v>70.152812058519743</v>
      </c>
      <c r="I358" s="14">
        <f ca="1"/>
        <v>52.770151214616291</v>
      </c>
      <c r="J358" s="14">
        <f ca="1"/>
        <v>41.957316331719042</v>
      </c>
      <c r="K358" s="14">
        <f ca="1"/>
        <v>34.657159863655885</v>
      </c>
      <c r="M358" s="4" t="str">
        <f t="shared" si="20"/>
        <v>$M(2015) per Mtonne</v>
      </c>
      <c r="O358"/>
      <c r="P358"/>
    </row>
    <row r="359" spans="1:16" s="6" customFormat="1" x14ac:dyDescent="0.2">
      <c r="A359" s="4" t="str">
        <v>AF CO2</v>
      </c>
      <c r="B359" s="14">
        <f ca="1"/>
        <v>176.35359756638675</v>
      </c>
      <c r="C359" s="14">
        <f ca="1"/>
        <v>168.1113047276059</v>
      </c>
      <c r="D359" s="14">
        <f ca="1"/>
        <v>160.25423448806714</v>
      </c>
      <c r="E359" s="14">
        <f ca="1"/>
        <v>145.62458620493334</v>
      </c>
      <c r="F359" s="14">
        <f ca="1"/>
        <v>132.33048209367061</v>
      </c>
      <c r="G359" s="14">
        <f ca="1"/>
        <v>98.518594253913207</v>
      </c>
      <c r="H359" s="14">
        <f ca="1"/>
        <v>67.560033247940382</v>
      </c>
      <c r="I359" s="14">
        <f ca="1"/>
        <v>50.32690366877604</v>
      </c>
      <c r="J359" s="14">
        <f ca="1"/>
        <v>39.742434017542216</v>
      </c>
      <c r="K359" s="14">
        <f ca="1"/>
        <v>32.639233895970499</v>
      </c>
      <c r="M359" s="4" t="str">
        <f t="shared" si="20"/>
        <v>$M(2015) per Mtonne</v>
      </c>
      <c r="O359" s="4"/>
      <c r="P359" s="4"/>
    </row>
    <row r="360" spans="1:16" s="6" customFormat="1" ht="13.5" thickBot="1" x14ac:dyDescent="0.25">
      <c r="A360" s="4" t="str">
        <v>LA CO2</v>
      </c>
      <c r="B360" s="16">
        <f ca="1"/>
        <v>100.09258240254384</v>
      </c>
      <c r="C360" s="16">
        <f ca="1"/>
        <v>95.414524304857423</v>
      </c>
      <c r="D360" s="16">
        <f ca="1"/>
        <v>90.955106060794876</v>
      </c>
      <c r="E360" s="16">
        <f ca="1"/>
        <v>82.651792170367585</v>
      </c>
      <c r="F360" s="16">
        <f ca="1"/>
        <v>75.106489836948199</v>
      </c>
      <c r="G360" s="16">
        <f ca="1"/>
        <v>59.395221456661012</v>
      </c>
      <c r="H360" s="16">
        <f ca="1"/>
        <v>42.783021106422211</v>
      </c>
      <c r="I360" s="16">
        <f ca="1"/>
        <v>32.587971886329093</v>
      </c>
      <c r="J360" s="16">
        <f ca="1"/>
        <v>26.096606458813238</v>
      </c>
      <c r="K360" s="16">
        <f ca="1"/>
        <v>21.656913831844395</v>
      </c>
      <c r="M360" s="4" t="str">
        <f t="shared" si="20"/>
        <v>$M(2015) per Mtonne</v>
      </c>
      <c r="O360" s="7"/>
    </row>
    <row r="361" spans="1:16" s="2" customFormat="1" ht="15" thickTop="1" x14ac:dyDescent="0.25">
      <c r="A361" s="2" t="s">
        <v>317</v>
      </c>
      <c r="B361" s="2" t="s">
        <v>319</v>
      </c>
    </row>
    <row r="362" spans="1:16" s="6" customFormat="1" x14ac:dyDescent="0.2">
      <c r="A362" s="4" t="str">
        <f t="array" ref="A362:A369">R_CODE&amp;" "&amp;'Base data'!$C$12</f>
        <v>EU CH4</v>
      </c>
      <c r="B362" s="12">
        <f t="array" aca="1" ref="B362:K369" ca="1">CMAX_INIT_CH4*learnfac_ch4*AUTOFAC</f>
        <v>6942.9299222081991</v>
      </c>
      <c r="C362" s="12">
        <f ca="1"/>
        <v>6618.4360509877279</v>
      </c>
      <c r="D362" s="12">
        <f ca="1"/>
        <v>6309.108150566246</v>
      </c>
      <c r="E362" s="12">
        <f ca="1"/>
        <v>5733.148123563592</v>
      </c>
      <c r="F362" s="12">
        <f ca="1"/>
        <v>5209.7676283724377</v>
      </c>
      <c r="G362" s="12">
        <f ca="1"/>
        <v>4340.915258067057</v>
      </c>
      <c r="H362" s="12">
        <f ca="1"/>
        <v>3633.7881108825213</v>
      </c>
      <c r="I362" s="12">
        <f ca="1"/>
        <v>3098.6187624451381</v>
      </c>
      <c r="J362" s="12">
        <f ca="1"/>
        <v>2684.9121956748809</v>
      </c>
      <c r="K362" s="12">
        <f ca="1"/>
        <v>2352.5295425381642</v>
      </c>
      <c r="M362" s="4" t="str">
        <f t="shared" ref="M362:M369" si="21">CURRENCY_NAME&amp;" per "&amp;EMIT_NAME</f>
        <v>$M(2015) per Mtonne</v>
      </c>
      <c r="O362"/>
      <c r="P362"/>
    </row>
    <row r="363" spans="1:16" s="6" customFormat="1" x14ac:dyDescent="0.2">
      <c r="A363" s="4" t="str">
        <v>US CH4</v>
      </c>
      <c r="B363" s="14">
        <f ca="1"/>
        <v>6942.9299222081991</v>
      </c>
      <c r="C363" s="14">
        <f ca="1"/>
        <v>6618.4360509877279</v>
      </c>
      <c r="D363" s="14">
        <f ca="1"/>
        <v>6309.108150566246</v>
      </c>
      <c r="E363" s="14">
        <f ca="1"/>
        <v>5733.148123563592</v>
      </c>
      <c r="F363" s="14">
        <f ca="1"/>
        <v>5209.7676283724377</v>
      </c>
      <c r="G363" s="14">
        <f ca="1"/>
        <v>4302.5445908283946</v>
      </c>
      <c r="H363" s="14">
        <f ca="1"/>
        <v>3578.591813128276</v>
      </c>
      <c r="I363" s="14">
        <f ca="1"/>
        <v>3037.687333190951</v>
      </c>
      <c r="J363" s="14">
        <f ca="1"/>
        <v>2624.9900648764929</v>
      </c>
      <c r="K363" s="14">
        <f ca="1"/>
        <v>2302.1058533915989</v>
      </c>
      <c r="M363" s="4" t="str">
        <f t="shared" si="21"/>
        <v>$M(2015) per Mtonne</v>
      </c>
      <c r="O363"/>
      <c r="P363"/>
    </row>
    <row r="364" spans="1:16" s="6" customFormat="1" x14ac:dyDescent="0.2">
      <c r="A364" s="4" t="str">
        <v>OT CH4</v>
      </c>
      <c r="B364" s="14">
        <f ca="1"/>
        <v>8562.9469040567783</v>
      </c>
      <c r="C364" s="14">
        <f ca="1"/>
        <v>8162.7377962181981</v>
      </c>
      <c r="D364" s="14">
        <f ca="1"/>
        <v>7781.2333856983705</v>
      </c>
      <c r="E364" s="14">
        <f ca="1"/>
        <v>7070.8826857284303</v>
      </c>
      <c r="F364" s="14">
        <f ca="1"/>
        <v>6425.3800749926731</v>
      </c>
      <c r="G364" s="14">
        <f ca="1"/>
        <v>5371.9561383264117</v>
      </c>
      <c r="H364" s="14">
        <f ca="1"/>
        <v>4478.0966537411741</v>
      </c>
      <c r="I364" s="14">
        <f ca="1"/>
        <v>3801.4153429770336</v>
      </c>
      <c r="J364" s="14">
        <f ca="1"/>
        <v>3281.4972348688066</v>
      </c>
      <c r="K364" s="14">
        <f ca="1"/>
        <v>2869.8249284770313</v>
      </c>
      <c r="M364" s="4" t="str">
        <f t="shared" si="21"/>
        <v>$M(2015) per Mtonne</v>
      </c>
      <c r="O364"/>
      <c r="P364"/>
    </row>
    <row r="365" spans="1:16" s="6" customFormat="1" x14ac:dyDescent="0.2">
      <c r="A365" s="4" t="str">
        <v>EE CH4</v>
      </c>
      <c r="B365" s="14">
        <f ca="1"/>
        <v>4860.0509455457404</v>
      </c>
      <c r="C365" s="14">
        <f ca="1"/>
        <v>4632.9052356914099</v>
      </c>
      <c r="D365" s="14">
        <f ca="1"/>
        <v>4416.3757053963727</v>
      </c>
      <c r="E365" s="14">
        <f ca="1"/>
        <v>4013.2036864945148</v>
      </c>
      <c r="F365" s="14">
        <f ca="1"/>
        <v>3646.8373398607068</v>
      </c>
      <c r="G365" s="14">
        <f ca="1"/>
        <v>2990.3006097720645</v>
      </c>
      <c r="H365" s="14">
        <f ca="1"/>
        <v>2451.6983781487611</v>
      </c>
      <c r="I365" s="14">
        <f ca="1"/>
        <v>2053.9713407672821</v>
      </c>
      <c r="J365" s="14">
        <f ca="1"/>
        <v>1751.3277897667783</v>
      </c>
      <c r="K365" s="14">
        <f ca="1"/>
        <v>1516.2587156856855</v>
      </c>
      <c r="M365" s="4" t="str">
        <f t="shared" si="21"/>
        <v>$M(2015) per Mtonne</v>
      </c>
      <c r="O365"/>
      <c r="P365"/>
    </row>
    <row r="366" spans="1:16" s="6" customFormat="1" x14ac:dyDescent="0.2">
      <c r="A366" s="4" t="str">
        <v>CA CH4</v>
      </c>
      <c r="B366" s="14">
        <f ca="1"/>
        <v>6942.9299222081991</v>
      </c>
      <c r="C366" s="14">
        <f ca="1"/>
        <v>6618.4360509877279</v>
      </c>
      <c r="D366" s="14">
        <f ca="1"/>
        <v>6309.108150566246</v>
      </c>
      <c r="E366" s="14">
        <f ca="1"/>
        <v>5733.148123563592</v>
      </c>
      <c r="F366" s="14">
        <f ca="1"/>
        <v>5209.7676283724377</v>
      </c>
      <c r="G366" s="14">
        <f ca="1"/>
        <v>4310.7773108824931</v>
      </c>
      <c r="H366" s="14">
        <f ca="1"/>
        <v>3578.5672807360652</v>
      </c>
      <c r="I366" s="14">
        <f ca="1"/>
        <v>3028.2460065040741</v>
      </c>
      <c r="J366" s="14">
        <f ca="1"/>
        <v>2612.2650878365089</v>
      </c>
      <c r="K366" s="14">
        <f ca="1"/>
        <v>2283.6617986172159</v>
      </c>
      <c r="M366" s="4" t="str">
        <f t="shared" si="21"/>
        <v>$M(2015) per Mtonne</v>
      </c>
      <c r="O366"/>
      <c r="P366"/>
    </row>
    <row r="367" spans="1:16" s="6" customFormat="1" x14ac:dyDescent="0.2">
      <c r="A367" s="4" t="str">
        <v>IA CH4</v>
      </c>
      <c r="B367" s="14">
        <f ca="1"/>
        <v>8562.9469040567783</v>
      </c>
      <c r="C367" s="14">
        <f ca="1"/>
        <v>8162.7377962181981</v>
      </c>
      <c r="D367" s="14">
        <f ca="1"/>
        <v>7781.2333856983705</v>
      </c>
      <c r="E367" s="14">
        <f ca="1"/>
        <v>7070.8826857284303</v>
      </c>
      <c r="F367" s="14">
        <f ca="1"/>
        <v>6425.3800749926731</v>
      </c>
      <c r="G367" s="14">
        <f ca="1"/>
        <v>5205.4531315489867</v>
      </c>
      <c r="H367" s="14">
        <f ca="1"/>
        <v>4319.7180215934713</v>
      </c>
      <c r="I367" s="14">
        <f ca="1"/>
        <v>3675.8845688975766</v>
      </c>
      <c r="J367" s="14">
        <f ca="1"/>
        <v>3183.8615512094998</v>
      </c>
      <c r="K367" s="14">
        <f ca="1"/>
        <v>2790.5788497803792</v>
      </c>
      <c r="M367" s="4" t="str">
        <f t="shared" si="21"/>
        <v>$M(2015) per Mtonne</v>
      </c>
      <c r="O367"/>
      <c r="P367"/>
    </row>
    <row r="368" spans="1:16" s="6" customFormat="1" x14ac:dyDescent="0.2">
      <c r="A368" s="4" t="str">
        <v>AF CH4</v>
      </c>
      <c r="B368" s="14">
        <f ca="1"/>
        <v>8562.9469040567783</v>
      </c>
      <c r="C368" s="14">
        <f ca="1"/>
        <v>8162.7377962181981</v>
      </c>
      <c r="D368" s="14">
        <f ca="1"/>
        <v>7781.2333856983705</v>
      </c>
      <c r="E368" s="14">
        <f ca="1"/>
        <v>7070.8826857284303</v>
      </c>
      <c r="F368" s="14">
        <f ca="1"/>
        <v>6425.3800749926731</v>
      </c>
      <c r="G368" s="14">
        <f ca="1"/>
        <v>5006.7805557453803</v>
      </c>
      <c r="H368" s="14">
        <f ca="1"/>
        <v>3911.8195986711808</v>
      </c>
      <c r="I368" s="14">
        <f ca="1"/>
        <v>3183.6283316872618</v>
      </c>
      <c r="J368" s="14">
        <f ca="1"/>
        <v>2677.5237729654041</v>
      </c>
      <c r="K368" s="14">
        <f ca="1"/>
        <v>2310.9223976755447</v>
      </c>
      <c r="M368" s="4" t="str">
        <f t="shared" si="21"/>
        <v>$M(2015) per Mtonne</v>
      </c>
      <c r="O368" s="4"/>
      <c r="P368" s="4"/>
    </row>
    <row r="369" spans="1:16" s="6" customFormat="1" ht="13.5" thickBot="1" x14ac:dyDescent="0.25">
      <c r="A369" s="4" t="str">
        <v>LA CH4</v>
      </c>
      <c r="B369" s="16">
        <f ca="1"/>
        <v>4860.0509455457404</v>
      </c>
      <c r="C369" s="16">
        <f ca="1"/>
        <v>4632.9052356914099</v>
      </c>
      <c r="D369" s="16">
        <f ca="1"/>
        <v>4416.3757053963727</v>
      </c>
      <c r="E369" s="16">
        <f ca="1"/>
        <v>4013.2036864945148</v>
      </c>
      <c r="F369" s="16">
        <f ca="1"/>
        <v>3646.8373398607068</v>
      </c>
      <c r="G369" s="16">
        <f ca="1"/>
        <v>3004.9093967770127</v>
      </c>
      <c r="H369" s="16">
        <f ca="1"/>
        <v>2479.6301941364004</v>
      </c>
      <c r="I369" s="16">
        <f ca="1"/>
        <v>2091.3878397444009</v>
      </c>
      <c r="J369" s="16">
        <f ca="1"/>
        <v>1797.6132489735739</v>
      </c>
      <c r="K369" s="16">
        <f ca="1"/>
        <v>1570.5568692076963</v>
      </c>
      <c r="M369" s="4" t="str">
        <f t="shared" si="21"/>
        <v>$M(2015) per Mtonne</v>
      </c>
    </row>
    <row r="370" spans="1:16" s="2" customFormat="1" ht="15" thickTop="1" x14ac:dyDescent="0.25">
      <c r="A370" s="2" t="s">
        <v>317</v>
      </c>
      <c r="B370" s="2" t="s">
        <v>320</v>
      </c>
    </row>
    <row r="371" spans="1:16" s="7" customFormat="1" x14ac:dyDescent="0.2">
      <c r="A371" s="4" t="str">
        <f t="array" ref="A371:A378">R_CODE&amp;" "&amp;'Base data'!$D$12</f>
        <v>EU N2O</v>
      </c>
      <c r="B371" s="12">
        <f t="array" aca="1" ref="B371:K378" ca="1">CMAX_INIT_N2O*learnfac_n2o*AUTOFAC</f>
        <v>29964.223874793279</v>
      </c>
      <c r="C371" s="12">
        <f ca="1"/>
        <v>28563.776641104931</v>
      </c>
      <c r="D371" s="12">
        <f ca="1"/>
        <v>27228.782544549063</v>
      </c>
      <c r="E371" s="12">
        <f ca="1"/>
        <v>24743.060322748133</v>
      </c>
      <c r="F371" s="12">
        <f ca="1"/>
        <v>22484.260290870519</v>
      </c>
      <c r="G371" s="12">
        <f ca="1"/>
        <v>19403.983173196069</v>
      </c>
      <c r="H371" s="12">
        <f ca="1"/>
        <v>17439.404795356382</v>
      </c>
      <c r="I371" s="12">
        <f ca="1"/>
        <v>15834.301471836925</v>
      </c>
      <c r="J371" s="12">
        <f ca="1"/>
        <v>14297.798112286931</v>
      </c>
      <c r="K371" s="12">
        <f ca="1"/>
        <v>12886.995149940491</v>
      </c>
      <c r="M371" s="4" t="str">
        <f t="shared" ref="M371:M378" si="22">CURRENCY_NAME&amp;" per "&amp;EMIT_NAME</f>
        <v>$M(2015) per Mtonne</v>
      </c>
      <c r="O371"/>
      <c r="P371"/>
    </row>
    <row r="372" spans="1:16" s="7" customFormat="1" x14ac:dyDescent="0.2">
      <c r="A372" s="4" t="str">
        <v>US N2O</v>
      </c>
      <c r="B372" s="14">
        <f ca="1"/>
        <v>29964.223874793279</v>
      </c>
      <c r="C372" s="14">
        <f ca="1"/>
        <v>28563.776641104931</v>
      </c>
      <c r="D372" s="14">
        <f ca="1"/>
        <v>27228.782544549063</v>
      </c>
      <c r="E372" s="14">
        <f ca="1"/>
        <v>24743.060322748133</v>
      </c>
      <c r="F372" s="14">
        <f ca="1"/>
        <v>22484.260290870519</v>
      </c>
      <c r="G372" s="14">
        <f ca="1"/>
        <v>19440.457301294242</v>
      </c>
      <c r="H372" s="14">
        <f ca="1"/>
        <v>17478.558004526847</v>
      </c>
      <c r="I372" s="14">
        <f ca="1"/>
        <v>15870.276329438453</v>
      </c>
      <c r="J372" s="14">
        <f ca="1"/>
        <v>14333.206328341821</v>
      </c>
      <c r="K372" s="14">
        <f ca="1"/>
        <v>12922.226565304056</v>
      </c>
      <c r="M372" s="4" t="str">
        <f t="shared" si="22"/>
        <v>$M(2015) per Mtonne</v>
      </c>
      <c r="O372"/>
      <c r="P372"/>
    </row>
    <row r="373" spans="1:16" s="7" customFormat="1" x14ac:dyDescent="0.2">
      <c r="A373" s="4" t="str">
        <v>OT N2O</v>
      </c>
      <c r="B373" s="14">
        <f ca="1"/>
        <v>36955.876112245052</v>
      </c>
      <c r="C373" s="14">
        <f ca="1"/>
        <v>35228.657857362756</v>
      </c>
      <c r="D373" s="14">
        <f ca="1"/>
        <v>33582.165138277182</v>
      </c>
      <c r="E373" s="14">
        <f ca="1"/>
        <v>30516.441064722701</v>
      </c>
      <c r="F373" s="14">
        <f ca="1"/>
        <v>27730.587692073645</v>
      </c>
      <c r="G373" s="14">
        <f ca="1"/>
        <v>24134.821634408196</v>
      </c>
      <c r="H373" s="14">
        <f ca="1"/>
        <v>21727.349802034398</v>
      </c>
      <c r="I373" s="14">
        <f ca="1"/>
        <v>19730.0040858014</v>
      </c>
      <c r="J373" s="14">
        <f ca="1"/>
        <v>17832.111958131853</v>
      </c>
      <c r="K373" s="14">
        <f ca="1"/>
        <v>16091.503358394855</v>
      </c>
      <c r="M373" s="4" t="str">
        <f t="shared" si="22"/>
        <v>$M(2015) per Mtonne</v>
      </c>
      <c r="O373"/>
      <c r="P373"/>
    </row>
    <row r="374" spans="1:16" s="7" customFormat="1" x14ac:dyDescent="0.2">
      <c r="A374" s="4" t="str">
        <v>EE N2O</v>
      </c>
      <c r="B374" s="14">
        <f ca="1"/>
        <v>20974.956712355299</v>
      </c>
      <c r="C374" s="14">
        <f ca="1"/>
        <v>19994.643648773454</v>
      </c>
      <c r="D374" s="14">
        <f ca="1"/>
        <v>19060.147781184347</v>
      </c>
      <c r="E374" s="14">
        <f ca="1"/>
        <v>17320.142225923697</v>
      </c>
      <c r="F374" s="14">
        <f ca="1"/>
        <v>15738.982203609366</v>
      </c>
      <c r="G374" s="14">
        <f ca="1"/>
        <v>13731.588760212826</v>
      </c>
      <c r="H374" s="14">
        <f ca="1"/>
        <v>12367.897671498529</v>
      </c>
      <c r="I374" s="14">
        <f ca="1"/>
        <v>11231.351108244795</v>
      </c>
      <c r="J374" s="14">
        <f ca="1"/>
        <v>10153.776008617055</v>
      </c>
      <c r="K374" s="14">
        <f ca="1"/>
        <v>9165.8636758156354</v>
      </c>
      <c r="M374" s="4" t="str">
        <f t="shared" si="22"/>
        <v>$M(2015) per Mtonne</v>
      </c>
      <c r="O374"/>
      <c r="P374"/>
    </row>
    <row r="375" spans="1:16" s="7" customFormat="1" x14ac:dyDescent="0.2">
      <c r="A375" s="4" t="str">
        <v>CA N2O</v>
      </c>
      <c r="B375" s="14">
        <f ca="1"/>
        <v>29964.223874793279</v>
      </c>
      <c r="C375" s="14">
        <f ca="1"/>
        <v>28563.776641104931</v>
      </c>
      <c r="D375" s="14">
        <f ca="1"/>
        <v>27228.782544549063</v>
      </c>
      <c r="E375" s="14">
        <f ca="1"/>
        <v>24743.060322748133</v>
      </c>
      <c r="F375" s="14">
        <f ca="1"/>
        <v>22484.260290870519</v>
      </c>
      <c r="G375" s="14">
        <f ca="1"/>
        <v>19190.942559384075</v>
      </c>
      <c r="H375" s="14">
        <f ca="1"/>
        <v>17211.871080482899</v>
      </c>
      <c r="I375" s="14">
        <f ca="1"/>
        <v>15625.315866841518</v>
      </c>
      <c r="J375" s="14">
        <f ca="1"/>
        <v>14092.683349064917</v>
      </c>
      <c r="K375" s="14">
        <f ca="1"/>
        <v>12683.624596488979</v>
      </c>
      <c r="M375" s="4" t="str">
        <f t="shared" si="22"/>
        <v>$M(2015) per Mtonne</v>
      </c>
      <c r="O375"/>
      <c r="P375"/>
    </row>
    <row r="376" spans="1:16" s="7" customFormat="1" x14ac:dyDescent="0.2">
      <c r="A376" s="4" t="str">
        <v>IA N2O</v>
      </c>
      <c r="B376" s="14">
        <f ca="1"/>
        <v>36955.876112245052</v>
      </c>
      <c r="C376" s="14">
        <f ca="1"/>
        <v>35228.657857362756</v>
      </c>
      <c r="D376" s="14">
        <f ca="1"/>
        <v>33582.165138277182</v>
      </c>
      <c r="E376" s="14">
        <f ca="1"/>
        <v>30516.441064722701</v>
      </c>
      <c r="F376" s="14">
        <f ca="1"/>
        <v>27730.587692073645</v>
      </c>
      <c r="G376" s="14">
        <f ca="1"/>
        <v>24001.545741744361</v>
      </c>
      <c r="H376" s="14">
        <f ca="1"/>
        <v>21583.736186458384</v>
      </c>
      <c r="I376" s="14">
        <f ca="1"/>
        <v>19598.011456191496</v>
      </c>
      <c r="J376" s="14">
        <f ca="1"/>
        <v>17701.919062926561</v>
      </c>
      <c r="K376" s="14">
        <f ca="1"/>
        <v>15961.609246852842</v>
      </c>
      <c r="M376" s="4" t="str">
        <f t="shared" si="22"/>
        <v>$M(2015) per Mtonne</v>
      </c>
      <c r="O376"/>
      <c r="P376"/>
    </row>
    <row r="377" spans="1:16" s="7" customFormat="1" x14ac:dyDescent="0.2">
      <c r="A377" s="4" t="str">
        <v>AF N2O</v>
      </c>
      <c r="B377" s="14">
        <f ca="1"/>
        <v>36955.876112245052</v>
      </c>
      <c r="C377" s="14">
        <f ca="1"/>
        <v>35228.657857362756</v>
      </c>
      <c r="D377" s="14">
        <f ca="1"/>
        <v>33582.165138277182</v>
      </c>
      <c r="E377" s="14">
        <f ca="1"/>
        <v>30516.441064722701</v>
      </c>
      <c r="F377" s="14">
        <f ca="1"/>
        <v>27730.587692073645</v>
      </c>
      <c r="G377" s="14">
        <f ca="1"/>
        <v>23769.283716020487</v>
      </c>
      <c r="H377" s="14">
        <f ca="1"/>
        <v>21334.978442213382</v>
      </c>
      <c r="I377" s="14">
        <f ca="1"/>
        <v>19369.485140341287</v>
      </c>
      <c r="J377" s="14">
        <f ca="1"/>
        <v>17477.275985814405</v>
      </c>
      <c r="K377" s="14">
        <f ca="1"/>
        <v>15738.441344381014</v>
      </c>
      <c r="M377" s="4" t="str">
        <f t="shared" si="22"/>
        <v>$M(2015) per Mtonne</v>
      </c>
      <c r="O377" s="4"/>
      <c r="P377" s="4"/>
    </row>
    <row r="378" spans="1:16" s="7" customFormat="1" ht="13.5" thickBot="1" x14ac:dyDescent="0.25">
      <c r="A378" s="4" t="str">
        <v>LA N2O</v>
      </c>
      <c r="B378" s="16">
        <f ca="1"/>
        <v>20974.956712355299</v>
      </c>
      <c r="C378" s="16">
        <f ca="1"/>
        <v>19994.643648773454</v>
      </c>
      <c r="D378" s="16">
        <f ca="1"/>
        <v>19060.147781184347</v>
      </c>
      <c r="E378" s="16">
        <f ca="1"/>
        <v>17320.142225923697</v>
      </c>
      <c r="F378" s="16">
        <f ca="1"/>
        <v>15738.982203609366</v>
      </c>
      <c r="G378" s="16">
        <f ca="1"/>
        <v>13502.149923217828</v>
      </c>
      <c r="H378" s="16">
        <f ca="1"/>
        <v>12121.289370278639</v>
      </c>
      <c r="I378" s="16">
        <f ca="1"/>
        <v>11004.74014545516</v>
      </c>
      <c r="J378" s="16">
        <f ca="1"/>
        <v>9930.5709412224696</v>
      </c>
      <c r="K378" s="16">
        <f ca="1"/>
        <v>8943.565550039797</v>
      </c>
      <c r="M378" s="4" t="str">
        <f t="shared" si="22"/>
        <v>$M(2015) per Mtonne</v>
      </c>
    </row>
    <row r="379" spans="1:16" s="2" customFormat="1" ht="15" thickTop="1" x14ac:dyDescent="0.25">
      <c r="A379" s="2" t="s">
        <v>317</v>
      </c>
      <c r="B379" s="2" t="s">
        <v>321</v>
      </c>
    </row>
    <row r="380" spans="1:16" s="7" customFormat="1" x14ac:dyDescent="0.2">
      <c r="A380" s="4" t="str">
        <f t="array" ref="A380:A387">R_CODE&amp;" "&amp;GLIN_NAME</f>
        <v>EU Lin</v>
      </c>
      <c r="B380" s="12">
        <f t="array" aca="1" ref="B380:K387" ca="1">CMAX_INIT_GLIN*learnfac_glin*AUTOFAC</f>
        <v>365.4173643267473</v>
      </c>
      <c r="C380" s="12">
        <f ca="1"/>
        <v>348.33873952566989</v>
      </c>
      <c r="D380" s="12">
        <f ca="1"/>
        <v>332.05832371401294</v>
      </c>
      <c r="E380" s="12">
        <f ca="1"/>
        <v>301.74463808229433</v>
      </c>
      <c r="F380" s="12">
        <f ca="1"/>
        <v>274.19829623012828</v>
      </c>
      <c r="G380" s="12">
        <f ca="1"/>
        <v>211.47726136579885</v>
      </c>
      <c r="H380" s="12">
        <f ca="1"/>
        <v>155.88398117159599</v>
      </c>
      <c r="I380" s="12">
        <f ca="1"/>
        <v>123.09306067013939</v>
      </c>
      <c r="J380" s="12">
        <f ca="1"/>
        <v>101.00280156231899</v>
      </c>
      <c r="K380" s="12">
        <f ca="1"/>
        <v>85.172887686829782</v>
      </c>
      <c r="M380" s="4" t="str">
        <f t="shared" ref="M380:M387" si="23">CURRENCY_NAME&amp;" per "&amp;EMIT_NAME</f>
        <v>$M(2015) per Mtonne</v>
      </c>
      <c r="O380"/>
      <c r="P380"/>
    </row>
    <row r="381" spans="1:16" s="7" customFormat="1" x14ac:dyDescent="0.2">
      <c r="A381" s="4" t="str">
        <v>US Lin</v>
      </c>
      <c r="B381" s="14">
        <f ca="1"/>
        <v>365.4173643267473</v>
      </c>
      <c r="C381" s="14">
        <f ca="1"/>
        <v>348.33873952566989</v>
      </c>
      <c r="D381" s="14">
        <f ca="1"/>
        <v>332.05832371401294</v>
      </c>
      <c r="E381" s="14">
        <f ca="1"/>
        <v>301.74463808229433</v>
      </c>
      <c r="F381" s="14">
        <f ca="1"/>
        <v>274.19829623012828</v>
      </c>
      <c r="G381" s="14">
        <f ca="1"/>
        <v>198.31845062978141</v>
      </c>
      <c r="H381" s="14">
        <f ca="1"/>
        <v>140.53808496029203</v>
      </c>
      <c r="I381" s="14">
        <f ca="1"/>
        <v>109.43177344751211</v>
      </c>
      <c r="J381" s="14">
        <f ca="1"/>
        <v>89.190188805967097</v>
      </c>
      <c r="K381" s="14">
        <f ca="1"/>
        <v>74.935230743701183</v>
      </c>
      <c r="M381" s="4" t="str">
        <f t="shared" si="23"/>
        <v>$M(2015) per Mtonne</v>
      </c>
      <c r="O381"/>
      <c r="P381"/>
    </row>
    <row r="382" spans="1:16" s="7" customFormat="1" x14ac:dyDescent="0.2">
      <c r="A382" s="4" t="str">
        <v>OT Lin</v>
      </c>
      <c r="B382" s="14">
        <f ca="1"/>
        <v>450.68141600298839</v>
      </c>
      <c r="C382" s="14">
        <f ca="1"/>
        <v>429.6177787483262</v>
      </c>
      <c r="D382" s="14">
        <f ca="1"/>
        <v>409.53859924728266</v>
      </c>
      <c r="E382" s="14">
        <f ca="1"/>
        <v>372.15172030149631</v>
      </c>
      <c r="F382" s="14">
        <f ca="1"/>
        <v>338.17789868382488</v>
      </c>
      <c r="G382" s="14">
        <f ca="1"/>
        <v>261.54808579860361</v>
      </c>
      <c r="H382" s="14">
        <f ca="1"/>
        <v>193.1810570325618</v>
      </c>
      <c r="I382" s="14">
        <f ca="1"/>
        <v>152.66377640363933</v>
      </c>
      <c r="J382" s="14">
        <f ca="1"/>
        <v>125.31549104967655</v>
      </c>
      <c r="K382" s="14">
        <f ca="1"/>
        <v>105.69795939167527</v>
      </c>
      <c r="M382" s="4" t="str">
        <f t="shared" si="23"/>
        <v>$M(2015) per Mtonne</v>
      </c>
      <c r="O382"/>
      <c r="P382"/>
    </row>
    <row r="383" spans="1:16" s="7" customFormat="1" x14ac:dyDescent="0.2">
      <c r="A383" s="4" t="str">
        <v>EE Lin</v>
      </c>
      <c r="B383" s="14">
        <f ca="1"/>
        <v>255.79215502872316</v>
      </c>
      <c r="C383" s="14">
        <f ca="1"/>
        <v>243.83711766796895</v>
      </c>
      <c r="D383" s="14">
        <f ca="1"/>
        <v>232.44082659980913</v>
      </c>
      <c r="E383" s="14">
        <f ca="1"/>
        <v>211.22124665760606</v>
      </c>
      <c r="F383" s="14">
        <f ca="1"/>
        <v>191.93880736108983</v>
      </c>
      <c r="G383" s="14">
        <f ca="1"/>
        <v>152.68237575068528</v>
      </c>
      <c r="H383" s="14">
        <f ca="1"/>
        <v>115.3062210737309</v>
      </c>
      <c r="I383" s="14">
        <f ca="1"/>
        <v>91.954054226027935</v>
      </c>
      <c r="J383" s="14">
        <f ca="1"/>
        <v>75.831541834507235</v>
      </c>
      <c r="K383" s="14">
        <f ca="1"/>
        <v>64.127284751839198</v>
      </c>
      <c r="M383" s="4" t="str">
        <f t="shared" si="23"/>
        <v>$M(2015) per Mtonne</v>
      </c>
      <c r="O383"/>
      <c r="P383"/>
    </row>
    <row r="384" spans="1:16" s="7" customFormat="1" x14ac:dyDescent="0.2">
      <c r="A384" s="4" t="str">
        <v>CA Lin</v>
      </c>
      <c r="B384" s="14">
        <f ca="1"/>
        <v>365.4173643267473</v>
      </c>
      <c r="C384" s="14">
        <f ca="1"/>
        <v>348.33873952566989</v>
      </c>
      <c r="D384" s="14">
        <f ca="1"/>
        <v>332.05832371401294</v>
      </c>
      <c r="E384" s="14">
        <f ca="1"/>
        <v>301.74463808229433</v>
      </c>
      <c r="F384" s="14">
        <f ca="1"/>
        <v>274.19829623012828</v>
      </c>
      <c r="G384" s="14">
        <f ca="1"/>
        <v>211.09628211596345</v>
      </c>
      <c r="H384" s="14">
        <f ca="1"/>
        <v>155.40238701791901</v>
      </c>
      <c r="I384" s="14">
        <f ca="1"/>
        <v>122.65178561704622</v>
      </c>
      <c r="J384" s="14">
        <f ca="1"/>
        <v>100.61589513401455</v>
      </c>
      <c r="K384" s="14">
        <f ca="1"/>
        <v>84.835004715886896</v>
      </c>
      <c r="M384" s="4" t="str">
        <f t="shared" si="23"/>
        <v>$M(2015) per Mtonne</v>
      </c>
      <c r="O384"/>
      <c r="P384"/>
    </row>
    <row r="385" spans="1:16" s="7" customFormat="1" x14ac:dyDescent="0.2">
      <c r="A385" s="4" t="str">
        <v>IA Lin</v>
      </c>
      <c r="B385" s="14">
        <f ca="1"/>
        <v>450.68141600298839</v>
      </c>
      <c r="C385" s="14">
        <f ca="1"/>
        <v>429.6177787483262</v>
      </c>
      <c r="D385" s="14">
        <f ca="1"/>
        <v>409.53859924728266</v>
      </c>
      <c r="E385" s="14">
        <f ca="1"/>
        <v>372.15172030149631</v>
      </c>
      <c r="F385" s="14">
        <f ca="1"/>
        <v>338.17789868382488</v>
      </c>
      <c r="G385" s="14">
        <f ca="1"/>
        <v>263.17042111708878</v>
      </c>
      <c r="H385" s="14">
        <f ca="1"/>
        <v>195.27395844494887</v>
      </c>
      <c r="I385" s="14">
        <f ca="1"/>
        <v>154.59671626872935</v>
      </c>
      <c r="J385" s="14">
        <f ca="1"/>
        <v>127.01698929570053</v>
      </c>
      <c r="K385" s="14">
        <f ca="1"/>
        <v>107.18713930367562</v>
      </c>
      <c r="M385" s="4" t="str">
        <f t="shared" si="23"/>
        <v>$M(2015) per Mtonne</v>
      </c>
      <c r="O385"/>
      <c r="P385"/>
    </row>
    <row r="386" spans="1:16" s="7" customFormat="1" x14ac:dyDescent="0.2">
      <c r="A386" s="4" t="str">
        <v>AF Lin</v>
      </c>
      <c r="B386" s="14">
        <f ca="1"/>
        <v>450.68141600298839</v>
      </c>
      <c r="C386" s="14">
        <f ca="1"/>
        <v>429.6177787483262</v>
      </c>
      <c r="D386" s="14">
        <f ca="1"/>
        <v>409.53859924728266</v>
      </c>
      <c r="E386" s="14">
        <f ca="1"/>
        <v>372.15172030149631</v>
      </c>
      <c r="F386" s="14">
        <f ca="1"/>
        <v>338.17789868382488</v>
      </c>
      <c r="G386" s="14">
        <f ca="1"/>
        <v>267.26128710048772</v>
      </c>
      <c r="H386" s="14">
        <f ca="1"/>
        <v>200.73517238612339</v>
      </c>
      <c r="I386" s="14">
        <f ca="1"/>
        <v>159.71062042620844</v>
      </c>
      <c r="J386" s="14">
        <f ca="1"/>
        <v>131.55013118460005</v>
      </c>
      <c r="K386" s="14">
        <f ca="1"/>
        <v>111.17019247160501</v>
      </c>
      <c r="M386" s="4" t="str">
        <f t="shared" si="23"/>
        <v>$M(2015) per Mtonne</v>
      </c>
      <c r="O386" s="4"/>
      <c r="P386" s="4"/>
    </row>
    <row r="387" spans="1:16" s="7" customFormat="1" ht="13.5" thickBot="1" x14ac:dyDescent="0.25">
      <c r="A387" s="4" t="str">
        <v>LA Lin</v>
      </c>
      <c r="B387" s="16">
        <f ca="1"/>
        <v>255.79215502872316</v>
      </c>
      <c r="C387" s="16">
        <f ca="1"/>
        <v>243.83711766796895</v>
      </c>
      <c r="D387" s="16">
        <f ca="1"/>
        <v>232.44082659980913</v>
      </c>
      <c r="E387" s="16">
        <f ca="1"/>
        <v>211.22124665760606</v>
      </c>
      <c r="F387" s="16">
        <f ca="1"/>
        <v>191.93880736108983</v>
      </c>
      <c r="G387" s="16">
        <f ca="1"/>
        <v>152.18757980369426</v>
      </c>
      <c r="H387" s="16">
        <f ca="1"/>
        <v>114.61736505767684</v>
      </c>
      <c r="I387" s="16">
        <f ca="1"/>
        <v>91.29767766024824</v>
      </c>
      <c r="J387" s="16">
        <f ca="1"/>
        <v>75.244492477601554</v>
      </c>
      <c r="K387" s="16">
        <f ca="1"/>
        <v>63.608868487894931</v>
      </c>
      <c r="M387" s="4" t="str">
        <f t="shared" si="23"/>
        <v>$M(2015) per Mtonne</v>
      </c>
    </row>
    <row r="388" spans="1:16" s="2" customFormat="1" ht="15" thickTop="1" x14ac:dyDescent="0.25">
      <c r="A388" s="2" t="s">
        <v>323</v>
      </c>
      <c r="B388" s="2" t="s">
        <v>324</v>
      </c>
    </row>
    <row r="389" spans="1:16" s="6" customFormat="1" x14ac:dyDescent="0.2">
      <c r="A389" s="4" t="str">
        <f t="array" ref="A389:A396">R_CODE&amp;" "&amp;'Base data'!$B$12</f>
        <v>EU CO2</v>
      </c>
      <c r="B389" s="32">
        <f t="array" aca="1" ref="B389:K396" ca="1">IF(Q0_CO2=0,0,-2*LN((1+CURVE_BELOW)/(1-CURVE_BELOW))/Q0_CO2)</f>
        <v>-6.3531709335396258E-3</v>
      </c>
      <c r="C389" s="32">
        <f ca="1"/>
        <v>-6.0802357934618247E-3</v>
      </c>
      <c r="D389" s="32">
        <f ca="1"/>
        <v>-5.8474406897347135E-3</v>
      </c>
      <c r="E389" s="32">
        <f ca="1"/>
        <v>-5.1884571093676066E-3</v>
      </c>
      <c r="F389" s="32">
        <f ca="1"/>
        <v>-4.5734983360506999E-3</v>
      </c>
      <c r="G389" s="32">
        <f ca="1"/>
        <v>-3.9435620524532191E-3</v>
      </c>
      <c r="H389" s="32">
        <f ca="1"/>
        <v>-3.4985561489385662E-3</v>
      </c>
      <c r="I389" s="32">
        <f ca="1"/>
        <v>-3.3199354180945819E-3</v>
      </c>
      <c r="J389" s="32">
        <f ca="1"/>
        <v>-3.3953056438620517E-3</v>
      </c>
      <c r="K389" s="32">
        <f ca="1"/>
        <v>-3.4576311291198091E-3</v>
      </c>
      <c r="M389" s="4" t="str">
        <f t="shared" ref="M389:M396" si="24">"per "&amp;EMIT_NAME</f>
        <v>per Mtonne</v>
      </c>
    </row>
    <row r="390" spans="1:16" s="6" customFormat="1" x14ac:dyDescent="0.2">
      <c r="A390" s="4" t="str">
        <v>US CO2</v>
      </c>
      <c r="B390" s="33">
        <f ca="1"/>
        <v>-3.9152862138707775E-3</v>
      </c>
      <c r="C390" s="33">
        <f ca="1"/>
        <v>-3.5028112269682829E-3</v>
      </c>
      <c r="D390" s="33">
        <f ca="1"/>
        <v>-3.1875237025254031E-3</v>
      </c>
      <c r="E390" s="33">
        <f ca="1"/>
        <v>-2.7061140262370762E-3</v>
      </c>
      <c r="F390" s="33">
        <f ca="1"/>
        <v>-2.3489127769894362E-3</v>
      </c>
      <c r="G390" s="33">
        <f ca="1"/>
        <v>-2.0344510628733741E-3</v>
      </c>
      <c r="H390" s="33">
        <f ca="1"/>
        <v>-1.9431750600690367E-3</v>
      </c>
      <c r="I390" s="33">
        <f ca="1"/>
        <v>-1.8777481272223948E-3</v>
      </c>
      <c r="J390" s="33">
        <f ca="1"/>
        <v>-2.0417852405693634E-3</v>
      </c>
      <c r="K390" s="33">
        <f ca="1"/>
        <v>-2.3091025366639368E-3</v>
      </c>
      <c r="M390" s="4" t="str">
        <f t="shared" si="24"/>
        <v>per Mtonne</v>
      </c>
    </row>
    <row r="391" spans="1:16" s="6" customFormat="1" x14ac:dyDescent="0.2">
      <c r="A391" s="4" t="str">
        <v>OT CO2</v>
      </c>
      <c r="B391" s="33">
        <f ca="1"/>
        <v>-6.7743189218192586E-3</v>
      </c>
      <c r="C391" s="33">
        <f ca="1"/>
        <v>-6.4832910708137919E-3</v>
      </c>
      <c r="D391" s="33">
        <f ca="1"/>
        <v>-6.2350641157101578E-3</v>
      </c>
      <c r="E391" s="33">
        <f ca="1"/>
        <v>-5.5323968989220984E-3</v>
      </c>
      <c r="F391" s="33">
        <f ca="1"/>
        <v>-4.8766728679147239E-3</v>
      </c>
      <c r="G391" s="33">
        <f ca="1"/>
        <v>-4.2049784762233974E-3</v>
      </c>
      <c r="H391" s="33">
        <f ca="1"/>
        <v>-3.730473391434026E-3</v>
      </c>
      <c r="I391" s="33">
        <f ca="1"/>
        <v>-3.5400119967314873E-3</v>
      </c>
      <c r="J391" s="33">
        <f ca="1"/>
        <v>-3.6203784707173987E-3</v>
      </c>
      <c r="K391" s="33">
        <f ca="1"/>
        <v>-3.6868354759687842E-3</v>
      </c>
      <c r="M391" s="4" t="str">
        <f t="shared" si="24"/>
        <v>per Mtonne</v>
      </c>
    </row>
    <row r="392" spans="1:16" s="6" customFormat="1" x14ac:dyDescent="0.2">
      <c r="A392" s="4" t="str">
        <v>EE CO2</v>
      </c>
      <c r="B392" s="33">
        <f ca="1"/>
        <v>-9.8443850889915994E-3</v>
      </c>
      <c r="C392" s="33">
        <f ca="1"/>
        <v>-9.3801427358281581E-3</v>
      </c>
      <c r="D392" s="33">
        <f ca="1"/>
        <v>-8.9866370789642366E-3</v>
      </c>
      <c r="E392" s="33">
        <f ca="1"/>
        <v>-7.7099421012322752E-3</v>
      </c>
      <c r="F392" s="33">
        <f ca="1"/>
        <v>-6.6329801115990374E-3</v>
      </c>
      <c r="G392" s="33">
        <f ca="1"/>
        <v>-5.827122727397758E-3</v>
      </c>
      <c r="H392" s="33">
        <f ca="1"/>
        <v>-5.677480800885361E-3</v>
      </c>
      <c r="I392" s="33">
        <f ca="1"/>
        <v>-6.2289209353145721E-3</v>
      </c>
      <c r="J392" s="33">
        <f ca="1"/>
        <v>-7.4213847004052647E-3</v>
      </c>
      <c r="K392" s="33">
        <f ca="1"/>
        <v>-9.0418970767451815E-3</v>
      </c>
      <c r="M392" s="4" t="str">
        <f t="shared" si="24"/>
        <v>per Mtonne</v>
      </c>
    </row>
    <row r="393" spans="1:16" s="6" customFormat="1" x14ac:dyDescent="0.2">
      <c r="A393" s="4" t="str">
        <v>CA CO2</v>
      </c>
      <c r="B393" s="33">
        <f ca="1"/>
        <v>-2.8344098000661825E-3</v>
      </c>
      <c r="C393" s="33">
        <f ca="1"/>
        <v>-2.6103310722479264E-3</v>
      </c>
      <c r="D393" s="33">
        <f ca="1"/>
        <v>-2.430463816717205E-3</v>
      </c>
      <c r="E393" s="33">
        <f ca="1"/>
        <v>-2.170564077733078E-3</v>
      </c>
      <c r="F393" s="33">
        <f ca="1"/>
        <v>-2.1346271219702963E-3</v>
      </c>
      <c r="G393" s="33">
        <f ca="1"/>
        <v>-2.1257588662935436E-3</v>
      </c>
      <c r="H393" s="33">
        <f ca="1"/>
        <v>-2.204619295616952E-3</v>
      </c>
      <c r="I393" s="33">
        <f ca="1"/>
        <v>-2.4808238700614262E-3</v>
      </c>
      <c r="J393" s="33">
        <f ca="1"/>
        <v>-3.1156657568973531E-3</v>
      </c>
      <c r="K393" s="33">
        <f ca="1"/>
        <v>-4.1486216669995944E-3</v>
      </c>
      <c r="M393" s="4" t="str">
        <f t="shared" si="24"/>
        <v>per Mtonne</v>
      </c>
    </row>
    <row r="394" spans="1:16" s="6" customFormat="1" x14ac:dyDescent="0.2">
      <c r="A394" s="4" t="str">
        <v>IA CO2</v>
      </c>
      <c r="B394" s="33">
        <f ca="1"/>
        <v>-4.6956497752479532E-3</v>
      </c>
      <c r="C394" s="33">
        <f ca="1"/>
        <v>-3.968092768715176E-3</v>
      </c>
      <c r="D394" s="33">
        <f ca="1"/>
        <v>-3.4628843887683143E-3</v>
      </c>
      <c r="E394" s="33">
        <f ca="1"/>
        <v>-2.5696093920775705E-3</v>
      </c>
      <c r="F394" s="33">
        <f ca="1"/>
        <v>-1.9761409380437676E-3</v>
      </c>
      <c r="G394" s="33">
        <f ca="1"/>
        <v>-1.6106822642867934E-3</v>
      </c>
      <c r="H394" s="33">
        <f ca="1"/>
        <v>-1.3877509311360074E-3</v>
      </c>
      <c r="I394" s="33">
        <f ca="1"/>
        <v>-1.2649965326383108E-3</v>
      </c>
      <c r="J394" s="33">
        <f ca="1"/>
        <v>-1.2904730975522179E-3</v>
      </c>
      <c r="K394" s="33">
        <f ca="1"/>
        <v>-1.4043832436908535E-3</v>
      </c>
      <c r="M394" s="4" t="str">
        <f t="shared" si="24"/>
        <v>per Mtonne</v>
      </c>
    </row>
    <row r="395" spans="1:16" s="6" customFormat="1" x14ac:dyDescent="0.2">
      <c r="A395" s="4" t="str">
        <v>AF CO2</v>
      </c>
      <c r="B395" s="33">
        <f ca="1"/>
        <v>-4.8341167413202381E-3</v>
      </c>
      <c r="C395" s="33">
        <f ca="1"/>
        <v>-4.2417260839582825E-3</v>
      </c>
      <c r="D395" s="33">
        <f ca="1"/>
        <v>-3.8035539311413766E-3</v>
      </c>
      <c r="E395" s="33">
        <f ca="1"/>
        <v>-2.6759794575614338E-3</v>
      </c>
      <c r="F395" s="33">
        <f ca="1"/>
        <v>-1.8717271146937247E-3</v>
      </c>
      <c r="G395" s="33">
        <f ca="1"/>
        <v>-1.3457831285456541E-3</v>
      </c>
      <c r="H395" s="33">
        <f ca="1"/>
        <v>-1.0662172245780466E-3</v>
      </c>
      <c r="I395" s="33">
        <f ca="1"/>
        <v>-9.1802425687061747E-4</v>
      </c>
      <c r="J395" s="33">
        <f ca="1"/>
        <v>-8.9479835081545506E-4</v>
      </c>
      <c r="K395" s="33">
        <f ca="1"/>
        <v>-9.1834481219732196E-4</v>
      </c>
      <c r="M395" s="4" t="str">
        <f t="shared" si="24"/>
        <v>per Mtonne</v>
      </c>
    </row>
    <row r="396" spans="1:16" s="6" customFormat="1" ht="13.5" thickBot="1" x14ac:dyDescent="0.25">
      <c r="A396" s="4" t="str">
        <v>LA CO2</v>
      </c>
      <c r="B396" s="34">
        <f ca="1"/>
        <v>-9.0657195529681399E-3</v>
      </c>
      <c r="C396" s="34">
        <f ca="1"/>
        <v>-7.7273402865809596E-3</v>
      </c>
      <c r="D396" s="34">
        <f ca="1"/>
        <v>-6.7845241036710293E-3</v>
      </c>
      <c r="E396" s="34">
        <f ca="1"/>
        <v>-5.3757042997275711E-3</v>
      </c>
      <c r="F396" s="34">
        <f ca="1"/>
        <v>-4.6943652100035014E-3</v>
      </c>
      <c r="G396" s="34">
        <f ca="1"/>
        <v>-4.3427363620002057E-3</v>
      </c>
      <c r="H396" s="34">
        <f ca="1"/>
        <v>-4.1798377366945895E-3</v>
      </c>
      <c r="I396" s="34">
        <f ca="1"/>
        <v>-4.2677041440795094E-3</v>
      </c>
      <c r="J396" s="34">
        <f ca="1"/>
        <v>-4.6641852037018839E-3</v>
      </c>
      <c r="K396" s="34">
        <f ca="1"/>
        <v>-5.153291274148231E-3</v>
      </c>
      <c r="M396" s="4" t="str">
        <f t="shared" si="24"/>
        <v>per Mtonne</v>
      </c>
    </row>
    <row r="397" spans="1:16" s="2" customFormat="1" ht="15" thickTop="1" x14ac:dyDescent="0.25">
      <c r="A397" s="2" t="s">
        <v>323</v>
      </c>
      <c r="B397" s="2" t="s">
        <v>325</v>
      </c>
    </row>
    <row r="398" spans="1:16" s="7" customFormat="1" x14ac:dyDescent="0.2">
      <c r="A398" s="4" t="str">
        <f t="array" ref="A398:A405">R_CODE&amp;" "&amp;'Base data'!$C$12</f>
        <v>EU CH4</v>
      </c>
      <c r="B398" s="29">
        <f t="array" aca="1" ref="B398:K405" ca="1">IF(Q0_CH4=0,0,-2*LN((1+CURVE_BELOW)/(1-CURVE_BELOW))/Q0_CH4)</f>
        <v>-1.1358330781401003</v>
      </c>
      <c r="C398" s="29">
        <f ca="1"/>
        <v>-1.100525321789223</v>
      </c>
      <c r="D398" s="29">
        <f ca="1"/>
        <v>-1.0707579691480478</v>
      </c>
      <c r="E398" s="29">
        <f ca="1"/>
        <v>-0.96806161338910457</v>
      </c>
      <c r="F398" s="29">
        <f ca="1"/>
        <v>-0.9095167572964612</v>
      </c>
      <c r="G398" s="29">
        <f ca="1"/>
        <v>-0.93875921155973041</v>
      </c>
      <c r="H398" s="29">
        <f ca="1"/>
        <v>-0.95560463621160252</v>
      </c>
      <c r="I398" s="29">
        <f ca="1"/>
        <v>-1.0076687584106725</v>
      </c>
      <c r="J398" s="29">
        <f ca="1"/>
        <v>-0.94246214145038321</v>
      </c>
      <c r="K398" s="29">
        <f ca="1"/>
        <v>-1.1099843842443877</v>
      </c>
      <c r="M398" s="4" t="str">
        <f t="shared" ref="M398:M405" si="25">"per "&amp;EMIT_NAME</f>
        <v>per Mtonne</v>
      </c>
    </row>
    <row r="399" spans="1:16" s="7" customFormat="1" x14ac:dyDescent="0.2">
      <c r="A399" s="4" t="str">
        <v>US CH4</v>
      </c>
      <c r="B399" s="26">
        <f ca="1"/>
        <v>-0.73813328230133912</v>
      </c>
      <c r="C399" s="26">
        <f ca="1"/>
        <v>-0.70327843384175825</v>
      </c>
      <c r="D399" s="26">
        <f ca="1"/>
        <v>-0.67433195801862378</v>
      </c>
      <c r="E399" s="26">
        <f ca="1"/>
        <v>-0.60712707790535259</v>
      </c>
      <c r="F399" s="26">
        <f ca="1"/>
        <v>-0.56077540068453757</v>
      </c>
      <c r="G399" s="26">
        <f ca="1"/>
        <v>-0.57007612607729163</v>
      </c>
      <c r="H399" s="26">
        <f ca="1"/>
        <v>-0.63813009605264692</v>
      </c>
      <c r="I399" s="26">
        <f ca="1"/>
        <v>-0.65790715396442179</v>
      </c>
      <c r="J399" s="26">
        <f ca="1"/>
        <v>-0.69604495689411672</v>
      </c>
      <c r="K399" s="26">
        <f ca="1"/>
        <v>-0.77615294962243742</v>
      </c>
      <c r="M399" s="4" t="str">
        <f t="shared" si="25"/>
        <v>per Mtonne</v>
      </c>
    </row>
    <row r="400" spans="1:16" s="7" customFormat="1" x14ac:dyDescent="0.2">
      <c r="A400" s="4" t="str">
        <v>OT CH4</v>
      </c>
      <c r="B400" s="26">
        <f ca="1"/>
        <v>-1.45116244764057</v>
      </c>
      <c r="C400" s="26">
        <f ca="1"/>
        <v>-1.4424375628899724</v>
      </c>
      <c r="D400" s="26">
        <f ca="1"/>
        <v>-1.4362684096512504</v>
      </c>
      <c r="E400" s="26">
        <f ca="1"/>
        <v>-1.2526370391578023</v>
      </c>
      <c r="F400" s="26">
        <f ca="1"/>
        <v>-1.1441530179907879</v>
      </c>
      <c r="G400" s="26">
        <f ca="1"/>
        <v>-1.1549848640735401</v>
      </c>
      <c r="H400" s="26">
        <f ca="1"/>
        <v>-1.3453917762334835</v>
      </c>
      <c r="I400" s="26">
        <f ca="1"/>
        <v>-1.5941229255249103</v>
      </c>
      <c r="J400" s="26">
        <f ca="1"/>
        <v>-1.7315245728541802</v>
      </c>
      <c r="K400" s="26">
        <f ca="1"/>
        <v>-1.3436617226569709</v>
      </c>
      <c r="M400" s="4" t="str">
        <f t="shared" si="25"/>
        <v>per Mtonne</v>
      </c>
    </row>
    <row r="401" spans="1:13" s="7" customFormat="1" x14ac:dyDescent="0.2">
      <c r="A401" s="4" t="str">
        <v>EE CH4</v>
      </c>
      <c r="B401" s="26">
        <f ca="1"/>
        <v>-0.81290440908859318</v>
      </c>
      <c r="C401" s="26">
        <f ca="1"/>
        <v>-0.80239881456454154</v>
      </c>
      <c r="D401" s="26">
        <f ca="1"/>
        <v>-0.79384572589824987</v>
      </c>
      <c r="E401" s="26">
        <f ca="1"/>
        <v>-0.73229188482427288</v>
      </c>
      <c r="F401" s="26">
        <f ca="1"/>
        <v>-0.66533694688786438</v>
      </c>
      <c r="G401" s="26">
        <f ca="1"/>
        <v>-0.62186818403808775</v>
      </c>
      <c r="H401" s="26">
        <f ca="1"/>
        <v>-0.59220219647898587</v>
      </c>
      <c r="I401" s="26">
        <f ca="1"/>
        <v>-0.57578518880073748</v>
      </c>
      <c r="J401" s="26">
        <f ca="1"/>
        <v>-0.60231878731421395</v>
      </c>
      <c r="K401" s="26">
        <f ca="1"/>
        <v>-0.65874557911292808</v>
      </c>
      <c r="M401" s="4" t="str">
        <f t="shared" si="25"/>
        <v>per Mtonne</v>
      </c>
    </row>
    <row r="402" spans="1:13" s="7" customFormat="1" x14ac:dyDescent="0.2">
      <c r="A402" s="4" t="str">
        <v>CA CH4</v>
      </c>
      <c r="B402" s="26">
        <f ca="1"/>
        <v>-0.52171712506050949</v>
      </c>
      <c r="C402" s="26">
        <f ca="1"/>
        <v>-0.59945289953907943</v>
      </c>
      <c r="D402" s="26">
        <f ca="1"/>
        <v>-0.69786829072008283</v>
      </c>
      <c r="E402" s="26">
        <f ca="1"/>
        <v>-0.77284074186017626</v>
      </c>
      <c r="F402" s="26">
        <f ca="1"/>
        <v>-0.88670185549127678</v>
      </c>
      <c r="G402" s="26">
        <f ca="1"/>
        <v>-0.97315412362076092</v>
      </c>
      <c r="H402" s="26">
        <f ca="1"/>
        <v>-1.0738147518263015</v>
      </c>
      <c r="I402" s="26">
        <f ca="1"/>
        <v>-1.3965516727787972</v>
      </c>
      <c r="J402" s="26">
        <f ca="1"/>
        <v>-1.7574320470830604</v>
      </c>
      <c r="K402" s="26">
        <f ca="1"/>
        <v>-2.2002729566881998</v>
      </c>
      <c r="M402" s="4" t="str">
        <f t="shared" si="25"/>
        <v>per Mtonne</v>
      </c>
    </row>
    <row r="403" spans="1:13" s="7" customFormat="1" x14ac:dyDescent="0.2">
      <c r="A403" s="4" t="str">
        <v>IA CH4</v>
      </c>
      <c r="B403" s="26">
        <f ca="1"/>
        <v>-0.3967778385050259</v>
      </c>
      <c r="C403" s="26">
        <f ca="1"/>
        <v>-0.40179194461183049</v>
      </c>
      <c r="D403" s="26">
        <f ca="1"/>
        <v>-0.40716153147468803</v>
      </c>
      <c r="E403" s="26">
        <f ca="1"/>
        <v>-0.41165423657534311</v>
      </c>
      <c r="F403" s="26">
        <f ca="1"/>
        <v>-0.41849598888749306</v>
      </c>
      <c r="G403" s="26">
        <f ca="1"/>
        <v>-0.56892428960042307</v>
      </c>
      <c r="H403" s="26">
        <f ca="1"/>
        <v>-0.7305663358123492</v>
      </c>
      <c r="I403" s="26">
        <f ca="1"/>
        <v>-1.009302222480795</v>
      </c>
      <c r="J403" s="26">
        <f ca="1"/>
        <v>-1.2471896115008276</v>
      </c>
      <c r="K403" s="26">
        <f ca="1"/>
        <v>-1.5296811001483672</v>
      </c>
      <c r="M403" s="4" t="str">
        <f t="shared" si="25"/>
        <v>per Mtonne</v>
      </c>
    </row>
    <row r="404" spans="1:13" s="7" customFormat="1" x14ac:dyDescent="0.2">
      <c r="A404" s="4" t="str">
        <v>AF CH4</v>
      </c>
      <c r="B404" s="26">
        <f ca="1"/>
        <v>-0.39106402531456341</v>
      </c>
      <c r="C404" s="26">
        <f ca="1"/>
        <v>-0.31629528204481794</v>
      </c>
      <c r="D404" s="26">
        <f ca="1"/>
        <v>-0.26852580281445471</v>
      </c>
      <c r="E404" s="26">
        <f ca="1"/>
        <v>-0.19704134455941635</v>
      </c>
      <c r="F404" s="26">
        <f ca="1"/>
        <v>-0.1761077290120964</v>
      </c>
      <c r="G404" s="26">
        <f ca="1"/>
        <v>-0.1728049791821139</v>
      </c>
      <c r="H404" s="26">
        <f ca="1"/>
        <v>-0.17673033983637959</v>
      </c>
      <c r="I404" s="26">
        <f ca="1"/>
        <v>-0.19554785952693543</v>
      </c>
      <c r="J404" s="26">
        <f ca="1"/>
        <v>-0.25111417675466408</v>
      </c>
      <c r="K404" s="26">
        <f ca="1"/>
        <v>-0.30672553387682033</v>
      </c>
      <c r="M404" s="4" t="str">
        <f t="shared" si="25"/>
        <v>per Mtonne</v>
      </c>
    </row>
    <row r="405" spans="1:13" s="7" customFormat="1" ht="13.5" thickBot="1" x14ac:dyDescent="0.25">
      <c r="A405" s="4" t="str">
        <v>LA CH4</v>
      </c>
      <c r="B405" s="35">
        <f ca="1"/>
        <v>-0.48388442779110868</v>
      </c>
      <c r="C405" s="35">
        <f ca="1"/>
        <v>-0.4727087499172542</v>
      </c>
      <c r="D405" s="35">
        <f ca="1"/>
        <v>-0.46329899473893854</v>
      </c>
      <c r="E405" s="35">
        <f ca="1"/>
        <v>-0.47063001851209235</v>
      </c>
      <c r="F405" s="35">
        <f ca="1"/>
        <v>-0.60289395862255568</v>
      </c>
      <c r="G405" s="35">
        <f ca="1"/>
        <v>-0.68709092893652024</v>
      </c>
      <c r="H405" s="35">
        <f ca="1"/>
        <v>-0.76412426079361717</v>
      </c>
      <c r="I405" s="35">
        <f ca="1"/>
        <v>-0.88672401209502383</v>
      </c>
      <c r="J405" s="35">
        <f ca="1"/>
        <v>-1.1846542251990544</v>
      </c>
      <c r="K405" s="35">
        <f ca="1"/>
        <v>-1.4379755059426977</v>
      </c>
      <c r="M405" s="4" t="str">
        <f t="shared" si="25"/>
        <v>per Mtonne</v>
      </c>
    </row>
    <row r="406" spans="1:13" s="2" customFormat="1" ht="15" thickTop="1" x14ac:dyDescent="0.25">
      <c r="A406" s="2" t="s">
        <v>323</v>
      </c>
      <c r="B406" s="2" t="s">
        <v>326</v>
      </c>
    </row>
    <row r="407" spans="1:13" s="7" customFormat="1" x14ac:dyDescent="0.2">
      <c r="A407" s="4" t="str">
        <f t="array" ref="A407:A414">R_CODE&amp;" "&amp;'Base data'!$D$12</f>
        <v>EU N2O</v>
      </c>
      <c r="B407" s="29">
        <f t="array" aca="1" ref="B407:K414" ca="1">IF(Q0_N2O=0,0,-2*LN((1+CURVE_BELOW)/(1-CURVE_BELOW))/Q0_N2O)</f>
        <v>-15.286296481879679</v>
      </c>
      <c r="C407" s="29">
        <f ca="1"/>
        <v>-14.979284454829646</v>
      </c>
      <c r="D407" s="29">
        <f ca="1"/>
        <v>-14.699356363847592</v>
      </c>
      <c r="E407" s="29">
        <f ca="1"/>
        <v>-14.40240365463084</v>
      </c>
      <c r="F407" s="29">
        <f ca="1"/>
        <v>-15.166951769346804</v>
      </c>
      <c r="G407" s="29">
        <f ca="1"/>
        <v>-15.413845563426237</v>
      </c>
      <c r="H407" s="29">
        <f ca="1"/>
        <v>-15.984143616335523</v>
      </c>
      <c r="I407" s="29">
        <f ca="1"/>
        <v>-16.50730638664874</v>
      </c>
      <c r="J407" s="29">
        <f ca="1"/>
        <v>-17.459809033653816</v>
      </c>
      <c r="K407" s="29">
        <f ca="1"/>
        <v>-18.816747086480245</v>
      </c>
      <c r="M407" s="4" t="str">
        <f t="shared" ref="M407:M414" si="26">"per "&amp;EMIT_NAME</f>
        <v>per Mtonne</v>
      </c>
    </row>
    <row r="408" spans="1:13" s="7" customFormat="1" x14ac:dyDescent="0.2">
      <c r="A408" s="4" t="str">
        <v>US N2O</v>
      </c>
      <c r="B408" s="26">
        <f ca="1"/>
        <v>-15.997867019691498</v>
      </c>
      <c r="C408" s="26">
        <f ca="1"/>
        <v>-15.676563714602883</v>
      </c>
      <c r="D408" s="26">
        <f ca="1"/>
        <v>-15.383605091177287</v>
      </c>
      <c r="E408" s="26">
        <f ca="1"/>
        <v>-15.072829360847964</v>
      </c>
      <c r="F408" s="26">
        <f ca="1"/>
        <v>-15.872966862032804</v>
      </c>
      <c r="G408" s="26">
        <f ca="1"/>
        <v>-16.131353456218779</v>
      </c>
      <c r="H408" s="26">
        <f ca="1"/>
        <v>-16.728198638624253</v>
      </c>
      <c r="I408" s="26">
        <f ca="1"/>
        <v>-17.275714411267117</v>
      </c>
      <c r="J408" s="26">
        <f ca="1"/>
        <v>-18.272555647517809</v>
      </c>
      <c r="K408" s="26">
        <f ca="1"/>
        <v>-19.692658584079908</v>
      </c>
      <c r="M408" s="4" t="str">
        <f t="shared" si="26"/>
        <v>per Mtonne</v>
      </c>
    </row>
    <row r="409" spans="1:13" s="7" customFormat="1" x14ac:dyDescent="0.2">
      <c r="A409" s="4" t="str">
        <v>OT N2O</v>
      </c>
      <c r="B409" s="26">
        <f ca="1"/>
        <v>-32.24286696602411</v>
      </c>
      <c r="C409" s="26">
        <f ca="1"/>
        <v>-31.595296905030082</v>
      </c>
      <c r="D409" s="26">
        <f ca="1"/>
        <v>-31.004854072242793</v>
      </c>
      <c r="E409" s="26">
        <f ca="1"/>
        <v>-30.378501789345108</v>
      </c>
      <c r="F409" s="26">
        <f ca="1"/>
        <v>-31.991137209646734</v>
      </c>
      <c r="G409" s="26">
        <f ca="1"/>
        <v>-32.511901919835147</v>
      </c>
      <c r="H409" s="26">
        <f ca="1"/>
        <v>-33.714812269816505</v>
      </c>
      <c r="I409" s="26">
        <f ca="1"/>
        <v>-34.818301766097115</v>
      </c>
      <c r="J409" s="26">
        <f ca="1"/>
        <v>-36.827383309725157</v>
      </c>
      <c r="K409" s="26">
        <f ca="1"/>
        <v>-39.689526744551323</v>
      </c>
      <c r="M409" s="4" t="str">
        <f t="shared" si="26"/>
        <v>per Mtonne</v>
      </c>
    </row>
    <row r="410" spans="1:13" s="7" customFormat="1" x14ac:dyDescent="0.2">
      <c r="A410" s="4" t="str">
        <v>EE N2O</v>
      </c>
      <c r="B410" s="26">
        <f ca="1"/>
        <v>-67.194470587466654</v>
      </c>
      <c r="C410" s="26">
        <f ca="1"/>
        <v>-65.844927835494886</v>
      </c>
      <c r="D410" s="26">
        <f ca="1"/>
        <v>-64.614438822122949</v>
      </c>
      <c r="E410" s="26">
        <f ca="1"/>
        <v>-63.309114140700821</v>
      </c>
      <c r="F410" s="26">
        <f ca="1"/>
        <v>-66.669863153248286</v>
      </c>
      <c r="G410" s="26">
        <f ca="1"/>
        <v>-67.755142233381548</v>
      </c>
      <c r="H410" s="26">
        <f ca="1"/>
        <v>-70.262019931830466</v>
      </c>
      <c r="I410" s="26">
        <f ca="1"/>
        <v>-72.561703535634678</v>
      </c>
      <c r="J410" s="26">
        <f ca="1"/>
        <v>-76.748650398436666</v>
      </c>
      <c r="K410" s="26">
        <f ca="1"/>
        <v>-82.71338712768582</v>
      </c>
      <c r="M410" s="4" t="str">
        <f t="shared" si="26"/>
        <v>per Mtonne</v>
      </c>
    </row>
    <row r="411" spans="1:13" s="7" customFormat="1" x14ac:dyDescent="0.2">
      <c r="A411" s="4" t="str">
        <v>CA N2O</v>
      </c>
      <c r="B411" s="26">
        <f ca="1"/>
        <v>-12.787996347641831</v>
      </c>
      <c r="C411" s="26">
        <f ca="1"/>
        <v>-12.53116051528362</v>
      </c>
      <c r="D411" s="26">
        <f ca="1"/>
        <v>-12.296982183774466</v>
      </c>
      <c r="E411" s="26">
        <f ca="1"/>
        <v>-12.048561634991596</v>
      </c>
      <c r="F411" s="26">
        <f ca="1"/>
        <v>-12.688156615382947</v>
      </c>
      <c r="G411" s="26">
        <f ca="1"/>
        <v>-12.894699576307843</v>
      </c>
      <c r="H411" s="26">
        <f ca="1"/>
        <v>-13.371791553839238</v>
      </c>
      <c r="I411" s="26">
        <f ca="1"/>
        <v>-13.809451755178268</v>
      </c>
      <c r="J411" s="26">
        <f ca="1"/>
        <v>-14.60628311229992</v>
      </c>
      <c r="K411" s="26">
        <f ca="1"/>
        <v>-15.74145139090097</v>
      </c>
      <c r="M411" s="4" t="str">
        <f t="shared" si="26"/>
        <v>per Mtonne</v>
      </c>
    </row>
    <row r="412" spans="1:13" s="7" customFormat="1" x14ac:dyDescent="0.2">
      <c r="A412" s="4" t="str">
        <v>IA N2O</v>
      </c>
      <c r="B412" s="26">
        <f ca="1"/>
        <v>-26.732509272567778</v>
      </c>
      <c r="C412" s="26">
        <f ca="1"/>
        <v>-26.195609973929045</v>
      </c>
      <c r="D412" s="26">
        <f ca="1"/>
        <v>-25.706074768544241</v>
      </c>
      <c r="E412" s="26">
        <f ca="1"/>
        <v>-25.18676709568437</v>
      </c>
      <c r="F412" s="26">
        <f ca="1"/>
        <v>-26.523800535418857</v>
      </c>
      <c r="G412" s="26">
        <f ca="1"/>
        <v>-26.95556572114528</v>
      </c>
      <c r="H412" s="26">
        <f ca="1"/>
        <v>-27.952896762421151</v>
      </c>
      <c r="I412" s="26">
        <f ca="1"/>
        <v>-28.867798133399955</v>
      </c>
      <c r="J412" s="26">
        <f ca="1"/>
        <v>-30.533524417944559</v>
      </c>
      <c r="K412" s="26">
        <f ca="1"/>
        <v>-32.906522947868545</v>
      </c>
      <c r="M412" s="4" t="str">
        <f t="shared" si="26"/>
        <v>per Mtonne</v>
      </c>
    </row>
    <row r="413" spans="1:13" s="7" customFormat="1" x14ac:dyDescent="0.2">
      <c r="A413" s="4" t="str">
        <v>AF N2O</v>
      </c>
      <c r="B413" s="26">
        <f ca="1"/>
        <v>-15.235736075424734</v>
      </c>
      <c r="C413" s="26">
        <f ca="1"/>
        <v>-14.92973951035351</v>
      </c>
      <c r="D413" s="26">
        <f ca="1"/>
        <v>-14.650737299493892</v>
      </c>
      <c r="E413" s="26">
        <f ca="1"/>
        <v>-14.354766780416764</v>
      </c>
      <c r="F413" s="26">
        <f ca="1"/>
        <v>-15.116786103186278</v>
      </c>
      <c r="G413" s="26">
        <f ca="1"/>
        <v>-15.362863280199921</v>
      </c>
      <c r="H413" s="26">
        <f ca="1"/>
        <v>-15.931275035706186</v>
      </c>
      <c r="I413" s="26">
        <f ca="1"/>
        <v>-16.452707411587991</v>
      </c>
      <c r="J413" s="26">
        <f ca="1"/>
        <v>-17.402059594971025</v>
      </c>
      <c r="K413" s="26">
        <f ca="1"/>
        <v>-18.754509488120163</v>
      </c>
      <c r="M413" s="4" t="str">
        <f t="shared" si="26"/>
        <v>per Mtonne</v>
      </c>
    </row>
    <row r="414" spans="1:13" s="7" customFormat="1" ht="13.5" thickBot="1" x14ac:dyDescent="0.25">
      <c r="A414" s="4" t="str">
        <v>LA N2O</v>
      </c>
      <c r="B414" s="35">
        <f ca="1"/>
        <v>-15.839615252181845</v>
      </c>
      <c r="C414" s="35">
        <f ca="1"/>
        <v>-15.521490296799126</v>
      </c>
      <c r="D414" s="35">
        <f ca="1"/>
        <v>-15.23142963595237</v>
      </c>
      <c r="E414" s="35">
        <f ca="1"/>
        <v>-14.923728115988913</v>
      </c>
      <c r="F414" s="35">
        <f ca="1"/>
        <v>-15.715950613651261</v>
      </c>
      <c r="G414" s="35">
        <f ca="1"/>
        <v>-15.971781233645146</v>
      </c>
      <c r="H414" s="35">
        <f ca="1"/>
        <v>-16.562722391162247</v>
      </c>
      <c r="I414" s="35">
        <f ca="1"/>
        <v>-17.104822108111339</v>
      </c>
      <c r="J414" s="35">
        <f ca="1"/>
        <v>-18.091802536832557</v>
      </c>
      <c r="K414" s="35">
        <f ca="1"/>
        <v>-19.497857738188465</v>
      </c>
      <c r="M414" s="4" t="str">
        <f t="shared" si="26"/>
        <v>per Mtonne</v>
      </c>
    </row>
    <row r="415" spans="1:13" s="2" customFormat="1" ht="15" thickTop="1" x14ac:dyDescent="0.25">
      <c r="A415" s="2" t="s">
        <v>323</v>
      </c>
      <c r="B415" s="2" t="s">
        <v>327</v>
      </c>
    </row>
    <row r="416" spans="1:13" s="7" customFormat="1" x14ac:dyDescent="0.2">
      <c r="A416" s="4" t="str">
        <f t="array" ref="A416:A423">R_CODE&amp;" "&amp;GLIN_NAME</f>
        <v>EU Lin</v>
      </c>
      <c r="B416" s="66">
        <f t="array" aca="1" ref="B416:K423" ca="1">IF(Q0_GLIN=0,0,-2*LN((1+CURVE_BELOW)/(1-CURVE_BELOW))/Q0_GLIN)</f>
        <v>-0.21756212315301823</v>
      </c>
      <c r="C416" s="66">
        <f ca="1"/>
        <v>-0.21238280755751285</v>
      </c>
      <c r="D416" s="66">
        <f ca="1"/>
        <v>-0.20761362199231245</v>
      </c>
      <c r="E416" s="66">
        <f ca="1"/>
        <v>-0.20631711523547383</v>
      </c>
      <c r="F416" s="66">
        <f ca="1"/>
        <v>-0.19298637448187947</v>
      </c>
      <c r="G416" s="66">
        <f ca="1"/>
        <v>-0.17694826595809499</v>
      </c>
      <c r="H416" s="66">
        <f ca="1"/>
        <v>-0.16069753092244751</v>
      </c>
      <c r="I416" s="66">
        <f ca="1"/>
        <v>-0.15724528197485635</v>
      </c>
      <c r="J416" s="66">
        <f ca="1"/>
        <v>-0.16835714992009532</v>
      </c>
      <c r="K416" s="66">
        <f ca="1"/>
        <v>-0.18143746804056804</v>
      </c>
      <c r="M416" s="4" t="str">
        <f t="shared" ref="M416:M423" si="27">"per "&amp;EMIT_NAME</f>
        <v>per Mtonne</v>
      </c>
    </row>
    <row r="417" spans="1:13" s="7" customFormat="1" x14ac:dyDescent="0.2">
      <c r="A417" s="4" t="str">
        <v>US Lin</v>
      </c>
      <c r="B417" s="67">
        <f ca="1"/>
        <v>-7.7145695249273491E-2</v>
      </c>
      <c r="C417" s="67">
        <f ca="1"/>
        <v>-7.5309153590550793E-2</v>
      </c>
      <c r="D417" s="67">
        <f ca="1"/>
        <v>-7.3618040583984787E-2</v>
      </c>
      <c r="E417" s="67">
        <f ca="1"/>
        <v>-7.3158310215011749E-2</v>
      </c>
      <c r="F417" s="67">
        <f ca="1"/>
        <v>-6.8431341895712219E-2</v>
      </c>
      <c r="G417" s="67">
        <f ca="1"/>
        <v>-6.2744363782888599E-2</v>
      </c>
      <c r="H417" s="67">
        <f ca="1"/>
        <v>-5.6981990100981643E-2</v>
      </c>
      <c r="I417" s="67">
        <f ca="1"/>
        <v>-5.5757851719834391E-2</v>
      </c>
      <c r="J417" s="67">
        <f ca="1"/>
        <v>-5.969802644202471E-2</v>
      </c>
      <c r="K417" s="67">
        <f ca="1"/>
        <v>-6.433619700618956E-2</v>
      </c>
      <c r="M417" s="4" t="str">
        <f t="shared" si="27"/>
        <v>per Mtonne</v>
      </c>
    </row>
    <row r="418" spans="1:13" s="7" customFormat="1" x14ac:dyDescent="0.2">
      <c r="A418" s="4" t="str">
        <v>OT Lin</v>
      </c>
      <c r="B418" s="67">
        <f ca="1"/>
        <v>-0.23204565172147884</v>
      </c>
      <c r="C418" s="67">
        <f ca="1"/>
        <v>-0.22652153913509368</v>
      </c>
      <c r="D418" s="67">
        <f ca="1"/>
        <v>-0.22143485972316662</v>
      </c>
      <c r="E418" s="67">
        <f ca="1"/>
        <v>-0.22005204202037962</v>
      </c>
      <c r="F418" s="67">
        <f ca="1"/>
        <v>-0.20583384824074716</v>
      </c>
      <c r="G418" s="67">
        <f ca="1"/>
        <v>-0.18872805201644813</v>
      </c>
      <c r="H418" s="67">
        <f ca="1"/>
        <v>-0.1713954743248447</v>
      </c>
      <c r="I418" s="67">
        <f ca="1"/>
        <v>-0.16771340253156125</v>
      </c>
      <c r="J418" s="67">
        <f ca="1"/>
        <v>-0.17956500887657967</v>
      </c>
      <c r="K418" s="67">
        <f ca="1"/>
        <v>-0.19351610890723431</v>
      </c>
      <c r="M418" s="4" t="str">
        <f t="shared" si="27"/>
        <v>per Mtonne</v>
      </c>
    </row>
    <row r="419" spans="1:13" s="7" customFormat="1" x14ac:dyDescent="0.2">
      <c r="A419" s="4" t="str">
        <v>EE Lin</v>
      </c>
      <c r="B419" s="67">
        <f ca="1"/>
        <v>-0.92692381075890229</v>
      </c>
      <c r="C419" s="67">
        <f ca="1"/>
        <v>-0.90485732749732684</v>
      </c>
      <c r="D419" s="67">
        <f ca="1"/>
        <v>-0.88453820395575922</v>
      </c>
      <c r="E419" s="67">
        <f ca="1"/>
        <v>-0.87901443462354745</v>
      </c>
      <c r="F419" s="67">
        <f ca="1"/>
        <v>-0.82221879004864185</v>
      </c>
      <c r="G419" s="67">
        <f ca="1"/>
        <v>-0.75388840029704274</v>
      </c>
      <c r="H419" s="67">
        <f ca="1"/>
        <v>-0.68465211491532152</v>
      </c>
      <c r="I419" s="67">
        <f ca="1"/>
        <v>-0.66994380216393767</v>
      </c>
      <c r="J419" s="67">
        <f ca="1"/>
        <v>-0.7172859352116393</v>
      </c>
      <c r="K419" s="67">
        <f ca="1"/>
        <v>-0.77301465371490485</v>
      </c>
      <c r="M419" s="4" t="str">
        <f t="shared" si="27"/>
        <v>per Mtonne</v>
      </c>
    </row>
    <row r="420" spans="1:13" s="7" customFormat="1" x14ac:dyDescent="0.2">
      <c r="A420" s="4" t="str">
        <v>CA Lin</v>
      </c>
      <c r="B420" s="67">
        <f ca="1"/>
        <v>-0.29862760331316152</v>
      </c>
      <c r="C420" s="67">
        <f ca="1"/>
        <v>-0.29151843108836012</v>
      </c>
      <c r="D420" s="67">
        <f ca="1"/>
        <v>-0.28497220679871282</v>
      </c>
      <c r="E420" s="67">
        <f ca="1"/>
        <v>-0.28319261070053664</v>
      </c>
      <c r="F420" s="67">
        <f ca="1"/>
        <v>-0.26489472362377259</v>
      </c>
      <c r="G420" s="67">
        <f ca="1"/>
        <v>-0.24288068073467287</v>
      </c>
      <c r="H420" s="67">
        <f ca="1"/>
        <v>-0.22057478490390167</v>
      </c>
      <c r="I420" s="67">
        <f ca="1"/>
        <v>-0.21583619891145636</v>
      </c>
      <c r="J420" s="67">
        <f ca="1"/>
        <v>-0.23108844247632174</v>
      </c>
      <c r="K420" s="67">
        <f ca="1"/>
        <v>-0.24904259733692302</v>
      </c>
      <c r="M420" s="4" t="str">
        <f t="shared" si="27"/>
        <v>per Mtonne</v>
      </c>
    </row>
    <row r="421" spans="1:13" s="7" customFormat="1" x14ac:dyDescent="0.2">
      <c r="A421" s="4" t="str">
        <v>IA Lin</v>
      </c>
      <c r="B421" s="67">
        <f ca="1"/>
        <v>-0.38817771159159831</v>
      </c>
      <c r="C421" s="67">
        <f ca="1"/>
        <v>-0.37893669644458244</v>
      </c>
      <c r="D421" s="67">
        <f ca="1"/>
        <v>-0.37042744165323666</v>
      </c>
      <c r="E421" s="67">
        <f ca="1"/>
        <v>-0.36811419420630542</v>
      </c>
      <c r="F421" s="67">
        <f ca="1"/>
        <v>-0.3443292799732724</v>
      </c>
      <c r="G421" s="67">
        <f ca="1"/>
        <v>-0.3157138382098103</v>
      </c>
      <c r="H421" s="67">
        <f ca="1"/>
        <v>-0.28671902492890516</v>
      </c>
      <c r="I421" s="67">
        <f ca="1"/>
        <v>-0.28055946885866984</v>
      </c>
      <c r="J421" s="67">
        <f ca="1"/>
        <v>-0.30038543584216532</v>
      </c>
      <c r="K421" s="67">
        <f ca="1"/>
        <v>-0.32372354213249632</v>
      </c>
      <c r="M421" s="4" t="str">
        <f t="shared" si="27"/>
        <v>per Mtonne</v>
      </c>
    </row>
    <row r="422" spans="1:13" s="7" customFormat="1" x14ac:dyDescent="0.2">
      <c r="A422" s="4" t="str">
        <v>AF Lin</v>
      </c>
      <c r="B422" s="67">
        <f ca="1"/>
        <v>-0.66072663912605434</v>
      </c>
      <c r="C422" s="67">
        <f ca="1"/>
        <v>-0.6449972845086398</v>
      </c>
      <c r="D422" s="67">
        <f ca="1"/>
        <v>-0.63051347683019066</v>
      </c>
      <c r="E422" s="67">
        <f ca="1"/>
        <v>-0.62657604259469324</v>
      </c>
      <c r="F422" s="67">
        <f ca="1"/>
        <v>-0.58609116679217055</v>
      </c>
      <c r="G422" s="67">
        <f ca="1"/>
        <v>-0.53738413365016546</v>
      </c>
      <c r="H422" s="67">
        <f ca="1"/>
        <v>-0.48803136310434997</v>
      </c>
      <c r="I422" s="67">
        <f ca="1"/>
        <v>-0.47754703425376172</v>
      </c>
      <c r="J422" s="67">
        <f ca="1"/>
        <v>-0.51129329052055927</v>
      </c>
      <c r="K422" s="67">
        <f ca="1"/>
        <v>-0.55101764375442175</v>
      </c>
      <c r="M422" s="4" t="str">
        <f t="shared" si="27"/>
        <v>per Mtonne</v>
      </c>
    </row>
    <row r="423" spans="1:13" s="7" customFormat="1" ht="13.5" thickBot="1" x14ac:dyDescent="0.25">
      <c r="A423" s="4" t="str">
        <v>LA Lin</v>
      </c>
      <c r="B423" s="68">
        <f ca="1"/>
        <v>-0.77289197171029489</v>
      </c>
      <c r="C423" s="68">
        <f ca="1"/>
        <v>-0.75449239284653935</v>
      </c>
      <c r="D423" s="68">
        <f ca="1"/>
        <v>-0.7375498056832972</v>
      </c>
      <c r="E423" s="68">
        <f ca="1"/>
        <v>-0.73294395035744186</v>
      </c>
      <c r="F423" s="68">
        <f ca="1"/>
        <v>-0.68558633885740272</v>
      </c>
      <c r="G423" s="68">
        <f ca="1"/>
        <v>-0.6286107718799967</v>
      </c>
      <c r="H423" s="68">
        <f ca="1"/>
        <v>-0.57087984674736558</v>
      </c>
      <c r="I423" s="68">
        <f ca="1"/>
        <v>-0.55861569222786811</v>
      </c>
      <c r="J423" s="68">
        <f ca="1"/>
        <v>-0.59809073228132348</v>
      </c>
      <c r="K423" s="68">
        <f ca="1"/>
        <v>-0.64455871446597812</v>
      </c>
      <c r="M423" s="4" t="str">
        <f t="shared" si="27"/>
        <v>per Mtonne</v>
      </c>
    </row>
    <row r="424" spans="1:13" s="2" customFormat="1" ht="15" thickTop="1" x14ac:dyDescent="0.25">
      <c r="A424" s="2" t="s">
        <v>322</v>
      </c>
      <c r="B424" s="2" t="s">
        <v>328</v>
      </c>
    </row>
    <row r="425" spans="1:13" s="6" customFormat="1" x14ac:dyDescent="0.2">
      <c r="A425" s="4" t="str">
        <f t="array" ref="A425:A432">R_CODE&amp;" "&amp;'Base data'!$B$12</f>
        <v>EU CO2</v>
      </c>
      <c r="B425" s="32">
        <f t="array" aca="1" ref="B425:K432" ca="1">IF(Q0_CO2=0,0,C0_CO2/(EXP(-BLO_CO2*Q0_CO2)-1))</f>
        <v>-12.404542915863903</v>
      </c>
      <c r="C425" s="32">
        <f ca="1"/>
        <v>-12.309814796120751</v>
      </c>
      <c r="D425" s="32">
        <f ca="1"/>
        <v>-12.215810073985311</v>
      </c>
      <c r="E425" s="32">
        <f ca="1"/>
        <v>-12.029948767627628</v>
      </c>
      <c r="F425" s="32">
        <f ca="1"/>
        <v>-11.84691530690538</v>
      </c>
      <c r="G425" s="32">
        <f ca="1"/>
        <v>-11.666666666666664</v>
      </c>
      <c r="H425" s="32">
        <f ca="1"/>
        <v>-11.489160476379372</v>
      </c>
      <c r="I425" s="32">
        <f ca="1"/>
        <v>-11.314355010171246</v>
      </c>
      <c r="J425" s="32">
        <f ca="1"/>
        <v>-11.14220917702152</v>
      </c>
      <c r="K425" s="32">
        <f ca="1"/>
        <v>-10.972682511101759</v>
      </c>
      <c r="M425" s="4" t="str">
        <f t="shared" ref="M425:M432" si="28">CURRENCY_NAME&amp;" per "&amp;EMIT_NAME</f>
        <v>$M(2015) per Mtonne</v>
      </c>
    </row>
    <row r="426" spans="1:13" s="6" customFormat="1" x14ac:dyDescent="0.2">
      <c r="A426" s="4" t="str">
        <v>US CO2</v>
      </c>
      <c r="B426" s="33">
        <f ca="1"/>
        <v>-12.404542915863903</v>
      </c>
      <c r="C426" s="33">
        <f ca="1"/>
        <v>-12.309814796120751</v>
      </c>
      <c r="D426" s="33">
        <f ca="1"/>
        <v>-12.215810073985311</v>
      </c>
      <c r="E426" s="33">
        <f ca="1"/>
        <v>-12.029948767627628</v>
      </c>
      <c r="F426" s="33">
        <f ca="1"/>
        <v>-11.84691530690538</v>
      </c>
      <c r="G426" s="33">
        <f ca="1"/>
        <v>-11.666666666666664</v>
      </c>
      <c r="H426" s="33">
        <f ca="1"/>
        <v>-11.489160476379372</v>
      </c>
      <c r="I426" s="33">
        <f ca="1"/>
        <v>-11.314355010171246</v>
      </c>
      <c r="J426" s="33">
        <f ca="1"/>
        <v>-11.14220917702152</v>
      </c>
      <c r="K426" s="33">
        <f ca="1"/>
        <v>-10.972682511101759</v>
      </c>
      <c r="M426" s="4" t="str">
        <f t="shared" si="28"/>
        <v>$M(2015) per Mtonne</v>
      </c>
    </row>
    <row r="427" spans="1:13" s="6" customFormat="1" x14ac:dyDescent="0.2">
      <c r="A427" s="4" t="str">
        <v>OT CO2</v>
      </c>
      <c r="B427" s="33">
        <f ca="1"/>
        <v>-12.404542915863903</v>
      </c>
      <c r="C427" s="33">
        <f ca="1"/>
        <v>-12.309814796120751</v>
      </c>
      <c r="D427" s="33">
        <f ca="1"/>
        <v>-12.215810073985311</v>
      </c>
      <c r="E427" s="33">
        <f ca="1"/>
        <v>-12.029948767627628</v>
      </c>
      <c r="F427" s="33">
        <f ca="1"/>
        <v>-11.84691530690538</v>
      </c>
      <c r="G427" s="33">
        <f ca="1"/>
        <v>-11.666666666666664</v>
      </c>
      <c r="H427" s="33">
        <f ca="1"/>
        <v>-11.489160476379372</v>
      </c>
      <c r="I427" s="33">
        <f ca="1"/>
        <v>-11.314355010171246</v>
      </c>
      <c r="J427" s="33">
        <f ca="1"/>
        <v>-11.14220917702152</v>
      </c>
      <c r="K427" s="33">
        <f ca="1"/>
        <v>-10.972682511101759</v>
      </c>
      <c r="M427" s="4" t="str">
        <f t="shared" si="28"/>
        <v>$M(2015) per Mtonne</v>
      </c>
    </row>
    <row r="428" spans="1:13" s="6" customFormat="1" x14ac:dyDescent="0.2">
      <c r="A428" s="4" t="str">
        <v>EE CO2</v>
      </c>
      <c r="B428" s="33">
        <f ca="1"/>
        <v>-12.404542915863903</v>
      </c>
      <c r="C428" s="33">
        <f ca="1"/>
        <v>-12.309814796120751</v>
      </c>
      <c r="D428" s="33">
        <f ca="1"/>
        <v>-12.215810073985311</v>
      </c>
      <c r="E428" s="33">
        <f ca="1"/>
        <v>-12.029948767627628</v>
      </c>
      <c r="F428" s="33">
        <f ca="1"/>
        <v>-11.84691530690538</v>
      </c>
      <c r="G428" s="33">
        <f ca="1"/>
        <v>-11.666666666666664</v>
      </c>
      <c r="H428" s="33">
        <f ca="1"/>
        <v>-11.489160476379372</v>
      </c>
      <c r="I428" s="33">
        <f ca="1"/>
        <v>-11.314355010171246</v>
      </c>
      <c r="J428" s="33">
        <f ca="1"/>
        <v>-11.14220917702152</v>
      </c>
      <c r="K428" s="33">
        <f ca="1"/>
        <v>-10.972682511101759</v>
      </c>
      <c r="M428" s="4" t="str">
        <f t="shared" si="28"/>
        <v>$M(2015) per Mtonne</v>
      </c>
    </row>
    <row r="429" spans="1:13" s="6" customFormat="1" x14ac:dyDescent="0.2">
      <c r="A429" s="4" t="str">
        <v>CA CO2</v>
      </c>
      <c r="B429" s="33">
        <f ca="1"/>
        <v>-12.404542915863903</v>
      </c>
      <c r="C429" s="33">
        <f ca="1"/>
        <v>-12.309814796120751</v>
      </c>
      <c r="D429" s="33">
        <f ca="1"/>
        <v>-12.215810073985311</v>
      </c>
      <c r="E429" s="33">
        <f ca="1"/>
        <v>-12.029948767627628</v>
      </c>
      <c r="F429" s="33">
        <f ca="1"/>
        <v>-11.84691530690538</v>
      </c>
      <c r="G429" s="33">
        <f ca="1"/>
        <v>-11.666666666666664</v>
      </c>
      <c r="H429" s="33">
        <f ca="1"/>
        <v>-11.489160476379372</v>
      </c>
      <c r="I429" s="33">
        <f ca="1"/>
        <v>-11.314355010171246</v>
      </c>
      <c r="J429" s="33">
        <f ca="1"/>
        <v>-11.14220917702152</v>
      </c>
      <c r="K429" s="33">
        <f ca="1"/>
        <v>-10.972682511101759</v>
      </c>
      <c r="M429" s="4" t="str">
        <f t="shared" si="28"/>
        <v>$M(2015) per Mtonne</v>
      </c>
    </row>
    <row r="430" spans="1:13" s="6" customFormat="1" x14ac:dyDescent="0.2">
      <c r="A430" s="4" t="str">
        <v>IA CO2</v>
      </c>
      <c r="B430" s="33">
        <f ca="1"/>
        <v>-12.404542915863903</v>
      </c>
      <c r="C430" s="33">
        <f ca="1"/>
        <v>-12.309814796120751</v>
      </c>
      <c r="D430" s="33">
        <f ca="1"/>
        <v>-12.215810073985311</v>
      </c>
      <c r="E430" s="33">
        <f ca="1"/>
        <v>-12.029948767627628</v>
      </c>
      <c r="F430" s="33">
        <f ca="1"/>
        <v>-11.84691530690538</v>
      </c>
      <c r="G430" s="33">
        <f ca="1"/>
        <v>-11.666666666666664</v>
      </c>
      <c r="H430" s="33">
        <f ca="1"/>
        <v>-11.489160476379372</v>
      </c>
      <c r="I430" s="33">
        <f ca="1"/>
        <v>-11.314355010171246</v>
      </c>
      <c r="J430" s="33">
        <f ca="1"/>
        <v>-11.14220917702152</v>
      </c>
      <c r="K430" s="33">
        <f ca="1"/>
        <v>-10.972682511101759</v>
      </c>
      <c r="M430" s="4" t="str">
        <f t="shared" si="28"/>
        <v>$M(2015) per Mtonne</v>
      </c>
    </row>
    <row r="431" spans="1:13" s="6" customFormat="1" x14ac:dyDescent="0.2">
      <c r="A431" s="4" t="str">
        <v>AF CO2</v>
      </c>
      <c r="B431" s="33">
        <f ca="1"/>
        <v>-12.404542915863903</v>
      </c>
      <c r="C431" s="33">
        <f ca="1"/>
        <v>-12.309814796120751</v>
      </c>
      <c r="D431" s="33">
        <f ca="1"/>
        <v>-12.215810073985311</v>
      </c>
      <c r="E431" s="33">
        <f ca="1"/>
        <v>-12.029948767627628</v>
      </c>
      <c r="F431" s="33">
        <f ca="1"/>
        <v>-11.84691530690538</v>
      </c>
      <c r="G431" s="33">
        <f ca="1"/>
        <v>-11.666666666666664</v>
      </c>
      <c r="H431" s="33">
        <f ca="1"/>
        <v>-11.489160476379372</v>
      </c>
      <c r="I431" s="33">
        <f ca="1"/>
        <v>-11.314355010171246</v>
      </c>
      <c r="J431" s="33">
        <f ca="1"/>
        <v>-11.14220917702152</v>
      </c>
      <c r="K431" s="33">
        <f ca="1"/>
        <v>-10.972682511101759</v>
      </c>
      <c r="M431" s="4" t="str">
        <f t="shared" si="28"/>
        <v>$M(2015) per Mtonne</v>
      </c>
    </row>
    <row r="432" spans="1:13" s="6" customFormat="1" ht="13.5" thickBot="1" x14ac:dyDescent="0.25">
      <c r="A432" s="4" t="str">
        <v>LA CO2</v>
      </c>
      <c r="B432" s="34">
        <f ca="1"/>
        <v>-12.404542915863903</v>
      </c>
      <c r="C432" s="34">
        <f ca="1"/>
        <v>-12.309814796120751</v>
      </c>
      <c r="D432" s="34">
        <f ca="1"/>
        <v>-12.215810073985311</v>
      </c>
      <c r="E432" s="34">
        <f ca="1"/>
        <v>-12.029948767627628</v>
      </c>
      <c r="F432" s="34">
        <f ca="1"/>
        <v>-11.84691530690538</v>
      </c>
      <c r="G432" s="34">
        <f ca="1"/>
        <v>-11.666666666666664</v>
      </c>
      <c r="H432" s="34">
        <f ca="1"/>
        <v>-11.489160476379372</v>
      </c>
      <c r="I432" s="34">
        <f ca="1"/>
        <v>-11.314355010171246</v>
      </c>
      <c r="J432" s="34">
        <f ca="1"/>
        <v>-11.14220917702152</v>
      </c>
      <c r="K432" s="34">
        <f ca="1"/>
        <v>-10.972682511101759</v>
      </c>
      <c r="M432" s="4" t="str">
        <f t="shared" si="28"/>
        <v>$M(2015) per Mtonne</v>
      </c>
    </row>
    <row r="433" spans="1:13" s="2" customFormat="1" ht="15" thickTop="1" x14ac:dyDescent="0.25">
      <c r="A433" s="2" t="s">
        <v>322</v>
      </c>
      <c r="B433" s="2" t="s">
        <v>329</v>
      </c>
    </row>
    <row r="434" spans="1:13" s="7" customFormat="1" x14ac:dyDescent="0.2">
      <c r="A434" s="4" t="str">
        <f t="array" ref="A434:A441">R_CODE&amp;" "&amp;'Base data'!$C$12</f>
        <v>EU CH4</v>
      </c>
      <c r="B434" s="29">
        <f t="array" aca="1" ref="B434:K441" ca="1">IF(Q0_CH4=0,0,C0_CH4/(EXP(-BLO_CH4*Q0_CH4)-1))</f>
        <v>-618.15972197388453</v>
      </c>
      <c r="C434" s="29">
        <f ca="1"/>
        <v>-613.43910400668415</v>
      </c>
      <c r="D434" s="29">
        <f ca="1"/>
        <v>-608.75453535360134</v>
      </c>
      <c r="E434" s="29">
        <f ca="1"/>
        <v>-599.49244692011007</v>
      </c>
      <c r="F434" s="29">
        <f ca="1"/>
        <v>-590.37127946078476</v>
      </c>
      <c r="G434" s="29">
        <f ca="1"/>
        <v>-581.3888888888888</v>
      </c>
      <c r="H434" s="29">
        <f ca="1"/>
        <v>-572.54316373957192</v>
      </c>
      <c r="I434" s="29">
        <f ca="1"/>
        <v>-563.83202467353374</v>
      </c>
      <c r="J434" s="29">
        <f ca="1"/>
        <v>-555.25342398823909</v>
      </c>
      <c r="K434" s="29">
        <f ca="1"/>
        <v>-546.80534513657096</v>
      </c>
      <c r="M434" s="4" t="str">
        <f t="shared" ref="M434:M441" si="29">CURRENCY_NAME&amp;" per "&amp;EMIT_NAME</f>
        <v>$M(2015) per Mtonne</v>
      </c>
    </row>
    <row r="435" spans="1:13" s="7" customFormat="1" x14ac:dyDescent="0.2">
      <c r="A435" s="4" t="str">
        <v>US CH4</v>
      </c>
      <c r="B435" s="26">
        <f ca="1"/>
        <v>-618.15972197388453</v>
      </c>
      <c r="C435" s="26">
        <f ca="1"/>
        <v>-613.43910400668415</v>
      </c>
      <c r="D435" s="26">
        <f ca="1"/>
        <v>-608.75453535360134</v>
      </c>
      <c r="E435" s="26">
        <f ca="1"/>
        <v>-599.49244692011007</v>
      </c>
      <c r="F435" s="26">
        <f ca="1"/>
        <v>-590.37127946078476</v>
      </c>
      <c r="G435" s="26">
        <f ca="1"/>
        <v>-581.3888888888888</v>
      </c>
      <c r="H435" s="26">
        <f ca="1"/>
        <v>-572.54316373957192</v>
      </c>
      <c r="I435" s="26">
        <f ca="1"/>
        <v>-563.83202467353374</v>
      </c>
      <c r="J435" s="26">
        <f ca="1"/>
        <v>-555.25342398823909</v>
      </c>
      <c r="K435" s="26">
        <f ca="1"/>
        <v>-546.80534513657096</v>
      </c>
      <c r="M435" s="4" t="str">
        <f t="shared" si="29"/>
        <v>$M(2015) per Mtonne</v>
      </c>
    </row>
    <row r="436" spans="1:13" s="7" customFormat="1" x14ac:dyDescent="0.2">
      <c r="A436" s="4" t="str">
        <v>OT CH4</v>
      </c>
      <c r="B436" s="26">
        <f ca="1"/>
        <v>-618.15972197388453</v>
      </c>
      <c r="C436" s="26">
        <f ca="1"/>
        <v>-613.43910400668415</v>
      </c>
      <c r="D436" s="26">
        <f ca="1"/>
        <v>-608.75453535360134</v>
      </c>
      <c r="E436" s="26">
        <f ca="1"/>
        <v>-599.49244692011007</v>
      </c>
      <c r="F436" s="26">
        <f ca="1"/>
        <v>-590.37127946078476</v>
      </c>
      <c r="G436" s="26">
        <f ca="1"/>
        <v>-581.3888888888888</v>
      </c>
      <c r="H436" s="26">
        <f ca="1"/>
        <v>-572.54316373957192</v>
      </c>
      <c r="I436" s="26">
        <f ca="1"/>
        <v>-563.83202467353374</v>
      </c>
      <c r="J436" s="26">
        <f ca="1"/>
        <v>-555.25342398823909</v>
      </c>
      <c r="K436" s="26">
        <f ca="1"/>
        <v>-546.80534513657096</v>
      </c>
      <c r="M436" s="4" t="str">
        <f t="shared" si="29"/>
        <v>$M(2015) per Mtonne</v>
      </c>
    </row>
    <row r="437" spans="1:13" s="7" customFormat="1" x14ac:dyDescent="0.2">
      <c r="A437" s="4" t="str">
        <v>EE CH4</v>
      </c>
      <c r="B437" s="26">
        <f ca="1"/>
        <v>-618.15972197388453</v>
      </c>
      <c r="C437" s="26">
        <f ca="1"/>
        <v>-613.43910400668415</v>
      </c>
      <c r="D437" s="26">
        <f ca="1"/>
        <v>-608.75453535360134</v>
      </c>
      <c r="E437" s="26">
        <f ca="1"/>
        <v>-599.49244692011007</v>
      </c>
      <c r="F437" s="26">
        <f ca="1"/>
        <v>-590.37127946078476</v>
      </c>
      <c r="G437" s="26">
        <f ca="1"/>
        <v>-581.3888888888888</v>
      </c>
      <c r="H437" s="26">
        <f ca="1"/>
        <v>-572.54316373957192</v>
      </c>
      <c r="I437" s="26">
        <f ca="1"/>
        <v>-563.83202467353374</v>
      </c>
      <c r="J437" s="26">
        <f ca="1"/>
        <v>-555.25342398823909</v>
      </c>
      <c r="K437" s="26">
        <f ca="1"/>
        <v>-546.80534513657096</v>
      </c>
      <c r="M437" s="4" t="str">
        <f t="shared" si="29"/>
        <v>$M(2015) per Mtonne</v>
      </c>
    </row>
    <row r="438" spans="1:13" s="7" customFormat="1" x14ac:dyDescent="0.2">
      <c r="A438" s="4" t="str">
        <v>CA CH4</v>
      </c>
      <c r="B438" s="26">
        <f ca="1"/>
        <v>-618.15972197388453</v>
      </c>
      <c r="C438" s="26">
        <f ca="1"/>
        <v>-613.43910400668415</v>
      </c>
      <c r="D438" s="26">
        <f ca="1"/>
        <v>-608.75453535360134</v>
      </c>
      <c r="E438" s="26">
        <f ca="1"/>
        <v>-599.49244692011007</v>
      </c>
      <c r="F438" s="26">
        <f ca="1"/>
        <v>-590.37127946078476</v>
      </c>
      <c r="G438" s="26">
        <f ca="1"/>
        <v>-581.3888888888888</v>
      </c>
      <c r="H438" s="26">
        <f ca="1"/>
        <v>-572.54316373957192</v>
      </c>
      <c r="I438" s="26">
        <f ca="1"/>
        <v>-563.83202467353374</v>
      </c>
      <c r="J438" s="26">
        <f ca="1"/>
        <v>-555.25342398823909</v>
      </c>
      <c r="K438" s="26">
        <f ca="1"/>
        <v>-546.80534513657096</v>
      </c>
      <c r="M438" s="4" t="str">
        <f t="shared" si="29"/>
        <v>$M(2015) per Mtonne</v>
      </c>
    </row>
    <row r="439" spans="1:13" s="7" customFormat="1" x14ac:dyDescent="0.2">
      <c r="A439" s="4" t="str">
        <v>IA CH4</v>
      </c>
      <c r="B439" s="26">
        <f ca="1"/>
        <v>-618.15972197388453</v>
      </c>
      <c r="C439" s="26">
        <f ca="1"/>
        <v>-613.43910400668415</v>
      </c>
      <c r="D439" s="26">
        <f ca="1"/>
        <v>-608.75453535360134</v>
      </c>
      <c r="E439" s="26">
        <f ca="1"/>
        <v>-599.49244692011007</v>
      </c>
      <c r="F439" s="26">
        <f ca="1"/>
        <v>-590.37127946078476</v>
      </c>
      <c r="G439" s="26">
        <f ca="1"/>
        <v>-581.3888888888888</v>
      </c>
      <c r="H439" s="26">
        <f ca="1"/>
        <v>-572.54316373957192</v>
      </c>
      <c r="I439" s="26">
        <f ca="1"/>
        <v>-563.83202467353374</v>
      </c>
      <c r="J439" s="26">
        <f ca="1"/>
        <v>-555.25342398823909</v>
      </c>
      <c r="K439" s="26">
        <f ca="1"/>
        <v>-546.80534513657096</v>
      </c>
      <c r="M439" s="4" t="str">
        <f t="shared" si="29"/>
        <v>$M(2015) per Mtonne</v>
      </c>
    </row>
    <row r="440" spans="1:13" s="7" customFormat="1" x14ac:dyDescent="0.2">
      <c r="A440" s="4" t="str">
        <v>AF CH4</v>
      </c>
      <c r="B440" s="26">
        <f ca="1"/>
        <v>-618.15972197388453</v>
      </c>
      <c r="C440" s="26">
        <f ca="1"/>
        <v>-613.43910400668415</v>
      </c>
      <c r="D440" s="26">
        <f ca="1"/>
        <v>-608.75453535360134</v>
      </c>
      <c r="E440" s="26">
        <f ca="1"/>
        <v>-599.49244692011007</v>
      </c>
      <c r="F440" s="26">
        <f ca="1"/>
        <v>-590.37127946078476</v>
      </c>
      <c r="G440" s="26">
        <f ca="1"/>
        <v>-581.3888888888888</v>
      </c>
      <c r="H440" s="26">
        <f ca="1"/>
        <v>-572.54316373957192</v>
      </c>
      <c r="I440" s="26">
        <f ca="1"/>
        <v>-563.83202467353374</v>
      </c>
      <c r="J440" s="26">
        <f ca="1"/>
        <v>-555.25342398823909</v>
      </c>
      <c r="K440" s="26">
        <f ca="1"/>
        <v>-546.80534513657096</v>
      </c>
      <c r="M440" s="4" t="str">
        <f t="shared" si="29"/>
        <v>$M(2015) per Mtonne</v>
      </c>
    </row>
    <row r="441" spans="1:13" s="7" customFormat="1" ht="13.5" thickBot="1" x14ac:dyDescent="0.25">
      <c r="A441" s="4" t="str">
        <v>LA CH4</v>
      </c>
      <c r="B441" s="35">
        <f ca="1"/>
        <v>-618.15972197388453</v>
      </c>
      <c r="C441" s="35">
        <f ca="1"/>
        <v>-613.43910400668415</v>
      </c>
      <c r="D441" s="35">
        <f ca="1"/>
        <v>-608.75453535360134</v>
      </c>
      <c r="E441" s="35">
        <f ca="1"/>
        <v>-599.49244692011007</v>
      </c>
      <c r="F441" s="35">
        <f ca="1"/>
        <v>-590.37127946078476</v>
      </c>
      <c r="G441" s="35">
        <f ca="1"/>
        <v>-581.3888888888888</v>
      </c>
      <c r="H441" s="35">
        <f ca="1"/>
        <v>-572.54316373957192</v>
      </c>
      <c r="I441" s="35">
        <f ca="1"/>
        <v>-563.83202467353374</v>
      </c>
      <c r="J441" s="35">
        <f ca="1"/>
        <v>-555.25342398823909</v>
      </c>
      <c r="K441" s="35">
        <f ca="1"/>
        <v>-546.80534513657096</v>
      </c>
      <c r="M441" s="4" t="str">
        <f t="shared" si="29"/>
        <v>$M(2015) per Mtonne</v>
      </c>
    </row>
    <row r="442" spans="1:13" s="2" customFormat="1" ht="15" thickTop="1" x14ac:dyDescent="0.25">
      <c r="A442" s="2" t="s">
        <v>322</v>
      </c>
      <c r="B442" s="2" t="s">
        <v>330</v>
      </c>
    </row>
    <row r="443" spans="1:13" s="7" customFormat="1" x14ac:dyDescent="0.2">
      <c r="A443" s="4" t="str">
        <f t="array" ref="A443:A450">R_CODE&amp;" "&amp;'Base data'!$D$12</f>
        <v>EU N2O</v>
      </c>
      <c r="B443" s="29">
        <f t="array" aca="1" ref="B443:K450" ca="1">IF(Q0_N2O=0,0,C0_N2O/(EXP(-BLO_N2O*Q0_N2O)-1))</f>
        <v>-1046.1164525711893</v>
      </c>
      <c r="C443" s="29">
        <f ca="1"/>
        <v>-1038.1277144728501</v>
      </c>
      <c r="D443" s="29">
        <f ca="1"/>
        <v>-1030.1999829060946</v>
      </c>
      <c r="E443" s="29">
        <f ca="1"/>
        <v>-1014.5256794032634</v>
      </c>
      <c r="F443" s="29">
        <f ca="1"/>
        <v>-999.08985754902039</v>
      </c>
      <c r="G443" s="29">
        <f ca="1"/>
        <v>-983.8888888888888</v>
      </c>
      <c r="H443" s="29">
        <f ca="1"/>
        <v>-968.91920017466032</v>
      </c>
      <c r="I443" s="29">
        <f ca="1"/>
        <v>-954.17727252444172</v>
      </c>
      <c r="J443" s="29">
        <f ca="1"/>
        <v>-939.65964059548162</v>
      </c>
      <c r="K443" s="29">
        <f ca="1"/>
        <v>-925.36289176958167</v>
      </c>
      <c r="M443" s="4" t="str">
        <f t="shared" ref="M443:M450" si="30">CURRENCY_NAME&amp;" per "&amp;EMIT_NAME</f>
        <v>$M(2015) per Mtonne</v>
      </c>
    </row>
    <row r="444" spans="1:13" s="7" customFormat="1" x14ac:dyDescent="0.2">
      <c r="A444" s="4" t="str">
        <v>US N2O</v>
      </c>
      <c r="B444" s="26">
        <f ca="1"/>
        <v>-1046.1164525711893</v>
      </c>
      <c r="C444" s="26">
        <f ca="1"/>
        <v>-1038.1277144728501</v>
      </c>
      <c r="D444" s="26">
        <f ca="1"/>
        <v>-1030.1999829060946</v>
      </c>
      <c r="E444" s="26">
        <f ca="1"/>
        <v>-1014.5256794032634</v>
      </c>
      <c r="F444" s="26">
        <f ca="1"/>
        <v>-999.08985754902039</v>
      </c>
      <c r="G444" s="26">
        <f ca="1"/>
        <v>-983.8888888888888</v>
      </c>
      <c r="H444" s="26">
        <f ca="1"/>
        <v>-968.91920017466032</v>
      </c>
      <c r="I444" s="26">
        <f ca="1"/>
        <v>-954.17727252444172</v>
      </c>
      <c r="J444" s="26">
        <f ca="1"/>
        <v>-939.65964059548162</v>
      </c>
      <c r="K444" s="26">
        <f ca="1"/>
        <v>-925.36289176958167</v>
      </c>
      <c r="M444" s="4" t="str">
        <f t="shared" si="30"/>
        <v>$M(2015) per Mtonne</v>
      </c>
    </row>
    <row r="445" spans="1:13" s="7" customFormat="1" x14ac:dyDescent="0.2">
      <c r="A445" s="4" t="str">
        <v>OT N2O</v>
      </c>
      <c r="B445" s="26">
        <f ca="1"/>
        <v>-1046.1164525711893</v>
      </c>
      <c r="C445" s="26">
        <f ca="1"/>
        <v>-1038.1277144728501</v>
      </c>
      <c r="D445" s="26">
        <f ca="1"/>
        <v>-1030.1999829060946</v>
      </c>
      <c r="E445" s="26">
        <f ca="1"/>
        <v>-1014.5256794032634</v>
      </c>
      <c r="F445" s="26">
        <f ca="1"/>
        <v>-999.08985754902039</v>
      </c>
      <c r="G445" s="26">
        <f ca="1"/>
        <v>-983.8888888888888</v>
      </c>
      <c r="H445" s="26">
        <f ca="1"/>
        <v>-968.91920017466032</v>
      </c>
      <c r="I445" s="26">
        <f ca="1"/>
        <v>-954.17727252444172</v>
      </c>
      <c r="J445" s="26">
        <f ca="1"/>
        <v>-939.65964059548162</v>
      </c>
      <c r="K445" s="26">
        <f ca="1"/>
        <v>-925.36289176958167</v>
      </c>
      <c r="M445" s="4" t="str">
        <f t="shared" si="30"/>
        <v>$M(2015) per Mtonne</v>
      </c>
    </row>
    <row r="446" spans="1:13" s="7" customFormat="1" x14ac:dyDescent="0.2">
      <c r="A446" s="4" t="str">
        <v>EE N2O</v>
      </c>
      <c r="B446" s="26">
        <f ca="1"/>
        <v>-1046.1164525711893</v>
      </c>
      <c r="C446" s="26">
        <f ca="1"/>
        <v>-1038.1277144728501</v>
      </c>
      <c r="D446" s="26">
        <f ca="1"/>
        <v>-1030.1999829060946</v>
      </c>
      <c r="E446" s="26">
        <f ca="1"/>
        <v>-1014.5256794032634</v>
      </c>
      <c r="F446" s="26">
        <f ca="1"/>
        <v>-999.08985754902039</v>
      </c>
      <c r="G446" s="26">
        <f ca="1"/>
        <v>-983.8888888888888</v>
      </c>
      <c r="H446" s="26">
        <f ca="1"/>
        <v>-968.91920017466032</v>
      </c>
      <c r="I446" s="26">
        <f ca="1"/>
        <v>-954.17727252444172</v>
      </c>
      <c r="J446" s="26">
        <f ca="1"/>
        <v>-939.65964059548162</v>
      </c>
      <c r="K446" s="26">
        <f ca="1"/>
        <v>-925.36289176958167</v>
      </c>
      <c r="M446" s="4" t="str">
        <f t="shared" si="30"/>
        <v>$M(2015) per Mtonne</v>
      </c>
    </row>
    <row r="447" spans="1:13" s="7" customFormat="1" x14ac:dyDescent="0.2">
      <c r="A447" s="4" t="str">
        <v>CA N2O</v>
      </c>
      <c r="B447" s="26">
        <f ca="1"/>
        <v>-1046.1164525711893</v>
      </c>
      <c r="C447" s="26">
        <f ca="1"/>
        <v>-1038.1277144728501</v>
      </c>
      <c r="D447" s="26">
        <f ca="1"/>
        <v>-1030.1999829060946</v>
      </c>
      <c r="E447" s="26">
        <f ca="1"/>
        <v>-1014.5256794032634</v>
      </c>
      <c r="F447" s="26">
        <f ca="1"/>
        <v>-999.08985754902039</v>
      </c>
      <c r="G447" s="26">
        <f ca="1"/>
        <v>-983.8888888888888</v>
      </c>
      <c r="H447" s="26">
        <f ca="1"/>
        <v>-968.91920017466032</v>
      </c>
      <c r="I447" s="26">
        <f ca="1"/>
        <v>-954.17727252444172</v>
      </c>
      <c r="J447" s="26">
        <f ca="1"/>
        <v>-939.65964059548162</v>
      </c>
      <c r="K447" s="26">
        <f ca="1"/>
        <v>-925.36289176958167</v>
      </c>
      <c r="M447" s="4" t="str">
        <f t="shared" si="30"/>
        <v>$M(2015) per Mtonne</v>
      </c>
    </row>
    <row r="448" spans="1:13" s="7" customFormat="1" x14ac:dyDescent="0.2">
      <c r="A448" s="4" t="str">
        <v>IA N2O</v>
      </c>
      <c r="B448" s="26">
        <f ca="1"/>
        <v>-1046.1164525711893</v>
      </c>
      <c r="C448" s="26">
        <f ca="1"/>
        <v>-1038.1277144728501</v>
      </c>
      <c r="D448" s="26">
        <f ca="1"/>
        <v>-1030.1999829060946</v>
      </c>
      <c r="E448" s="26">
        <f ca="1"/>
        <v>-1014.5256794032634</v>
      </c>
      <c r="F448" s="26">
        <f ca="1"/>
        <v>-999.08985754902039</v>
      </c>
      <c r="G448" s="26">
        <f ca="1"/>
        <v>-983.8888888888888</v>
      </c>
      <c r="H448" s="26">
        <f ca="1"/>
        <v>-968.91920017466032</v>
      </c>
      <c r="I448" s="26">
        <f ca="1"/>
        <v>-954.17727252444172</v>
      </c>
      <c r="J448" s="26">
        <f ca="1"/>
        <v>-939.65964059548162</v>
      </c>
      <c r="K448" s="26">
        <f ca="1"/>
        <v>-925.36289176958167</v>
      </c>
      <c r="M448" s="4" t="str">
        <f t="shared" si="30"/>
        <v>$M(2015) per Mtonne</v>
      </c>
    </row>
    <row r="449" spans="1:13" s="7" customFormat="1" x14ac:dyDescent="0.2">
      <c r="A449" s="4" t="str">
        <v>AF N2O</v>
      </c>
      <c r="B449" s="26">
        <f ca="1"/>
        <v>-1046.1164525711893</v>
      </c>
      <c r="C449" s="26">
        <f ca="1"/>
        <v>-1038.1277144728501</v>
      </c>
      <c r="D449" s="26">
        <f ca="1"/>
        <v>-1030.1999829060946</v>
      </c>
      <c r="E449" s="26">
        <f ca="1"/>
        <v>-1014.5256794032634</v>
      </c>
      <c r="F449" s="26">
        <f ca="1"/>
        <v>-999.08985754902039</v>
      </c>
      <c r="G449" s="26">
        <f ca="1"/>
        <v>-983.8888888888888</v>
      </c>
      <c r="H449" s="26">
        <f ca="1"/>
        <v>-968.91920017466032</v>
      </c>
      <c r="I449" s="26">
        <f ca="1"/>
        <v>-954.17727252444172</v>
      </c>
      <c r="J449" s="26">
        <f ca="1"/>
        <v>-939.65964059548162</v>
      </c>
      <c r="K449" s="26">
        <f ca="1"/>
        <v>-925.36289176958167</v>
      </c>
      <c r="M449" s="4" t="str">
        <f t="shared" si="30"/>
        <v>$M(2015) per Mtonne</v>
      </c>
    </row>
    <row r="450" spans="1:13" s="7" customFormat="1" ht="13.5" thickBot="1" x14ac:dyDescent="0.25">
      <c r="A450" s="4" t="str">
        <v>LA N2O</v>
      </c>
      <c r="B450" s="35">
        <f ca="1"/>
        <v>-1046.1164525711893</v>
      </c>
      <c r="C450" s="35">
        <f ca="1"/>
        <v>-1038.1277144728501</v>
      </c>
      <c r="D450" s="35">
        <f ca="1"/>
        <v>-1030.1999829060946</v>
      </c>
      <c r="E450" s="35">
        <f ca="1"/>
        <v>-1014.5256794032634</v>
      </c>
      <c r="F450" s="35">
        <f ca="1"/>
        <v>-999.08985754902039</v>
      </c>
      <c r="G450" s="35">
        <f ca="1"/>
        <v>-983.8888888888888</v>
      </c>
      <c r="H450" s="35">
        <f ca="1"/>
        <v>-968.91920017466032</v>
      </c>
      <c r="I450" s="35">
        <f ca="1"/>
        <v>-954.17727252444172</v>
      </c>
      <c r="J450" s="35">
        <f ca="1"/>
        <v>-939.65964059548162</v>
      </c>
      <c r="K450" s="35">
        <f ca="1"/>
        <v>-925.36289176958167</v>
      </c>
      <c r="M450" s="4" t="str">
        <f t="shared" si="30"/>
        <v>$M(2015) per Mtonne</v>
      </c>
    </row>
    <row r="451" spans="1:13" s="2" customFormat="1" ht="15" thickTop="1" x14ac:dyDescent="0.25">
      <c r="A451" s="2" t="s">
        <v>322</v>
      </c>
      <c r="B451" s="2" t="s">
        <v>331</v>
      </c>
    </row>
    <row r="452" spans="1:13" s="7" customFormat="1" x14ac:dyDescent="0.2">
      <c r="A452" s="4" t="str">
        <f t="array" ref="A452:A459">R_CODE&amp;" "&amp;GLIN_NAME</f>
        <v>EU Lin</v>
      </c>
      <c r="B452" s="66">
        <f t="array" aca="1" ref="B452:K459" ca="1">IF(Q0_GLIN=0,0,C0_GLIN/(EXP(-BLO_GLIN*Q0_GLIN)-1))</f>
        <v>-33.285523490901475</v>
      </c>
      <c r="C452" s="66">
        <f ca="1"/>
        <v>-33.031336369590683</v>
      </c>
      <c r="D452" s="66">
        <f ca="1"/>
        <v>-32.779090365193916</v>
      </c>
      <c r="E452" s="66">
        <f ca="1"/>
        <v>-32.280362526467464</v>
      </c>
      <c r="F452" s="66">
        <f ca="1"/>
        <v>-31.789222740196102</v>
      </c>
      <c r="G452" s="66">
        <f ca="1"/>
        <v>-31.305555555555546</v>
      </c>
      <c r="H452" s="66">
        <f ca="1"/>
        <v>-30.82924727828464</v>
      </c>
      <c r="I452" s="66">
        <f ca="1"/>
        <v>-30.360185943959507</v>
      </c>
      <c r="J452" s="66">
        <f ca="1"/>
        <v>-29.898261291674409</v>
      </c>
      <c r="K452" s="66">
        <f ca="1"/>
        <v>-29.443364738123051</v>
      </c>
      <c r="M452" s="4" t="str">
        <f t="shared" ref="M452:M459" si="31">CURRENCY_NAME&amp;" per "&amp;EMIT_NAME</f>
        <v>$M(2015) per Mtonne</v>
      </c>
    </row>
    <row r="453" spans="1:13" s="7" customFormat="1" x14ac:dyDescent="0.2">
      <c r="A453" s="4" t="str">
        <v>US Lin</v>
      </c>
      <c r="B453" s="67">
        <f ca="1"/>
        <v>-33.285523490901475</v>
      </c>
      <c r="C453" s="67">
        <f ca="1"/>
        <v>-33.031336369590683</v>
      </c>
      <c r="D453" s="67">
        <f ca="1"/>
        <v>-32.779090365193916</v>
      </c>
      <c r="E453" s="67">
        <f ca="1"/>
        <v>-32.280362526467464</v>
      </c>
      <c r="F453" s="67">
        <f ca="1"/>
        <v>-31.789222740196102</v>
      </c>
      <c r="G453" s="67">
        <f ca="1"/>
        <v>-31.305555555555546</v>
      </c>
      <c r="H453" s="67">
        <f ca="1"/>
        <v>-30.82924727828464</v>
      </c>
      <c r="I453" s="67">
        <f ca="1"/>
        <v>-30.360185943959507</v>
      </c>
      <c r="J453" s="67">
        <f ca="1"/>
        <v>-29.898261291674409</v>
      </c>
      <c r="K453" s="67">
        <f ca="1"/>
        <v>-29.443364738123051</v>
      </c>
      <c r="M453" s="4" t="str">
        <f t="shared" si="31"/>
        <v>$M(2015) per Mtonne</v>
      </c>
    </row>
    <row r="454" spans="1:13" s="7" customFormat="1" x14ac:dyDescent="0.2">
      <c r="A454" s="4" t="str">
        <v>OT Lin</v>
      </c>
      <c r="B454" s="67">
        <f ca="1"/>
        <v>-33.285523490901475</v>
      </c>
      <c r="C454" s="67">
        <f ca="1"/>
        <v>-33.031336369590683</v>
      </c>
      <c r="D454" s="67">
        <f ca="1"/>
        <v>-32.779090365193916</v>
      </c>
      <c r="E454" s="67">
        <f ca="1"/>
        <v>-32.280362526467464</v>
      </c>
      <c r="F454" s="67">
        <f ca="1"/>
        <v>-31.789222740196102</v>
      </c>
      <c r="G454" s="67">
        <f ca="1"/>
        <v>-31.305555555555546</v>
      </c>
      <c r="H454" s="67">
        <f ca="1"/>
        <v>-30.82924727828464</v>
      </c>
      <c r="I454" s="67">
        <f ca="1"/>
        <v>-30.360185943959507</v>
      </c>
      <c r="J454" s="67">
        <f ca="1"/>
        <v>-29.898261291674409</v>
      </c>
      <c r="K454" s="67">
        <f ca="1"/>
        <v>-29.443364738123051</v>
      </c>
      <c r="M454" s="4" t="str">
        <f t="shared" si="31"/>
        <v>$M(2015) per Mtonne</v>
      </c>
    </row>
    <row r="455" spans="1:13" s="7" customFormat="1" x14ac:dyDescent="0.2">
      <c r="A455" s="4" t="str">
        <v>EE Lin</v>
      </c>
      <c r="B455" s="67">
        <f ca="1"/>
        <v>-33.285523490901475</v>
      </c>
      <c r="C455" s="67">
        <f ca="1"/>
        <v>-33.031336369590683</v>
      </c>
      <c r="D455" s="67">
        <f ca="1"/>
        <v>-32.779090365193916</v>
      </c>
      <c r="E455" s="67">
        <f ca="1"/>
        <v>-32.280362526467464</v>
      </c>
      <c r="F455" s="67">
        <f ca="1"/>
        <v>-31.789222740196102</v>
      </c>
      <c r="G455" s="67">
        <f ca="1"/>
        <v>-31.305555555555546</v>
      </c>
      <c r="H455" s="67">
        <f ca="1"/>
        <v>-30.82924727828464</v>
      </c>
      <c r="I455" s="67">
        <f ca="1"/>
        <v>-30.360185943959507</v>
      </c>
      <c r="J455" s="67">
        <f ca="1"/>
        <v>-29.898261291674409</v>
      </c>
      <c r="K455" s="67">
        <f ca="1"/>
        <v>-29.443364738123051</v>
      </c>
      <c r="M455" s="4" t="str">
        <f t="shared" si="31"/>
        <v>$M(2015) per Mtonne</v>
      </c>
    </row>
    <row r="456" spans="1:13" s="7" customFormat="1" x14ac:dyDescent="0.2">
      <c r="A456" s="4" t="str">
        <v>CA Lin</v>
      </c>
      <c r="B456" s="67">
        <f ca="1"/>
        <v>-33.285523490901475</v>
      </c>
      <c r="C456" s="67">
        <f ca="1"/>
        <v>-33.031336369590683</v>
      </c>
      <c r="D456" s="67">
        <f ca="1"/>
        <v>-32.779090365193916</v>
      </c>
      <c r="E456" s="67">
        <f ca="1"/>
        <v>-32.280362526467464</v>
      </c>
      <c r="F456" s="67">
        <f ca="1"/>
        <v>-31.789222740196102</v>
      </c>
      <c r="G456" s="67">
        <f ca="1"/>
        <v>-31.305555555555546</v>
      </c>
      <c r="H456" s="67">
        <f ca="1"/>
        <v>-30.82924727828464</v>
      </c>
      <c r="I456" s="67">
        <f ca="1"/>
        <v>-30.360185943959507</v>
      </c>
      <c r="J456" s="67">
        <f ca="1"/>
        <v>-29.898261291674409</v>
      </c>
      <c r="K456" s="67">
        <f ca="1"/>
        <v>-29.443364738123051</v>
      </c>
      <c r="M456" s="4" t="str">
        <f t="shared" si="31"/>
        <v>$M(2015) per Mtonne</v>
      </c>
    </row>
    <row r="457" spans="1:13" s="7" customFormat="1" x14ac:dyDescent="0.2">
      <c r="A457" s="4" t="str">
        <v>IA Lin</v>
      </c>
      <c r="B457" s="67">
        <f ca="1"/>
        <v>-33.285523490901475</v>
      </c>
      <c r="C457" s="67">
        <f ca="1"/>
        <v>-33.031336369590683</v>
      </c>
      <c r="D457" s="67">
        <f ca="1"/>
        <v>-32.779090365193916</v>
      </c>
      <c r="E457" s="67">
        <f ca="1"/>
        <v>-32.280362526467464</v>
      </c>
      <c r="F457" s="67">
        <f ca="1"/>
        <v>-31.789222740196102</v>
      </c>
      <c r="G457" s="67">
        <f ca="1"/>
        <v>-31.305555555555546</v>
      </c>
      <c r="H457" s="67">
        <f ca="1"/>
        <v>-30.82924727828464</v>
      </c>
      <c r="I457" s="67">
        <f ca="1"/>
        <v>-30.360185943959507</v>
      </c>
      <c r="J457" s="67">
        <f ca="1"/>
        <v>-29.898261291674409</v>
      </c>
      <c r="K457" s="67">
        <f ca="1"/>
        <v>-29.443364738123051</v>
      </c>
      <c r="M457" s="4" t="str">
        <f t="shared" si="31"/>
        <v>$M(2015) per Mtonne</v>
      </c>
    </row>
    <row r="458" spans="1:13" s="7" customFormat="1" x14ac:dyDescent="0.2">
      <c r="A458" s="4" t="str">
        <v>AF Lin</v>
      </c>
      <c r="B458" s="67">
        <f ca="1"/>
        <v>-33.285523490901475</v>
      </c>
      <c r="C458" s="67">
        <f ca="1"/>
        <v>-33.031336369590683</v>
      </c>
      <c r="D458" s="67">
        <f ca="1"/>
        <v>-32.779090365193916</v>
      </c>
      <c r="E458" s="67">
        <f ca="1"/>
        <v>-32.280362526467464</v>
      </c>
      <c r="F458" s="67">
        <f ca="1"/>
        <v>-31.789222740196102</v>
      </c>
      <c r="G458" s="67">
        <f ca="1"/>
        <v>-31.305555555555546</v>
      </c>
      <c r="H458" s="67">
        <f ca="1"/>
        <v>-30.82924727828464</v>
      </c>
      <c r="I458" s="67">
        <f ca="1"/>
        <v>-30.360185943959507</v>
      </c>
      <c r="J458" s="67">
        <f ca="1"/>
        <v>-29.898261291674409</v>
      </c>
      <c r="K458" s="67">
        <f ca="1"/>
        <v>-29.443364738123051</v>
      </c>
      <c r="M458" s="4" t="str">
        <f t="shared" si="31"/>
        <v>$M(2015) per Mtonne</v>
      </c>
    </row>
    <row r="459" spans="1:13" s="7" customFormat="1" ht="13.5" thickBot="1" x14ac:dyDescent="0.25">
      <c r="A459" s="4" t="str">
        <v>LA Lin</v>
      </c>
      <c r="B459" s="68">
        <f ca="1"/>
        <v>-33.285523490901475</v>
      </c>
      <c r="C459" s="68">
        <f ca="1"/>
        <v>-33.031336369590683</v>
      </c>
      <c r="D459" s="68">
        <f ca="1"/>
        <v>-32.779090365193916</v>
      </c>
      <c r="E459" s="68">
        <f ca="1"/>
        <v>-32.280362526467464</v>
      </c>
      <c r="F459" s="68">
        <f ca="1"/>
        <v>-31.789222740196102</v>
      </c>
      <c r="G459" s="68">
        <f ca="1"/>
        <v>-31.305555555555546</v>
      </c>
      <c r="H459" s="68">
        <f ca="1"/>
        <v>-30.82924727828464</v>
      </c>
      <c r="I459" s="68">
        <f ca="1"/>
        <v>-30.360185943959507</v>
      </c>
      <c r="J459" s="68">
        <f ca="1"/>
        <v>-29.898261291674409</v>
      </c>
      <c r="K459" s="68">
        <f ca="1"/>
        <v>-29.443364738123051</v>
      </c>
      <c r="M459" s="4" t="str">
        <f t="shared" si="31"/>
        <v>$M(2015) per Mtonne</v>
      </c>
    </row>
    <row r="460" spans="1:13" s="2" customFormat="1" ht="15" thickTop="1" x14ac:dyDescent="0.25">
      <c r="A460" s="2" t="s">
        <v>332</v>
      </c>
      <c r="B460" s="2" t="s">
        <v>333</v>
      </c>
    </row>
    <row r="461" spans="1:13" s="6" customFormat="1" x14ac:dyDescent="0.2">
      <c r="A461" s="4" t="str">
        <f t="array" ref="A461:A468">R_CODE&amp;" "&amp;'Base data'!$B$12</f>
        <v>EU CO2</v>
      </c>
      <c r="B461" s="37">
        <f t="array" aca="1" ref="B461:K468" ca="1">2*LN((1+CURVE_ABOVE)/(1-CURVE_ABOVE))/(QMAX_CO2-Q0_CO2)</f>
        <v>7.9564612956611468E-4</v>
      </c>
      <c r="C461" s="37">
        <f ca="1"/>
        <v>7.4188884877164282E-4</v>
      </c>
      <c r="D461" s="37">
        <f ca="1"/>
        <v>6.9514156058161924E-4</v>
      </c>
      <c r="E461" s="37">
        <f ca="1"/>
        <v>5.8549565285420354E-4</v>
      </c>
      <c r="F461" s="37">
        <f ca="1"/>
        <v>4.8990512667965354E-4</v>
      </c>
      <c r="G461" s="37">
        <f ca="1"/>
        <v>4.0098687031440657E-4</v>
      </c>
      <c r="H461" s="37">
        <f ca="1"/>
        <v>3.3768233087661632E-4</v>
      </c>
      <c r="I461" s="37">
        <f ca="1"/>
        <v>3.0417753698382539E-4</v>
      </c>
      <c r="J461" s="37">
        <f ca="1"/>
        <v>2.9529384422105913E-4</v>
      </c>
      <c r="K461" s="37">
        <f ca="1"/>
        <v>2.8545141005712908E-4</v>
      </c>
      <c r="M461" s="4" t="str">
        <f t="shared" ref="M461:M468" si="32">"per "&amp;EMIT_NAME</f>
        <v>per Mtonne</v>
      </c>
    </row>
    <row r="462" spans="1:13" s="6" customFormat="1" x14ac:dyDescent="0.2">
      <c r="A462" s="4" t="str">
        <v>US CO2</v>
      </c>
      <c r="B462" s="38">
        <f ca="1"/>
        <v>5.3119629305809261E-4</v>
      </c>
      <c r="C462" s="38">
        <f ca="1"/>
        <v>4.6301734559710614E-4</v>
      </c>
      <c r="D462" s="38">
        <f ca="1"/>
        <v>4.1050926010395843E-4</v>
      </c>
      <c r="E462" s="38">
        <f ca="1"/>
        <v>3.3082143602923011E-4</v>
      </c>
      <c r="F462" s="38">
        <f ca="1"/>
        <v>2.7257903853920173E-4</v>
      </c>
      <c r="G462" s="38">
        <f ca="1"/>
        <v>2.2410462921512424E-4</v>
      </c>
      <c r="H462" s="38">
        <f ca="1"/>
        <v>2.0318587924713117E-4</v>
      </c>
      <c r="I462" s="38">
        <f ca="1"/>
        <v>1.8637898709613165E-4</v>
      </c>
      <c r="J462" s="38">
        <f ca="1"/>
        <v>1.9237457998490587E-4</v>
      </c>
      <c r="K462" s="38">
        <f ca="1"/>
        <v>2.0651845043991851E-4</v>
      </c>
      <c r="M462" s="4" t="str">
        <f t="shared" si="32"/>
        <v>per Mtonne</v>
      </c>
    </row>
    <row r="463" spans="1:13" s="6" customFormat="1" x14ac:dyDescent="0.2">
      <c r="A463" s="4" t="str">
        <v>OT CO2</v>
      </c>
      <c r="B463" s="38">
        <f ca="1"/>
        <v>8.4838904650547608E-4</v>
      </c>
      <c r="C463" s="38">
        <f ca="1"/>
        <v>7.9106822698383789E-4</v>
      </c>
      <c r="D463" s="38">
        <f ca="1"/>
        <v>7.4122208837963416E-4</v>
      </c>
      <c r="E463" s="38">
        <f ca="1"/>
        <v>6.2430781750796296E-4</v>
      </c>
      <c r="F463" s="38">
        <f ca="1"/>
        <v>5.2238065121808491E-4</v>
      </c>
      <c r="G463" s="38">
        <f ca="1"/>
        <v>4.2756805560377692E-4</v>
      </c>
      <c r="H463" s="38">
        <f ca="1"/>
        <v>3.6006709524294043E-4</v>
      </c>
      <c r="I463" s="38">
        <f ca="1"/>
        <v>3.2434128814378668E-4</v>
      </c>
      <c r="J463" s="38">
        <f ca="1"/>
        <v>3.1486870057956267E-4</v>
      </c>
      <c r="K463" s="38">
        <f ca="1"/>
        <v>3.043738172069972E-4</v>
      </c>
      <c r="M463" s="4" t="str">
        <f t="shared" si="32"/>
        <v>per Mtonne</v>
      </c>
    </row>
    <row r="464" spans="1:13" s="6" customFormat="1" x14ac:dyDescent="0.2">
      <c r="A464" s="4" t="str">
        <v>EE CO2</v>
      </c>
      <c r="B464" s="38">
        <f ca="1"/>
        <v>8.6301043733376208E-4</v>
      </c>
      <c r="C464" s="38">
        <f ca="1"/>
        <v>8.0117226903540046E-4</v>
      </c>
      <c r="D464" s="38">
        <f ca="1"/>
        <v>7.4782963666360518E-4</v>
      </c>
      <c r="E464" s="38">
        <f ca="1"/>
        <v>6.090242710333428E-4</v>
      </c>
      <c r="F464" s="38">
        <f ca="1"/>
        <v>4.9735924365718813E-4</v>
      </c>
      <c r="G464" s="38">
        <f ca="1"/>
        <v>4.1475695628030853E-4</v>
      </c>
      <c r="H464" s="38">
        <f ca="1"/>
        <v>3.8359523418033645E-4</v>
      </c>
      <c r="I464" s="38">
        <f ca="1"/>
        <v>3.9949225291884786E-4</v>
      </c>
      <c r="J464" s="38">
        <f ca="1"/>
        <v>4.5181277129245211E-4</v>
      </c>
      <c r="K464" s="38">
        <f ca="1"/>
        <v>5.2252988292703388E-4</v>
      </c>
      <c r="M464" s="4" t="str">
        <f t="shared" si="32"/>
        <v>per Mtonne</v>
      </c>
    </row>
    <row r="465" spans="1:13" s="6" customFormat="1" x14ac:dyDescent="0.2">
      <c r="A465" s="4" t="str">
        <v>CA CO2</v>
      </c>
      <c r="B465" s="38">
        <f ca="1"/>
        <v>2.4847923146297646E-4</v>
      </c>
      <c r="C465" s="38">
        <f ca="1"/>
        <v>2.2295235019169897E-4</v>
      </c>
      <c r="D465" s="38">
        <f ca="1"/>
        <v>2.0225284019026533E-4</v>
      </c>
      <c r="E465" s="38">
        <f ca="1"/>
        <v>1.7145734531018918E-4</v>
      </c>
      <c r="F465" s="38">
        <f ca="1"/>
        <v>1.6006026145272504E-4</v>
      </c>
      <c r="G465" s="38">
        <f ca="1"/>
        <v>1.5130508115512468E-4</v>
      </c>
      <c r="H465" s="38">
        <f ca="1"/>
        <v>1.4895364416710931E-4</v>
      </c>
      <c r="I465" s="38">
        <f ca="1"/>
        <v>1.5910780169433038E-4</v>
      </c>
      <c r="J465" s="38">
        <f ca="1"/>
        <v>1.896812571874784E-4</v>
      </c>
      <c r="K465" s="38">
        <f ca="1"/>
        <v>2.3974822712162424E-4</v>
      </c>
      <c r="M465" s="4" t="str">
        <f t="shared" si="32"/>
        <v>per Mtonne</v>
      </c>
    </row>
    <row r="466" spans="1:13" s="6" customFormat="1" x14ac:dyDescent="0.2">
      <c r="A466" s="4" t="str">
        <v>IA CO2</v>
      </c>
      <c r="B466" s="38">
        <f ca="1"/>
        <v>4.1164529114514964E-4</v>
      </c>
      <c r="C466" s="38">
        <f ca="1"/>
        <v>3.3892084340162462E-4</v>
      </c>
      <c r="D466" s="38">
        <f ca="1"/>
        <v>2.8816648001981526E-4</v>
      </c>
      <c r="E466" s="38">
        <f ca="1"/>
        <v>2.0297875993132913E-4</v>
      </c>
      <c r="F466" s="38">
        <f ca="1"/>
        <v>1.4817652786064435E-4</v>
      </c>
      <c r="G466" s="38">
        <f ca="1"/>
        <v>1.1464348782792773E-4</v>
      </c>
      <c r="H466" s="38">
        <f ca="1"/>
        <v>9.3762473548141822E-5</v>
      </c>
      <c r="I466" s="38">
        <f ca="1"/>
        <v>8.1130635627932901E-5</v>
      </c>
      <c r="J466" s="38">
        <f ca="1"/>
        <v>7.8563805815319514E-5</v>
      </c>
      <c r="K466" s="38">
        <f ca="1"/>
        <v>8.1159098105397571E-5</v>
      </c>
      <c r="M466" s="4" t="str">
        <f t="shared" si="32"/>
        <v>per Mtonne</v>
      </c>
    </row>
    <row r="467" spans="1:13" s="6" customFormat="1" x14ac:dyDescent="0.2">
      <c r="A467" s="4" t="str">
        <v>AF CO2</v>
      </c>
      <c r="B467" s="38">
        <f ca="1"/>
        <v>4.237840317435799E-4</v>
      </c>
      <c r="C467" s="38">
        <f ca="1"/>
        <v>3.6229228136702393E-4</v>
      </c>
      <c r="D467" s="38">
        <f ca="1"/>
        <v>3.1651554740249043E-4</v>
      </c>
      <c r="E467" s="38">
        <f ca="1"/>
        <v>2.1138115138128889E-4</v>
      </c>
      <c r="F467" s="38">
        <f ca="1"/>
        <v>1.4034728982057835E-4</v>
      </c>
      <c r="G467" s="38">
        <f ca="1"/>
        <v>9.5788769229896128E-5</v>
      </c>
      <c r="H467" s="38">
        <f ca="1"/>
        <v>7.2038261386166947E-5</v>
      </c>
      <c r="I467" s="38">
        <f ca="1"/>
        <v>5.8877545953771651E-5</v>
      </c>
      <c r="J467" s="38">
        <f ca="1"/>
        <v>5.4475187441471621E-5</v>
      </c>
      <c r="K467" s="38">
        <f ca="1"/>
        <v>5.3071009670998391E-5</v>
      </c>
      <c r="M467" s="4" t="str">
        <f t="shared" si="32"/>
        <v>per Mtonne</v>
      </c>
    </row>
    <row r="468" spans="1:13" s="6" customFormat="1" ht="13.5" thickBot="1" x14ac:dyDescent="0.25">
      <c r="A468" s="4" t="str">
        <v>LA CO2</v>
      </c>
      <c r="B468" s="39">
        <f ca="1"/>
        <v>7.9474853182055847E-4</v>
      </c>
      <c r="C468" s="39">
        <f ca="1"/>
        <v>6.6000389603475902E-4</v>
      </c>
      <c r="D468" s="39">
        <f ca="1"/>
        <v>5.6457918026534438E-4</v>
      </c>
      <c r="E468" s="39">
        <f ca="1"/>
        <v>4.246379997988725E-4</v>
      </c>
      <c r="F468" s="39">
        <f ca="1"/>
        <v>3.5199652207838501E-4</v>
      </c>
      <c r="G468" s="39">
        <f ca="1"/>
        <v>3.0910282822125938E-4</v>
      </c>
      <c r="H468" s="39">
        <f ca="1"/>
        <v>2.8240797136524625E-4</v>
      </c>
      <c r="I468" s="39">
        <f ca="1"/>
        <v>2.7370948532088327E-4</v>
      </c>
      <c r="J468" s="39">
        <f ca="1"/>
        <v>2.8395488547989177E-4</v>
      </c>
      <c r="K468" s="39">
        <f ca="1"/>
        <v>2.9780793381236888E-4</v>
      </c>
      <c r="M468" s="4" t="str">
        <f t="shared" si="32"/>
        <v>per Mtonne</v>
      </c>
    </row>
    <row r="469" spans="1:13" s="2" customFormat="1" ht="15" thickTop="1" x14ac:dyDescent="0.25">
      <c r="A469" s="2" t="s">
        <v>332</v>
      </c>
      <c r="B469" s="2" t="s">
        <v>334</v>
      </c>
    </row>
    <row r="470" spans="1:13" s="7" customFormat="1" x14ac:dyDescent="0.2">
      <c r="A470" s="4" t="str">
        <f t="array" ref="A470:A477">R_CODE&amp;" "&amp;'Base data'!$C$12</f>
        <v>EU CH4</v>
      </c>
      <c r="B470" s="29">
        <f t="array" aca="1" ref="B470:K477" ca="1">2*LN((1+CURVE_ABOVE)/(1-CURVE_ABOVE))/(QMAX_CH4-Q0_CH4)</f>
        <v>0.16519037282138915</v>
      </c>
      <c r="C470" s="29">
        <f ca="1"/>
        <v>0.15594062416053184</v>
      </c>
      <c r="D470" s="29">
        <f ca="1"/>
        <v>0.14782216250649124</v>
      </c>
      <c r="E470" s="29">
        <f ca="1"/>
        <v>0.12686132709170966</v>
      </c>
      <c r="F470" s="29">
        <f ca="1"/>
        <v>0.11313968644922202</v>
      </c>
      <c r="G470" s="29">
        <f ca="1"/>
        <v>0.11085020283815199</v>
      </c>
      <c r="H470" s="29">
        <f ca="1"/>
        <v>0.10711210235844076</v>
      </c>
      <c r="I470" s="29">
        <f ca="1"/>
        <v>0.10721513686293582</v>
      </c>
      <c r="J470" s="29">
        <f ca="1"/>
        <v>9.5187569744420275E-2</v>
      </c>
      <c r="K470" s="29">
        <f ca="1"/>
        <v>0.10641704838823357</v>
      </c>
      <c r="M470" s="4" t="str">
        <f t="shared" ref="M470:M477" si="33">"per "&amp;EMIT_NAME</f>
        <v>per Mtonne</v>
      </c>
    </row>
    <row r="471" spans="1:13" s="7" customFormat="1" x14ac:dyDescent="0.2">
      <c r="A471" s="4" t="str">
        <v>US CH4</v>
      </c>
      <c r="B471" s="26">
        <f ca="1"/>
        <v>0.11629662607302894</v>
      </c>
      <c r="C471" s="26">
        <f ca="1"/>
        <v>0.10795645988992536</v>
      </c>
      <c r="D471" s="26">
        <f ca="1"/>
        <v>0.10085190000898725</v>
      </c>
      <c r="E471" s="26">
        <f ca="1"/>
        <v>8.6192198819834615E-2</v>
      </c>
      <c r="F471" s="26">
        <f ca="1"/>
        <v>7.5571027362213467E-2</v>
      </c>
      <c r="G471" s="26">
        <f ca="1"/>
        <v>7.2925134812632172E-2</v>
      </c>
      <c r="H471" s="26">
        <f ca="1"/>
        <v>7.7487496440451484E-2</v>
      </c>
      <c r="I471" s="26">
        <f ca="1"/>
        <v>7.5834185305306834E-2</v>
      </c>
      <c r="J471" s="26">
        <f ca="1"/>
        <v>7.6158033707101072E-2</v>
      </c>
      <c r="K471" s="26">
        <f ca="1"/>
        <v>8.0612754046931814E-2</v>
      </c>
      <c r="M471" s="4" t="str">
        <f t="shared" si="33"/>
        <v>per Mtonne</v>
      </c>
    </row>
    <row r="472" spans="1:13" s="7" customFormat="1" x14ac:dyDescent="0.2">
      <c r="A472" s="4" t="str">
        <v>OT CH4</v>
      </c>
      <c r="B472" s="26">
        <f ca="1"/>
        <v>0.21105043545894794</v>
      </c>
      <c r="C472" s="26">
        <f ca="1"/>
        <v>0.20438840380697668</v>
      </c>
      <c r="D472" s="26">
        <f ca="1"/>
        <v>0.19828225273292513</v>
      </c>
      <c r="E472" s="26">
        <f ca="1"/>
        <v>0.16415401143265415</v>
      </c>
      <c r="F472" s="26">
        <f ca="1"/>
        <v>0.14232735424270396</v>
      </c>
      <c r="G472" s="26">
        <f ca="1"/>
        <v>0.13638247687053573</v>
      </c>
      <c r="H472" s="26">
        <f ca="1"/>
        <v>0.15080268155607301</v>
      </c>
      <c r="I472" s="26">
        <f ca="1"/>
        <v>0.16961338357464623</v>
      </c>
      <c r="J472" s="26">
        <f ca="1"/>
        <v>0.17488194888029027</v>
      </c>
      <c r="K472" s="26">
        <f ca="1"/>
        <v>0.12882029385912699</v>
      </c>
      <c r="M472" s="4" t="str">
        <f t="shared" si="33"/>
        <v>per Mtonne</v>
      </c>
    </row>
    <row r="473" spans="1:13" s="7" customFormat="1" x14ac:dyDescent="0.2">
      <c r="A473" s="4" t="str">
        <v>EE CH4</v>
      </c>
      <c r="B473" s="26">
        <f ca="1"/>
        <v>8.2757571946898978E-2</v>
      </c>
      <c r="C473" s="26">
        <f ca="1"/>
        <v>7.9587991883553519E-2</v>
      </c>
      <c r="D473" s="26">
        <f ca="1"/>
        <v>7.6715370509479422E-2</v>
      </c>
      <c r="E473" s="26">
        <f ca="1"/>
        <v>6.7175129485244373E-2</v>
      </c>
      <c r="F473" s="26">
        <f ca="1"/>
        <v>5.7935391585762039E-2</v>
      </c>
      <c r="G473" s="26">
        <f ca="1"/>
        <v>5.1401839197165018E-2</v>
      </c>
      <c r="H473" s="26">
        <f ca="1"/>
        <v>4.6465257615674903E-2</v>
      </c>
      <c r="I473" s="26">
        <f ca="1"/>
        <v>4.2884153263620751E-2</v>
      </c>
      <c r="J473" s="26">
        <f ca="1"/>
        <v>4.2583443236595325E-2</v>
      </c>
      <c r="K473" s="26">
        <f ca="1"/>
        <v>4.4208939165393403E-2</v>
      </c>
      <c r="M473" s="4" t="str">
        <f t="shared" si="33"/>
        <v>per Mtonne</v>
      </c>
    </row>
    <row r="474" spans="1:13" s="7" customFormat="1" x14ac:dyDescent="0.2">
      <c r="A474" s="4" t="str">
        <v>CA CH4</v>
      </c>
      <c r="B474" s="26">
        <f ca="1"/>
        <v>5.3113308318172653E-2</v>
      </c>
      <c r="C474" s="26">
        <f ca="1"/>
        <v>5.9458278897109904E-2</v>
      </c>
      <c r="D474" s="26">
        <f ca="1"/>
        <v>6.7440338522740034E-2</v>
      </c>
      <c r="E474" s="26">
        <f ca="1"/>
        <v>7.0894786603278831E-2</v>
      </c>
      <c r="F474" s="26">
        <f ca="1"/>
        <v>7.721113258176994E-2</v>
      </c>
      <c r="G474" s="26">
        <f ca="1"/>
        <v>8.0438126696876819E-2</v>
      </c>
      <c r="H474" s="26">
        <f ca="1"/>
        <v>8.4253451560596562E-2</v>
      </c>
      <c r="I474" s="26">
        <f ca="1"/>
        <v>0.10401437400769617</v>
      </c>
      <c r="J474" s="26">
        <f ca="1"/>
        <v>0.12424900135166175</v>
      </c>
      <c r="K474" s="26">
        <f ca="1"/>
        <v>0.1476620661659328</v>
      </c>
      <c r="M474" s="4" t="str">
        <f t="shared" si="33"/>
        <v>per Mtonne</v>
      </c>
    </row>
    <row r="475" spans="1:13" s="7" customFormat="1" x14ac:dyDescent="0.2">
      <c r="A475" s="4" t="str">
        <v>IA CH4</v>
      </c>
      <c r="B475" s="26">
        <f ca="1"/>
        <v>4.0393889059883441E-2</v>
      </c>
      <c r="C475" s="26">
        <f ca="1"/>
        <v>3.9852768282064049E-2</v>
      </c>
      <c r="D475" s="26">
        <f ca="1"/>
        <v>3.9347125927955598E-2</v>
      </c>
      <c r="E475" s="26">
        <f ca="1"/>
        <v>3.7762164538712506E-2</v>
      </c>
      <c r="F475" s="26">
        <f ca="1"/>
        <v>3.6441278523127008E-2</v>
      </c>
      <c r="G475" s="26">
        <f ca="1"/>
        <v>4.7025648843310466E-2</v>
      </c>
      <c r="H475" s="26">
        <f ca="1"/>
        <v>5.7321558752551884E-2</v>
      </c>
      <c r="I475" s="26">
        <f ca="1"/>
        <v>7.5172255278623493E-2</v>
      </c>
      <c r="J475" s="26">
        <f ca="1"/>
        <v>8.8175280507913123E-2</v>
      </c>
      <c r="K475" s="26">
        <f ca="1"/>
        <v>0.10265811391095232</v>
      </c>
      <c r="M475" s="4" t="str">
        <f t="shared" si="33"/>
        <v>per Mtonne</v>
      </c>
    </row>
    <row r="476" spans="1:13" s="7" customFormat="1" x14ac:dyDescent="0.2">
      <c r="A476" s="4" t="str">
        <v>AF CH4</v>
      </c>
      <c r="B476" s="26">
        <f ca="1"/>
        <v>3.9812195442633896E-2</v>
      </c>
      <c r="C476" s="26">
        <f ca="1"/>
        <v>3.1372561727737211E-2</v>
      </c>
      <c r="D476" s="26">
        <f ca="1"/>
        <v>2.5949697506977176E-2</v>
      </c>
      <c r="E476" s="26">
        <f ca="1"/>
        <v>1.8075139311289429E-2</v>
      </c>
      <c r="F476" s="26">
        <f ca="1"/>
        <v>1.5334892026242244E-2</v>
      </c>
      <c r="G476" s="26">
        <f ca="1"/>
        <v>1.4283563591740912E-2</v>
      </c>
      <c r="H476" s="26">
        <f ca="1"/>
        <v>1.3866582761475026E-2</v>
      </c>
      <c r="I476" s="26">
        <f ca="1"/>
        <v>1.4564293318819978E-2</v>
      </c>
      <c r="J476" s="26">
        <f ca="1"/>
        <v>1.7753565913855823E-2</v>
      </c>
      <c r="K476" s="26">
        <f ca="1"/>
        <v>2.0584594261555695E-2</v>
      </c>
      <c r="M476" s="4" t="str">
        <f t="shared" si="33"/>
        <v>per Mtonne</v>
      </c>
    </row>
    <row r="477" spans="1:13" s="7" customFormat="1" ht="13.5" thickBot="1" x14ac:dyDescent="0.25">
      <c r="A477" s="4" t="str">
        <v>LA CH4</v>
      </c>
      <c r="B477" s="35">
        <f ca="1"/>
        <v>4.9261758085190135E-2</v>
      </c>
      <c r="C477" s="35">
        <f ca="1"/>
        <v>4.6886834163777313E-2</v>
      </c>
      <c r="D477" s="35">
        <f ca="1"/>
        <v>4.4772117400834387E-2</v>
      </c>
      <c r="E477" s="35">
        <f ca="1"/>
        <v>4.3172173676046248E-2</v>
      </c>
      <c r="F477" s="35">
        <f ca="1"/>
        <v>5.2498057925189717E-2</v>
      </c>
      <c r="G477" s="35">
        <f ca="1"/>
        <v>5.67929640871652E-2</v>
      </c>
      <c r="H477" s="35">
        <f ca="1"/>
        <v>5.9954574365416895E-2</v>
      </c>
      <c r="I477" s="35">
        <f ca="1"/>
        <v>6.6042699911087036E-2</v>
      </c>
      <c r="J477" s="35">
        <f ca="1"/>
        <v>8.3754080092208791E-2</v>
      </c>
      <c r="K477" s="35">
        <f ca="1"/>
        <v>9.6503678626811001E-2</v>
      </c>
      <c r="M477" s="4" t="str">
        <f t="shared" si="33"/>
        <v>per Mtonne</v>
      </c>
    </row>
    <row r="478" spans="1:13" s="2" customFormat="1" ht="15" thickTop="1" x14ac:dyDescent="0.25">
      <c r="A478" s="2" t="s">
        <v>332</v>
      </c>
      <c r="B478" s="2" t="s">
        <v>335</v>
      </c>
    </row>
    <row r="479" spans="1:13" s="7" customFormat="1" x14ac:dyDescent="0.2">
      <c r="A479" s="4" t="str">
        <f t="array" ref="A479:A486">R_CODE&amp;" "&amp;'Base data'!$D$12</f>
        <v>EU N2O</v>
      </c>
      <c r="B479" s="29">
        <f t="array" aca="1" ref="B479:K486" ca="1">2*LN((1+CURVE_ABOVE)/(1-CURVE_ABOVE))/(QMAX_N2O-Q0_N2O)</f>
        <v>2.2231691112877829</v>
      </c>
      <c r="C479" s="29">
        <f ca="1"/>
        <v>2.1225126956339708</v>
      </c>
      <c r="D479" s="29">
        <f ca="1"/>
        <v>2.0293013993501936</v>
      </c>
      <c r="E479" s="29">
        <f ca="1"/>
        <v>1.8873881741270602</v>
      </c>
      <c r="F479" s="29">
        <f ca="1"/>
        <v>1.8866987923071743</v>
      </c>
      <c r="G479" s="29">
        <f ca="1"/>
        <v>1.8200917617446279</v>
      </c>
      <c r="H479" s="29">
        <f ca="1"/>
        <v>1.7916355386599792</v>
      </c>
      <c r="I479" s="29">
        <f ca="1"/>
        <v>1.7563639824205695</v>
      </c>
      <c r="J479" s="29">
        <f ca="1"/>
        <v>1.7634202128878589</v>
      </c>
      <c r="K479" s="29">
        <f ca="1"/>
        <v>1.8040097803486246</v>
      </c>
      <c r="M479" s="4" t="str">
        <f t="shared" ref="M479:M486" si="34">"per "&amp;EMIT_NAME</f>
        <v>per Mtonne</v>
      </c>
    </row>
    <row r="480" spans="1:13" s="7" customFormat="1" x14ac:dyDescent="0.2">
      <c r="A480" s="4" t="str">
        <v>US N2O</v>
      </c>
      <c r="B480" s="26">
        <f ca="1"/>
        <v>2.5205447354364998</v>
      </c>
      <c r="C480" s="26">
        <f ca="1"/>
        <v>2.4064243128038001</v>
      </c>
      <c r="D480" s="26">
        <f ca="1"/>
        <v>2.3007448838577971</v>
      </c>
      <c r="E480" s="26">
        <f ca="1"/>
        <v>2.1398490568562312</v>
      </c>
      <c r="F480" s="26">
        <f ca="1"/>
        <v>2.1390674619213268</v>
      </c>
      <c r="G480" s="26">
        <f ca="1"/>
        <v>2.0635509394152023</v>
      </c>
      <c r="H480" s="26">
        <f ca="1"/>
        <v>2.0312883540265134</v>
      </c>
      <c r="I480" s="26">
        <f ca="1"/>
        <v>1.9912988026520797</v>
      </c>
      <c r="J480" s="26">
        <f ca="1"/>
        <v>1.9992988888650673</v>
      </c>
      <c r="K480" s="26">
        <f ca="1"/>
        <v>2.0453177994631981</v>
      </c>
      <c r="M480" s="4" t="str">
        <f t="shared" si="34"/>
        <v>per Mtonne</v>
      </c>
    </row>
    <row r="481" spans="1:13" s="7" customFormat="1" x14ac:dyDescent="0.2">
      <c r="A481" s="4" t="str">
        <v>OT N2O</v>
      </c>
      <c r="B481" s="26">
        <f ca="1"/>
        <v>4.6892552413331021</v>
      </c>
      <c r="C481" s="26">
        <f ca="1"/>
        <v>4.4769440760322166</v>
      </c>
      <c r="D481" s="26">
        <f ca="1"/>
        <v>4.2803366486300947</v>
      </c>
      <c r="E481" s="26">
        <f ca="1"/>
        <v>3.9810038935044219</v>
      </c>
      <c r="F481" s="26">
        <f ca="1"/>
        <v>3.9795498038016786</v>
      </c>
      <c r="G481" s="26">
        <f ca="1"/>
        <v>3.8390578522046495</v>
      </c>
      <c r="H481" s="26">
        <f ca="1"/>
        <v>3.7790361055139812</v>
      </c>
      <c r="I481" s="26">
        <f ca="1"/>
        <v>3.7046390076387681</v>
      </c>
      <c r="J481" s="26">
        <f ca="1"/>
        <v>3.7195224753582461</v>
      </c>
      <c r="K481" s="26">
        <f ca="1"/>
        <v>3.805136674022866</v>
      </c>
      <c r="M481" s="4" t="str">
        <f t="shared" si="34"/>
        <v>per Mtonne</v>
      </c>
    </row>
    <row r="482" spans="1:13" s="7" customFormat="1" x14ac:dyDescent="0.2">
      <c r="A482" s="4" t="str">
        <v>EE N2O</v>
      </c>
      <c r="B482" s="26">
        <f ca="1"/>
        <v>6.840719735190925</v>
      </c>
      <c r="C482" s="26">
        <f ca="1"/>
        <v>6.5309986592995095</v>
      </c>
      <c r="D482" s="26">
        <f ca="1"/>
        <v>6.2441863107500062</v>
      </c>
      <c r="E482" s="26">
        <f ca="1"/>
        <v>5.807517505151969</v>
      </c>
      <c r="F482" s="26">
        <f ca="1"/>
        <v>5.8053962684919096</v>
      </c>
      <c r="G482" s="26">
        <f ca="1"/>
        <v>5.6004455851821078</v>
      </c>
      <c r="H482" s="26">
        <f ca="1"/>
        <v>5.5128854234940965</v>
      </c>
      <c r="I482" s="26">
        <f ca="1"/>
        <v>5.4043543946880765</v>
      </c>
      <c r="J482" s="26">
        <f ca="1"/>
        <v>5.426066505911896</v>
      </c>
      <c r="K482" s="26">
        <f ca="1"/>
        <v>5.5509611231328462</v>
      </c>
      <c r="M482" s="4" t="str">
        <f t="shared" si="34"/>
        <v>per Mtonne</v>
      </c>
    </row>
    <row r="483" spans="1:13" s="7" customFormat="1" x14ac:dyDescent="0.2">
      <c r="A483" s="4" t="str">
        <v>CA N2O</v>
      </c>
      <c r="B483" s="26">
        <f ca="1"/>
        <v>1.3018794288287741</v>
      </c>
      <c r="C483" s="26">
        <f ca="1"/>
        <v>1.2429354122652163</v>
      </c>
      <c r="D483" s="26">
        <f ca="1"/>
        <v>1.1883512294650063</v>
      </c>
      <c r="E483" s="26">
        <f ca="1"/>
        <v>1.1052473811528447</v>
      </c>
      <c r="F483" s="26">
        <f ca="1"/>
        <v>1.1048436817647231</v>
      </c>
      <c r="G483" s="26">
        <f ca="1"/>
        <v>1.065838856416768</v>
      </c>
      <c r="H483" s="26">
        <f ca="1"/>
        <v>1.0491749997321962</v>
      </c>
      <c r="I483" s="26">
        <f ca="1"/>
        <v>1.028520109711587</v>
      </c>
      <c r="J483" s="26">
        <f ca="1"/>
        <v>1.0326522116033396</v>
      </c>
      <c r="K483" s="26">
        <f ca="1"/>
        <v>1.0564213088950971</v>
      </c>
      <c r="M483" s="4" t="str">
        <f t="shared" si="34"/>
        <v>per Mtonne</v>
      </c>
    </row>
    <row r="484" spans="1:13" s="7" customFormat="1" x14ac:dyDescent="0.2">
      <c r="A484" s="4" t="str">
        <v>IA N2O</v>
      </c>
      <c r="B484" s="26">
        <f ca="1"/>
        <v>2.7214977981557054</v>
      </c>
      <c r="C484" s="26">
        <f ca="1"/>
        <v>2.5982790055855722</v>
      </c>
      <c r="D484" s="26">
        <f ca="1"/>
        <v>2.4841741737436998</v>
      </c>
      <c r="E484" s="26">
        <f ca="1"/>
        <v>2.3104507588163417</v>
      </c>
      <c r="F484" s="26">
        <f ca="1"/>
        <v>2.3096068504085729</v>
      </c>
      <c r="G484" s="26">
        <f ca="1"/>
        <v>2.2280696942393519</v>
      </c>
      <c r="H484" s="26">
        <f ca="1"/>
        <v>2.1932349405197669</v>
      </c>
      <c r="I484" s="26">
        <f ca="1"/>
        <v>2.1500571803774111</v>
      </c>
      <c r="J484" s="26">
        <f ca="1"/>
        <v>2.1586950818229216</v>
      </c>
      <c r="K484" s="26">
        <f ca="1"/>
        <v>2.2083828981530882</v>
      </c>
      <c r="M484" s="4" t="str">
        <f t="shared" si="34"/>
        <v>per Mtonne</v>
      </c>
    </row>
    <row r="485" spans="1:13" s="7" customFormat="1" x14ac:dyDescent="0.2">
      <c r="A485" s="4" t="str">
        <v>AF N2O</v>
      </c>
      <c r="B485" s="26">
        <f ca="1"/>
        <v>1.5510710857622034</v>
      </c>
      <c r="C485" s="26">
        <f ca="1"/>
        <v>1.480844644091891</v>
      </c>
      <c r="D485" s="26">
        <f ca="1"/>
        <v>1.4158125483335828</v>
      </c>
      <c r="E485" s="26">
        <f ca="1"/>
        <v>1.3168018616461639</v>
      </c>
      <c r="F485" s="26">
        <f ca="1"/>
        <v>1.3163208904944661</v>
      </c>
      <c r="G485" s="26">
        <f ca="1"/>
        <v>1.2698501840198693</v>
      </c>
      <c r="H485" s="26">
        <f ca="1"/>
        <v>1.2499967124092317</v>
      </c>
      <c r="I485" s="26">
        <f ca="1"/>
        <v>1.2253882870964614</v>
      </c>
      <c r="J485" s="26">
        <f ca="1"/>
        <v>1.2303113111690418</v>
      </c>
      <c r="K485" s="26">
        <f ca="1"/>
        <v>1.2586300315724215</v>
      </c>
      <c r="M485" s="4" t="str">
        <f t="shared" si="34"/>
        <v>per Mtonne</v>
      </c>
    </row>
    <row r="486" spans="1:13" s="7" customFormat="1" ht="13.5" thickBot="1" x14ac:dyDescent="0.25">
      <c r="A486" s="4" t="str">
        <v>LA N2O</v>
      </c>
      <c r="B486" s="35">
        <f ca="1"/>
        <v>1.6125488854382337</v>
      </c>
      <c r="C486" s="35">
        <f ca="1"/>
        <v>1.5395389690757573</v>
      </c>
      <c r="D486" s="35">
        <f ca="1"/>
        <v>1.4719292801998665</v>
      </c>
      <c r="E486" s="35">
        <f ca="1"/>
        <v>1.3689942349077198</v>
      </c>
      <c r="F486" s="35">
        <f ca="1"/>
        <v>1.3684942001241964</v>
      </c>
      <c r="G486" s="35">
        <f ca="1"/>
        <v>1.320181594326175</v>
      </c>
      <c r="H486" s="35">
        <f ca="1"/>
        <v>1.2995412163243631</v>
      </c>
      <c r="I486" s="35">
        <f ca="1"/>
        <v>1.2739574186668894</v>
      </c>
      <c r="J486" s="35">
        <f ca="1"/>
        <v>1.2790755702810201</v>
      </c>
      <c r="K486" s="35">
        <f ca="1"/>
        <v>1.308516723199596</v>
      </c>
      <c r="M486" s="4" t="str">
        <f t="shared" si="34"/>
        <v>per Mtonne</v>
      </c>
    </row>
    <row r="487" spans="1:13" s="2" customFormat="1" ht="15" thickTop="1" x14ac:dyDescent="0.25">
      <c r="A487" s="2" t="s">
        <v>332</v>
      </c>
      <c r="B487" s="2" t="s">
        <v>336</v>
      </c>
    </row>
    <row r="488" spans="1:13" s="7" customFormat="1" x14ac:dyDescent="0.2">
      <c r="A488" s="4" t="str">
        <f t="array" ref="A488:A495">R_CODE&amp;" "&amp;GLIN_NAME</f>
        <v>EU Lin</v>
      </c>
      <c r="B488" s="66">
        <f t="array" aca="1" ref="B488:K495" ca="1">2*LN((1+CURVE_ABOVE)/(1-CURVE_ABOVE))/(QMAX_GLIN-Q0_GLIN)</f>
        <v>2.3354249357778238E-2</v>
      </c>
      <c r="C488" s="66">
        <f ca="1"/>
        <v>2.2212170046877481E-2</v>
      </c>
      <c r="D488" s="66">
        <f ca="1"/>
        <v>2.1155168293383899E-2</v>
      </c>
      <c r="E488" s="66">
        <f ca="1"/>
        <v>1.9956019107165435E-2</v>
      </c>
      <c r="F488" s="66">
        <f ca="1"/>
        <v>1.7719167621375612E-2</v>
      </c>
      <c r="G488" s="66">
        <f ca="1"/>
        <v>1.5422010521091918E-2</v>
      </c>
      <c r="H488" s="66">
        <f ca="1"/>
        <v>1.3294802892037791E-2</v>
      </c>
      <c r="I488" s="66">
        <f ca="1"/>
        <v>1.2348901809375827E-2</v>
      </c>
      <c r="J488" s="66">
        <f ca="1"/>
        <v>1.2550478778641076E-2</v>
      </c>
      <c r="K488" s="66">
        <f ca="1"/>
        <v>1.2839074537772934E-2</v>
      </c>
      <c r="M488" s="4" t="str">
        <f t="shared" ref="M488:M495" si="35">"per "&amp;EMIT_NAME</f>
        <v>per Mtonne</v>
      </c>
    </row>
    <row r="489" spans="1:13" s="7" customFormat="1" x14ac:dyDescent="0.2">
      <c r="A489" s="4" t="str">
        <v>US Lin</v>
      </c>
      <c r="B489" s="67">
        <f ca="1"/>
        <v>8.9713216578703337E-3</v>
      </c>
      <c r="C489" s="67">
        <f ca="1"/>
        <v>8.5326023181936279E-3</v>
      </c>
      <c r="D489" s="67">
        <f ca="1"/>
        <v>8.1265647454053756E-3</v>
      </c>
      <c r="E489" s="67">
        <f ca="1"/>
        <v>7.6659225341944078E-3</v>
      </c>
      <c r="F489" s="67">
        <f ca="1"/>
        <v>6.8066564592082672E-3</v>
      </c>
      <c r="G489" s="67">
        <f ca="1"/>
        <v>5.9242245330268367E-3</v>
      </c>
      <c r="H489" s="67">
        <f ca="1"/>
        <v>5.1070771445168167E-3</v>
      </c>
      <c r="I489" s="67">
        <f ca="1"/>
        <v>4.7437178800383813E-3</v>
      </c>
      <c r="J489" s="67">
        <f ca="1"/>
        <v>4.8211518323094636E-3</v>
      </c>
      <c r="K489" s="67">
        <f ca="1"/>
        <v>4.9320132581941239E-3</v>
      </c>
      <c r="M489" s="4" t="str">
        <f t="shared" si="35"/>
        <v>per Mtonne</v>
      </c>
    </row>
    <row r="490" spans="1:13" s="7" customFormat="1" x14ac:dyDescent="0.2">
      <c r="A490" s="4" t="str">
        <v>OT Lin</v>
      </c>
      <c r="B490" s="67">
        <f ca="1"/>
        <v>2.4908986611056609E-2</v>
      </c>
      <c r="C490" s="67">
        <f ca="1"/>
        <v>2.3690876886004918E-2</v>
      </c>
      <c r="D490" s="67">
        <f ca="1"/>
        <v>2.2563508494827491E-2</v>
      </c>
      <c r="E490" s="67">
        <f ca="1"/>
        <v>2.1284529643202491E-2</v>
      </c>
      <c r="F490" s="67">
        <f ca="1"/>
        <v>1.8898766656052415E-2</v>
      </c>
      <c r="G490" s="67">
        <f ca="1"/>
        <v>1.6448683393778654E-2</v>
      </c>
      <c r="H490" s="67">
        <f ca="1"/>
        <v>1.4179863465580049E-2</v>
      </c>
      <c r="I490" s="67">
        <f ca="1"/>
        <v>1.3170991930363545E-2</v>
      </c>
      <c r="J490" s="67">
        <f ca="1"/>
        <v>1.3385988265788608E-2</v>
      </c>
      <c r="K490" s="67">
        <f ca="1"/>
        <v>1.3693796399122127E-2</v>
      </c>
      <c r="M490" s="4" t="str">
        <f t="shared" si="35"/>
        <v>per Mtonne</v>
      </c>
    </row>
    <row r="491" spans="1:13" s="7" customFormat="1" x14ac:dyDescent="0.2">
      <c r="A491" s="4" t="str">
        <v>EE Lin</v>
      </c>
      <c r="B491" s="67">
        <f ca="1"/>
        <v>6.9650574506620391E-2</v>
      </c>
      <c r="C491" s="67">
        <f ca="1"/>
        <v>6.6244492858790846E-2</v>
      </c>
      <c r="D491" s="67">
        <f ca="1"/>
        <v>6.3092142369700385E-2</v>
      </c>
      <c r="E491" s="67">
        <f ca="1"/>
        <v>5.9515858308511103E-2</v>
      </c>
      <c r="F491" s="67">
        <f ca="1"/>
        <v>5.2844781508547101E-2</v>
      </c>
      <c r="G491" s="67">
        <f ca="1"/>
        <v>4.5993852184482431E-2</v>
      </c>
      <c r="H491" s="67">
        <f ca="1"/>
        <v>3.9649771876495994E-2</v>
      </c>
      <c r="I491" s="67">
        <f ca="1"/>
        <v>3.6828762610706965E-2</v>
      </c>
      <c r="J491" s="67">
        <f ca="1"/>
        <v>3.7429935934736397E-2</v>
      </c>
      <c r="K491" s="67">
        <f ca="1"/>
        <v>3.8290629854535352E-2</v>
      </c>
      <c r="M491" s="4" t="str">
        <f t="shared" si="35"/>
        <v>per Mtonne</v>
      </c>
    </row>
    <row r="492" spans="1:13" s="7" customFormat="1" x14ac:dyDescent="0.2">
      <c r="A492" s="4" t="str">
        <v>CA Lin</v>
      </c>
      <c r="B492" s="67">
        <f ca="1"/>
        <v>2.2439367608075089E-2</v>
      </c>
      <c r="C492" s="67">
        <f ca="1"/>
        <v>2.1342028228749508E-2</v>
      </c>
      <c r="D492" s="67">
        <f ca="1"/>
        <v>2.0326433569907567E-2</v>
      </c>
      <c r="E492" s="67">
        <f ca="1"/>
        <v>1.917425997638899E-2</v>
      </c>
      <c r="F492" s="67">
        <f ca="1"/>
        <v>1.7025035139171536E-2</v>
      </c>
      <c r="G492" s="67">
        <f ca="1"/>
        <v>1.4817867105761901E-2</v>
      </c>
      <c r="H492" s="67">
        <f ca="1"/>
        <v>1.2773990925637548E-2</v>
      </c>
      <c r="I492" s="67">
        <f ca="1"/>
        <v>1.1865144668600442E-2</v>
      </c>
      <c r="J492" s="67">
        <f ca="1"/>
        <v>1.2058825041082978E-2</v>
      </c>
      <c r="K492" s="67">
        <f ca="1"/>
        <v>1.2336115320469949E-2</v>
      </c>
      <c r="M492" s="4" t="str">
        <f t="shared" si="35"/>
        <v>per Mtonne</v>
      </c>
    </row>
    <row r="493" spans="1:13" s="7" customFormat="1" x14ac:dyDescent="0.2">
      <c r="A493" s="4" t="str">
        <v>IA Lin</v>
      </c>
      <c r="B493" s="67">
        <f ca="1"/>
        <v>2.91683095300833E-2</v>
      </c>
      <c r="C493" s="67">
        <f ca="1"/>
        <v>2.7741908606725735E-2</v>
      </c>
      <c r="D493" s="67">
        <f ca="1"/>
        <v>2.6421765370802246E-2</v>
      </c>
      <c r="E493" s="67">
        <f ca="1"/>
        <v>2.4924086978295127E-2</v>
      </c>
      <c r="F493" s="67">
        <f ca="1"/>
        <v>2.2130369419198579E-2</v>
      </c>
      <c r="G493" s="67">
        <f ca="1"/>
        <v>1.9261333111765849E-2</v>
      </c>
      <c r="H493" s="67">
        <f ca="1"/>
        <v>1.6604555340471717E-2</v>
      </c>
      <c r="I493" s="67">
        <f ca="1"/>
        <v>1.5423171381550515E-2</v>
      </c>
      <c r="J493" s="67">
        <f ca="1"/>
        <v>1.5674931108167742E-2</v>
      </c>
      <c r="K493" s="67">
        <f ca="1"/>
        <v>1.6035373026144606E-2</v>
      </c>
      <c r="M493" s="4" t="str">
        <f t="shared" si="35"/>
        <v>per Mtonne</v>
      </c>
    </row>
    <row r="494" spans="1:13" s="7" customFormat="1" x14ac:dyDescent="0.2">
      <c r="A494" s="4" t="str">
        <v>AF Lin</v>
      </c>
      <c r="B494" s="67">
        <f ca="1"/>
        <v>4.9648082693312286E-2</v>
      </c>
      <c r="C494" s="67">
        <f ca="1"/>
        <v>4.7220171301202526E-2</v>
      </c>
      <c r="D494" s="67">
        <f ca="1"/>
        <v>4.4973123679997465E-2</v>
      </c>
      <c r="E494" s="67">
        <f ca="1"/>
        <v>4.2423889189651315E-2</v>
      </c>
      <c r="F494" s="67">
        <f ca="1"/>
        <v>3.766863519549269E-2</v>
      </c>
      <c r="G494" s="67">
        <f ca="1"/>
        <v>3.2785179344387391E-2</v>
      </c>
      <c r="H494" s="67">
        <f ca="1"/>
        <v>2.8263013863699421E-2</v>
      </c>
      <c r="I494" s="67">
        <f ca="1"/>
        <v>2.6252151752387161E-2</v>
      </c>
      <c r="J494" s="67">
        <f ca="1"/>
        <v>2.6680678051213168E-2</v>
      </c>
      <c r="K494" s="67">
        <f ca="1"/>
        <v>2.7294194927513275E-2</v>
      </c>
      <c r="M494" s="4" t="str">
        <f t="shared" si="35"/>
        <v>per Mtonne</v>
      </c>
    </row>
    <row r="495" spans="1:13" s="7" customFormat="1" ht="13.5" thickBot="1" x14ac:dyDescent="0.25">
      <c r="A495" s="4" t="str">
        <v>LA Lin</v>
      </c>
      <c r="B495" s="68">
        <f ca="1"/>
        <v>5.8076369639379892E-2</v>
      </c>
      <c r="C495" s="68">
        <f ca="1"/>
        <v>5.5236294619145081E-2</v>
      </c>
      <c r="D495" s="68">
        <f ca="1"/>
        <v>5.2607786907124761E-2</v>
      </c>
      <c r="E495" s="68">
        <f ca="1"/>
        <v>4.962579291002845E-2</v>
      </c>
      <c r="F495" s="68">
        <f ca="1"/>
        <v>4.406328427500527E-2</v>
      </c>
      <c r="G495" s="68">
        <f ca="1"/>
        <v>3.8350810162392918E-2</v>
      </c>
      <c r="H495" s="68">
        <f ca="1"/>
        <v>3.306095928035159E-2</v>
      </c>
      <c r="I495" s="68">
        <f ca="1"/>
        <v>3.0708732065621195E-2</v>
      </c>
      <c r="J495" s="68">
        <f ca="1"/>
        <v>3.121000523430625E-2</v>
      </c>
      <c r="K495" s="68">
        <f ca="1"/>
        <v>3.1927673086821373E-2</v>
      </c>
      <c r="M495" s="4" t="str">
        <f t="shared" si="35"/>
        <v>per Mtonne</v>
      </c>
    </row>
    <row r="496" spans="1:13" s="2" customFormat="1" ht="15" thickTop="1" x14ac:dyDescent="0.25">
      <c r="A496" s="2" t="s">
        <v>337</v>
      </c>
      <c r="B496" s="2" t="s">
        <v>338</v>
      </c>
    </row>
    <row r="497" spans="1:13" s="6" customFormat="1" x14ac:dyDescent="0.2">
      <c r="A497" s="4" t="str">
        <f t="array" ref="A497:A504">R_CODE&amp;" "&amp;'Base data'!$B$12</f>
        <v>EU CO2</v>
      </c>
      <c r="B497" s="27">
        <f t="array" aca="1" ref="B497:K504" ca="1">cmax_co2/(EXP(BHI_CO2*(QMAX_CO2-Q0_CO2))-1)</f>
        <v>32.172615772246246</v>
      </c>
      <c r="C497" s="27">
        <f ca="1"/>
        <v>30.668954240847032</v>
      </c>
      <c r="D497" s="27">
        <f ca="1"/>
        <v>29.235569805255501</v>
      </c>
      <c r="E497" s="27">
        <f ca="1"/>
        <v>26.566647483332453</v>
      </c>
      <c r="F497" s="27">
        <f ca="1"/>
        <v>24.141371733304783</v>
      </c>
      <c r="G497" s="27">
        <f ca="1"/>
        <v>19.218314483016492</v>
      </c>
      <c r="H497" s="27">
        <f ca="1"/>
        <v>13.955592421843999</v>
      </c>
      <c r="I497" s="27">
        <f ca="1"/>
        <v>10.653568637794795</v>
      </c>
      <c r="J497" s="27">
        <f ca="1"/>
        <v>8.53807887973257</v>
      </c>
      <c r="K497" s="27">
        <f ca="1"/>
        <v>7.082722199192748</v>
      </c>
      <c r="M497" s="4" t="str">
        <f t="shared" ref="M497:M504" si="36">CURRENCY_NAME&amp;" per "&amp;EMIT_NAME</f>
        <v>$M(2015) per Mtonne</v>
      </c>
    </row>
    <row r="498" spans="1:13" s="6" customFormat="1" x14ac:dyDescent="0.2">
      <c r="A498" s="4" t="str">
        <v>US CO2</v>
      </c>
      <c r="B498" s="28">
        <f ca="1"/>
        <v>32.17261577224626</v>
      </c>
      <c r="C498" s="28">
        <f ca="1"/>
        <v>30.668954240847032</v>
      </c>
      <c r="D498" s="28">
        <f ca="1"/>
        <v>29.235569805255501</v>
      </c>
      <c r="E498" s="28">
        <f ca="1"/>
        <v>26.566647483332442</v>
      </c>
      <c r="F498" s="28">
        <f ca="1"/>
        <v>24.141371733304783</v>
      </c>
      <c r="G498" s="28">
        <f ca="1"/>
        <v>18.846289670557479</v>
      </c>
      <c r="H498" s="28">
        <f ca="1"/>
        <v>13.449029832732998</v>
      </c>
      <c r="I498" s="28">
        <f ca="1"/>
        <v>10.228694270628846</v>
      </c>
      <c r="J498" s="28">
        <f ca="1"/>
        <v>8.189093872834988</v>
      </c>
      <c r="K498" s="28">
        <f ca="1"/>
        <v>6.7993377619374744</v>
      </c>
      <c r="M498" s="4" t="str">
        <f t="shared" si="36"/>
        <v>$M(2015) per Mtonne</v>
      </c>
    </row>
    <row r="499" spans="1:13" s="6" customFormat="1" x14ac:dyDescent="0.2">
      <c r="A499" s="4" t="str">
        <v>OT CO2</v>
      </c>
      <c r="B499" s="28">
        <f ca="1"/>
        <v>39.679559452437033</v>
      </c>
      <c r="C499" s="28">
        <f ca="1"/>
        <v>37.82504356371134</v>
      </c>
      <c r="D499" s="28">
        <f ca="1"/>
        <v>36.057202759815134</v>
      </c>
      <c r="E499" s="28">
        <f ca="1"/>
        <v>32.765531896110012</v>
      </c>
      <c r="F499" s="28">
        <f ca="1"/>
        <v>29.7743584710759</v>
      </c>
      <c r="G499" s="28">
        <f ca="1"/>
        <v>23.730592588241894</v>
      </c>
      <c r="H499" s="28">
        <f ca="1"/>
        <v>17.254911635362578</v>
      </c>
      <c r="I499" s="28">
        <f ca="1"/>
        <v>13.180245009483166</v>
      </c>
      <c r="J499" s="28">
        <f ca="1"/>
        <v>10.565978429188537</v>
      </c>
      <c r="K499" s="28">
        <f ca="1"/>
        <v>8.7664302087112862</v>
      </c>
      <c r="M499" s="4" t="str">
        <f t="shared" si="36"/>
        <v>$M(2015) per Mtonne</v>
      </c>
    </row>
    <row r="500" spans="1:13" s="6" customFormat="1" x14ac:dyDescent="0.2">
      <c r="A500" s="4" t="str">
        <v>EE CO2</v>
      </c>
      <c r="B500" s="28">
        <f ca="1"/>
        <v>22.520831040572372</v>
      </c>
      <c r="C500" s="28">
        <f ca="1"/>
        <v>21.468267968592929</v>
      </c>
      <c r="D500" s="28">
        <f ca="1"/>
        <v>20.464898863678854</v>
      </c>
      <c r="E500" s="28">
        <f ca="1"/>
        <v>18.596653238332713</v>
      </c>
      <c r="F500" s="28">
        <f ca="1"/>
        <v>16.898960213313352</v>
      </c>
      <c r="G500" s="28">
        <f ca="1"/>
        <v>13.342676372863782</v>
      </c>
      <c r="H500" s="28">
        <f ca="1"/>
        <v>9.682375678146812</v>
      </c>
      <c r="I500" s="28">
        <f ca="1"/>
        <v>7.4215638503593331</v>
      </c>
      <c r="J500" s="28">
        <f ca="1"/>
        <v>5.9757056616888571</v>
      </c>
      <c r="K500" s="28">
        <f ca="1"/>
        <v>4.9784351236170767</v>
      </c>
      <c r="M500" s="4" t="str">
        <f t="shared" si="36"/>
        <v>$M(2015) per Mtonne</v>
      </c>
    </row>
    <row r="501" spans="1:13" s="6" customFormat="1" x14ac:dyDescent="0.2">
      <c r="A501" s="4" t="str">
        <v>CA CO2</v>
      </c>
      <c r="B501" s="28">
        <f ca="1"/>
        <v>32.172615772246246</v>
      </c>
      <c r="C501" s="28">
        <f ca="1"/>
        <v>30.668954240847032</v>
      </c>
      <c r="D501" s="28">
        <f ca="1"/>
        <v>29.235569805255501</v>
      </c>
      <c r="E501" s="28">
        <f ca="1"/>
        <v>26.566647483332442</v>
      </c>
      <c r="F501" s="28">
        <f ca="1"/>
        <v>24.141371733304783</v>
      </c>
      <c r="G501" s="28">
        <f ca="1"/>
        <v>18.440237554629164</v>
      </c>
      <c r="H501" s="28">
        <f ca="1"/>
        <v>13.091719871241418</v>
      </c>
      <c r="I501" s="28">
        <f ca="1"/>
        <v>9.9730430393346072</v>
      </c>
      <c r="J501" s="28">
        <f ca="1"/>
        <v>8.0276624026406314</v>
      </c>
      <c r="K501" s="28">
        <f ca="1"/>
        <v>6.7031743342514378</v>
      </c>
      <c r="M501" s="4" t="str">
        <f t="shared" si="36"/>
        <v>$M(2015) per Mtonne</v>
      </c>
    </row>
    <row r="502" spans="1:13" s="6" customFormat="1" x14ac:dyDescent="0.2">
      <c r="A502" s="4" t="str">
        <v>IA CO2</v>
      </c>
      <c r="B502" s="28">
        <f ca="1"/>
        <v>39.679559452437033</v>
      </c>
      <c r="C502" s="28">
        <f ca="1"/>
        <v>37.825043563711354</v>
      </c>
      <c r="D502" s="28">
        <f ca="1"/>
        <v>36.057202759815119</v>
      </c>
      <c r="E502" s="28">
        <f ca="1"/>
        <v>32.765531896110012</v>
      </c>
      <c r="F502" s="28">
        <f ca="1"/>
        <v>29.774358471075892</v>
      </c>
      <c r="G502" s="28">
        <f ca="1"/>
        <v>22.54929975533204</v>
      </c>
      <c r="H502" s="28">
        <f ca="1"/>
        <v>15.784382713166949</v>
      </c>
      <c r="I502" s="28">
        <f ca="1"/>
        <v>11.873284023288667</v>
      </c>
      <c r="J502" s="28">
        <f ca="1"/>
        <v>9.4403961746367884</v>
      </c>
      <c r="K502" s="28">
        <f ca="1"/>
        <v>7.7978609693225769</v>
      </c>
      <c r="M502" s="4" t="str">
        <f t="shared" si="36"/>
        <v>$M(2015) per Mtonne</v>
      </c>
    </row>
    <row r="503" spans="1:13" s="6" customFormat="1" x14ac:dyDescent="0.2">
      <c r="A503" s="4" t="str">
        <v>AF CO2</v>
      </c>
      <c r="B503" s="28">
        <f ca="1"/>
        <v>39.679559452437033</v>
      </c>
      <c r="C503" s="28">
        <f ca="1"/>
        <v>37.825043563711333</v>
      </c>
      <c r="D503" s="28">
        <f ca="1"/>
        <v>36.057202759815119</v>
      </c>
      <c r="E503" s="28">
        <f ca="1"/>
        <v>32.765531896110012</v>
      </c>
      <c r="F503" s="28">
        <f ca="1"/>
        <v>29.7743584710759</v>
      </c>
      <c r="G503" s="28">
        <f ca="1"/>
        <v>22.166683707130481</v>
      </c>
      <c r="H503" s="28">
        <f ca="1"/>
        <v>15.201007480786597</v>
      </c>
      <c r="I503" s="28">
        <f ca="1"/>
        <v>11.323553325474613</v>
      </c>
      <c r="J503" s="28">
        <f ca="1"/>
        <v>8.942047653947002</v>
      </c>
      <c r="K503" s="28">
        <f ca="1"/>
        <v>7.3438276265933649</v>
      </c>
      <c r="M503" s="4" t="str">
        <f t="shared" si="36"/>
        <v>$M(2015) per Mtonne</v>
      </c>
    </row>
    <row r="504" spans="1:13" s="6" customFormat="1" ht="13.5" thickBot="1" x14ac:dyDescent="0.25">
      <c r="A504" s="4" t="str">
        <v>LA CO2</v>
      </c>
      <c r="B504" s="36">
        <f ca="1"/>
        <v>22.520831040572372</v>
      </c>
      <c r="C504" s="36">
        <f ca="1"/>
        <v>21.468267968592929</v>
      </c>
      <c r="D504" s="36">
        <f ca="1"/>
        <v>20.464898863678854</v>
      </c>
      <c r="E504" s="36">
        <f ca="1"/>
        <v>18.596653238332713</v>
      </c>
      <c r="F504" s="36">
        <f ca="1"/>
        <v>16.898960213313352</v>
      </c>
      <c r="G504" s="36">
        <f ca="1"/>
        <v>13.363924827748733</v>
      </c>
      <c r="H504" s="36">
        <f ca="1"/>
        <v>9.6261797489450007</v>
      </c>
      <c r="I504" s="36">
        <f ca="1"/>
        <v>7.332293674424049</v>
      </c>
      <c r="J504" s="36">
        <f ca="1"/>
        <v>5.871736453232983</v>
      </c>
      <c r="K504" s="36">
        <f ca="1"/>
        <v>4.8728056121649903</v>
      </c>
      <c r="M504" s="4" t="str">
        <f t="shared" si="36"/>
        <v>$M(2015) per Mtonne</v>
      </c>
    </row>
    <row r="505" spans="1:13" s="2" customFormat="1" ht="15" thickTop="1" x14ac:dyDescent="0.25">
      <c r="A505" s="2" t="s">
        <v>337</v>
      </c>
      <c r="B505" s="2" t="s">
        <v>339</v>
      </c>
    </row>
    <row r="506" spans="1:13" s="7" customFormat="1" x14ac:dyDescent="0.2">
      <c r="A506" s="4" t="str">
        <f t="array" ref="A506:A513">R_CODE&amp;" "&amp;'Base data'!$C$12</f>
        <v>EU CH4</v>
      </c>
      <c r="B506" s="27">
        <f t="array" aca="1" ref="B506:K513" ca="1">cmax_ch4/(EXP(BHI_CH4*(QMAX_CH4-Q0_CH4))-1)</f>
        <v>1562.159232496846</v>
      </c>
      <c r="C506" s="27">
        <f ca="1"/>
        <v>1489.1481114722394</v>
      </c>
      <c r="D506" s="27">
        <f ca="1"/>
        <v>1419.5493338774058</v>
      </c>
      <c r="E506" s="27">
        <f ca="1"/>
        <v>1289.9583278018092</v>
      </c>
      <c r="F506" s="27">
        <f ca="1"/>
        <v>1172.1977163837989</v>
      </c>
      <c r="G506" s="27">
        <f ca="1"/>
        <v>976.70593306508817</v>
      </c>
      <c r="H506" s="27">
        <f ca="1"/>
        <v>817.60232494856757</v>
      </c>
      <c r="I506" s="27">
        <f ca="1"/>
        <v>697.18922155015628</v>
      </c>
      <c r="J506" s="27">
        <f ca="1"/>
        <v>604.10524402684837</v>
      </c>
      <c r="K506" s="27">
        <f ca="1"/>
        <v>529.31914707108717</v>
      </c>
      <c r="M506" s="4" t="str">
        <f t="shared" ref="M506:M513" si="37">CURRENCY_NAME&amp;" per "&amp;EMIT_NAME</f>
        <v>$M(2015) per Mtonne</v>
      </c>
    </row>
    <row r="507" spans="1:13" s="7" customFormat="1" x14ac:dyDescent="0.2">
      <c r="A507" s="4" t="str">
        <v>US CH4</v>
      </c>
      <c r="B507" s="28">
        <f ca="1"/>
        <v>1562.1592324968453</v>
      </c>
      <c r="C507" s="28">
        <f ca="1"/>
        <v>1489.1481114722394</v>
      </c>
      <c r="D507" s="28">
        <f ca="1"/>
        <v>1419.5493338774058</v>
      </c>
      <c r="E507" s="28">
        <f ca="1"/>
        <v>1289.9583278018088</v>
      </c>
      <c r="F507" s="28">
        <f ca="1"/>
        <v>1172.1977163837989</v>
      </c>
      <c r="G507" s="28">
        <f ca="1"/>
        <v>968.07253293638917</v>
      </c>
      <c r="H507" s="28">
        <f ca="1"/>
        <v>805.18315795386241</v>
      </c>
      <c r="I507" s="28">
        <f ca="1"/>
        <v>683.47964996796418</v>
      </c>
      <c r="J507" s="28">
        <f ca="1"/>
        <v>590.62276459721113</v>
      </c>
      <c r="K507" s="28">
        <f ca="1"/>
        <v>517.97381701310997</v>
      </c>
      <c r="M507" s="4" t="str">
        <f t="shared" si="37"/>
        <v>$M(2015) per Mtonne</v>
      </c>
    </row>
    <row r="508" spans="1:13" s="7" customFormat="1" x14ac:dyDescent="0.2">
      <c r="A508" s="4" t="str">
        <v>OT CH4</v>
      </c>
      <c r="B508" s="28">
        <f ca="1"/>
        <v>1926.6630534127758</v>
      </c>
      <c r="C508" s="28">
        <f ca="1"/>
        <v>1836.6160041490953</v>
      </c>
      <c r="D508" s="28">
        <f ca="1"/>
        <v>1750.7775117821341</v>
      </c>
      <c r="E508" s="28">
        <f ca="1"/>
        <v>1590.948604288898</v>
      </c>
      <c r="F508" s="28">
        <f ca="1"/>
        <v>1445.7105168733519</v>
      </c>
      <c r="G508" s="28">
        <f ca="1"/>
        <v>1208.6901311234435</v>
      </c>
      <c r="H508" s="28">
        <f ca="1"/>
        <v>1007.5717470917646</v>
      </c>
      <c r="I508" s="28">
        <f ca="1"/>
        <v>855.31845216983322</v>
      </c>
      <c r="J508" s="28">
        <f ca="1"/>
        <v>738.33687784548158</v>
      </c>
      <c r="K508" s="28">
        <f ca="1"/>
        <v>645.71060890733213</v>
      </c>
      <c r="M508" s="4" t="str">
        <f t="shared" si="37"/>
        <v>$M(2015) per Mtonne</v>
      </c>
    </row>
    <row r="509" spans="1:13" s="7" customFormat="1" x14ac:dyDescent="0.2">
      <c r="A509" s="4" t="str">
        <v>EE CH4</v>
      </c>
      <c r="B509" s="28">
        <f ca="1"/>
        <v>1093.5114627477919</v>
      </c>
      <c r="C509" s="28">
        <f ca="1"/>
        <v>1042.4036780305676</v>
      </c>
      <c r="D509" s="28">
        <f ca="1"/>
        <v>993.68453371418423</v>
      </c>
      <c r="E509" s="28">
        <f ca="1"/>
        <v>902.97082946126613</v>
      </c>
      <c r="F509" s="28">
        <f ca="1"/>
        <v>820.53840146865934</v>
      </c>
      <c r="G509" s="28">
        <f ca="1"/>
        <v>672.81763719871481</v>
      </c>
      <c r="H509" s="28">
        <f ca="1"/>
        <v>551.63213508347144</v>
      </c>
      <c r="I509" s="28">
        <f ca="1"/>
        <v>462.14355167263881</v>
      </c>
      <c r="J509" s="28">
        <f ca="1"/>
        <v>394.04875269752529</v>
      </c>
      <c r="K509" s="28">
        <f ca="1"/>
        <v>341.15821102927936</v>
      </c>
      <c r="M509" s="4" t="str">
        <f t="shared" si="37"/>
        <v>$M(2015) per Mtonne</v>
      </c>
    </row>
    <row r="510" spans="1:13" s="7" customFormat="1" x14ac:dyDescent="0.2">
      <c r="A510" s="4" t="str">
        <v>CA CH4</v>
      </c>
      <c r="B510" s="28">
        <f ca="1"/>
        <v>1562.1592324968453</v>
      </c>
      <c r="C510" s="28">
        <f ca="1"/>
        <v>1489.1481114722394</v>
      </c>
      <c r="D510" s="28">
        <f ca="1"/>
        <v>1419.5493338774058</v>
      </c>
      <c r="E510" s="28">
        <f ca="1"/>
        <v>1289.9583278018088</v>
      </c>
      <c r="F510" s="28">
        <f ca="1"/>
        <v>1172.1977163837989</v>
      </c>
      <c r="G510" s="28">
        <f ca="1"/>
        <v>969.92489494856125</v>
      </c>
      <c r="H510" s="28">
        <f ca="1"/>
        <v>805.17763816561501</v>
      </c>
      <c r="I510" s="28">
        <f ca="1"/>
        <v>681.35535146341692</v>
      </c>
      <c r="J510" s="28">
        <f ca="1"/>
        <v>587.75964476321474</v>
      </c>
      <c r="K510" s="28">
        <f ca="1"/>
        <v>513.82390468887377</v>
      </c>
      <c r="M510" s="4" t="str">
        <f t="shared" si="37"/>
        <v>$M(2015) per Mtonne</v>
      </c>
    </row>
    <row r="511" spans="1:13" s="7" customFormat="1" x14ac:dyDescent="0.2">
      <c r="A511" s="4" t="str">
        <v>IA CH4</v>
      </c>
      <c r="B511" s="28">
        <f ca="1"/>
        <v>1926.6630534127767</v>
      </c>
      <c r="C511" s="28">
        <f ca="1"/>
        <v>1836.6160041490959</v>
      </c>
      <c r="D511" s="28">
        <f ca="1"/>
        <v>1750.7775117821341</v>
      </c>
      <c r="E511" s="28">
        <f ca="1"/>
        <v>1590.9486042888973</v>
      </c>
      <c r="F511" s="28">
        <f ca="1"/>
        <v>1445.7105168733519</v>
      </c>
      <c r="G511" s="28">
        <f ca="1"/>
        <v>1171.2269545985225</v>
      </c>
      <c r="H511" s="28">
        <f ca="1"/>
        <v>971.93655485853139</v>
      </c>
      <c r="I511" s="28">
        <f ca="1"/>
        <v>827.07402800195507</v>
      </c>
      <c r="J511" s="28">
        <f ca="1"/>
        <v>716.36884902213774</v>
      </c>
      <c r="K511" s="28">
        <f ca="1"/>
        <v>627.88024120058549</v>
      </c>
      <c r="M511" s="4" t="str">
        <f t="shared" si="37"/>
        <v>$M(2015) per Mtonne</v>
      </c>
    </row>
    <row r="512" spans="1:13" s="7" customFormat="1" x14ac:dyDescent="0.2">
      <c r="A512" s="4" t="str">
        <v>AF CH4</v>
      </c>
      <c r="B512" s="28">
        <f ca="1"/>
        <v>1926.6630534127758</v>
      </c>
      <c r="C512" s="28">
        <f ca="1"/>
        <v>1836.6160041490953</v>
      </c>
      <c r="D512" s="28">
        <f ca="1"/>
        <v>1750.7775117821341</v>
      </c>
      <c r="E512" s="28">
        <f ca="1"/>
        <v>1590.9486042888973</v>
      </c>
      <c r="F512" s="28">
        <f ca="1"/>
        <v>1445.7105168733519</v>
      </c>
      <c r="G512" s="28">
        <f ca="1"/>
        <v>1126.525625042711</v>
      </c>
      <c r="H512" s="28">
        <f ca="1"/>
        <v>880.15940970101599</v>
      </c>
      <c r="I512" s="28">
        <f ca="1"/>
        <v>716.3163746296342</v>
      </c>
      <c r="J512" s="28">
        <f ca="1"/>
        <v>602.44284891721611</v>
      </c>
      <c r="K512" s="28">
        <f ca="1"/>
        <v>519.95753947699779</v>
      </c>
      <c r="M512" s="4" t="str">
        <f t="shared" si="37"/>
        <v>$M(2015) per Mtonne</v>
      </c>
    </row>
    <row r="513" spans="1:13" s="7" customFormat="1" ht="13.5" thickBot="1" x14ac:dyDescent="0.25">
      <c r="A513" s="4" t="str">
        <v>LA CH4</v>
      </c>
      <c r="B513" s="36">
        <f ca="1"/>
        <v>1093.5114627477919</v>
      </c>
      <c r="C513" s="36">
        <f ca="1"/>
        <v>1042.403678030568</v>
      </c>
      <c r="D513" s="36">
        <f ca="1"/>
        <v>993.684533714184</v>
      </c>
      <c r="E513" s="36">
        <f ca="1"/>
        <v>902.97082946126613</v>
      </c>
      <c r="F513" s="36">
        <f ca="1"/>
        <v>820.53840146865934</v>
      </c>
      <c r="G513" s="36">
        <f ca="1"/>
        <v>676.10461427482812</v>
      </c>
      <c r="H513" s="36">
        <f ca="1"/>
        <v>557.91679368069026</v>
      </c>
      <c r="I513" s="36">
        <f ca="1"/>
        <v>470.5622639424904</v>
      </c>
      <c r="J513" s="36">
        <f ca="1"/>
        <v>404.46298101905427</v>
      </c>
      <c r="K513" s="36">
        <f ca="1"/>
        <v>353.37529557173178</v>
      </c>
      <c r="M513" s="4" t="str">
        <f t="shared" si="37"/>
        <v>$M(2015) per Mtonne</v>
      </c>
    </row>
    <row r="514" spans="1:13" s="2" customFormat="1" ht="15" thickTop="1" x14ac:dyDescent="0.25">
      <c r="A514" s="2" t="s">
        <v>337</v>
      </c>
      <c r="B514" s="2" t="s">
        <v>340</v>
      </c>
    </row>
    <row r="515" spans="1:13" s="7" customFormat="1" x14ac:dyDescent="0.2">
      <c r="A515" s="4" t="str">
        <f t="array" ref="A515:A522">R_CODE&amp;" "&amp;'Base data'!$D$12</f>
        <v>EU N2O</v>
      </c>
      <c r="B515" s="27">
        <f t="array" aca="1" ref="B515:K522" ca="1">cmax_n2o/(EXP(BHI_N2O*(QMAX_N2O-Q0_N2O))-1)</f>
        <v>6741.9503718284932</v>
      </c>
      <c r="C515" s="27">
        <f ca="1"/>
        <v>6426.8497442486105</v>
      </c>
      <c r="D515" s="27">
        <f ca="1"/>
        <v>6126.4760725235437</v>
      </c>
      <c r="E515" s="27">
        <f ca="1"/>
        <v>5567.1885726183318</v>
      </c>
      <c r="F515" s="27">
        <f ca="1"/>
        <v>5058.9585654458688</v>
      </c>
      <c r="G515" s="27">
        <f ca="1"/>
        <v>4365.8962139691175</v>
      </c>
      <c r="H515" s="27">
        <f ca="1"/>
        <v>3923.8660789551873</v>
      </c>
      <c r="I515" s="27">
        <f ca="1"/>
        <v>3562.7178311633093</v>
      </c>
      <c r="J515" s="27">
        <f ca="1"/>
        <v>3217.0045752645606</v>
      </c>
      <c r="K515" s="27">
        <f ca="1"/>
        <v>2899.5739087366114</v>
      </c>
      <c r="M515" s="4" t="str">
        <f t="shared" ref="M515:M522" si="38">CURRENCY_NAME&amp;" per "&amp;EMIT_NAME</f>
        <v>$M(2015) per Mtonne</v>
      </c>
    </row>
    <row r="516" spans="1:13" s="7" customFormat="1" x14ac:dyDescent="0.2">
      <c r="A516" s="4" t="str">
        <v>US N2O</v>
      </c>
      <c r="B516" s="28">
        <f ca="1"/>
        <v>6741.9503718284886</v>
      </c>
      <c r="C516" s="28">
        <f ca="1"/>
        <v>6426.8497442486114</v>
      </c>
      <c r="D516" s="28">
        <f ca="1"/>
        <v>6126.476072523541</v>
      </c>
      <c r="E516" s="28">
        <f ca="1"/>
        <v>5567.1885726183318</v>
      </c>
      <c r="F516" s="28">
        <f ca="1"/>
        <v>5058.9585654458688</v>
      </c>
      <c r="G516" s="28">
        <f ca="1"/>
        <v>4374.1028927912057</v>
      </c>
      <c r="H516" s="28">
        <f ca="1"/>
        <v>3932.6755510185421</v>
      </c>
      <c r="I516" s="28">
        <f ca="1"/>
        <v>3570.8121741236532</v>
      </c>
      <c r="J516" s="28">
        <f ca="1"/>
        <v>3224.9714238769111</v>
      </c>
      <c r="K516" s="28">
        <f ca="1"/>
        <v>2907.5009771934137</v>
      </c>
      <c r="M516" s="4" t="str">
        <f t="shared" si="38"/>
        <v>$M(2015) per Mtonne</v>
      </c>
    </row>
    <row r="517" spans="1:13" s="7" customFormat="1" x14ac:dyDescent="0.2">
      <c r="A517" s="4" t="str">
        <v>OT N2O</v>
      </c>
      <c r="B517" s="28">
        <f ca="1"/>
        <v>8315.0721252551393</v>
      </c>
      <c r="C517" s="28">
        <f ca="1"/>
        <v>7926.4480179066231</v>
      </c>
      <c r="D517" s="28">
        <f ca="1"/>
        <v>7555.9871561123673</v>
      </c>
      <c r="E517" s="28">
        <f ca="1"/>
        <v>6866.1992395626103</v>
      </c>
      <c r="F517" s="28">
        <f ca="1"/>
        <v>6239.3822307165719</v>
      </c>
      <c r="G517" s="28">
        <f ca="1"/>
        <v>5430.3348677418462</v>
      </c>
      <c r="H517" s="28">
        <f ca="1"/>
        <v>4888.6537054577411</v>
      </c>
      <c r="I517" s="28">
        <f ca="1"/>
        <v>4439.2509193053165</v>
      </c>
      <c r="J517" s="28">
        <f ca="1"/>
        <v>4012.2251905796684</v>
      </c>
      <c r="K517" s="28">
        <f ca="1"/>
        <v>3620.5882556388437</v>
      </c>
      <c r="M517" s="4" t="str">
        <f t="shared" si="38"/>
        <v>$M(2015) per Mtonne</v>
      </c>
    </row>
    <row r="518" spans="1:13" s="7" customFormat="1" x14ac:dyDescent="0.2">
      <c r="A518" s="4" t="str">
        <v>EE N2O</v>
      </c>
      <c r="B518" s="28">
        <f ca="1"/>
        <v>4719.3652602799439</v>
      </c>
      <c r="C518" s="28">
        <f ca="1"/>
        <v>4498.7948209740289</v>
      </c>
      <c r="D518" s="28">
        <f ca="1"/>
        <v>4288.5332507664798</v>
      </c>
      <c r="E518" s="28">
        <f ca="1"/>
        <v>3897.0320008328331</v>
      </c>
      <c r="F518" s="28">
        <f ca="1"/>
        <v>3541.2709958121081</v>
      </c>
      <c r="G518" s="28">
        <f ca="1"/>
        <v>3089.607471047887</v>
      </c>
      <c r="H518" s="28">
        <f ca="1"/>
        <v>2782.7769760871702</v>
      </c>
      <c r="I518" s="28">
        <f ca="1"/>
        <v>2527.0539993550792</v>
      </c>
      <c r="J518" s="28">
        <f ca="1"/>
        <v>2284.5996019388381</v>
      </c>
      <c r="K518" s="28">
        <f ca="1"/>
        <v>2062.3193270585189</v>
      </c>
      <c r="M518" s="4" t="str">
        <f t="shared" si="38"/>
        <v>$M(2015) per Mtonne</v>
      </c>
    </row>
    <row r="519" spans="1:13" s="7" customFormat="1" x14ac:dyDescent="0.2">
      <c r="A519" s="4" t="str">
        <v>CA N2O</v>
      </c>
      <c r="B519" s="28">
        <f ca="1"/>
        <v>6741.9503718284932</v>
      </c>
      <c r="C519" s="28">
        <f ca="1"/>
        <v>6426.8497442486141</v>
      </c>
      <c r="D519" s="28">
        <f ca="1"/>
        <v>6126.476072523541</v>
      </c>
      <c r="E519" s="28">
        <f ca="1"/>
        <v>5567.1885726183318</v>
      </c>
      <c r="F519" s="28">
        <f ca="1"/>
        <v>5058.9585654458688</v>
      </c>
      <c r="G519" s="28">
        <f ca="1"/>
        <v>4317.9620758614183</v>
      </c>
      <c r="H519" s="28">
        <f ca="1"/>
        <v>3872.6709931086534</v>
      </c>
      <c r="I519" s="28">
        <f ca="1"/>
        <v>3515.6960700393429</v>
      </c>
      <c r="J519" s="28">
        <f ca="1"/>
        <v>3170.8537535396085</v>
      </c>
      <c r="K519" s="28">
        <f ca="1"/>
        <v>2853.8155342100213</v>
      </c>
      <c r="M519" s="4" t="str">
        <f t="shared" si="38"/>
        <v>$M(2015) per Mtonne</v>
      </c>
    </row>
    <row r="520" spans="1:13" s="7" customFormat="1" x14ac:dyDescent="0.2">
      <c r="A520" s="4" t="str">
        <v>IA N2O</v>
      </c>
      <c r="B520" s="28">
        <f ca="1"/>
        <v>8315.0721252551393</v>
      </c>
      <c r="C520" s="28">
        <f ca="1"/>
        <v>7926.4480179066231</v>
      </c>
      <c r="D520" s="28">
        <f ca="1"/>
        <v>7555.9871561123673</v>
      </c>
      <c r="E520" s="28">
        <f ca="1"/>
        <v>6866.1992395626103</v>
      </c>
      <c r="F520" s="28">
        <f ca="1"/>
        <v>6239.3822307165719</v>
      </c>
      <c r="G520" s="28">
        <f ca="1"/>
        <v>5400.3477918924855</v>
      </c>
      <c r="H520" s="28">
        <f ca="1"/>
        <v>4856.3406419531375</v>
      </c>
      <c r="I520" s="28">
        <f ca="1"/>
        <v>4409.5525776430877</v>
      </c>
      <c r="J520" s="28">
        <f ca="1"/>
        <v>3982.9317891584769</v>
      </c>
      <c r="K520" s="28">
        <f ca="1"/>
        <v>3591.36208054189</v>
      </c>
      <c r="M520" s="4" t="str">
        <f t="shared" si="38"/>
        <v>$M(2015) per Mtonne</v>
      </c>
    </row>
    <row r="521" spans="1:13" s="7" customFormat="1" x14ac:dyDescent="0.2">
      <c r="A521" s="4" t="str">
        <v>AF N2O</v>
      </c>
      <c r="B521" s="28">
        <f ca="1"/>
        <v>8315.0721252551393</v>
      </c>
      <c r="C521" s="28">
        <f ca="1"/>
        <v>7926.4480179066231</v>
      </c>
      <c r="D521" s="28">
        <f ca="1"/>
        <v>7555.9871561123673</v>
      </c>
      <c r="E521" s="28">
        <f ca="1"/>
        <v>6866.1992395626103</v>
      </c>
      <c r="F521" s="28">
        <f ca="1"/>
        <v>6239.382230716571</v>
      </c>
      <c r="G521" s="28">
        <f ca="1"/>
        <v>5348.0888361046118</v>
      </c>
      <c r="H521" s="28">
        <f ca="1"/>
        <v>4800.3701494980141</v>
      </c>
      <c r="I521" s="28">
        <f ca="1"/>
        <v>4358.1341565767907</v>
      </c>
      <c r="J521" s="28">
        <f ca="1"/>
        <v>3932.3870968082424</v>
      </c>
      <c r="K521" s="28">
        <f ca="1"/>
        <v>3541.1493024857291</v>
      </c>
      <c r="M521" s="4" t="str">
        <f t="shared" si="38"/>
        <v>$M(2015) per Mtonne</v>
      </c>
    </row>
    <row r="522" spans="1:13" s="7" customFormat="1" ht="13.5" thickBot="1" x14ac:dyDescent="0.25">
      <c r="A522" s="4" t="str">
        <v>LA N2O</v>
      </c>
      <c r="B522" s="36">
        <f ca="1"/>
        <v>4719.3652602799439</v>
      </c>
      <c r="C522" s="36">
        <f ca="1"/>
        <v>4498.7948209740289</v>
      </c>
      <c r="D522" s="36">
        <f ca="1"/>
        <v>4288.5332507664798</v>
      </c>
      <c r="E522" s="36">
        <f ca="1"/>
        <v>3897.0320008328331</v>
      </c>
      <c r="F522" s="36">
        <f ca="1"/>
        <v>3541.2709958121086</v>
      </c>
      <c r="G522" s="36">
        <f ca="1"/>
        <v>3037.9837327240125</v>
      </c>
      <c r="H522" s="36">
        <f ca="1"/>
        <v>2727.2901083126949</v>
      </c>
      <c r="I522" s="36">
        <f ca="1"/>
        <v>2476.0665327274119</v>
      </c>
      <c r="J522" s="36">
        <f ca="1"/>
        <v>2234.3784617750566</v>
      </c>
      <c r="K522" s="36">
        <f ca="1"/>
        <v>2012.3022487589546</v>
      </c>
      <c r="M522" s="4" t="str">
        <f t="shared" si="38"/>
        <v>$M(2015) per Mtonne</v>
      </c>
    </row>
    <row r="523" spans="1:13" s="2" customFormat="1" ht="15" thickTop="1" x14ac:dyDescent="0.25">
      <c r="A523" s="2" t="s">
        <v>337</v>
      </c>
      <c r="B523" s="2" t="s">
        <v>341</v>
      </c>
    </row>
    <row r="524" spans="1:13" s="7" customFormat="1" x14ac:dyDescent="0.2">
      <c r="A524" s="4" t="str">
        <f t="array" ref="A524:A531">R_CODE&amp;" "&amp;GLIN_NAME</f>
        <v>EU Lin</v>
      </c>
      <c r="B524" s="27">
        <f t="array" aca="1" ref="B524:K531" ca="1">cmax_glin/(EXP(BHI_GLIN*(QMAX_GLIN-Q0_GLIN))-1)</f>
        <v>82.218906973518202</v>
      </c>
      <c r="C524" s="27">
        <f ca="1"/>
        <v>78.376216393275755</v>
      </c>
      <c r="D524" s="27">
        <f ca="1"/>
        <v>74.713122835652968</v>
      </c>
      <c r="E524" s="27">
        <f ca="1"/>
        <v>67.892543568516246</v>
      </c>
      <c r="F524" s="27">
        <f ca="1"/>
        <v>61.694616651778873</v>
      </c>
      <c r="G524" s="27">
        <f ca="1"/>
        <v>47.582383807304758</v>
      </c>
      <c r="H524" s="27">
        <f ca="1"/>
        <v>35.073895763609109</v>
      </c>
      <c r="I524" s="27">
        <f ca="1"/>
        <v>27.695938650781368</v>
      </c>
      <c r="J524" s="27">
        <f ca="1"/>
        <v>22.725630351521783</v>
      </c>
      <c r="K524" s="27">
        <f ca="1"/>
        <v>19.163899729536709</v>
      </c>
      <c r="M524" s="4" t="str">
        <f t="shared" ref="M524:M531" si="39">CURRENCY_NAME&amp;" per "&amp;EMIT_NAME</f>
        <v>$M(2015) per Mtonne</v>
      </c>
    </row>
    <row r="525" spans="1:13" s="7" customFormat="1" x14ac:dyDescent="0.2">
      <c r="A525" s="4" t="str">
        <v>US Lin</v>
      </c>
      <c r="B525" s="28">
        <f ca="1"/>
        <v>82.218906973518202</v>
      </c>
      <c r="C525" s="28">
        <f ca="1"/>
        <v>78.376216393275755</v>
      </c>
      <c r="D525" s="28">
        <f ca="1"/>
        <v>74.713122835652939</v>
      </c>
      <c r="E525" s="28">
        <f ca="1"/>
        <v>67.892543568516246</v>
      </c>
      <c r="F525" s="28">
        <f ca="1"/>
        <v>61.694616651778887</v>
      </c>
      <c r="G525" s="28">
        <f ca="1"/>
        <v>44.62165139170083</v>
      </c>
      <c r="H525" s="28">
        <f ca="1"/>
        <v>31.621069116065716</v>
      </c>
      <c r="I525" s="28">
        <f ca="1"/>
        <v>24.622149025690245</v>
      </c>
      <c r="J525" s="28">
        <f ca="1"/>
        <v>20.067792481342611</v>
      </c>
      <c r="K525" s="28">
        <f ca="1"/>
        <v>16.860426917332774</v>
      </c>
      <c r="M525" s="4" t="str">
        <f t="shared" si="39"/>
        <v>$M(2015) per Mtonne</v>
      </c>
    </row>
    <row r="526" spans="1:13" s="7" customFormat="1" x14ac:dyDescent="0.2">
      <c r="A526" s="4" t="str">
        <v>OT Lin</v>
      </c>
      <c r="B526" s="28">
        <f ca="1"/>
        <v>101.40331860067242</v>
      </c>
      <c r="C526" s="28">
        <f ca="1"/>
        <v>96.664000218373431</v>
      </c>
      <c r="D526" s="28">
        <f ca="1"/>
        <v>92.146184830638674</v>
      </c>
      <c r="E526" s="28">
        <f ca="1"/>
        <v>83.734137067836699</v>
      </c>
      <c r="F526" s="28">
        <f ca="1"/>
        <v>76.090027203860615</v>
      </c>
      <c r="G526" s="28">
        <f ca="1"/>
        <v>58.84831930468583</v>
      </c>
      <c r="H526" s="28">
        <f ca="1"/>
        <v>43.465737832326418</v>
      </c>
      <c r="I526" s="28">
        <f ca="1"/>
        <v>34.349349690818862</v>
      </c>
      <c r="J526" s="28">
        <f ca="1"/>
        <v>28.195985486177236</v>
      </c>
      <c r="K526" s="28">
        <f ca="1"/>
        <v>23.782040863126944</v>
      </c>
      <c r="M526" s="4" t="str">
        <f t="shared" si="39"/>
        <v>$M(2015) per Mtonne</v>
      </c>
    </row>
    <row r="527" spans="1:13" s="7" customFormat="1" x14ac:dyDescent="0.2">
      <c r="A527" s="4" t="str">
        <v>EE Lin</v>
      </c>
      <c r="B527" s="28">
        <f ca="1"/>
        <v>57.553234881462728</v>
      </c>
      <c r="C527" s="28">
        <f ca="1"/>
        <v>54.863351475293037</v>
      </c>
      <c r="D527" s="28">
        <f ca="1"/>
        <v>52.29918598495707</v>
      </c>
      <c r="E527" s="28">
        <f ca="1"/>
        <v>47.52478049796138</v>
      </c>
      <c r="F527" s="28">
        <f ca="1"/>
        <v>43.186231656245226</v>
      </c>
      <c r="G527" s="28">
        <f ca="1"/>
        <v>34.353534543904203</v>
      </c>
      <c r="H527" s="28">
        <f ca="1"/>
        <v>25.943899741589462</v>
      </c>
      <c r="I527" s="28">
        <f ca="1"/>
        <v>20.689662200856294</v>
      </c>
      <c r="J527" s="28">
        <f ca="1"/>
        <v>17.062096912764133</v>
      </c>
      <c r="K527" s="28">
        <f ca="1"/>
        <v>14.428639069163825</v>
      </c>
      <c r="M527" s="4" t="str">
        <f t="shared" si="39"/>
        <v>$M(2015) per Mtonne</v>
      </c>
    </row>
    <row r="528" spans="1:13" s="7" customFormat="1" x14ac:dyDescent="0.2">
      <c r="A528" s="4" t="str">
        <v>CA Lin</v>
      </c>
      <c r="B528" s="28">
        <f ca="1"/>
        <v>82.218906973518173</v>
      </c>
      <c r="C528" s="28">
        <f ca="1"/>
        <v>78.376216393275755</v>
      </c>
      <c r="D528" s="28">
        <f ca="1"/>
        <v>74.713122835652939</v>
      </c>
      <c r="E528" s="28">
        <f ca="1"/>
        <v>67.892543568516246</v>
      </c>
      <c r="F528" s="28">
        <f ca="1"/>
        <v>61.694616651778873</v>
      </c>
      <c r="G528" s="28">
        <f ca="1"/>
        <v>47.49666347609179</v>
      </c>
      <c r="H528" s="28">
        <f ca="1"/>
        <v>34.96553707903179</v>
      </c>
      <c r="I528" s="28">
        <f ca="1"/>
        <v>27.596651763835407</v>
      </c>
      <c r="J528" s="28">
        <f ca="1"/>
        <v>22.63857640515328</v>
      </c>
      <c r="K528" s="28">
        <f ca="1"/>
        <v>19.08787606107456</v>
      </c>
      <c r="M528" s="4" t="str">
        <f t="shared" si="39"/>
        <v>$M(2015) per Mtonne</v>
      </c>
    </row>
    <row r="529" spans="1:13" s="7" customFormat="1" x14ac:dyDescent="0.2">
      <c r="A529" s="4" t="str">
        <v>IA Lin</v>
      </c>
      <c r="B529" s="28">
        <f ca="1"/>
        <v>101.40331860067242</v>
      </c>
      <c r="C529" s="28">
        <f ca="1"/>
        <v>96.664000218373431</v>
      </c>
      <c r="D529" s="28">
        <f ca="1"/>
        <v>92.146184830638632</v>
      </c>
      <c r="E529" s="28">
        <f ca="1"/>
        <v>83.734137067836699</v>
      </c>
      <c r="F529" s="28">
        <f ca="1"/>
        <v>76.090027203860629</v>
      </c>
      <c r="G529" s="28">
        <f ca="1"/>
        <v>59.213344751344998</v>
      </c>
      <c r="H529" s="28">
        <f ca="1"/>
        <v>43.936640650113532</v>
      </c>
      <c r="I529" s="28">
        <f ca="1"/>
        <v>34.784261160464119</v>
      </c>
      <c r="J529" s="28">
        <f ca="1"/>
        <v>28.578822591532628</v>
      </c>
      <c r="K529" s="28">
        <f ca="1"/>
        <v>24.11710634332702</v>
      </c>
      <c r="M529" s="4" t="str">
        <f t="shared" si="39"/>
        <v>$M(2015) per Mtonne</v>
      </c>
    </row>
    <row r="530" spans="1:13" s="7" customFormat="1" x14ac:dyDescent="0.2">
      <c r="A530" s="4" t="str">
        <v>AF Lin</v>
      </c>
      <c r="B530" s="28">
        <f ca="1"/>
        <v>101.40331860067242</v>
      </c>
      <c r="C530" s="28">
        <f ca="1"/>
        <v>96.664000218373431</v>
      </c>
      <c r="D530" s="28">
        <f ca="1"/>
        <v>92.146184830638632</v>
      </c>
      <c r="E530" s="28">
        <f ca="1"/>
        <v>83.734137067836684</v>
      </c>
      <c r="F530" s="28">
        <f ca="1"/>
        <v>76.090027203860629</v>
      </c>
      <c r="G530" s="28">
        <f ca="1"/>
        <v>60.133789597609749</v>
      </c>
      <c r="H530" s="28">
        <f ca="1"/>
        <v>45.165413786877778</v>
      </c>
      <c r="I530" s="28">
        <f ca="1"/>
        <v>35.934889595896912</v>
      </c>
      <c r="J530" s="28">
        <f ca="1"/>
        <v>29.598779516535021</v>
      </c>
      <c r="K530" s="28">
        <f ca="1"/>
        <v>25.013293306111134</v>
      </c>
      <c r="M530" s="4" t="str">
        <f t="shared" si="39"/>
        <v>$M(2015) per Mtonne</v>
      </c>
    </row>
    <row r="531" spans="1:13" s="7" customFormat="1" ht="13.5" thickBot="1" x14ac:dyDescent="0.25">
      <c r="A531" s="4" t="str">
        <v>LA Lin</v>
      </c>
      <c r="B531" s="36">
        <f ca="1"/>
        <v>57.553234881462728</v>
      </c>
      <c r="C531" s="36">
        <f ca="1"/>
        <v>54.863351475293037</v>
      </c>
      <c r="D531" s="36">
        <f ca="1"/>
        <v>52.29918598495707</v>
      </c>
      <c r="E531" s="36">
        <f ca="1"/>
        <v>47.52478049796138</v>
      </c>
      <c r="F531" s="36">
        <f ca="1"/>
        <v>43.186231656245241</v>
      </c>
      <c r="G531" s="36">
        <f ca="1"/>
        <v>34.242205455831218</v>
      </c>
      <c r="H531" s="36">
        <f ca="1"/>
        <v>25.788907137977297</v>
      </c>
      <c r="I531" s="36">
        <f ca="1"/>
        <v>20.54197747355586</v>
      </c>
      <c r="J531" s="36">
        <f ca="1"/>
        <v>16.930010807460356</v>
      </c>
      <c r="K531" s="36">
        <f ca="1"/>
        <v>14.311995409776365</v>
      </c>
      <c r="M531" s="4" t="str">
        <f t="shared" si="39"/>
        <v>$M(2015) per Mtonne</v>
      </c>
    </row>
    <row r="532" spans="1:13" s="2" customFormat="1" ht="15" thickTop="1" x14ac:dyDescent="0.25">
      <c r="A532" s="2" t="s">
        <v>342</v>
      </c>
      <c r="B532" s="2" t="s">
        <v>343</v>
      </c>
    </row>
    <row r="533" spans="1:13" s="6" customFormat="1" x14ac:dyDescent="0.2">
      <c r="A533" s="4" t="str">
        <f t="array" ref="A533:A540">R_CODE&amp;" "&amp;'Base data'!$B$12</f>
        <v>EU CO2</v>
      </c>
      <c r="B533" s="29">
        <f t="array" aca="1" ref="B533:K540" ca="1">IF(Q0_CO2=0,0,(ALO_CO2/BLO_CO2)*(1-EXP(-BLO_CO2*Q0_CO2))-ALO_CO2*Q0_CO2)</f>
        <v>-11329.897702193506</v>
      </c>
      <c r="C533" s="29">
        <f ca="1"/>
        <v>-11748.079052013652</v>
      </c>
      <c r="D533" s="29">
        <f ca="1"/>
        <v>-12122.500462414529</v>
      </c>
      <c r="E533" s="29">
        <f ca="1"/>
        <v>-13454.306275108145</v>
      </c>
      <c r="F533" s="29">
        <f ca="1"/>
        <v>-15031.160815213603</v>
      </c>
      <c r="G533" s="29">
        <f ca="1"/>
        <v>-17166.978913297371</v>
      </c>
      <c r="H533" s="29">
        <f ca="1"/>
        <v>-19056.152081366818</v>
      </c>
      <c r="I533" s="29">
        <f ca="1"/>
        <v>-19775.885042365033</v>
      </c>
      <c r="J533" s="29">
        <f ca="1"/>
        <v>-19042.685504170251</v>
      </c>
      <c r="K533" s="29">
        <f ca="1"/>
        <v>-18414.92340228978</v>
      </c>
      <c r="M533" s="4" t="str">
        <f t="shared" ref="M533:M540" si="40">CURRENCY_NAME</f>
        <v>$M(2015)</v>
      </c>
    </row>
    <row r="534" spans="1:13" s="6" customFormat="1" x14ac:dyDescent="0.2">
      <c r="A534" s="4" t="str">
        <v>US CO2</v>
      </c>
      <c r="B534" s="26">
        <f ca="1"/>
        <v>-18384.550408229465</v>
      </c>
      <c r="C534" s="26">
        <f ca="1"/>
        <v>-20392.503657211575</v>
      </c>
      <c r="D534" s="26">
        <f ca="1"/>
        <v>-22238.455014182182</v>
      </c>
      <c r="E534" s="26">
        <f ca="1"/>
        <v>-25796.064159854592</v>
      </c>
      <c r="F534" s="26">
        <f ca="1"/>
        <v>-29266.726994179509</v>
      </c>
      <c r="G534" s="26">
        <f ca="1"/>
        <v>-33276.320985636674</v>
      </c>
      <c r="H534" s="26">
        <f ca="1"/>
        <v>-34309.321588866893</v>
      </c>
      <c r="I534" s="26">
        <f ca="1"/>
        <v>-34964.572843660513</v>
      </c>
      <c r="J534" s="26">
        <f ca="1"/>
        <v>-31666.277276335735</v>
      </c>
      <c r="K534" s="26">
        <f ca="1"/>
        <v>-27574.354704968533</v>
      </c>
      <c r="M534" s="4" t="str">
        <f t="shared" si="40"/>
        <v>$M(2015)</v>
      </c>
    </row>
    <row r="535" spans="1:13" s="6" customFormat="1" x14ac:dyDescent="0.2">
      <c r="A535" s="4" t="str">
        <v>OT CO2</v>
      </c>
      <c r="B535" s="26">
        <f ca="1"/>
        <v>-10625.537060221926</v>
      </c>
      <c r="C535" s="26">
        <f ca="1"/>
        <v>-11017.720780428626</v>
      </c>
      <c r="D535" s="26">
        <f ca="1"/>
        <v>-11368.865042886078</v>
      </c>
      <c r="E535" s="26">
        <f ca="1"/>
        <v>-12617.874733154969</v>
      </c>
      <c r="F535" s="26">
        <f ca="1"/>
        <v>-14096.698884517427</v>
      </c>
      <c r="G535" s="26">
        <f ca="1"/>
        <v>-16099.736771672235</v>
      </c>
      <c r="H535" s="26">
        <f ca="1"/>
        <v>-17871.463228356173</v>
      </c>
      <c r="I535" s="26">
        <f ca="1"/>
        <v>-18546.451604382655</v>
      </c>
      <c r="J535" s="26">
        <f ca="1"/>
        <v>-17858.833845564059</v>
      </c>
      <c r="K535" s="26">
        <f ca="1"/>
        <v>-17270.098655374091</v>
      </c>
      <c r="M535" s="4" t="str">
        <f t="shared" si="40"/>
        <v>$M(2015)</v>
      </c>
    </row>
    <row r="536" spans="1:13" s="6" customFormat="1" x14ac:dyDescent="0.2">
      <c r="A536" s="4" t="str">
        <v>EE CO2</v>
      </c>
      <c r="B536" s="26">
        <f ca="1"/>
        <v>-7311.8611381878054</v>
      </c>
      <c r="C536" s="26">
        <f ca="1"/>
        <v>-7615.1389982197234</v>
      </c>
      <c r="D536" s="26">
        <f ca="1"/>
        <v>-7887.8897458959791</v>
      </c>
      <c r="E536" s="26">
        <f ca="1"/>
        <v>-9054.1654046321346</v>
      </c>
      <c r="F536" s="26">
        <f ca="1"/>
        <v>-10364.11806166524</v>
      </c>
      <c r="G536" s="26">
        <f ca="1"/>
        <v>-11617.920157994809</v>
      </c>
      <c r="H536" s="26">
        <f ca="1"/>
        <v>-11742.711314669315</v>
      </c>
      <c r="I536" s="26">
        <f ca="1"/>
        <v>-10540.294516195983</v>
      </c>
      <c r="J536" s="26">
        <f ca="1"/>
        <v>-8712.0854364373008</v>
      </c>
      <c r="K536" s="26">
        <f ca="1"/>
        <v>-7041.8864377334921</v>
      </c>
      <c r="M536" s="4" t="str">
        <f t="shared" si="40"/>
        <v>$M(2015)</v>
      </c>
    </row>
    <row r="537" spans="1:13" s="6" customFormat="1" x14ac:dyDescent="0.2">
      <c r="A537" s="4" t="str">
        <v>CA CO2</v>
      </c>
      <c r="B537" s="26">
        <f ca="1"/>
        <v>-25395.331599499994</v>
      </c>
      <c r="C537" s="26">
        <f ca="1"/>
        <v>-27364.762851693944</v>
      </c>
      <c r="D537" s="26">
        <f ca="1"/>
        <v>-29165.462977759875</v>
      </c>
      <c r="E537" s="26">
        <f ca="1"/>
        <v>-32160.806382458926</v>
      </c>
      <c r="F537" s="26">
        <f ca="1"/>
        <v>-32204.682621027103</v>
      </c>
      <c r="G537" s="26">
        <f ca="1"/>
        <v>-31847.001873633781</v>
      </c>
      <c r="H537" s="26">
        <f ca="1"/>
        <v>-30240.603523665217</v>
      </c>
      <c r="I537" s="26">
        <f ca="1"/>
        <v>-26464.861922942109</v>
      </c>
      <c r="J537" s="26">
        <f ca="1"/>
        <v>-20751.820834268467</v>
      </c>
      <c r="K537" s="26">
        <f ca="1"/>
        <v>-15347.751013932169</v>
      </c>
      <c r="M537" s="4" t="str">
        <f t="shared" si="40"/>
        <v>$M(2015)</v>
      </c>
    </row>
    <row r="538" spans="1:13" s="6" customFormat="1" x14ac:dyDescent="0.2">
      <c r="A538" s="4" t="str">
        <v>IA CO2</v>
      </c>
      <c r="B538" s="26">
        <f ca="1"/>
        <v>-15329.247326106695</v>
      </c>
      <c r="C538" s="26">
        <f ca="1"/>
        <v>-18001.366127234236</v>
      </c>
      <c r="D538" s="26">
        <f ca="1"/>
        <v>-20470.103678645577</v>
      </c>
      <c r="E538" s="26">
        <f ca="1"/>
        <v>-27166.421192231828</v>
      </c>
      <c r="F538" s="26">
        <f ca="1"/>
        <v>-34787.492963605269</v>
      </c>
      <c r="G538" s="26">
        <f ca="1"/>
        <v>-42031.28580901157</v>
      </c>
      <c r="H538" s="26">
        <f ca="1"/>
        <v>-48041.0544454107</v>
      </c>
      <c r="I538" s="26">
        <f ca="1"/>
        <v>-51901.06018661047</v>
      </c>
      <c r="J538" s="26">
        <f ca="1"/>
        <v>-50102.352144526652</v>
      </c>
      <c r="K538" s="26">
        <f ca="1"/>
        <v>-45338.060449067925</v>
      </c>
      <c r="M538" s="4" t="str">
        <f t="shared" si="40"/>
        <v>$M(2015)</v>
      </c>
    </row>
    <row r="539" spans="1:13" s="6" customFormat="1" x14ac:dyDescent="0.2">
      <c r="A539" s="4" t="str">
        <v>AF CO2</v>
      </c>
      <c r="B539" s="26">
        <f ca="1"/>
        <v>-14890.1610394073</v>
      </c>
      <c r="C539" s="26">
        <f ca="1"/>
        <v>-16840.099842046988</v>
      </c>
      <c r="D539" s="26">
        <f ca="1"/>
        <v>-18636.676053119387</v>
      </c>
      <c r="E539" s="26">
        <f ca="1"/>
        <v>-26086.557147306303</v>
      </c>
      <c r="F539" s="26">
        <f ca="1"/>
        <v>-36728.104453698004</v>
      </c>
      <c r="G539" s="26">
        <f ca="1"/>
        <v>-50304.573717538246</v>
      </c>
      <c r="H539" s="26">
        <f ca="1"/>
        <v>-62528.550939287677</v>
      </c>
      <c r="I539" s="26">
        <f ca="1"/>
        <v>-71517.349007878816</v>
      </c>
      <c r="J539" s="26">
        <f ca="1"/>
        <v>-72257.327595291979</v>
      </c>
      <c r="K539" s="26">
        <f ca="1"/>
        <v>-69333.448123658571</v>
      </c>
      <c r="M539" s="4" t="str">
        <f t="shared" si="40"/>
        <v>$M(2015)</v>
      </c>
    </row>
    <row r="540" spans="1:13" s="6" customFormat="1" ht="13.5" thickBot="1" x14ac:dyDescent="0.25">
      <c r="A540" s="4" t="str">
        <v>LA CO2</v>
      </c>
      <c r="B540" s="35">
        <f ca="1"/>
        <v>-7939.8856694156711</v>
      </c>
      <c r="C540" s="35">
        <f ca="1"/>
        <v>-9243.9426901539882</v>
      </c>
      <c r="D540" s="35">
        <f ca="1"/>
        <v>-10448.131863352835</v>
      </c>
      <c r="E540" s="35">
        <f ca="1"/>
        <v>-12985.664231611798</v>
      </c>
      <c r="F540" s="35">
        <f ca="1"/>
        <v>-14644.150146391918</v>
      </c>
      <c r="G540" s="35">
        <f ca="1"/>
        <v>-15589.02980851521</v>
      </c>
      <c r="H540" s="35">
        <f ca="1"/>
        <v>-15950.14501498235</v>
      </c>
      <c r="I540" s="35">
        <f ca="1"/>
        <v>-15384.070441573551</v>
      </c>
      <c r="J540" s="35">
        <f ca="1"/>
        <v>-13862.172007081361</v>
      </c>
      <c r="K540" s="35">
        <f ca="1"/>
        <v>-12355.601305815599</v>
      </c>
      <c r="M540" s="4" t="str">
        <f t="shared" si="40"/>
        <v>$M(2015)</v>
      </c>
    </row>
    <row r="541" spans="1:13" s="2" customFormat="1" ht="15" thickTop="1" x14ac:dyDescent="0.25">
      <c r="A541" s="2" t="s">
        <v>342</v>
      </c>
      <c r="B541" s="2" t="s">
        <v>344</v>
      </c>
    </row>
    <row r="542" spans="1:13" s="6" customFormat="1" x14ac:dyDescent="0.2">
      <c r="A542" s="4" t="str">
        <f t="array" ref="A542:A549">R_CODE&amp;" "&amp;'Base data'!$C$12</f>
        <v>EU CH4</v>
      </c>
      <c r="B542" s="29">
        <f t="array" aca="1" ref="B542:K549" ca="1">IF(Q0_CH4=0,0,(ALO_CH4/BLO_CH4)*(1-EXP(-BLO_CH4*Q0_CH4))-ALO_CH4*Q0_CH4)</f>
        <v>-3158.0714728122116</v>
      </c>
      <c r="C542" s="29">
        <f ca="1"/>
        <v>-3234.5001841880712</v>
      </c>
      <c r="D542" s="29">
        <f ca="1"/>
        <v>-3299.0329822112899</v>
      </c>
      <c r="E542" s="29">
        <f ca="1"/>
        <v>-3593.490320189303</v>
      </c>
      <c r="F542" s="29">
        <f ca="1"/>
        <v>-3766.6067427770995</v>
      </c>
      <c r="G542" s="29">
        <f ca="1"/>
        <v>-3593.7534502047247</v>
      </c>
      <c r="H542" s="29">
        <f ca="1"/>
        <v>-3476.6882380701186</v>
      </c>
      <c r="I542" s="29">
        <f ca="1"/>
        <v>-3246.8909926777069</v>
      </c>
      <c r="J542" s="29">
        <f ca="1"/>
        <v>-3418.7165514260523</v>
      </c>
      <c r="K542" s="29">
        <f ca="1"/>
        <v>-2858.5885196030622</v>
      </c>
      <c r="M542" s="4" t="str">
        <f t="shared" ref="M542:M549" si="41">CURRENCY_NAME</f>
        <v>$M(2015)</v>
      </c>
    </row>
    <row r="543" spans="1:13" s="6" customFormat="1" x14ac:dyDescent="0.2">
      <c r="A543" s="4" t="str">
        <v>US CH4</v>
      </c>
      <c r="B543" s="26">
        <f ca="1"/>
        <v>-4859.6129289375986</v>
      </c>
      <c r="C543" s="26">
        <f ca="1"/>
        <v>-5061.5079102963373</v>
      </c>
      <c r="D543" s="26">
        <f ca="1"/>
        <v>-5238.4672180810812</v>
      </c>
      <c r="E543" s="26">
        <f ca="1"/>
        <v>-5729.805445447284</v>
      </c>
      <c r="F543" s="26">
        <f ca="1"/>
        <v>-6109.0267984646889</v>
      </c>
      <c r="G543" s="26">
        <f ca="1"/>
        <v>-5917.9274506170823</v>
      </c>
      <c r="H543" s="26">
        <f ca="1"/>
        <v>-5206.366882730531</v>
      </c>
      <c r="I543" s="26">
        <f ca="1"/>
        <v>-4973.0278741782349</v>
      </c>
      <c r="J543" s="26">
        <f ca="1"/>
        <v>-4629.0270336072608</v>
      </c>
      <c r="K543" s="26">
        <f ca="1"/>
        <v>-4088.0970938565561</v>
      </c>
      <c r="M543" s="4" t="str">
        <f t="shared" si="41"/>
        <v>$M(2015)</v>
      </c>
    </row>
    <row r="544" spans="1:13" s="6" customFormat="1" x14ac:dyDescent="0.2">
      <c r="A544" s="4" t="str">
        <v>OT CH4</v>
      </c>
      <c r="B544" s="26">
        <f ca="1"/>
        <v>-2471.8404529988138</v>
      </c>
      <c r="C544" s="26">
        <f ca="1"/>
        <v>-2467.8013437884974</v>
      </c>
      <c r="D544" s="26">
        <f ca="1"/>
        <v>-2459.4747280160045</v>
      </c>
      <c r="E544" s="26">
        <f ca="1"/>
        <v>-2777.1173359199634</v>
      </c>
      <c r="F544" s="26">
        <f ca="1"/>
        <v>-2994.1728919419725</v>
      </c>
      <c r="G544" s="26">
        <f ca="1"/>
        <v>-2920.9639540691337</v>
      </c>
      <c r="H544" s="26">
        <f ca="1"/>
        <v>-2469.4215154661274</v>
      </c>
      <c r="I544" s="26">
        <f ca="1"/>
        <v>-2052.4079811530282</v>
      </c>
      <c r="J544" s="26">
        <f ca="1"/>
        <v>-1860.7942229533737</v>
      </c>
      <c r="K544" s="26">
        <f ca="1"/>
        <v>-2361.4489899030386</v>
      </c>
      <c r="M544" s="4" t="str">
        <f t="shared" si="41"/>
        <v>$M(2015)</v>
      </c>
    </row>
    <row r="545" spans="1:13" s="6" customFormat="1" x14ac:dyDescent="0.2">
      <c r="A545" s="4" t="str">
        <v>EE CH4</v>
      </c>
      <c r="B545" s="26">
        <f ca="1"/>
        <v>-4412.6246602259544</v>
      </c>
      <c r="C545" s="26">
        <f ca="1"/>
        <v>-4436.2594901921493</v>
      </c>
      <c r="D545" s="26">
        <f ca="1"/>
        <v>-4449.8140393562535</v>
      </c>
      <c r="E545" s="26">
        <f ca="1"/>
        <v>-4750.455534401246</v>
      </c>
      <c r="F545" s="26">
        <f ca="1"/>
        <v>-5148.9579328577329</v>
      </c>
      <c r="G545" s="26">
        <f ca="1"/>
        <v>-5425.0550873135198</v>
      </c>
      <c r="H545" s="26">
        <f ca="1"/>
        <v>-5610.1436615999546</v>
      </c>
      <c r="I545" s="26">
        <f ca="1"/>
        <v>-5682.311179453789</v>
      </c>
      <c r="J545" s="26">
        <f ca="1"/>
        <v>-5349.3448816963892</v>
      </c>
      <c r="K545" s="26">
        <f ca="1"/>
        <v>-4816.7133387254789</v>
      </c>
      <c r="M545" s="4" t="str">
        <f t="shared" si="41"/>
        <v>$M(2015)</v>
      </c>
    </row>
    <row r="546" spans="1:13" s="6" customFormat="1" x14ac:dyDescent="0.2">
      <c r="A546" s="4" t="str">
        <v>CA CH4</v>
      </c>
      <c r="B546" s="26">
        <f ca="1"/>
        <v>-6875.4538995335897</v>
      </c>
      <c r="C546" s="26">
        <f ca="1"/>
        <v>-5938.1635467405358</v>
      </c>
      <c r="D546" s="26">
        <f ca="1"/>
        <v>-5061.7944720486976</v>
      </c>
      <c r="E546" s="26">
        <f ca="1"/>
        <v>-4501.2120203284567</v>
      </c>
      <c r="F546" s="26">
        <f ca="1"/>
        <v>-3863.5218021547435</v>
      </c>
      <c r="G546" s="26">
        <f ca="1"/>
        <v>-3466.736741454708</v>
      </c>
      <c r="H546" s="26">
        <f ca="1"/>
        <v>-3093.9595431257117</v>
      </c>
      <c r="I546" s="26">
        <f ca="1"/>
        <v>-2342.7637366086683</v>
      </c>
      <c r="J546" s="26">
        <f ca="1"/>
        <v>-1833.3630181699914</v>
      </c>
      <c r="K546" s="26">
        <f ca="1"/>
        <v>-1442.0886318193859</v>
      </c>
      <c r="M546" s="4" t="str">
        <f t="shared" si="41"/>
        <v>$M(2015)</v>
      </c>
    </row>
    <row r="547" spans="1:13" s="6" customFormat="1" x14ac:dyDescent="0.2">
      <c r="A547" s="4" t="str">
        <v>IA CH4</v>
      </c>
      <c r="B547" s="26">
        <f ca="1"/>
        <v>-9040.4294137644938</v>
      </c>
      <c r="C547" s="26">
        <f ca="1"/>
        <v>-8859.434350954547</v>
      </c>
      <c r="D547" s="26">
        <f ca="1"/>
        <v>-8675.8339949032998</v>
      </c>
      <c r="E547" s="26">
        <f ca="1"/>
        <v>-8450.5872355424981</v>
      </c>
      <c r="F547" s="26">
        <f ca="1"/>
        <v>-8185.9612557065393</v>
      </c>
      <c r="G547" s="26">
        <f ca="1"/>
        <v>-5929.9088070641228</v>
      </c>
      <c r="H547" s="26">
        <f ca="1"/>
        <v>-4547.6218053051907</v>
      </c>
      <c r="I547" s="26">
        <f ca="1"/>
        <v>-3241.6361942060385</v>
      </c>
      <c r="J547" s="26">
        <f ca="1"/>
        <v>-2583.417062135085</v>
      </c>
      <c r="K547" s="26">
        <f ca="1"/>
        <v>-2074.2811148231649</v>
      </c>
      <c r="M547" s="4" t="str">
        <f t="shared" si="41"/>
        <v>$M(2015)</v>
      </c>
    </row>
    <row r="548" spans="1:13" s="6" customFormat="1" x14ac:dyDescent="0.2">
      <c r="A548" s="4" t="str">
        <v>AF CH4</v>
      </c>
      <c r="B548" s="26">
        <f ca="1"/>
        <v>-9172.5185896744024</v>
      </c>
      <c r="C548" s="26">
        <f ca="1"/>
        <v>-11254.196815766883</v>
      </c>
      <c r="D548" s="26">
        <f ca="1"/>
        <v>-13155.033219008168</v>
      </c>
      <c r="E548" s="26">
        <f ca="1"/>
        <v>-17654.772123276922</v>
      </c>
      <c r="F548" s="26">
        <f ca="1"/>
        <v>-19452.819986488525</v>
      </c>
      <c r="G548" s="26">
        <f ca="1"/>
        <v>-19522.985804123397</v>
      </c>
      <c r="H548" s="26">
        <f ca="1"/>
        <v>-18798.919314239087</v>
      </c>
      <c r="I548" s="26">
        <f ca="1"/>
        <v>-16731.405923856066</v>
      </c>
      <c r="J548" s="26">
        <f ca="1"/>
        <v>-12830.860303107209</v>
      </c>
      <c r="K548" s="26">
        <f ca="1"/>
        <v>-10344.7162602835</v>
      </c>
      <c r="M548" s="4" t="str">
        <f t="shared" si="41"/>
        <v>$M(2015)</v>
      </c>
    </row>
    <row r="549" spans="1:13" s="6" customFormat="1" ht="13.5" thickBot="1" x14ac:dyDescent="0.25">
      <c r="A549" s="4" t="str">
        <v>LA CH4</v>
      </c>
      <c r="B549" s="35">
        <f ca="1"/>
        <v>-7413.014008996478</v>
      </c>
      <c r="C549" s="35">
        <f ca="1"/>
        <v>-7530.3225435407749</v>
      </c>
      <c r="D549" s="35">
        <f ca="1"/>
        <v>-7624.5921020732512</v>
      </c>
      <c r="E549" s="35">
        <f ca="1"/>
        <v>-7391.6237813700036</v>
      </c>
      <c r="F549" s="35">
        <f ca="1"/>
        <v>-5682.2462751635312</v>
      </c>
      <c r="G549" s="35">
        <f ca="1"/>
        <v>-4910.0766919976886</v>
      </c>
      <c r="H549" s="35">
        <f ca="1"/>
        <v>-4347.9046137228806</v>
      </c>
      <c r="I549" s="35">
        <f ca="1"/>
        <v>-3689.7507800157855</v>
      </c>
      <c r="J549" s="35">
        <f ca="1"/>
        <v>-2719.7901746625521</v>
      </c>
      <c r="K549" s="35">
        <f ca="1"/>
        <v>-2206.5665267779059</v>
      </c>
      <c r="M549" s="4" t="str">
        <f t="shared" si="41"/>
        <v>$M(2015)</v>
      </c>
    </row>
    <row r="550" spans="1:13" s="2" customFormat="1" ht="15" thickTop="1" x14ac:dyDescent="0.25">
      <c r="A550" s="2" t="s">
        <v>342</v>
      </c>
      <c r="B550" s="2" t="s">
        <v>345</v>
      </c>
    </row>
    <row r="551" spans="1:13" s="7" customFormat="1" x14ac:dyDescent="0.2">
      <c r="A551" s="4" t="str">
        <f t="array" ref="A551:A558">R_CODE&amp;" "&amp;'Base data'!$D$12</f>
        <v>EU N2O</v>
      </c>
      <c r="B551" s="29">
        <f t="array" aca="1" ref="B551:K558" ca="1">IF(Q0_N2O=0,0,(ALO_N2O/BLO_N2O)*(1-EXP(-BLO_N2O*Q0_N2O))-ALO_N2O*Q0_N2O)</f>
        <v>-397.11246261775204</v>
      </c>
      <c r="C551" s="29">
        <f ca="1"/>
        <v>-402.15685904722272</v>
      </c>
      <c r="D551" s="29">
        <f ca="1"/>
        <v>-406.68577543563777</v>
      </c>
      <c r="E551" s="29">
        <f ca="1"/>
        <v>-408.75570628862704</v>
      </c>
      <c r="F551" s="29">
        <f ca="1"/>
        <v>-382.24517085464402</v>
      </c>
      <c r="G551" s="29">
        <f ca="1"/>
        <v>-370.39986157791395</v>
      </c>
      <c r="H551" s="29">
        <f ca="1"/>
        <v>-351.74987514342342</v>
      </c>
      <c r="I551" s="29">
        <f ca="1"/>
        <v>-335.41974057908493</v>
      </c>
      <c r="J551" s="29">
        <f ca="1"/>
        <v>-312.2963061970828</v>
      </c>
      <c r="K551" s="29">
        <f ca="1"/>
        <v>-285.36670130745938</v>
      </c>
      <c r="M551" s="4" t="str">
        <f t="shared" ref="M551:M558" si="42">CURRENCY_NAME</f>
        <v>$M(2015)</v>
      </c>
    </row>
    <row r="552" spans="1:13" s="7" customFormat="1" x14ac:dyDescent="0.2">
      <c r="A552" s="4" t="str">
        <v>US N2O</v>
      </c>
      <c r="B552" s="26">
        <f ca="1"/>
        <v>-379.44926237681528</v>
      </c>
      <c r="C552" s="26">
        <f ca="1"/>
        <v>-384.26928865270008</v>
      </c>
      <c r="D552" s="26">
        <f ca="1"/>
        <v>-388.59676296972884</v>
      </c>
      <c r="E552" s="26">
        <f ca="1"/>
        <v>-390.57462518578791</v>
      </c>
      <c r="F552" s="26">
        <f ca="1"/>
        <v>-365.24325419499093</v>
      </c>
      <c r="G552" s="26">
        <f ca="1"/>
        <v>-353.92481347406351</v>
      </c>
      <c r="H552" s="26">
        <f ca="1"/>
        <v>-336.1043614306916</v>
      </c>
      <c r="I552" s="26">
        <f ca="1"/>
        <v>-320.50057636158164</v>
      </c>
      <c r="J552" s="26">
        <f ca="1"/>
        <v>-298.40565125641001</v>
      </c>
      <c r="K552" s="26">
        <f ca="1"/>
        <v>-272.67385063724237</v>
      </c>
      <c r="M552" s="4" t="str">
        <f t="shared" si="42"/>
        <v>$M(2015)</v>
      </c>
    </row>
    <row r="553" spans="1:13" s="7" customFormat="1" x14ac:dyDescent="0.2">
      <c r="A553" s="4" t="str">
        <v>OT N2O</v>
      </c>
      <c r="B553" s="26">
        <f ca="1"/>
        <v>-188.27044278106456</v>
      </c>
      <c r="C553" s="26">
        <f ca="1"/>
        <v>-190.66198381475357</v>
      </c>
      <c r="D553" s="26">
        <f ca="1"/>
        <v>-192.80913650833716</v>
      </c>
      <c r="E553" s="26">
        <f ca="1"/>
        <v>-193.79048772468923</v>
      </c>
      <c r="F553" s="26">
        <f ca="1"/>
        <v>-181.22188131123752</v>
      </c>
      <c r="G553" s="26">
        <f ca="1"/>
        <v>-175.60603735683793</v>
      </c>
      <c r="H553" s="26">
        <f ca="1"/>
        <v>-166.76410582757691</v>
      </c>
      <c r="I553" s="26">
        <f ca="1"/>
        <v>-159.02201270656161</v>
      </c>
      <c r="J553" s="26">
        <f ca="1"/>
        <v>-148.05922599112941</v>
      </c>
      <c r="K553" s="26">
        <f ca="1"/>
        <v>-135.2919393563385</v>
      </c>
      <c r="M553" s="4" t="str">
        <f t="shared" si="42"/>
        <v>$M(2015)</v>
      </c>
    </row>
    <row r="554" spans="1:13" s="7" customFormat="1" x14ac:dyDescent="0.2">
      <c r="A554" s="4" t="str">
        <v>EE N2O</v>
      </c>
      <c r="B554" s="26">
        <f ca="1"/>
        <v>-90.340451932314011</v>
      </c>
      <c r="C554" s="26">
        <f ca="1"/>
        <v>-91.488018669857553</v>
      </c>
      <c r="D554" s="26">
        <f ca="1"/>
        <v>-92.518317116287591</v>
      </c>
      <c r="E554" s="26">
        <f ca="1"/>
        <v>-92.989212659315925</v>
      </c>
      <c r="F554" s="26">
        <f ca="1"/>
        <v>-86.958241643483106</v>
      </c>
      <c r="G554" s="26">
        <f ca="1"/>
        <v>-84.263512331076981</v>
      </c>
      <c r="H554" s="26">
        <f ca="1"/>
        <v>-80.020764088131074</v>
      </c>
      <c r="I554" s="26">
        <f ca="1"/>
        <v>-76.30576676235367</v>
      </c>
      <c r="J554" s="26">
        <f ca="1"/>
        <v>-71.045338775463478</v>
      </c>
      <c r="K554" s="26">
        <f ca="1"/>
        <v>-64.919032237385863</v>
      </c>
      <c r="M554" s="4" t="str">
        <f t="shared" si="42"/>
        <v>$M(2015)</v>
      </c>
    </row>
    <row r="555" spans="1:13" s="7" customFormat="1" x14ac:dyDescent="0.2">
      <c r="A555" s="4" t="str">
        <v>CA N2O</v>
      </c>
      <c r="B555" s="26">
        <f ca="1"/>
        <v>-474.69350750508511</v>
      </c>
      <c r="C555" s="26">
        <f ca="1"/>
        <v>-480.72339188233889</v>
      </c>
      <c r="D555" s="26">
        <f ca="1"/>
        <v>-486.13709053949572</v>
      </c>
      <c r="E555" s="26">
        <f ca="1"/>
        <v>-488.61140910009038</v>
      </c>
      <c r="F555" s="26">
        <f ca="1"/>
        <v>-456.92169841199086</v>
      </c>
      <c r="G555" s="26">
        <f ca="1"/>
        <v>-442.76225508707574</v>
      </c>
      <c r="H555" s="26">
        <f ca="1"/>
        <v>-420.46875309735799</v>
      </c>
      <c r="I555" s="26">
        <f ca="1"/>
        <v>-400.94831598169526</v>
      </c>
      <c r="J555" s="26">
        <f ca="1"/>
        <v>-373.30742025155541</v>
      </c>
      <c r="K555" s="26">
        <f ca="1"/>
        <v>-341.1167694809543</v>
      </c>
      <c r="M555" s="4" t="str">
        <f t="shared" si="42"/>
        <v>$M(2015)</v>
      </c>
    </row>
    <row r="556" spans="1:13" s="7" customFormat="1" x14ac:dyDescent="0.2">
      <c r="A556" s="4" t="str">
        <v>IA N2O</v>
      </c>
      <c r="B556" s="26">
        <f ca="1"/>
        <v>-227.07852743377094</v>
      </c>
      <c r="C556" s="26">
        <f ca="1"/>
        <v>-229.96303552864526</v>
      </c>
      <c r="D556" s="26">
        <f ca="1"/>
        <v>-232.55277964690504</v>
      </c>
      <c r="E556" s="26">
        <f ca="1"/>
        <v>-233.73641625928451</v>
      </c>
      <c r="F556" s="26">
        <f ca="1"/>
        <v>-218.5770497963278</v>
      </c>
      <c r="G556" s="26">
        <f ca="1"/>
        <v>-211.80361496170616</v>
      </c>
      <c r="H556" s="26">
        <f ca="1"/>
        <v>-201.13910086339041</v>
      </c>
      <c r="I556" s="26">
        <f ca="1"/>
        <v>-191.8011342701972</v>
      </c>
      <c r="J556" s="26">
        <f ca="1"/>
        <v>-178.57859425202906</v>
      </c>
      <c r="K556" s="26">
        <f ca="1"/>
        <v>-163.17959372105051</v>
      </c>
      <c r="M556" s="4" t="str">
        <f t="shared" si="42"/>
        <v>$M(2015)</v>
      </c>
    </row>
    <row r="557" spans="1:13" s="7" customFormat="1" x14ac:dyDescent="0.2">
      <c r="A557" s="4" t="str">
        <v>AF N2O</v>
      </c>
      <c r="B557" s="26">
        <f ca="1"/>
        <v>-398.43029638822958</v>
      </c>
      <c r="C557" s="26">
        <f ca="1"/>
        <v>-403.49143285129833</v>
      </c>
      <c r="D557" s="26">
        <f ca="1"/>
        <v>-408.0353786319439</v>
      </c>
      <c r="E557" s="26">
        <f ca="1"/>
        <v>-410.11217863419807</v>
      </c>
      <c r="F557" s="26">
        <f ca="1"/>
        <v>-383.51366691602078</v>
      </c>
      <c r="G557" s="26">
        <f ca="1"/>
        <v>-371.62904850131059</v>
      </c>
      <c r="H557" s="26">
        <f ca="1"/>
        <v>-352.91717133244151</v>
      </c>
      <c r="I557" s="26">
        <f ca="1"/>
        <v>-336.53284455599407</v>
      </c>
      <c r="J557" s="26">
        <f ca="1"/>
        <v>-313.33267412164741</v>
      </c>
      <c r="K557" s="26">
        <f ca="1"/>
        <v>-286.31370224888974</v>
      </c>
      <c r="M557" s="4" t="str">
        <f t="shared" si="42"/>
        <v>$M(2015)</v>
      </c>
    </row>
    <row r="558" spans="1:13" s="7" customFormat="1" ht="13.5" thickBot="1" x14ac:dyDescent="0.25">
      <c r="A558" s="4" t="str">
        <v>LA N2O</v>
      </c>
      <c r="B558" s="35">
        <f ca="1"/>
        <v>-383.2402961548039</v>
      </c>
      <c r="C558" s="35">
        <f ca="1"/>
        <v>-388.10847875680241</v>
      </c>
      <c r="D558" s="35">
        <f ca="1"/>
        <v>-392.47918837018278</v>
      </c>
      <c r="E558" s="35">
        <f ca="1"/>
        <v>-394.47681117932439</v>
      </c>
      <c r="F558" s="35">
        <f ca="1"/>
        <v>-368.89235738513133</v>
      </c>
      <c r="G558" s="35">
        <f ca="1"/>
        <v>-357.46083542952613</v>
      </c>
      <c r="H558" s="35">
        <f ca="1"/>
        <v>-339.46234130692505</v>
      </c>
      <c r="I558" s="35">
        <f ca="1"/>
        <v>-323.7026606224411</v>
      </c>
      <c r="J558" s="35">
        <f ca="1"/>
        <v>-301.38698767111185</v>
      </c>
      <c r="K558" s="35">
        <f ca="1"/>
        <v>-275.39810360235538</v>
      </c>
      <c r="M558" s="4" t="str">
        <f t="shared" si="42"/>
        <v>$M(2015)</v>
      </c>
    </row>
    <row r="559" spans="1:13" s="2" customFormat="1" ht="15" thickTop="1" x14ac:dyDescent="0.25">
      <c r="A559" s="2" t="s">
        <v>342</v>
      </c>
      <c r="B559" s="2" t="s">
        <v>346</v>
      </c>
    </row>
    <row r="560" spans="1:13" s="7" customFormat="1" x14ac:dyDescent="0.2">
      <c r="A560" s="4" t="str">
        <f t="array" ref="A560:A567">R_CODE&amp;" "&amp;GLIN_NAME</f>
        <v>EU Lin</v>
      </c>
      <c r="B560" s="32">
        <f t="array" aca="1" ref="B560:K567" ca="1">IF(Q0_GLIN=0,0,(ALO_GLIN/BLO_GLIN)*(1-EXP(-BLO_GLIN*Q0_GLIN))-ALO_GLIN*Q0_GLIN)</f>
        <v>-887.78512934282105</v>
      </c>
      <c r="C560" s="32">
        <f ca="1"/>
        <v>-902.49031485891965</v>
      </c>
      <c r="D560" s="32">
        <f ca="1"/>
        <v>-916.17157931701399</v>
      </c>
      <c r="E560" s="32">
        <f ca="1"/>
        <v>-907.90186790599137</v>
      </c>
      <c r="F560" s="32">
        <f ca="1"/>
        <v>-955.84841633322173</v>
      </c>
      <c r="G560" s="32">
        <f ca="1"/>
        <v>-1026.6227102425178</v>
      </c>
      <c r="H560" s="32">
        <f ca="1"/>
        <v>-1113.2417366884688</v>
      </c>
      <c r="I560" s="32">
        <f ca="1"/>
        <v>-1120.3728252481428</v>
      </c>
      <c r="J560" s="32">
        <f ca="1"/>
        <v>-1030.5050654875681</v>
      </c>
      <c r="K560" s="32">
        <f ca="1"/>
        <v>-941.66455863848591</v>
      </c>
      <c r="M560" s="4" t="str">
        <f t="shared" ref="M560:M567" si="43">CURRENCY_NAME</f>
        <v>$M(2015)</v>
      </c>
    </row>
    <row r="561" spans="1:18" s="7" customFormat="1" x14ac:dyDescent="0.2">
      <c r="A561" s="4" t="str">
        <v>US Lin</v>
      </c>
      <c r="B561" s="33">
        <f ca="1"/>
        <v>-2503.6836730733853</v>
      </c>
      <c r="C561" s="33">
        <f ca="1"/>
        <v>-2545.1544430483527</v>
      </c>
      <c r="D561" s="33">
        <f ca="1"/>
        <v>-2583.7376061568466</v>
      </c>
      <c r="E561" s="33">
        <f ca="1"/>
        <v>-2560.4158126772318</v>
      </c>
      <c r="F561" s="33">
        <f ca="1"/>
        <v>-2695.6320789897127</v>
      </c>
      <c r="G561" s="33">
        <f ca="1"/>
        <v>-2895.2259201989827</v>
      </c>
      <c r="H561" s="33">
        <f ca="1"/>
        <v>-3139.5042203443954</v>
      </c>
      <c r="I561" s="33">
        <f ca="1"/>
        <v>-3159.6149311549179</v>
      </c>
      <c r="J561" s="33">
        <f ca="1"/>
        <v>-2906.1747287775834</v>
      </c>
      <c r="K561" s="33">
        <f ca="1"/>
        <v>-2655.6315295799768</v>
      </c>
      <c r="M561" s="4" t="str">
        <f t="shared" si="43"/>
        <v>$M(2015)</v>
      </c>
    </row>
    <row r="562" spans="1:18" s="7" customFormat="1" x14ac:dyDescent="0.2">
      <c r="A562" s="4" t="str">
        <v>OT Lin</v>
      </c>
      <c r="B562" s="33">
        <f ca="1"/>
        <v>-832.3724931305087</v>
      </c>
      <c r="C562" s="33">
        <f ca="1"/>
        <v>-846.15982919350688</v>
      </c>
      <c r="D562" s="33">
        <f ca="1"/>
        <v>-858.9871539929112</v>
      </c>
      <c r="E562" s="33">
        <f ca="1"/>
        <v>-851.23361084699468</v>
      </c>
      <c r="F562" s="33">
        <f ca="1"/>
        <v>-896.18749296587976</v>
      </c>
      <c r="G562" s="33">
        <f ca="1"/>
        <v>-962.54428755922993</v>
      </c>
      <c r="H562" s="33">
        <f ca="1"/>
        <v>-1043.756838448345</v>
      </c>
      <c r="I562" s="33">
        <f ca="1"/>
        <v>-1050.4428278470909</v>
      </c>
      <c r="J562" s="33">
        <f ca="1"/>
        <v>-966.18431892237379</v>
      </c>
      <c r="K562" s="33">
        <f ca="1"/>
        <v>-882.88894515137076</v>
      </c>
      <c r="M562" s="4" t="str">
        <f t="shared" si="43"/>
        <v>$M(2015)</v>
      </c>
    </row>
    <row r="563" spans="1:18" s="7" customFormat="1" x14ac:dyDescent="0.2">
      <c r="A563" s="4" t="str">
        <v>EE Lin</v>
      </c>
      <c r="B563" s="33">
        <f ca="1"/>
        <v>-208.37572128540344</v>
      </c>
      <c r="C563" s="33">
        <f ca="1"/>
        <v>-211.82723622666072</v>
      </c>
      <c r="D563" s="33">
        <f ca="1"/>
        <v>-215.03842241949781</v>
      </c>
      <c r="E563" s="33">
        <f ca="1"/>
        <v>-213.0974042348729</v>
      </c>
      <c r="F563" s="33">
        <f ca="1"/>
        <v>-224.35113701485915</v>
      </c>
      <c r="G563" s="33">
        <f ca="1"/>
        <v>-240.96286439615875</v>
      </c>
      <c r="H563" s="33">
        <f ca="1"/>
        <v>-261.2935745152563</v>
      </c>
      <c r="I563" s="33">
        <f ca="1"/>
        <v>-262.96734181891929</v>
      </c>
      <c r="J563" s="33">
        <f ca="1"/>
        <v>-241.87410806057153</v>
      </c>
      <c r="K563" s="33">
        <f ca="1"/>
        <v>-221.02198508376296</v>
      </c>
      <c r="M563" s="4" t="str">
        <f t="shared" si="43"/>
        <v>$M(2015)</v>
      </c>
    </row>
    <row r="564" spans="1:18" s="7" customFormat="1" x14ac:dyDescent="0.2">
      <c r="A564" s="4" t="str">
        <v>CA Lin</v>
      </c>
      <c r="B564" s="33">
        <f ca="1"/>
        <v>-646.78688607681158</v>
      </c>
      <c r="C564" s="33">
        <f ca="1"/>
        <v>-657.50020040792674</v>
      </c>
      <c r="D564" s="33">
        <f ca="1"/>
        <v>-667.46754739761377</v>
      </c>
      <c r="E564" s="33">
        <f ca="1"/>
        <v>-661.44273270371525</v>
      </c>
      <c r="F564" s="33">
        <f ca="1"/>
        <v>-696.37370612330278</v>
      </c>
      <c r="G564" s="33">
        <f ca="1"/>
        <v>-747.93560286938157</v>
      </c>
      <c r="H564" s="33">
        <f ca="1"/>
        <v>-811.04101941477165</v>
      </c>
      <c r="I564" s="33">
        <f ca="1"/>
        <v>-816.23630193461281</v>
      </c>
      <c r="J564" s="33">
        <f ca="1"/>
        <v>-750.76405355704878</v>
      </c>
      <c r="K564" s="33">
        <f ca="1"/>
        <v>-686.04019990910695</v>
      </c>
      <c r="M564" s="4" t="str">
        <f t="shared" si="43"/>
        <v>$M(2015)</v>
      </c>
    </row>
    <row r="565" spans="1:18" s="7" customFormat="1" x14ac:dyDescent="0.2">
      <c r="A565" s="4" t="str">
        <v>IA Lin</v>
      </c>
      <c r="B565" s="33">
        <f ca="1"/>
        <v>-497.57729997314334</v>
      </c>
      <c r="C565" s="33">
        <f ca="1"/>
        <v>-505.81912140365216</v>
      </c>
      <c r="D565" s="33">
        <f ca="1"/>
        <v>-513.48706537373891</v>
      </c>
      <c r="E565" s="33">
        <f ca="1"/>
        <v>-508.85213678634568</v>
      </c>
      <c r="F565" s="33">
        <f ca="1"/>
        <v>-535.72475868654908</v>
      </c>
      <c r="G565" s="33">
        <f ca="1"/>
        <v>-575.39165657315993</v>
      </c>
      <c r="H565" s="33">
        <f ca="1"/>
        <v>-623.93905828193056</v>
      </c>
      <c r="I565" s="33">
        <f ca="1"/>
        <v>-627.93582244717231</v>
      </c>
      <c r="J565" s="33">
        <f ca="1"/>
        <v>-577.56760182896619</v>
      </c>
      <c r="K565" s="33">
        <f ca="1"/>
        <v>-527.77512607648907</v>
      </c>
      <c r="M565" s="4" t="str">
        <f t="shared" si="43"/>
        <v>$M(2015)</v>
      </c>
    </row>
    <row r="566" spans="1:18" s="7" customFormat="1" x14ac:dyDescent="0.2">
      <c r="A566" s="4" t="str">
        <v>AF Lin</v>
      </c>
      <c r="B566" s="33">
        <f ca="1"/>
        <v>-292.32727455787045</v>
      </c>
      <c r="C566" s="33">
        <f ca="1"/>
        <v>-297.16935476591715</v>
      </c>
      <c r="D566" s="33">
        <f ca="1"/>
        <v>-301.67428126147661</v>
      </c>
      <c r="E566" s="33">
        <f ca="1"/>
        <v>-298.9512550265656</v>
      </c>
      <c r="F566" s="33">
        <f ca="1"/>
        <v>-314.73895338164442</v>
      </c>
      <c r="G566" s="33">
        <f ca="1"/>
        <v>-338.04330458493325</v>
      </c>
      <c r="H566" s="33">
        <f ca="1"/>
        <v>-366.56496268540707</v>
      </c>
      <c r="I566" s="33">
        <f ca="1"/>
        <v>-368.91306653889643</v>
      </c>
      <c r="J566" s="33">
        <f ca="1"/>
        <v>-339.3216750938999</v>
      </c>
      <c r="K566" s="33">
        <f ca="1"/>
        <v>-310.06853446430108</v>
      </c>
      <c r="M566" s="4" t="str">
        <f t="shared" si="43"/>
        <v>$M(2015)</v>
      </c>
    </row>
    <row r="567" spans="1:18" s="7" customFormat="1" ht="13.5" thickBot="1" x14ac:dyDescent="0.25">
      <c r="A567" s="4" t="str">
        <v>LA Lin</v>
      </c>
      <c r="B567" s="34">
        <f ca="1"/>
        <v>-249.90351137441934</v>
      </c>
      <c r="C567" s="34">
        <f ca="1"/>
        <v>-254.04288854398919</v>
      </c>
      <c r="D567" s="34">
        <f ca="1"/>
        <v>-257.89404116540192</v>
      </c>
      <c r="E567" s="34">
        <f ca="1"/>
        <v>-255.56619194675432</v>
      </c>
      <c r="F567" s="34">
        <f ca="1"/>
        <v>-269.06271313664865</v>
      </c>
      <c r="G567" s="34">
        <f ca="1"/>
        <v>-288.98503890940719</v>
      </c>
      <c r="H567" s="34">
        <f ca="1"/>
        <v>-313.36751406609358</v>
      </c>
      <c r="I567" s="34">
        <f ca="1"/>
        <v>-315.37485121568477</v>
      </c>
      <c r="J567" s="34">
        <f ca="1"/>
        <v>-290.07788691516203</v>
      </c>
      <c r="K567" s="34">
        <f ca="1"/>
        <v>-265.07008504951966</v>
      </c>
      <c r="M567" s="4" t="str">
        <f t="shared" si="43"/>
        <v>$M(2015)</v>
      </c>
    </row>
    <row r="568" spans="1:18" s="2" customFormat="1" ht="15" thickTop="1" x14ac:dyDescent="0.25">
      <c r="A568" s="2" t="s">
        <v>347</v>
      </c>
      <c r="B568" s="2" t="s">
        <v>348</v>
      </c>
    </row>
    <row r="569" spans="1:18" s="6" customFormat="1" x14ac:dyDescent="0.2">
      <c r="A569" s="4" t="str">
        <f t="array" ref="A569:A576">R_CODE&amp;" "&amp;'Base data'!$B$12</f>
        <v>EU CO2</v>
      </c>
      <c r="B569" s="29">
        <f t="array" aca="1" ref="B569:K576" ca="1">IF(cbe_co2&lt;Q0_CO2,ALO_CO2*(EXP(BLO_CO2*(cbe_co2-Q0_CO2))-1),ahi_co2*(EXP(BHI_CO2*(cbe_co2-Q0_CO2))-1))</f>
        <v>-99.236343326911253</v>
      </c>
      <c r="C569" s="29">
        <f ca="1"/>
        <v>-98.478518368966036</v>
      </c>
      <c r="D569" s="29">
        <f ca="1"/>
        <v>-97.72648059188252</v>
      </c>
      <c r="E569" s="29">
        <f ca="1"/>
        <v>-96.239590141021054</v>
      </c>
      <c r="F569" s="29">
        <f ca="1"/>
        <v>19.00367719280819</v>
      </c>
      <c r="G569" s="29">
        <f ca="1"/>
        <v>114.01847901213169</v>
      </c>
      <c r="H569" s="29">
        <f ca="1"/>
        <v>154.27368375800734</v>
      </c>
      <c r="I569" s="29">
        <f ca="1"/>
        <v>131.21819396529551</v>
      </c>
      <c r="J569" s="29">
        <f ca="1"/>
        <v>108.66997785941243</v>
      </c>
      <c r="K569" s="29">
        <f ca="1"/>
        <v>86.158105849697137</v>
      </c>
      <c r="M569" s="4" t="str">
        <f t="shared" ref="M569:M576" si="44">CURRENCY_NAME&amp;" per "&amp;EMIT_NAME</f>
        <v>$M(2015) per Mtonne</v>
      </c>
      <c r="Q569" s="4"/>
      <c r="R569" s="4"/>
    </row>
    <row r="570" spans="1:18" s="6" customFormat="1" x14ac:dyDescent="0.2">
      <c r="A570" s="4" t="str">
        <v>US CO2</v>
      </c>
      <c r="B570" s="26">
        <f ca="1"/>
        <v>-99.236343326911253</v>
      </c>
      <c r="C570" s="26">
        <f ca="1"/>
        <v>-98.478518368966036</v>
      </c>
      <c r="D570" s="26">
        <f ca="1"/>
        <v>-97.72648059188252</v>
      </c>
      <c r="E570" s="26">
        <f ca="1"/>
        <v>-96.239590141021054</v>
      </c>
      <c r="F570" s="26">
        <f ca="1"/>
        <v>23.589947620148745</v>
      </c>
      <c r="G570" s="26">
        <f ca="1"/>
        <v>137.58892202022017</v>
      </c>
      <c r="H570" s="26">
        <f ca="1"/>
        <v>179.31545896380547</v>
      </c>
      <c r="I570" s="26">
        <f ca="1"/>
        <v>151.22101397234263</v>
      </c>
      <c r="J570" s="26">
        <f ca="1"/>
        <v>121.54148597840422</v>
      </c>
      <c r="K570" s="26">
        <f ca="1"/>
        <v>100.46967894818893</v>
      </c>
      <c r="M570" s="4" t="str">
        <f t="shared" si="44"/>
        <v>$M(2015) per Mtonne</v>
      </c>
      <c r="Q570" s="4"/>
      <c r="R570" s="4"/>
    </row>
    <row r="571" spans="1:18" s="6" customFormat="1" x14ac:dyDescent="0.2">
      <c r="A571" s="4" t="str">
        <v>OT CO2</v>
      </c>
      <c r="B571" s="26">
        <f ca="1"/>
        <v>-99.236343326911253</v>
      </c>
      <c r="C571" s="26">
        <f ca="1"/>
        <v>-98.478518368966036</v>
      </c>
      <c r="D571" s="26">
        <f ca="1"/>
        <v>-97.72648059188252</v>
      </c>
      <c r="E571" s="26">
        <f ca="1"/>
        <v>-96.239590141021054</v>
      </c>
      <c r="F571" s="26">
        <f ca="1"/>
        <v>23.437868537796774</v>
      </c>
      <c r="G571" s="26">
        <f ca="1"/>
        <v>140.78893731076144</v>
      </c>
      <c r="H571" s="26">
        <f ca="1"/>
        <v>190.74638327353432</v>
      </c>
      <c r="I571" s="26">
        <f ca="1"/>
        <v>162.33883733840304</v>
      </c>
      <c r="J571" s="26">
        <f ca="1"/>
        <v>134.48044438761514</v>
      </c>
      <c r="K571" s="26">
        <f ca="1"/>
        <v>106.63965077328807</v>
      </c>
      <c r="M571" s="4" t="str">
        <f t="shared" si="44"/>
        <v>$M(2015) per Mtonne</v>
      </c>
      <c r="Q571" s="4"/>
      <c r="R571" s="4"/>
    </row>
    <row r="572" spans="1:18" s="6" customFormat="1" x14ac:dyDescent="0.2">
      <c r="A572" s="4" t="str">
        <v>EE CO2</v>
      </c>
      <c r="B572" s="26">
        <f ca="1"/>
        <v>-99.236343326911253</v>
      </c>
      <c r="C572" s="26">
        <f ca="1"/>
        <v>-98.478518368966036</v>
      </c>
      <c r="D572" s="26">
        <f ca="1"/>
        <v>-97.72648059188252</v>
      </c>
      <c r="E572" s="26">
        <f ca="1"/>
        <v>-96.239590141021054</v>
      </c>
      <c r="F572" s="26">
        <f ca="1"/>
        <v>30.318741238701726</v>
      </c>
      <c r="G572" s="26">
        <f ca="1"/>
        <v>138.79414560262069</v>
      </c>
      <c r="H572" s="26">
        <f ca="1"/>
        <v>162.06592620965606</v>
      </c>
      <c r="I572" s="26">
        <f ca="1"/>
        <v>136.26015090653368</v>
      </c>
      <c r="J572" s="26">
        <f ca="1"/>
        <v>117.99253519262452</v>
      </c>
      <c r="K572" s="26">
        <f ca="1"/>
        <v>107.53630307287055</v>
      </c>
      <c r="M572" s="4" t="str">
        <f t="shared" si="44"/>
        <v>$M(2015) per Mtonne</v>
      </c>
      <c r="Q572" s="4"/>
      <c r="R572" s="4"/>
    </row>
    <row r="573" spans="1:18" s="6" customFormat="1" x14ac:dyDescent="0.2">
      <c r="A573" s="4" t="str">
        <v>CA CO2</v>
      </c>
      <c r="B573" s="26">
        <f ca="1"/>
        <v>-99.236343326911253</v>
      </c>
      <c r="C573" s="26">
        <f ca="1"/>
        <v>-98.478518368966036</v>
      </c>
      <c r="D573" s="26">
        <f ca="1"/>
        <v>-97.72648059188252</v>
      </c>
      <c r="E573" s="26">
        <f ca="1"/>
        <v>-96.239590141021054</v>
      </c>
      <c r="F573" s="26">
        <f ca="1"/>
        <v>25.553167193869236</v>
      </c>
      <c r="G573" s="26">
        <f ca="1"/>
        <v>112.21079555158747</v>
      </c>
      <c r="H573" s="26">
        <f ca="1"/>
        <v>145.27229210213611</v>
      </c>
      <c r="I573" s="26">
        <f ca="1"/>
        <v>127.72832906508437</v>
      </c>
      <c r="J573" s="26">
        <f ca="1"/>
        <v>108.16550958461654</v>
      </c>
      <c r="K573" s="26">
        <f ca="1"/>
        <v>98.378273517705637</v>
      </c>
      <c r="M573" s="4" t="str">
        <f t="shared" si="44"/>
        <v>$M(2015) per Mtonne</v>
      </c>
      <c r="Q573" s="4"/>
      <c r="R573" s="4"/>
    </row>
    <row r="574" spans="1:18" s="6" customFormat="1" x14ac:dyDescent="0.2">
      <c r="A574" s="4" t="str">
        <v>IA CO2</v>
      </c>
      <c r="B574" s="26">
        <f ca="1"/>
        <v>-99.236343326911253</v>
      </c>
      <c r="C574" s="26">
        <f ca="1"/>
        <v>-98.478518368966036</v>
      </c>
      <c r="D574" s="26">
        <f ca="1"/>
        <v>-97.72648059188252</v>
      </c>
      <c r="E574" s="26">
        <f ca="1"/>
        <v>-96.239590141021054</v>
      </c>
      <c r="F574" s="26">
        <f ca="1"/>
        <v>35.464268567046688</v>
      </c>
      <c r="G574" s="26">
        <f ca="1"/>
        <v>132.13526045</v>
      </c>
      <c r="H574" s="26">
        <f ca="1"/>
        <v>148.40538714028409</v>
      </c>
      <c r="I574" s="26">
        <f ca="1"/>
        <v>119.00844373107677</v>
      </c>
      <c r="J574" s="26">
        <f ca="1"/>
        <v>93.868750434986993</v>
      </c>
      <c r="K574" s="26">
        <f ca="1"/>
        <v>74.068026066906285</v>
      </c>
      <c r="M574" s="4" t="str">
        <f t="shared" si="44"/>
        <v>$M(2015) per Mtonne</v>
      </c>
      <c r="Q574" s="4"/>
      <c r="R574" s="4"/>
    </row>
    <row r="575" spans="1:18" s="6" customFormat="1" x14ac:dyDescent="0.2">
      <c r="A575" s="4" t="str">
        <v>AF CO2</v>
      </c>
      <c r="B575" s="26">
        <f ca="1"/>
        <v>-99.236343326911253</v>
      </c>
      <c r="C575" s="26">
        <f ca="1"/>
        <v>-98.478518368966036</v>
      </c>
      <c r="D575" s="26">
        <f ca="1"/>
        <v>-97.72648059188252</v>
      </c>
      <c r="E575" s="26">
        <f ca="1"/>
        <v>-96.239590141021054</v>
      </c>
      <c r="F575" s="26">
        <f ca="1"/>
        <v>50.139159647654594</v>
      </c>
      <c r="G575" s="26">
        <f ca="1"/>
        <v>197.49325112768602</v>
      </c>
      <c r="H575" s="26">
        <f ca="1"/>
        <v>195.25658173663444</v>
      </c>
      <c r="I575" s="26">
        <f ca="1"/>
        <v>147.44990347495875</v>
      </c>
      <c r="J575" s="26">
        <f ca="1"/>
        <v>115.3897358182279</v>
      </c>
      <c r="K575" s="26">
        <f ca="1"/>
        <v>91.562715730784021</v>
      </c>
      <c r="M575" s="4" t="str">
        <f t="shared" si="44"/>
        <v>$M(2015) per Mtonne</v>
      </c>
      <c r="Q575" s="4"/>
      <c r="R575" s="4"/>
    </row>
    <row r="576" spans="1:18" s="6" customFormat="1" ht="13.5" thickBot="1" x14ac:dyDescent="0.25">
      <c r="A576" s="4" t="str">
        <v>LA CO2</v>
      </c>
      <c r="B576" s="35">
        <f ca="1"/>
        <v>-99.236343326911253</v>
      </c>
      <c r="C576" s="35">
        <f ca="1"/>
        <v>-98.478518368966036</v>
      </c>
      <c r="D576" s="35">
        <f ca="1"/>
        <v>-97.72648059188252</v>
      </c>
      <c r="E576" s="35">
        <f ca="1"/>
        <v>-96.239590141021054</v>
      </c>
      <c r="F576" s="35">
        <f ca="1"/>
        <v>14.789349779342112</v>
      </c>
      <c r="G576" s="35">
        <f ca="1"/>
        <v>101.0546871024238</v>
      </c>
      <c r="H576" s="35">
        <f ca="1"/>
        <v>156.50884155574579</v>
      </c>
      <c r="I576" s="35">
        <f ca="1"/>
        <v>165.27782897182954</v>
      </c>
      <c r="J576" s="35">
        <f ca="1"/>
        <v>146.37694526851334</v>
      </c>
      <c r="K576" s="35">
        <f ca="1"/>
        <v>145.36762963080324</v>
      </c>
      <c r="M576" s="4" t="str">
        <f t="shared" si="44"/>
        <v>$M(2015) per Mtonne</v>
      </c>
    </row>
    <row r="577" spans="1:18" s="2" customFormat="1" ht="15" thickTop="1" x14ac:dyDescent="0.25">
      <c r="A577" s="2" t="s">
        <v>347</v>
      </c>
      <c r="B577" s="2" t="s">
        <v>349</v>
      </c>
    </row>
    <row r="578" spans="1:18" s="6" customFormat="1" x14ac:dyDescent="0.2">
      <c r="A578" s="4" t="str">
        <f t="array" ref="A578:A585">R_CODE&amp;" "&amp;'Base data'!$C$12</f>
        <v>EU CH4</v>
      </c>
      <c r="B578" s="29">
        <f t="array" aca="1" ref="B578:K585" ca="1">IF(cbe_ch4&lt;Q0_CH4,ALO_CH4*(EXP(BLO_CH4*(cbe_ch4-Q0_CH4))-1),ahi_ch4*(EXP(BHI_CH4*(cbe_ch4-Q0_CH4))-1))</f>
        <v>-4945.2777757910771</v>
      </c>
      <c r="C578" s="29">
        <f ca="1"/>
        <v>-4907.5128320534741</v>
      </c>
      <c r="D578" s="29">
        <f ca="1"/>
        <v>-4870.0362828288116</v>
      </c>
      <c r="E578" s="29">
        <f ca="1"/>
        <v>-4795.9395753608815</v>
      </c>
      <c r="F578" s="29">
        <f ca="1"/>
        <v>2951.7618349174691</v>
      </c>
      <c r="G578" s="29">
        <f ca="1"/>
        <v>1427.646122065514</v>
      </c>
      <c r="H578" s="29">
        <f ca="1"/>
        <v>433.76242657759593</v>
      </c>
      <c r="I578" s="29">
        <f ca="1"/>
        <v>89.070012652554809</v>
      </c>
      <c r="J578" s="29">
        <f ca="1"/>
        <v>182.05624246345241</v>
      </c>
      <c r="K578" s="29">
        <f ca="1"/>
        <v>-755.84981013708307</v>
      </c>
      <c r="M578" s="4" t="str">
        <f t="shared" ref="M578:M585" si="45">CURRENCY_NAME&amp;" per "&amp;EMIT_NAME</f>
        <v>$M(2015) per Mtonne</v>
      </c>
      <c r="Q578" s="4"/>
      <c r="R578" s="4"/>
    </row>
    <row r="579" spans="1:18" s="6" customFormat="1" x14ac:dyDescent="0.2">
      <c r="A579" s="4" t="str">
        <v>US CH4</v>
      </c>
      <c r="B579" s="26">
        <f ca="1"/>
        <v>-4945.2777757910771</v>
      </c>
      <c r="C579" s="26">
        <f ca="1"/>
        <v>-4907.5128320534741</v>
      </c>
      <c r="D579" s="26">
        <f ca="1"/>
        <v>-4870.0362828288116</v>
      </c>
      <c r="E579" s="26">
        <f ca="1"/>
        <v>-4795.9395753608815</v>
      </c>
      <c r="F579" s="26">
        <f ca="1"/>
        <v>3669.1978416483184</v>
      </c>
      <c r="G579" s="26">
        <f ca="1"/>
        <v>2636.2080560408945</v>
      </c>
      <c r="H579" s="26">
        <f ca="1"/>
        <v>1770.8556738679345</v>
      </c>
      <c r="I579" s="26">
        <f ca="1"/>
        <v>836.89349360295807</v>
      </c>
      <c r="J579" s="26">
        <f ca="1"/>
        <v>281.85891938784403</v>
      </c>
      <c r="K579" s="26">
        <f ca="1"/>
        <v>75.591228781896021</v>
      </c>
      <c r="M579" s="4" t="str">
        <f t="shared" si="45"/>
        <v>$M(2015) per Mtonne</v>
      </c>
      <c r="Q579" s="4"/>
      <c r="R579" s="4"/>
    </row>
    <row r="580" spans="1:18" s="6" customFormat="1" x14ac:dyDescent="0.2">
      <c r="A580" s="4" t="str">
        <v>OT CH4</v>
      </c>
      <c r="B580" s="26">
        <f ca="1"/>
        <v>-4945.2777757910771</v>
      </c>
      <c r="C580" s="26">
        <f ca="1"/>
        <v>-4907.5128320534741</v>
      </c>
      <c r="D580" s="26">
        <f ca="1"/>
        <v>-4870.0362828288116</v>
      </c>
      <c r="E580" s="26">
        <f ca="1"/>
        <v>-4795.9395753608815</v>
      </c>
      <c r="F580" s="26">
        <f ca="1"/>
        <v>3191.6163287225222</v>
      </c>
      <c r="G580" s="26">
        <f ca="1"/>
        <v>5945.382294417479</v>
      </c>
      <c r="H580" s="26">
        <f ca="1"/>
        <v>5277.0055781966266</v>
      </c>
      <c r="I580" s="26">
        <f ca="1"/>
        <v>4152.4220606677027</v>
      </c>
      <c r="J580" s="26">
        <f ca="1"/>
        <v>3447.4320887610402</v>
      </c>
      <c r="K580" s="26">
        <f ca="1"/>
        <v>3752.3030524205169</v>
      </c>
      <c r="M580" s="4" t="str">
        <f t="shared" si="45"/>
        <v>$M(2015) per Mtonne</v>
      </c>
      <c r="Q580" s="4"/>
      <c r="R580" s="4"/>
    </row>
    <row r="581" spans="1:18" s="6" customFormat="1" x14ac:dyDescent="0.2">
      <c r="A581" s="4" t="str">
        <v>EE CH4</v>
      </c>
      <c r="B581" s="26">
        <f ca="1"/>
        <v>-4945.2777757910771</v>
      </c>
      <c r="C581" s="26">
        <f ca="1"/>
        <v>-4907.5128320534741</v>
      </c>
      <c r="D581" s="26">
        <f ca="1"/>
        <v>-4870.0362828288116</v>
      </c>
      <c r="E581" s="26">
        <f ca="1"/>
        <v>-4795.9395753608815</v>
      </c>
      <c r="F581" s="26">
        <f ca="1"/>
        <v>3089.1177483679162</v>
      </c>
      <c r="G581" s="26">
        <f ca="1"/>
        <v>4975.4894650358819</v>
      </c>
      <c r="H581" s="26">
        <f ca="1"/>
        <v>4195.0454090956591</v>
      </c>
      <c r="I581" s="26">
        <f ca="1"/>
        <v>3624.2999918101164</v>
      </c>
      <c r="J581" s="26">
        <f ca="1"/>
        <v>2988.6973012671829</v>
      </c>
      <c r="K581" s="26">
        <f ca="1"/>
        <v>2509.5023696383546</v>
      </c>
      <c r="M581" s="4" t="str">
        <f t="shared" si="45"/>
        <v>$M(2015) per Mtonne</v>
      </c>
      <c r="Q581" s="4"/>
      <c r="R581" s="4"/>
    </row>
    <row r="582" spans="1:18" s="6" customFormat="1" x14ac:dyDescent="0.2">
      <c r="A582" s="4" t="str">
        <v>CA CH4</v>
      </c>
      <c r="B582" s="26">
        <f ca="1"/>
        <v>-4945.2777757910771</v>
      </c>
      <c r="C582" s="26">
        <f ca="1"/>
        <v>-4907.5128320534741</v>
      </c>
      <c r="D582" s="26">
        <f ca="1"/>
        <v>-4870.0362828288116</v>
      </c>
      <c r="E582" s="26">
        <f ca="1"/>
        <v>-4795.9395753608815</v>
      </c>
      <c r="F582" s="26">
        <f ca="1"/>
        <v>3612.3442321359639</v>
      </c>
      <c r="G582" s="26">
        <f ca="1"/>
        <v>4552.7388647935486</v>
      </c>
      <c r="H582" s="26">
        <f ca="1"/>
        <v>4211.4419693762884</v>
      </c>
      <c r="I582" s="26">
        <f ca="1"/>
        <v>3198.3642934211816</v>
      </c>
      <c r="J582" s="26">
        <f ca="1"/>
        <v>3383.3181149310303</v>
      </c>
      <c r="K582" s="26">
        <f ca="1"/>
        <v>2754.1494425750734</v>
      </c>
      <c r="M582" s="4" t="str">
        <f t="shared" si="45"/>
        <v>$M(2015) per Mtonne</v>
      </c>
      <c r="Q582" s="4"/>
      <c r="R582" s="4"/>
    </row>
    <row r="583" spans="1:18" s="6" customFormat="1" x14ac:dyDescent="0.2">
      <c r="A583" s="4" t="str">
        <v>IA CH4</v>
      </c>
      <c r="B583" s="26">
        <f ca="1"/>
        <v>-4945.2777757910771</v>
      </c>
      <c r="C583" s="26">
        <f ca="1"/>
        <v>-4907.5128320534741</v>
      </c>
      <c r="D583" s="26">
        <f ca="1"/>
        <v>-4870.0362828288116</v>
      </c>
      <c r="E583" s="26">
        <f ca="1"/>
        <v>-4795.9395753608815</v>
      </c>
      <c r="F583" s="26">
        <f ca="1"/>
        <v>4356.6866186642064</v>
      </c>
      <c r="G583" s="26">
        <f ca="1"/>
        <v>3180.1414531034693</v>
      </c>
      <c r="H583" s="26">
        <f ca="1"/>
        <v>1782.2471984138338</v>
      </c>
      <c r="I583" s="26">
        <f ca="1"/>
        <v>1283.7173229509351</v>
      </c>
      <c r="J583" s="26">
        <f ca="1"/>
        <v>1325.8055310833909</v>
      </c>
      <c r="K583" s="26">
        <f ca="1"/>
        <v>1171.1524332211491</v>
      </c>
      <c r="M583" s="4" t="str">
        <f t="shared" si="45"/>
        <v>$M(2015) per Mtonne</v>
      </c>
      <c r="Q583" s="4"/>
      <c r="R583" s="4"/>
    </row>
    <row r="584" spans="1:18" s="6" customFormat="1" x14ac:dyDescent="0.2">
      <c r="A584" s="4" t="str">
        <v>AF CH4</v>
      </c>
      <c r="B584" s="26">
        <f ca="1"/>
        <v>-4945.2777757910771</v>
      </c>
      <c r="C584" s="26">
        <f ca="1"/>
        <v>-4907.5128320534741</v>
      </c>
      <c r="D584" s="26">
        <f ca="1"/>
        <v>-4870.0362828288116</v>
      </c>
      <c r="E584" s="26">
        <f ca="1"/>
        <v>-4795.9395753608815</v>
      </c>
      <c r="F584" s="26">
        <f ca="1"/>
        <v>3248.1274422016827</v>
      </c>
      <c r="G584" s="26">
        <f ca="1"/>
        <v>7687.3406705990747</v>
      </c>
      <c r="H584" s="26">
        <f ca="1"/>
        <v>7766.9177228617809</v>
      </c>
      <c r="I584" s="26">
        <f ca="1"/>
        <v>6308.7792617114937</v>
      </c>
      <c r="J584" s="26">
        <f ca="1"/>
        <v>4957.2681441043287</v>
      </c>
      <c r="K584" s="26">
        <f ca="1"/>
        <v>4062.5110753675781</v>
      </c>
      <c r="M584" s="4" t="str">
        <f t="shared" si="45"/>
        <v>$M(2015) per Mtonne</v>
      </c>
      <c r="Q584" s="4"/>
      <c r="R584" s="4"/>
    </row>
    <row r="585" spans="1:18" s="6" customFormat="1" ht="13.5" thickBot="1" x14ac:dyDescent="0.25">
      <c r="A585" s="4" t="str">
        <v>LA CH4</v>
      </c>
      <c r="B585" s="35">
        <f ca="1"/>
        <v>-4945.2777757910771</v>
      </c>
      <c r="C585" s="35">
        <f ca="1"/>
        <v>-4907.5128320534741</v>
      </c>
      <c r="D585" s="35">
        <f ca="1"/>
        <v>-4870.0362828288116</v>
      </c>
      <c r="E585" s="35">
        <f ca="1"/>
        <v>-4795.9395753608815</v>
      </c>
      <c r="F585" s="35">
        <f ca="1"/>
        <v>1707.9789410362714</v>
      </c>
      <c r="G585" s="35">
        <f ca="1"/>
        <v>3150.9758607873709</v>
      </c>
      <c r="H585" s="35">
        <f ca="1"/>
        <v>2871.8558917388154</v>
      </c>
      <c r="I585" s="35">
        <f ca="1"/>
        <v>2439.1357594514138</v>
      </c>
      <c r="J585" s="35">
        <f ca="1"/>
        <v>1888.6591854041669</v>
      </c>
      <c r="K585" s="35">
        <f ca="1"/>
        <v>1695.504287145141</v>
      </c>
      <c r="M585" s="4" t="str">
        <f t="shared" si="45"/>
        <v>$M(2015) per Mtonne</v>
      </c>
    </row>
    <row r="586" spans="1:18" s="2" customFormat="1" ht="15" thickTop="1" x14ac:dyDescent="0.25">
      <c r="A586" s="2" t="s">
        <v>347</v>
      </c>
      <c r="B586" s="2" t="s">
        <v>350</v>
      </c>
    </row>
    <row r="587" spans="1:18" s="7" customFormat="1" x14ac:dyDescent="0.2">
      <c r="A587" s="4" t="str">
        <f t="array" ref="A587:A594">R_CODE&amp;" "&amp;'Base data'!$D$12</f>
        <v>EU N2O</v>
      </c>
      <c r="B587" s="29">
        <f t="array" aca="1" ref="B587:K594" ca="1">IF(cbe_n2o&lt;Q0_N2O,ALO_N2O*(EXP(BLO_N2O*(cbe_n2o-Q0_N2O))-1),ahi_n2o*(EXP(BHI_N2O*(cbe_n2o-Q0_N2O))-1))</f>
        <v>-8368.9316205695159</v>
      </c>
      <c r="C587" s="29">
        <f ca="1"/>
        <v>-8305.0217157828029</v>
      </c>
      <c r="D587" s="29">
        <f ca="1"/>
        <v>-8241.599863248759</v>
      </c>
      <c r="E587" s="29">
        <f ca="1"/>
        <v>-8116.2054352261093</v>
      </c>
      <c r="F587" s="29">
        <f ca="1"/>
        <v>2911.5948244623874</v>
      </c>
      <c r="G587" s="29">
        <f ca="1"/>
        <v>-1204.7153770676146</v>
      </c>
      <c r="H587" s="29">
        <f ca="1"/>
        <v>-6839.5274405302343</v>
      </c>
      <c r="I587" s="29">
        <f ca="1"/>
        <v>-2580.426277012471</v>
      </c>
      <c r="J587" s="29">
        <f ca="1"/>
        <v>-1520.0691150409259</v>
      </c>
      <c r="K587" s="29">
        <f ca="1"/>
        <v>-2746.3970718068663</v>
      </c>
      <c r="M587" s="4" t="str">
        <f t="shared" ref="M587:M594" si="46">CURRENCY_NAME&amp;" per "&amp;EMIT_NAME</f>
        <v>$M(2015) per Mtonne</v>
      </c>
      <c r="Q587" s="4"/>
      <c r="R587" s="4"/>
    </row>
    <row r="588" spans="1:18" s="7" customFormat="1" x14ac:dyDescent="0.2">
      <c r="A588" s="4" t="str">
        <v>US N2O</v>
      </c>
      <c r="B588" s="26">
        <f ca="1"/>
        <v>-8368.9316205695159</v>
      </c>
      <c r="C588" s="26">
        <f ca="1"/>
        <v>-8305.0217157828029</v>
      </c>
      <c r="D588" s="26">
        <f ca="1"/>
        <v>-8241.599863248759</v>
      </c>
      <c r="E588" s="26">
        <f ca="1"/>
        <v>-8116.2054352261093</v>
      </c>
      <c r="F588" s="26">
        <f ca="1"/>
        <v>2732.1010635049206</v>
      </c>
      <c r="G588" s="26">
        <f ca="1"/>
        <v>-1453.1428731018721</v>
      </c>
      <c r="H588" s="26">
        <f ca="1"/>
        <v>-6906.148480271173</v>
      </c>
      <c r="I588" s="26">
        <f ca="1"/>
        <v>-2830.2218217691279</v>
      </c>
      <c r="J588" s="26">
        <f ca="1"/>
        <v>-1765.1895383940212</v>
      </c>
      <c r="K588" s="26">
        <f ca="1"/>
        <v>-2985.1552557857626</v>
      </c>
      <c r="M588" s="4" t="str">
        <f t="shared" si="46"/>
        <v>$M(2015) per Mtonne</v>
      </c>
      <c r="Q588" s="4"/>
      <c r="R588" s="4"/>
    </row>
    <row r="589" spans="1:18" s="7" customFormat="1" x14ac:dyDescent="0.2">
      <c r="A589" s="4" t="str">
        <v>OT N2O</v>
      </c>
      <c r="B589" s="26">
        <f ca="1"/>
        <v>-8368.9316205695159</v>
      </c>
      <c r="C589" s="26">
        <f ca="1"/>
        <v>-8305.0217157828029</v>
      </c>
      <c r="D589" s="26">
        <f ca="1"/>
        <v>-8241.599863248759</v>
      </c>
      <c r="E589" s="26">
        <f ca="1"/>
        <v>-8116.2054352261093</v>
      </c>
      <c r="F589" s="26">
        <f ca="1"/>
        <v>3590.9669501702765</v>
      </c>
      <c r="G589" s="26">
        <f ca="1"/>
        <v>-1204.7153770676141</v>
      </c>
      <c r="H589" s="26">
        <f ca="1"/>
        <v>-6839.5274405302343</v>
      </c>
      <c r="I589" s="26">
        <f ca="1"/>
        <v>-2580.426277012471</v>
      </c>
      <c r="J589" s="26">
        <f ca="1"/>
        <v>-1520.0691150409259</v>
      </c>
      <c r="K589" s="26">
        <f ca="1"/>
        <v>-2746.3970718068663</v>
      </c>
      <c r="M589" s="4" t="str">
        <f t="shared" si="46"/>
        <v>$M(2015) per Mtonne</v>
      </c>
      <c r="Q589" s="4"/>
      <c r="R589" s="4"/>
    </row>
    <row r="590" spans="1:18" s="7" customFormat="1" x14ac:dyDescent="0.2">
      <c r="A590" s="4" t="str">
        <v>EE N2O</v>
      </c>
      <c r="B590" s="26">
        <f ca="1"/>
        <v>-8368.9316205695159</v>
      </c>
      <c r="C590" s="26">
        <f ca="1"/>
        <v>-8305.0217157828029</v>
      </c>
      <c r="D590" s="26">
        <f ca="1"/>
        <v>-8241.599863248759</v>
      </c>
      <c r="E590" s="26">
        <f ca="1"/>
        <v>-8116.2054352261093</v>
      </c>
      <c r="F590" s="26">
        <f ca="1"/>
        <v>2514.8915679878669</v>
      </c>
      <c r="G590" s="26">
        <f ca="1"/>
        <v>-218.41775040548956</v>
      </c>
      <c r="H590" s="26">
        <f ca="1"/>
        <v>-6478.5383481913786</v>
      </c>
      <c r="I590" s="26">
        <f ca="1"/>
        <v>-1461.9132087471448</v>
      </c>
      <c r="J590" s="26">
        <f ca="1"/>
        <v>-509.22322391267397</v>
      </c>
      <c r="K590" s="26">
        <f ca="1"/>
        <v>-1659.5140036596706</v>
      </c>
      <c r="M590" s="4" t="str">
        <f t="shared" si="46"/>
        <v>$M(2015) per Mtonne</v>
      </c>
      <c r="Q590" s="4"/>
      <c r="R590" s="4"/>
    </row>
    <row r="591" spans="1:18" s="7" customFormat="1" x14ac:dyDescent="0.2">
      <c r="A591" s="4" t="str">
        <v>CA N2O</v>
      </c>
      <c r="B591" s="26">
        <f ca="1"/>
        <v>-8368.9316205695159</v>
      </c>
      <c r="C591" s="26">
        <f ca="1"/>
        <v>-8305.0217157828029</v>
      </c>
      <c r="D591" s="26">
        <f ca="1"/>
        <v>-8241.599863248759</v>
      </c>
      <c r="E591" s="26">
        <f ca="1"/>
        <v>-8116.2054352261093</v>
      </c>
      <c r="F591" s="26">
        <f ca="1"/>
        <v>3592.7022399826683</v>
      </c>
      <c r="G591" s="26">
        <f ca="1"/>
        <v>-218.41775040548913</v>
      </c>
      <c r="H591" s="26">
        <f ca="1"/>
        <v>-6478.5383481913786</v>
      </c>
      <c r="I591" s="26">
        <f ca="1"/>
        <v>-1461.9132087471448</v>
      </c>
      <c r="J591" s="26">
        <f ca="1"/>
        <v>-509.2232239126742</v>
      </c>
      <c r="K591" s="26">
        <f ca="1"/>
        <v>-1659.5140036596706</v>
      </c>
      <c r="M591" s="4" t="str">
        <f t="shared" si="46"/>
        <v>$M(2015) per Mtonne</v>
      </c>
      <c r="Q591" s="4"/>
      <c r="R591" s="4"/>
    </row>
    <row r="592" spans="1:18" s="7" customFormat="1" x14ac:dyDescent="0.2">
      <c r="A592" s="4" t="str">
        <v>IA N2O</v>
      </c>
      <c r="B592" s="26">
        <f ca="1"/>
        <v>-8368.9316205695159</v>
      </c>
      <c r="C592" s="26">
        <f ca="1"/>
        <v>-8305.0217157828029</v>
      </c>
      <c r="D592" s="26">
        <f ca="1"/>
        <v>-8241.599863248759</v>
      </c>
      <c r="E592" s="26">
        <f ca="1"/>
        <v>-8116.2054352261093</v>
      </c>
      <c r="F592" s="26">
        <f ca="1"/>
        <v>4430.999429311958</v>
      </c>
      <c r="G592" s="26">
        <f ca="1"/>
        <v>-218.41775040548913</v>
      </c>
      <c r="H592" s="26">
        <f ca="1"/>
        <v>-6478.5383481913786</v>
      </c>
      <c r="I592" s="26">
        <f ca="1"/>
        <v>-1461.9132087471448</v>
      </c>
      <c r="J592" s="26">
        <f ca="1"/>
        <v>-509.22322391267443</v>
      </c>
      <c r="K592" s="26">
        <f ca="1"/>
        <v>-1659.5140036596706</v>
      </c>
      <c r="M592" s="4" t="str">
        <f t="shared" si="46"/>
        <v>$M(2015) per Mtonne</v>
      </c>
      <c r="Q592" s="4"/>
      <c r="R592" s="4"/>
    </row>
    <row r="593" spans="1:18" s="7" customFormat="1" x14ac:dyDescent="0.2">
      <c r="A593" s="4" t="str">
        <v>AF N2O</v>
      </c>
      <c r="B593" s="26">
        <f ca="1"/>
        <v>-8368.9316205695159</v>
      </c>
      <c r="C593" s="26">
        <f ca="1"/>
        <v>-8305.0217157828029</v>
      </c>
      <c r="D593" s="26">
        <f ca="1"/>
        <v>-8241.599863248759</v>
      </c>
      <c r="E593" s="26">
        <f ca="1"/>
        <v>-8116.2054352261093</v>
      </c>
      <c r="F593" s="26">
        <f ca="1"/>
        <v>4430.9994293119571</v>
      </c>
      <c r="G593" s="26">
        <f ca="1"/>
        <v>-218.41775040548956</v>
      </c>
      <c r="H593" s="26">
        <f ca="1"/>
        <v>-6478.538348191375</v>
      </c>
      <c r="I593" s="26">
        <f ca="1"/>
        <v>-1461.9132087471448</v>
      </c>
      <c r="J593" s="26">
        <f ca="1"/>
        <v>-509.22322391267397</v>
      </c>
      <c r="K593" s="26">
        <f ca="1"/>
        <v>-1659.5140036596706</v>
      </c>
      <c r="M593" s="4" t="str">
        <f t="shared" si="46"/>
        <v>$M(2015) per Mtonne</v>
      </c>
      <c r="Q593" s="4"/>
      <c r="R593" s="4"/>
    </row>
    <row r="594" spans="1:18" s="7" customFormat="1" ht="13.5" thickBot="1" x14ac:dyDescent="0.25">
      <c r="A594" s="4" t="str">
        <v>LA N2O</v>
      </c>
      <c r="B594" s="35">
        <f ca="1"/>
        <v>-8368.9316205695159</v>
      </c>
      <c r="C594" s="35">
        <f ca="1"/>
        <v>-8305.0217157828029</v>
      </c>
      <c r="D594" s="35">
        <f ca="1"/>
        <v>-8241.599863248759</v>
      </c>
      <c r="E594" s="35">
        <f ca="1"/>
        <v>-8116.2054352261093</v>
      </c>
      <c r="F594" s="35">
        <f ca="1"/>
        <v>2514.8915679878683</v>
      </c>
      <c r="G594" s="35">
        <f ca="1"/>
        <v>-218.41775040548936</v>
      </c>
      <c r="H594" s="35">
        <f ca="1"/>
        <v>-6478.538348191375</v>
      </c>
      <c r="I594" s="35">
        <f ca="1"/>
        <v>-1461.9132087471444</v>
      </c>
      <c r="J594" s="35">
        <f ca="1"/>
        <v>-509.2232239126746</v>
      </c>
      <c r="K594" s="35">
        <f ca="1"/>
        <v>-1659.5140036596711</v>
      </c>
      <c r="M594" s="4" t="str">
        <f t="shared" si="46"/>
        <v>$M(2015) per Mtonne</v>
      </c>
    </row>
    <row r="595" spans="1:18" s="2" customFormat="1" ht="15" thickTop="1" x14ac:dyDescent="0.25">
      <c r="A595" s="2" t="s">
        <v>347</v>
      </c>
      <c r="B595" s="2" t="s">
        <v>351</v>
      </c>
    </row>
    <row r="596" spans="1:18" s="7" customFormat="1" x14ac:dyDescent="0.2">
      <c r="A596" s="4" t="str">
        <f t="array" ref="A596:A603">R_CODE&amp;" "&amp;GLIN_NAME</f>
        <v>EU Lin</v>
      </c>
      <c r="B596" s="29">
        <f t="array" aca="1" ref="B596:K603" ca="1">IF(cbe_glin&lt;Q0_GLIN,ALO_GLIN*(EXP(BLO_GLIN*(cbe_glin-Q0_GLIN))-1),ahi_glin*(EXP(BHI_GLIN*(cbe_glin-Q0_GLIN))-1))</f>
        <v>-266.28418792721186</v>
      </c>
      <c r="C596" s="29">
        <f ca="1"/>
        <v>-264.25069095672552</v>
      </c>
      <c r="D596" s="29">
        <f ca="1"/>
        <v>-262.23272292155139</v>
      </c>
      <c r="E596" s="29">
        <f ca="1"/>
        <v>-258.24290021173977</v>
      </c>
      <c r="F596" s="29">
        <f ca="1"/>
        <v>77.539404136000343</v>
      </c>
      <c r="G596" s="29">
        <f ca="1"/>
        <v>250.94393622591161</v>
      </c>
      <c r="H596" s="29">
        <f ca="1"/>
        <v>181.05573426865465</v>
      </c>
      <c r="I596" s="29">
        <f ca="1"/>
        <v>137.83077870119712</v>
      </c>
      <c r="J596" s="29">
        <f ca="1"/>
        <v>108.37029817586742</v>
      </c>
      <c r="K596" s="29">
        <f ca="1"/>
        <v>87.591946865337093</v>
      </c>
      <c r="M596" s="4" t="str">
        <f t="shared" ref="M596:M603" si="47">CURRENCY_NAME&amp;" per "&amp;EMIT_NAME</f>
        <v>$M(2015) per Mtonne</v>
      </c>
      <c r="Q596" s="4"/>
      <c r="R596" s="4"/>
    </row>
    <row r="597" spans="1:18" s="7" customFormat="1" x14ac:dyDescent="0.2">
      <c r="A597" s="4" t="str">
        <v>US Lin</v>
      </c>
      <c r="B597" s="26">
        <f ca="1"/>
        <v>-266.28418792721186</v>
      </c>
      <c r="C597" s="26">
        <f ca="1"/>
        <v>-264.25069095672552</v>
      </c>
      <c r="D597" s="26">
        <f ca="1"/>
        <v>-262.23272292155139</v>
      </c>
      <c r="E597" s="26">
        <f ca="1"/>
        <v>-258.24290021173977</v>
      </c>
      <c r="F597" s="26">
        <f ca="1"/>
        <v>75.218219159053064</v>
      </c>
      <c r="G597" s="26">
        <f ca="1"/>
        <v>230.89728220156425</v>
      </c>
      <c r="H597" s="26">
        <f ca="1"/>
        <v>160.30236197273038</v>
      </c>
      <c r="I597" s="26">
        <f ca="1"/>
        <v>120.43296008082913</v>
      </c>
      <c r="J597" s="26">
        <f ca="1"/>
        <v>94.126630315231893</v>
      </c>
      <c r="K597" s="26">
        <f ca="1"/>
        <v>75.85441262118816</v>
      </c>
      <c r="M597" s="4" t="str">
        <f t="shared" si="47"/>
        <v>$M(2015) per Mtonne</v>
      </c>
      <c r="Q597" s="4"/>
      <c r="R597" s="4"/>
    </row>
    <row r="598" spans="1:18" s="7" customFormat="1" x14ac:dyDescent="0.2">
      <c r="A598" s="4" t="str">
        <v>OT Lin</v>
      </c>
      <c r="B598" s="26">
        <f ca="1"/>
        <v>-266.28418792721186</v>
      </c>
      <c r="C598" s="26">
        <f ca="1"/>
        <v>-264.25069095672552</v>
      </c>
      <c r="D598" s="26">
        <f ca="1"/>
        <v>-262.23272292155139</v>
      </c>
      <c r="E598" s="26">
        <f ca="1"/>
        <v>-258.24290021173977</v>
      </c>
      <c r="F598" s="26">
        <f ca="1"/>
        <v>95.631931767733761</v>
      </c>
      <c r="G598" s="26">
        <f ca="1"/>
        <v>310.35916456817074</v>
      </c>
      <c r="H598" s="26">
        <f ca="1"/>
        <v>224.37544810536627</v>
      </c>
      <c r="I598" s="26">
        <f ca="1"/>
        <v>170.94194479058464</v>
      </c>
      <c r="J598" s="26">
        <f ca="1"/>
        <v>134.45644002982928</v>
      </c>
      <c r="K598" s="26">
        <f ca="1"/>
        <v>108.69996655334464</v>
      </c>
      <c r="M598" s="4" t="str">
        <f t="shared" si="47"/>
        <v>$M(2015) per Mtonne</v>
      </c>
      <c r="Q598" s="4"/>
      <c r="R598" s="4"/>
    </row>
    <row r="599" spans="1:18" s="7" customFormat="1" x14ac:dyDescent="0.2">
      <c r="A599" s="4" t="str">
        <v>EE Lin</v>
      </c>
      <c r="B599" s="26">
        <f ca="1"/>
        <v>-266.28418792721186</v>
      </c>
      <c r="C599" s="26">
        <f ca="1"/>
        <v>-264.25069095672552</v>
      </c>
      <c r="D599" s="26">
        <f ca="1"/>
        <v>-262.23272292155139</v>
      </c>
      <c r="E599" s="26">
        <f ca="1"/>
        <v>-258.24290021173977</v>
      </c>
      <c r="F599" s="26">
        <f ca="1"/>
        <v>60.358431843075209</v>
      </c>
      <c r="G599" s="26">
        <f ca="1"/>
        <v>193.92133173980571</v>
      </c>
      <c r="H599" s="26">
        <f ca="1"/>
        <v>142.88602733444193</v>
      </c>
      <c r="I599" s="26">
        <f ca="1"/>
        <v>109.5331877369649</v>
      </c>
      <c r="J599" s="26">
        <f ca="1"/>
        <v>86.320246931069292</v>
      </c>
      <c r="K599" s="26">
        <f ca="1"/>
        <v>69.786601047900433</v>
      </c>
      <c r="M599" s="4" t="str">
        <f t="shared" si="47"/>
        <v>$M(2015) per Mtonne</v>
      </c>
      <c r="Q599" s="4"/>
      <c r="R599" s="4"/>
    </row>
    <row r="600" spans="1:18" s="7" customFormat="1" x14ac:dyDescent="0.2">
      <c r="A600" s="4" t="str">
        <v>CA Lin</v>
      </c>
      <c r="B600" s="26">
        <f ca="1"/>
        <v>-266.28418792721186</v>
      </c>
      <c r="C600" s="26">
        <f ca="1"/>
        <v>-264.25069095672552</v>
      </c>
      <c r="D600" s="26">
        <f ca="1"/>
        <v>-262.23272292155139</v>
      </c>
      <c r="E600" s="26">
        <f ca="1"/>
        <v>-258.24290021173977</v>
      </c>
      <c r="F600" s="26">
        <f ca="1"/>
        <v>86.226331204393105</v>
      </c>
      <c r="G600" s="26">
        <f ca="1"/>
        <v>268.11262237688646</v>
      </c>
      <c r="H600" s="26">
        <f ca="1"/>
        <v>192.57269479919333</v>
      </c>
      <c r="I600" s="26">
        <f ca="1"/>
        <v>146.09949689921575</v>
      </c>
      <c r="J600" s="26">
        <f ca="1"/>
        <v>114.53266942815213</v>
      </c>
      <c r="K600" s="26">
        <f ca="1"/>
        <v>92.321804235357902</v>
      </c>
      <c r="M600" s="4" t="str">
        <f t="shared" si="47"/>
        <v>$M(2015) per Mtonne</v>
      </c>
      <c r="Q600" s="4"/>
      <c r="R600" s="4"/>
    </row>
    <row r="601" spans="1:18" s="7" customFormat="1" x14ac:dyDescent="0.2">
      <c r="A601" s="4" t="str">
        <v>IA Lin</v>
      </c>
      <c r="B601" s="26">
        <f ca="1"/>
        <v>-266.28418792721186</v>
      </c>
      <c r="C601" s="26">
        <f ca="1"/>
        <v>-264.25069095672552</v>
      </c>
      <c r="D601" s="26">
        <f ca="1"/>
        <v>-262.23272292155139</v>
      </c>
      <c r="E601" s="26">
        <f ca="1"/>
        <v>-258.24290021173977</v>
      </c>
      <c r="F601" s="26">
        <f ca="1"/>
        <v>106.34580848541819</v>
      </c>
      <c r="G601" s="26">
        <f ca="1"/>
        <v>334.25179747586083</v>
      </c>
      <c r="H601" s="26">
        <f ca="1"/>
        <v>241.98104754667293</v>
      </c>
      <c r="I601" s="26">
        <f ca="1"/>
        <v>184.15143616134264</v>
      </c>
      <c r="J601" s="26">
        <f ca="1"/>
        <v>144.58545369384282</v>
      </c>
      <c r="K601" s="26">
        <f ca="1"/>
        <v>116.64654377615453</v>
      </c>
      <c r="M601" s="4" t="str">
        <f t="shared" si="47"/>
        <v>$M(2015) per Mtonne</v>
      </c>
      <c r="Q601" s="4"/>
      <c r="R601" s="4"/>
    </row>
    <row r="602" spans="1:18" s="7" customFormat="1" x14ac:dyDescent="0.2">
      <c r="A602" s="4" t="str">
        <v>AF Lin</v>
      </c>
      <c r="B602" s="26">
        <f ca="1"/>
        <v>-266.28418792721186</v>
      </c>
      <c r="C602" s="26">
        <f ca="1"/>
        <v>-264.25069095672552</v>
      </c>
      <c r="D602" s="26">
        <f ca="1"/>
        <v>-262.23272292155139</v>
      </c>
      <c r="E602" s="26">
        <f ca="1"/>
        <v>-258.24290021173977</v>
      </c>
      <c r="F602" s="26">
        <f ca="1"/>
        <v>106.34580848541819</v>
      </c>
      <c r="G602" s="26">
        <f ca="1"/>
        <v>339.44759152589029</v>
      </c>
      <c r="H602" s="26">
        <f ca="1"/>
        <v>248.74851557408246</v>
      </c>
      <c r="I602" s="26">
        <f ca="1"/>
        <v>190.24298077962703</v>
      </c>
      <c r="J602" s="26">
        <f ca="1"/>
        <v>149.74560101192517</v>
      </c>
      <c r="K602" s="26">
        <f ca="1"/>
        <v>120.98110656730549</v>
      </c>
      <c r="M602" s="4" t="str">
        <f t="shared" si="47"/>
        <v>$M(2015) per Mtonne</v>
      </c>
      <c r="Q602" s="4"/>
      <c r="R602" s="4"/>
    </row>
    <row r="603" spans="1:18" s="7" customFormat="1" ht="13.5" thickBot="1" x14ac:dyDescent="0.25">
      <c r="A603" s="4" t="str">
        <v>LA Lin</v>
      </c>
      <c r="B603" s="35">
        <f ca="1"/>
        <v>-266.28418792721186</v>
      </c>
      <c r="C603" s="35">
        <f ca="1"/>
        <v>-264.25069095672552</v>
      </c>
      <c r="D603" s="35">
        <f ca="1"/>
        <v>-262.23272292155139</v>
      </c>
      <c r="E603" s="35">
        <f ca="1"/>
        <v>-258.24290021173977</v>
      </c>
      <c r="F603" s="35">
        <f ca="1"/>
        <v>60.358431843075195</v>
      </c>
      <c r="G603" s="35">
        <f ca="1"/>
        <v>193.29289320190506</v>
      </c>
      <c r="H603" s="35">
        <f ca="1"/>
        <v>142.0324055729894</v>
      </c>
      <c r="I603" s="35">
        <f ca="1"/>
        <v>108.75132968610646</v>
      </c>
      <c r="J603" s="35">
        <f ca="1"/>
        <v>85.651999336164607</v>
      </c>
      <c r="K603" s="35">
        <f ca="1"/>
        <v>69.222433874307683</v>
      </c>
      <c r="M603" s="4" t="str">
        <f t="shared" si="47"/>
        <v>$M(2015) per Mtonne</v>
      </c>
    </row>
    <row r="604" spans="1:18" s="2" customFormat="1" ht="15" thickTop="1" x14ac:dyDescent="0.25">
      <c r="A604" s="2" t="s">
        <v>352</v>
      </c>
      <c r="B604" s="2" t="s">
        <v>353</v>
      </c>
    </row>
    <row r="605" spans="1:18" s="6" customFormat="1" x14ac:dyDescent="0.2">
      <c r="A605" s="4" t="str">
        <f t="array" ref="A605:A612">R_CODE&amp;" "&amp;'Base data'!$B$12</f>
        <v>EU CO2</v>
      </c>
      <c r="B605" s="76">
        <f t="array" aca="1" ref="B605:K612" ca="1">IF(cbe_co2&lt;Q0_CO2,(ALO_CO2/BLO_CO2)*(EXP(BLO_CO2*(cbe_co2-Q0_CO2))-EXP(-BLO_CO2*Q0_CO2))-ALO_CO2*cbe_co2,(ahi_co2/BHI_CO2)*(EXP(BHI_CO2*(cbe_co2-Q0_CO2))-1)-ahi_co2*(cbe_co2-Q0_CO2)+TCQ0_CO2)</f>
        <v>0</v>
      </c>
      <c r="C605" s="76">
        <f ca="1"/>
        <v>0</v>
      </c>
      <c r="D605" s="76">
        <f ca="1"/>
        <v>0</v>
      </c>
      <c r="E605" s="76">
        <f ca="1"/>
        <v>0</v>
      </c>
      <c r="F605" s="76">
        <f ca="1"/>
        <v>-4853.2394481662996</v>
      </c>
      <c r="G605" s="76">
        <f ca="1"/>
        <v>174377.30729803263</v>
      </c>
      <c r="H605" s="76">
        <f ca="1"/>
        <v>334921.4137686941</v>
      </c>
      <c r="I605" s="76">
        <f ca="1"/>
        <v>320932.37555334921</v>
      </c>
      <c r="J605" s="76">
        <f ca="1"/>
        <v>273226.22273394122</v>
      </c>
      <c r="K605" s="76">
        <f ca="1"/>
        <v>219461.62278610541</v>
      </c>
      <c r="M605" s="4" t="str">
        <f t="shared" ref="M605:M612" si="48">CURRENCY_NAME</f>
        <v>$M(2015)</v>
      </c>
      <c r="Q605" s="4"/>
      <c r="R605" s="4"/>
    </row>
    <row r="606" spans="1:18" s="6" customFormat="1" x14ac:dyDescent="0.2">
      <c r="A606" s="4" t="str">
        <v>US CO2</v>
      </c>
      <c r="B606" s="65">
        <f ca="1"/>
        <v>0</v>
      </c>
      <c r="C606" s="65">
        <f ca="1"/>
        <v>0</v>
      </c>
      <c r="D606" s="65">
        <f ca="1"/>
        <v>0</v>
      </c>
      <c r="E606" s="65">
        <f ca="1"/>
        <v>0</v>
      </c>
      <c r="F606" s="65">
        <f ca="1"/>
        <v>-3095.5200282656297</v>
      </c>
      <c r="G606" s="65">
        <f ca="1"/>
        <v>402698.74907150981</v>
      </c>
      <c r="H606" s="65">
        <f ca="1"/>
        <v>671972.93065168522</v>
      </c>
      <c r="I606" s="65">
        <f ca="1"/>
        <v>624981.49501759897</v>
      </c>
      <c r="J606" s="65">
        <f ca="1"/>
        <v>482527.60365888639</v>
      </c>
      <c r="K606" s="65">
        <f ca="1"/>
        <v>368097.82883284218</v>
      </c>
      <c r="M606" s="4" t="str">
        <f t="shared" si="48"/>
        <v>$M(2015)</v>
      </c>
      <c r="Q606" s="4"/>
      <c r="R606" s="4"/>
    </row>
    <row r="607" spans="1:18" s="6" customFormat="1" x14ac:dyDescent="0.2">
      <c r="A607" s="4" t="str">
        <v>OT CO2</v>
      </c>
      <c r="B607" s="65">
        <f ca="1"/>
        <v>0</v>
      </c>
      <c r="C607" s="65">
        <f ca="1"/>
        <v>0</v>
      </c>
      <c r="D607" s="65">
        <f ca="1"/>
        <v>0</v>
      </c>
      <c r="E607" s="65">
        <f ca="1"/>
        <v>0</v>
      </c>
      <c r="F607" s="65">
        <f ca="1"/>
        <v>-2324.3137303720068</v>
      </c>
      <c r="G607" s="65">
        <f ca="1"/>
        <v>205713.46502707913</v>
      </c>
      <c r="H607" s="65">
        <f ca="1"/>
        <v>392583.11347220786</v>
      </c>
      <c r="I607" s="65">
        <f ca="1"/>
        <v>376761.85505472036</v>
      </c>
      <c r="J607" s="65">
        <f ca="1"/>
        <v>321342.12872056011</v>
      </c>
      <c r="K607" s="65">
        <f ca="1"/>
        <v>258850.68514464551</v>
      </c>
      <c r="M607" s="4" t="str">
        <f t="shared" si="48"/>
        <v>$M(2015)</v>
      </c>
      <c r="Q607" s="4"/>
      <c r="R607" s="4"/>
    </row>
    <row r="608" spans="1:18" s="6" customFormat="1" x14ac:dyDescent="0.2">
      <c r="A608" s="4" t="str">
        <v>EE CO2</v>
      </c>
      <c r="B608" s="65">
        <f ca="1"/>
        <v>0</v>
      </c>
      <c r="C608" s="65">
        <f ca="1"/>
        <v>0</v>
      </c>
      <c r="D608" s="65">
        <f ca="1"/>
        <v>0</v>
      </c>
      <c r="E608" s="65">
        <f ca="1"/>
        <v>0</v>
      </c>
      <c r="F608" s="65">
        <f ca="1"/>
        <v>15683.002963173489</v>
      </c>
      <c r="G608" s="65">
        <f ca="1"/>
        <v>244726.3555718296</v>
      </c>
      <c r="H608" s="65">
        <f ca="1"/>
        <v>338162.83031854616</v>
      </c>
      <c r="I608" s="65">
        <f ca="1"/>
        <v>275494.02115238196</v>
      </c>
      <c r="J608" s="65">
        <f ca="1"/>
        <v>212335.81431285749</v>
      </c>
      <c r="K608" s="65">
        <f ca="1"/>
        <v>169050.81493286049</v>
      </c>
      <c r="M608" s="4" t="str">
        <f t="shared" si="48"/>
        <v>$M(2015)</v>
      </c>
      <c r="Q608" s="4"/>
      <c r="R608" s="4"/>
    </row>
    <row r="609" spans="1:18" s="6" customFormat="1" x14ac:dyDescent="0.2">
      <c r="A609" s="4" t="str">
        <v>CA CO2</v>
      </c>
      <c r="B609" s="65">
        <f ca="1"/>
        <v>0</v>
      </c>
      <c r="C609" s="65">
        <f ca="1"/>
        <v>0</v>
      </c>
      <c r="D609" s="65">
        <f ca="1"/>
        <v>0</v>
      </c>
      <c r="E609" s="65">
        <f ca="1"/>
        <v>0</v>
      </c>
      <c r="F609" s="65">
        <f ca="1"/>
        <v>18550.383345362417</v>
      </c>
      <c r="G609" s="65">
        <f ca="1"/>
        <v>471142.75729945482</v>
      </c>
      <c r="H609" s="65">
        <f ca="1"/>
        <v>725939.15233049076</v>
      </c>
      <c r="I609" s="65">
        <f ca="1"/>
        <v>611763.30356595363</v>
      </c>
      <c r="J609" s="65">
        <f ca="1"/>
        <v>436397.72213308432</v>
      </c>
      <c r="K609" s="65">
        <f ca="1"/>
        <v>318044.08569834108</v>
      </c>
      <c r="M609" s="4" t="str">
        <f t="shared" si="48"/>
        <v>$M(2015)</v>
      </c>
      <c r="Q609" s="4"/>
      <c r="R609" s="4"/>
    </row>
    <row r="610" spans="1:18" s="6" customFormat="1" x14ac:dyDescent="0.2">
      <c r="A610" s="4" t="str">
        <v>IA CO2</v>
      </c>
      <c r="B610" s="65">
        <f ca="1"/>
        <v>0</v>
      </c>
      <c r="C610" s="65">
        <f ca="1"/>
        <v>0</v>
      </c>
      <c r="D610" s="65">
        <f ca="1"/>
        <v>0</v>
      </c>
      <c r="E610" s="65">
        <f ca="1"/>
        <v>0</v>
      </c>
      <c r="F610" s="65">
        <f ca="1"/>
        <v>46933.532544528687</v>
      </c>
      <c r="G610" s="65">
        <f ca="1"/>
        <v>731780.09971566894</v>
      </c>
      <c r="H610" s="65">
        <f ca="1"/>
        <v>1140476.3660659888</v>
      </c>
      <c r="I610" s="65">
        <f ca="1"/>
        <v>1063738.2163102408</v>
      </c>
      <c r="J610" s="65">
        <f ca="1"/>
        <v>857191.40387744037</v>
      </c>
      <c r="K610" s="65">
        <f ca="1"/>
        <v>641380.24874729267</v>
      </c>
      <c r="M610" s="4" t="str">
        <f t="shared" si="48"/>
        <v>$M(2015)</v>
      </c>
      <c r="Q610" s="4"/>
      <c r="R610" s="4"/>
    </row>
    <row r="611" spans="1:18" s="6" customFormat="1" x14ac:dyDescent="0.2">
      <c r="A611" s="4" t="str">
        <v>AF CO2</v>
      </c>
      <c r="B611" s="65">
        <f ca="1"/>
        <v>0</v>
      </c>
      <c r="C611" s="65">
        <f ca="1"/>
        <v>0</v>
      </c>
      <c r="D611" s="65">
        <f ca="1"/>
        <v>0</v>
      </c>
      <c r="E611" s="65">
        <f ca="1"/>
        <v>0</v>
      </c>
      <c r="F611" s="65">
        <f ca="1"/>
        <v>111069.62831728658</v>
      </c>
      <c r="G611" s="65">
        <f ca="1"/>
        <v>1480711.8604581426</v>
      </c>
      <c r="H611" s="65">
        <f ca="1"/>
        <v>2093402.3382843554</v>
      </c>
      <c r="I611" s="65">
        <f ca="1"/>
        <v>1924982.3464586164</v>
      </c>
      <c r="J611" s="65">
        <f ca="1"/>
        <v>1613878.6939023766</v>
      </c>
      <c r="K611" s="65">
        <f ca="1"/>
        <v>1296128.5895951311</v>
      </c>
      <c r="M611" s="4" t="str">
        <f t="shared" si="48"/>
        <v>$M(2015)</v>
      </c>
      <c r="Q611" s="4"/>
      <c r="R611" s="4"/>
    </row>
    <row r="612" spans="1:18" s="6" customFormat="1" ht="13.5" thickBot="1" x14ac:dyDescent="0.25">
      <c r="A612" s="4" t="str">
        <v>LA CO2</v>
      </c>
      <c r="B612" s="77">
        <f ca="1"/>
        <v>0</v>
      </c>
      <c r="C612" s="77">
        <f ca="1"/>
        <v>0</v>
      </c>
      <c r="D612" s="77">
        <f ca="1"/>
        <v>0</v>
      </c>
      <c r="E612" s="77">
        <f ca="1"/>
        <v>0</v>
      </c>
      <c r="F612" s="77">
        <f ca="1"/>
        <v>-2811.5180773470947</v>
      </c>
      <c r="G612" s="77">
        <f ca="1"/>
        <v>218502.21683391905</v>
      </c>
      <c r="H612" s="77">
        <f ca="1"/>
        <v>441156.12781016494</v>
      </c>
      <c r="I612" s="77">
        <f ca="1"/>
        <v>503841.51595084689</v>
      </c>
      <c r="J612" s="77">
        <f ca="1"/>
        <v>434315.716027805</v>
      </c>
      <c r="K612" s="77">
        <f ca="1"/>
        <v>419670.79661026952</v>
      </c>
      <c r="M612" s="4" t="str">
        <f t="shared" si="48"/>
        <v>$M(2015)</v>
      </c>
    </row>
    <row r="613" spans="1:18" s="2" customFormat="1" ht="15" thickTop="1" x14ac:dyDescent="0.25">
      <c r="A613" s="2" t="s">
        <v>352</v>
      </c>
      <c r="B613" s="2" t="s">
        <v>354</v>
      </c>
    </row>
    <row r="614" spans="1:18" s="6" customFormat="1" x14ac:dyDescent="0.2">
      <c r="A614" s="4" t="str">
        <f t="array" ref="A614:A621">R_CODE&amp;" "&amp;'Base data'!$C$12</f>
        <v>EU CH4</v>
      </c>
      <c r="B614" s="76">
        <f t="array" aca="1" ref="B614:K621" ca="1">IF(cbe_ch4&lt;Q0_CH4,(ALO_CH4/BLO_CH4)*(EXP(BLO_CH4*(cbe_ch4-Q0_CH4))-EXP(-BLO_CH4*Q0_CH4))-ALO_CH4*cbe_ch4,(ahi_ch4/BHI_CH4)*(EXP(BHI_CH4*(cbe_ch4-Q0_CH4))-1)-ahi_ch4*(cbe_ch4-Q0_CH4)+TCQ0_CH4)</f>
        <v>0</v>
      </c>
      <c r="C614" s="76">
        <f ca="1"/>
        <v>0</v>
      </c>
      <c r="D614" s="76">
        <f ca="1"/>
        <v>0</v>
      </c>
      <c r="E614" s="76">
        <f ca="1"/>
        <v>0</v>
      </c>
      <c r="F614" s="76">
        <f ca="1"/>
        <v>9289.9540859122699</v>
      </c>
      <c r="G614" s="76">
        <f ca="1"/>
        <v>1347.8745976032142</v>
      </c>
      <c r="H614" s="76">
        <f ca="1"/>
        <v>-2675.8501353320275</v>
      </c>
      <c r="I614" s="76">
        <f ca="1"/>
        <v>-3197.950490505822</v>
      </c>
      <c r="J614" s="76">
        <f ca="1"/>
        <v>-3177.8596161951118</v>
      </c>
      <c r="K614" s="76">
        <f ca="1"/>
        <v>-2605.2641175132821</v>
      </c>
      <c r="M614" s="4" t="str">
        <f t="shared" ref="M614:M621" si="49">CURRENCY_NAME</f>
        <v>$M(2015)</v>
      </c>
      <c r="Q614" s="4"/>
      <c r="R614" s="4"/>
    </row>
    <row r="615" spans="1:18" s="6" customFormat="1" x14ac:dyDescent="0.2">
      <c r="A615" s="4" t="str">
        <v>US CH4</v>
      </c>
      <c r="B615" s="65">
        <f ca="1"/>
        <v>0</v>
      </c>
      <c r="C615" s="65">
        <f ca="1"/>
        <v>0</v>
      </c>
      <c r="D615" s="65">
        <f ca="1"/>
        <v>0</v>
      </c>
      <c r="E615" s="65">
        <f ca="1"/>
        <v>0</v>
      </c>
      <c r="F615" s="65">
        <f ca="1"/>
        <v>20444.049839192154</v>
      </c>
      <c r="G615" s="65">
        <f ca="1"/>
        <v>12780.817626447742</v>
      </c>
      <c r="H615" s="65">
        <f ca="1"/>
        <v>5562.8192590398821</v>
      </c>
      <c r="I615" s="65">
        <f ca="1"/>
        <v>-1143.068952668882</v>
      </c>
      <c r="J615" s="65">
        <f ca="1"/>
        <v>-3953.8639650393538</v>
      </c>
      <c r="K615" s="65">
        <f ca="1"/>
        <v>-4025.6784059794509</v>
      </c>
      <c r="M615" s="4" t="str">
        <f t="shared" si="49"/>
        <v>$M(2015)</v>
      </c>
      <c r="Q615" s="4"/>
      <c r="R615" s="4"/>
    </row>
    <row r="616" spans="1:18" s="6" customFormat="1" x14ac:dyDescent="0.2">
      <c r="A616" s="4" t="str">
        <v>OT CH4</v>
      </c>
      <c r="B616" s="65">
        <f ca="1"/>
        <v>0</v>
      </c>
      <c r="C616" s="65">
        <f ca="1"/>
        <v>0</v>
      </c>
      <c r="D616" s="65">
        <f ca="1"/>
        <v>0</v>
      </c>
      <c r="E616" s="65">
        <f ca="1"/>
        <v>0</v>
      </c>
      <c r="F616" s="65">
        <f ca="1"/>
        <v>7591.1919220690743</v>
      </c>
      <c r="G616" s="65">
        <f ca="1"/>
        <v>24913.671692090786</v>
      </c>
      <c r="H616" s="65">
        <f ca="1"/>
        <v>20292.704975873508</v>
      </c>
      <c r="I616" s="65">
        <f ca="1"/>
        <v>13517.393064062755</v>
      </c>
      <c r="J616" s="65">
        <f ca="1"/>
        <v>10526.899384753335</v>
      </c>
      <c r="K616" s="65">
        <f ca="1"/>
        <v>17149.999608118163</v>
      </c>
      <c r="M616" s="4" t="str">
        <f t="shared" si="49"/>
        <v>$M(2015)</v>
      </c>
      <c r="Q616" s="4"/>
      <c r="R616" s="4"/>
    </row>
    <row r="617" spans="1:18" s="6" customFormat="1" x14ac:dyDescent="0.2">
      <c r="A617" s="4" t="str">
        <v>EE CH4</v>
      </c>
      <c r="B617" s="65">
        <f ca="1"/>
        <v>0</v>
      </c>
      <c r="C617" s="65">
        <f ca="1"/>
        <v>0</v>
      </c>
      <c r="D617" s="65">
        <f ca="1"/>
        <v>0</v>
      </c>
      <c r="E617" s="65">
        <f ca="1"/>
        <v>0</v>
      </c>
      <c r="F617" s="65">
        <f ca="1"/>
        <v>26059.204231058779</v>
      </c>
      <c r="G617" s="65">
        <f ca="1"/>
        <v>63521.463883604156</v>
      </c>
      <c r="H617" s="65">
        <f ca="1"/>
        <v>59121.170793109137</v>
      </c>
      <c r="I617" s="65">
        <f ca="1"/>
        <v>55343.326834618849</v>
      </c>
      <c r="J617" s="65">
        <f ca="1"/>
        <v>44940.268828144304</v>
      </c>
      <c r="K617" s="65">
        <f ca="1"/>
        <v>35565.102440462571</v>
      </c>
      <c r="M617" s="4" t="str">
        <f t="shared" si="49"/>
        <v>$M(2015)</v>
      </c>
      <c r="Q617" s="4"/>
      <c r="R617" s="4"/>
    </row>
    <row r="618" spans="1:18" s="6" customFormat="1" x14ac:dyDescent="0.2">
      <c r="A618" s="4" t="str">
        <v>CA CH4</v>
      </c>
      <c r="B618" s="65">
        <f ca="1"/>
        <v>0</v>
      </c>
      <c r="C618" s="65">
        <f ca="1"/>
        <v>0</v>
      </c>
      <c r="D618" s="65">
        <f ca="1"/>
        <v>0</v>
      </c>
      <c r="E618" s="65">
        <f ca="1"/>
        <v>0</v>
      </c>
      <c r="F618" s="65">
        <f ca="1"/>
        <v>21568.516996482998</v>
      </c>
      <c r="G618" s="65">
        <f ca="1"/>
        <v>32158.837609370919</v>
      </c>
      <c r="H618" s="65">
        <f ca="1"/>
        <v>29408.101225967326</v>
      </c>
      <c r="I618" s="65">
        <f ca="1"/>
        <v>17012.171725290442</v>
      </c>
      <c r="J618" s="65">
        <f ca="1"/>
        <v>16359.283602630654</v>
      </c>
      <c r="K618" s="65">
        <f ca="1"/>
        <v>10771.964050903598</v>
      </c>
      <c r="M618" s="4" t="str">
        <f t="shared" si="49"/>
        <v>$M(2015)</v>
      </c>
      <c r="Q618" s="4"/>
      <c r="R618" s="4"/>
    </row>
    <row r="619" spans="1:18" s="6" customFormat="1" x14ac:dyDescent="0.2">
      <c r="A619" s="4" t="str">
        <v>IA CH4</v>
      </c>
      <c r="B619" s="65">
        <f ca="1"/>
        <v>0</v>
      </c>
      <c r="C619" s="65">
        <f ca="1"/>
        <v>0</v>
      </c>
      <c r="D619" s="65">
        <f ca="1"/>
        <v>0</v>
      </c>
      <c r="E619" s="65">
        <f ca="1"/>
        <v>0</v>
      </c>
      <c r="F619" s="65">
        <f ca="1"/>
        <v>56236.1956142692</v>
      </c>
      <c r="G619" s="65">
        <f ca="1"/>
        <v>29008.006001356101</v>
      </c>
      <c r="H619" s="65">
        <f ca="1"/>
        <v>8883.4821851223805</v>
      </c>
      <c r="I619" s="65">
        <f ca="1"/>
        <v>3526.9756455883971</v>
      </c>
      <c r="J619" s="65">
        <f ca="1"/>
        <v>3941.7142869472109</v>
      </c>
      <c r="K619" s="65">
        <f ca="1"/>
        <v>2895.7224426337525</v>
      </c>
      <c r="M619" s="4" t="str">
        <f t="shared" si="49"/>
        <v>$M(2015)</v>
      </c>
      <c r="Q619" s="4"/>
      <c r="R619" s="4"/>
    </row>
    <row r="620" spans="1:18" s="6" customFormat="1" x14ac:dyDescent="0.2">
      <c r="A620" s="4" t="str">
        <v>AF CH4</v>
      </c>
      <c r="B620" s="65">
        <f ca="1"/>
        <v>0</v>
      </c>
      <c r="C620" s="65">
        <f ca="1"/>
        <v>0</v>
      </c>
      <c r="D620" s="65">
        <f ca="1"/>
        <v>0</v>
      </c>
      <c r="E620" s="65">
        <f ca="1"/>
        <v>0</v>
      </c>
      <c r="F620" s="65">
        <f ca="1"/>
        <v>81336.082160736623</v>
      </c>
      <c r="G620" s="65">
        <f ca="1"/>
        <v>356424.21209943219</v>
      </c>
      <c r="H620" s="65">
        <f ca="1"/>
        <v>396289.9906435021</v>
      </c>
      <c r="I620" s="65">
        <f ca="1"/>
        <v>304145.23124435538</v>
      </c>
      <c r="J620" s="65">
        <f ca="1"/>
        <v>190984.76954529612</v>
      </c>
      <c r="K620" s="65">
        <f ca="1"/>
        <v>132041.1638997907</v>
      </c>
      <c r="M620" s="4" t="str">
        <f t="shared" si="49"/>
        <v>$M(2015)</v>
      </c>
      <c r="Q620" s="4"/>
      <c r="R620" s="4"/>
    </row>
    <row r="621" spans="1:18" s="6" customFormat="1" ht="13.5" thickBot="1" x14ac:dyDescent="0.25">
      <c r="A621" s="4" t="str">
        <v>LA CH4</v>
      </c>
      <c r="B621" s="77">
        <f ca="1"/>
        <v>0</v>
      </c>
      <c r="C621" s="77">
        <f ca="1"/>
        <v>0</v>
      </c>
      <c r="D621" s="77">
        <f ca="1"/>
        <v>0</v>
      </c>
      <c r="E621" s="77">
        <f ca="1"/>
        <v>0</v>
      </c>
      <c r="F621" s="77">
        <f ca="1"/>
        <v>9261.5888475892425</v>
      </c>
      <c r="G621" s="77">
        <f ca="1"/>
        <v>29934.767017692269</v>
      </c>
      <c r="H621" s="77">
        <f ca="1"/>
        <v>26653.182721300298</v>
      </c>
      <c r="I621" s="77">
        <f ca="1"/>
        <v>20261.867290414943</v>
      </c>
      <c r="J621" s="77">
        <f ca="1"/>
        <v>11451.121690507613</v>
      </c>
      <c r="K621" s="77">
        <f ca="1"/>
        <v>8927.1120727821835</v>
      </c>
      <c r="M621" s="4" t="str">
        <f t="shared" si="49"/>
        <v>$M(2015)</v>
      </c>
    </row>
    <row r="622" spans="1:18" s="2" customFormat="1" ht="15" thickTop="1" x14ac:dyDescent="0.25">
      <c r="A622" s="2" t="s">
        <v>352</v>
      </c>
      <c r="B622" s="2" t="s">
        <v>355</v>
      </c>
    </row>
    <row r="623" spans="1:18" s="7" customFormat="1" x14ac:dyDescent="0.2">
      <c r="A623" s="4" t="str">
        <f t="array" ref="A623:A630">R_CODE&amp;" "&amp;'Base data'!$D$12</f>
        <v>EU N2O</v>
      </c>
      <c r="B623" s="76">
        <f t="array" aca="1" ref="B623:K630" ca="1">IF(cbe_n2o&lt;Q0_N2O,(ALO_N2O/BLO_N2O)*(EXP(BLO_N2O*(cbe_n2o-Q0_N2O))-EXP(-BLO_N2O*Q0_N2O))-ALO_N2O*cbe_n2o,(ahi_n2o/BHI_N2O)*(EXP(BHI_N2O*(cbe_n2o-Q0_N2O))-1)-ahi_n2o*(cbe_n2o-Q0_N2O)+TCQ0_N2O)</f>
        <v>0</v>
      </c>
      <c r="C623" s="76">
        <f ca="1"/>
        <v>0</v>
      </c>
      <c r="D623" s="76">
        <f ca="1"/>
        <v>0</v>
      </c>
      <c r="E623" s="76">
        <f ca="1"/>
        <v>0</v>
      </c>
      <c r="F623" s="76">
        <f ca="1"/>
        <v>-57.961155913522248</v>
      </c>
      <c r="G623" s="76">
        <f ca="1"/>
        <v>-343.27554757628371</v>
      </c>
      <c r="H623" s="76">
        <f ca="1"/>
        <v>-50.350798335921283</v>
      </c>
      <c r="I623" s="76">
        <f ca="1"/>
        <v>-254.79335137397936</v>
      </c>
      <c r="J623" s="76">
        <f ca="1"/>
        <v>-277.02413796808156</v>
      </c>
      <c r="K623" s="76">
        <f ca="1"/>
        <v>-207.19035451072739</v>
      </c>
      <c r="M623" s="4" t="str">
        <f t="shared" ref="M623:M630" si="50">CURRENCY_NAME</f>
        <v>$M(2015)</v>
      </c>
      <c r="Q623" s="4"/>
      <c r="R623" s="4"/>
    </row>
    <row r="624" spans="1:18" s="7" customFormat="1" x14ac:dyDescent="0.2">
      <c r="A624" s="4" t="str">
        <v>US N2O</v>
      </c>
      <c r="B624" s="65">
        <f ca="1"/>
        <v>0</v>
      </c>
      <c r="C624" s="65">
        <f ca="1"/>
        <v>0</v>
      </c>
      <c r="D624" s="65">
        <f ca="1"/>
        <v>0</v>
      </c>
      <c r="E624" s="65">
        <f ca="1"/>
        <v>0</v>
      </c>
      <c r="F624" s="65">
        <f ca="1"/>
        <v>-109.26224451829552</v>
      </c>
      <c r="G624" s="65">
        <f ca="1"/>
        <v>-319.1643756162822</v>
      </c>
      <c r="H624" s="65">
        <f ca="1"/>
        <v>-44.620765375051491</v>
      </c>
      <c r="I624" s="65">
        <f ca="1"/>
        <v>-232.77261929563716</v>
      </c>
      <c r="J624" s="65">
        <f ca="1"/>
        <v>-256.17276801344281</v>
      </c>
      <c r="K624" s="65">
        <f ca="1"/>
        <v>-188.81082182629729</v>
      </c>
      <c r="M624" s="4" t="str">
        <f t="shared" si="50"/>
        <v>$M(2015)</v>
      </c>
      <c r="Q624" s="4"/>
      <c r="R624" s="4"/>
    </row>
    <row r="625" spans="1:18" s="7" customFormat="1" x14ac:dyDescent="0.2">
      <c r="A625" s="4" t="str">
        <v>OT N2O</v>
      </c>
      <c r="B625" s="65">
        <f ca="1"/>
        <v>0</v>
      </c>
      <c r="C625" s="65">
        <f ca="1"/>
        <v>0</v>
      </c>
      <c r="D625" s="65">
        <f ca="1"/>
        <v>0</v>
      </c>
      <c r="E625" s="65">
        <f ca="1"/>
        <v>0</v>
      </c>
      <c r="F625" s="65">
        <f ca="1"/>
        <v>8.3939689914763278</v>
      </c>
      <c r="G625" s="65">
        <f ca="1"/>
        <v>-162.74643941433996</v>
      </c>
      <c r="H625" s="65">
        <f ca="1"/>
        <v>-23.871240490905265</v>
      </c>
      <c r="I625" s="65">
        <f ca="1"/>
        <v>-120.79715847907029</v>
      </c>
      <c r="J625" s="65">
        <f ca="1"/>
        <v>-131.33674217244754</v>
      </c>
      <c r="K625" s="65">
        <f ca="1"/>
        <v>-98.228646682509378</v>
      </c>
      <c r="M625" s="4" t="str">
        <f t="shared" si="50"/>
        <v>$M(2015)</v>
      </c>
      <c r="Q625" s="4"/>
      <c r="R625" s="4"/>
    </row>
    <row r="626" spans="1:18" s="7" customFormat="1" x14ac:dyDescent="0.2">
      <c r="A626" s="4" t="str">
        <v>EE N2O</v>
      </c>
      <c r="B626" s="65">
        <f ca="1"/>
        <v>0</v>
      </c>
      <c r="C626" s="65">
        <f ca="1"/>
        <v>0</v>
      </c>
      <c r="D626" s="65">
        <f ca="1"/>
        <v>0</v>
      </c>
      <c r="E626" s="65">
        <f ca="1"/>
        <v>0</v>
      </c>
      <c r="F626" s="65">
        <f ca="1"/>
        <v>18.922322799773852</v>
      </c>
      <c r="G626" s="65">
        <f ca="1"/>
        <v>-83.951158818680938</v>
      </c>
      <c r="H626" s="65">
        <f ca="1"/>
        <v>-15.939497590309799</v>
      </c>
      <c r="I626" s="65">
        <f ca="1"/>
        <v>-68.375570111198158</v>
      </c>
      <c r="J626" s="65">
        <f ca="1"/>
        <v>-69.712128916275233</v>
      </c>
      <c r="K626" s="65">
        <f ca="1"/>
        <v>-56.348018516177845</v>
      </c>
      <c r="M626" s="4" t="str">
        <f t="shared" si="50"/>
        <v>$M(2015)</v>
      </c>
      <c r="Q626" s="4"/>
      <c r="R626" s="4"/>
    </row>
    <row r="627" spans="1:18" s="7" customFormat="1" x14ac:dyDescent="0.2">
      <c r="A627" s="4" t="str">
        <v>CA N2O</v>
      </c>
      <c r="B627" s="65">
        <f ca="1"/>
        <v>0</v>
      </c>
      <c r="C627" s="65">
        <f ca="1"/>
        <v>0</v>
      </c>
      <c r="D627" s="65">
        <f ca="1"/>
        <v>0</v>
      </c>
      <c r="E627" s="65">
        <f ca="1"/>
        <v>0</v>
      </c>
      <c r="F627" s="65">
        <f ca="1"/>
        <v>337.86253069257953</v>
      </c>
      <c r="G627" s="65">
        <f ca="1"/>
        <v>-441.12099492942343</v>
      </c>
      <c r="H627" s="65">
        <f ca="1"/>
        <v>-83.7540200117881</v>
      </c>
      <c r="I627" s="65">
        <f ca="1"/>
        <v>-359.27913254255878</v>
      </c>
      <c r="J627" s="65">
        <f ca="1"/>
        <v>-366.30207490778184</v>
      </c>
      <c r="K627" s="65">
        <f ca="1"/>
        <v>-296.08041556451849</v>
      </c>
      <c r="M627" s="4" t="str">
        <f t="shared" si="50"/>
        <v>$M(2015)</v>
      </c>
      <c r="Q627" s="4"/>
      <c r="R627" s="4"/>
    </row>
    <row r="628" spans="1:18" s="7" customFormat="1" x14ac:dyDescent="0.2">
      <c r="A628" s="4" t="str">
        <v>IA N2O</v>
      </c>
      <c r="B628" s="65">
        <f ca="1"/>
        <v>0</v>
      </c>
      <c r="C628" s="65">
        <f ca="1"/>
        <v>0</v>
      </c>
      <c r="D628" s="65">
        <f ca="1"/>
        <v>0</v>
      </c>
      <c r="E628" s="65">
        <f ca="1"/>
        <v>0</v>
      </c>
      <c r="F628" s="65">
        <f ca="1"/>
        <v>250.33618173876204</v>
      </c>
      <c r="G628" s="65">
        <f ca="1"/>
        <v>-211.018487434485</v>
      </c>
      <c r="H628" s="65">
        <f ca="1"/>
        <v>-40.065303675407215</v>
      </c>
      <c r="I628" s="65">
        <f ca="1"/>
        <v>-171.86790016202809</v>
      </c>
      <c r="J628" s="65">
        <f ca="1"/>
        <v>-175.2274561393763</v>
      </c>
      <c r="K628" s="65">
        <f ca="1"/>
        <v>-141.63561056846686</v>
      </c>
      <c r="M628" s="4" t="str">
        <f t="shared" si="50"/>
        <v>$M(2015)</v>
      </c>
      <c r="Q628" s="4"/>
      <c r="R628" s="4"/>
    </row>
    <row r="629" spans="1:18" s="7" customFormat="1" x14ac:dyDescent="0.2">
      <c r="A629" s="4" t="str">
        <v>AF N2O</v>
      </c>
      <c r="B629" s="65">
        <f ca="1"/>
        <v>0</v>
      </c>
      <c r="C629" s="65">
        <f ca="1"/>
        <v>0</v>
      </c>
      <c r="D629" s="65">
        <f ca="1"/>
        <v>0</v>
      </c>
      <c r="E629" s="65">
        <f ca="1"/>
        <v>0</v>
      </c>
      <c r="F629" s="65">
        <f ca="1"/>
        <v>439.23800376045148</v>
      </c>
      <c r="G629" s="65">
        <f ca="1"/>
        <v>-370.25146957780572</v>
      </c>
      <c r="H629" s="65">
        <f ca="1"/>
        <v>-70.298284028342408</v>
      </c>
      <c r="I629" s="65">
        <f ca="1"/>
        <v>-301.55814015110434</v>
      </c>
      <c r="J629" s="65">
        <f ca="1"/>
        <v>-307.45279209778874</v>
      </c>
      <c r="K629" s="65">
        <f ca="1"/>
        <v>-248.51278954317192</v>
      </c>
      <c r="M629" s="4" t="str">
        <f t="shared" si="50"/>
        <v>$M(2015)</v>
      </c>
      <c r="Q629" s="4"/>
      <c r="R629" s="4"/>
    </row>
    <row r="630" spans="1:18" s="7" customFormat="1" ht="13.5" thickBot="1" x14ac:dyDescent="0.25">
      <c r="A630" s="4" t="str">
        <v>LA N2O</v>
      </c>
      <c r="B630" s="77">
        <f ca="1"/>
        <v>0</v>
      </c>
      <c r="C630" s="77">
        <f ca="1"/>
        <v>0</v>
      </c>
      <c r="D630" s="77">
        <f ca="1"/>
        <v>0</v>
      </c>
      <c r="E630" s="77">
        <f ca="1"/>
        <v>0</v>
      </c>
      <c r="F630" s="77">
        <f ca="1"/>
        <v>80.271865356124692</v>
      </c>
      <c r="G630" s="77">
        <f ca="1"/>
        <v>-356.13577616719988</v>
      </c>
      <c r="H630" s="77">
        <f ca="1"/>
        <v>-67.618189265268796</v>
      </c>
      <c r="I630" s="77">
        <f ca="1"/>
        <v>-290.06135323301487</v>
      </c>
      <c r="J630" s="77">
        <f ca="1"/>
        <v>-295.73127386469184</v>
      </c>
      <c r="K630" s="77">
        <f ca="1"/>
        <v>-239.03833600540233</v>
      </c>
      <c r="M630" s="4" t="str">
        <f t="shared" si="50"/>
        <v>$M(2015)</v>
      </c>
    </row>
    <row r="631" spans="1:18" s="2" customFormat="1" ht="15" thickTop="1" x14ac:dyDescent="0.25">
      <c r="A631" s="2" t="s">
        <v>352</v>
      </c>
      <c r="B631" s="2" t="s">
        <v>356</v>
      </c>
    </row>
    <row r="632" spans="1:18" s="7" customFormat="1" x14ac:dyDescent="0.2">
      <c r="A632" s="4" t="str">
        <f t="array" ref="A632:A639">R_CODE&amp;" "&amp;GLIN_NAME</f>
        <v>EU Lin</v>
      </c>
      <c r="B632" s="76">
        <f t="array" aca="1" ref="B632:K639" ca="1">IF(cbe_glin&lt;Q0_GLIN,(ALO_GLIN/BLO_GLIN)*(EXP(BLO_GLIN*(cbe_glin-Q0_GLIN))-EXP(-BLO_GLIN*Q0_GLIN))-ALO_GLIN*cbe_glin,(ahi_glin/BHI_GLIN)*(EXP(BHI_GLIN*(cbe_glin-Q0_GLIN))-1)-ahi_glin*(cbe_glin-Q0_GLIN)+TCQ0_GLIN)</f>
        <v>0</v>
      </c>
      <c r="C632" s="76">
        <f ca="1"/>
        <v>0</v>
      </c>
      <c r="D632" s="76">
        <f ca="1"/>
        <v>0</v>
      </c>
      <c r="E632" s="76">
        <f ca="1"/>
        <v>0</v>
      </c>
      <c r="F632" s="76">
        <f ca="1"/>
        <v>586.12516175298435</v>
      </c>
      <c r="G632" s="76">
        <f ca="1"/>
        <v>9579.2487204362515</v>
      </c>
      <c r="H632" s="76">
        <f ca="1"/>
        <v>7707.9960641491634</v>
      </c>
      <c r="I632" s="76">
        <f ca="1"/>
        <v>6031.2495515241044</v>
      </c>
      <c r="J632" s="76">
        <f ca="1"/>
        <v>4431.0464522733582</v>
      </c>
      <c r="K632" s="76">
        <f ca="1"/>
        <v>3317.0255634786608</v>
      </c>
      <c r="M632" s="4" t="str">
        <f t="shared" ref="M632:M639" si="51">CURRENCY_NAME</f>
        <v>$M(2015)</v>
      </c>
      <c r="Q632" s="4"/>
      <c r="R632" s="4"/>
    </row>
    <row r="633" spans="1:18" s="7" customFormat="1" x14ac:dyDescent="0.2">
      <c r="A633" s="4" t="str">
        <v>US Lin</v>
      </c>
      <c r="B633" s="65">
        <f ca="1"/>
        <v>0</v>
      </c>
      <c r="C633" s="65">
        <f ca="1"/>
        <v>0</v>
      </c>
      <c r="D633" s="65">
        <f ca="1"/>
        <v>0</v>
      </c>
      <c r="E633" s="65">
        <f ca="1"/>
        <v>0</v>
      </c>
      <c r="F633" s="65">
        <f ca="1"/>
        <v>1129.8130070080579</v>
      </c>
      <c r="G633" s="65">
        <f ca="1"/>
        <v>22368.227444593973</v>
      </c>
      <c r="H633" s="65">
        <f ca="1"/>
        <v>17083.598645581642</v>
      </c>
      <c r="I633" s="65">
        <f ca="1"/>
        <v>13023.131423770674</v>
      </c>
      <c r="J633" s="65">
        <f ca="1"/>
        <v>9379.8991964199922</v>
      </c>
      <c r="K633" s="65">
        <f ca="1"/>
        <v>6897.2251231663022</v>
      </c>
      <c r="M633" s="4" t="str">
        <f t="shared" si="51"/>
        <v>$M(2015)</v>
      </c>
      <c r="Q633" s="4"/>
      <c r="R633" s="4"/>
    </row>
    <row r="634" spans="1:18" s="7" customFormat="1" x14ac:dyDescent="0.2">
      <c r="A634" s="4" t="str">
        <v>OT Lin</v>
      </c>
      <c r="B634" s="65">
        <f ca="1"/>
        <v>0</v>
      </c>
      <c r="C634" s="65">
        <f ca="1"/>
        <v>0</v>
      </c>
      <c r="D634" s="65">
        <f ca="1"/>
        <v>0</v>
      </c>
      <c r="E634" s="65">
        <f ca="1"/>
        <v>0</v>
      </c>
      <c r="F634" s="65">
        <f ca="1"/>
        <v>886.87783508537495</v>
      </c>
      <c r="G634" s="65">
        <f ca="1"/>
        <v>11335.72731593463</v>
      </c>
      <c r="H634" s="65">
        <f ca="1"/>
        <v>9205.7373329535403</v>
      </c>
      <c r="I634" s="65">
        <f ca="1"/>
        <v>7265.6027155001102</v>
      </c>
      <c r="J634" s="65">
        <f ca="1"/>
        <v>5387.084454116386</v>
      </c>
      <c r="K634" s="65">
        <f ca="1"/>
        <v>4072.1962423778796</v>
      </c>
      <c r="M634" s="4" t="str">
        <f t="shared" si="51"/>
        <v>$M(2015)</v>
      </c>
      <c r="Q634" s="4"/>
      <c r="R634" s="4"/>
    </row>
    <row r="635" spans="1:18" s="7" customFormat="1" x14ac:dyDescent="0.2">
      <c r="A635" s="4" t="str">
        <v>EE Lin</v>
      </c>
      <c r="B635" s="65">
        <f ca="1"/>
        <v>0</v>
      </c>
      <c r="C635" s="65">
        <f ca="1"/>
        <v>0</v>
      </c>
      <c r="D635" s="65">
        <f ca="1"/>
        <v>0</v>
      </c>
      <c r="E635" s="65">
        <f ca="1"/>
        <v>0</v>
      </c>
      <c r="F635" s="65">
        <f ca="1"/>
        <v>203.18169423361581</v>
      </c>
      <c r="G635" s="65">
        <f ca="1"/>
        <v>2560.7386077317515</v>
      </c>
      <c r="H635" s="65">
        <f ca="1"/>
        <v>2116.885590760523</v>
      </c>
      <c r="I635" s="65">
        <f ca="1"/>
        <v>1677.6956108045242</v>
      </c>
      <c r="J635" s="65">
        <f ca="1"/>
        <v>1243.0764450256706</v>
      </c>
      <c r="K635" s="65">
        <f ca="1"/>
        <v>936.75894143630558</v>
      </c>
      <c r="M635" s="4" t="str">
        <f t="shared" si="51"/>
        <v>$M(2015)</v>
      </c>
      <c r="Q635" s="4"/>
      <c r="R635" s="4"/>
    </row>
    <row r="636" spans="1:18" s="7" customFormat="1" x14ac:dyDescent="0.2">
      <c r="A636" s="4" t="str">
        <v>CA Lin</v>
      </c>
      <c r="B636" s="65">
        <f ca="1"/>
        <v>0</v>
      </c>
      <c r="C636" s="65">
        <f ca="1"/>
        <v>0</v>
      </c>
      <c r="D636" s="65">
        <f ca="1"/>
        <v>0</v>
      </c>
      <c r="E636" s="65">
        <f ca="1"/>
        <v>0</v>
      </c>
      <c r="F636" s="65">
        <f ca="1"/>
        <v>1199.3957441824364</v>
      </c>
      <c r="G636" s="65">
        <f ca="1"/>
        <v>11275.473472022441</v>
      </c>
      <c r="H636" s="65">
        <f ca="1"/>
        <v>9137.5964602432668</v>
      </c>
      <c r="I636" s="65">
        <f ca="1"/>
        <v>7218.4180483244354</v>
      </c>
      <c r="J636" s="65">
        <f ca="1"/>
        <v>5364.8883176363297</v>
      </c>
      <c r="K636" s="65">
        <f ca="1"/>
        <v>4068.1080137338699</v>
      </c>
      <c r="M636" s="4" t="str">
        <f t="shared" si="51"/>
        <v>$M(2015)</v>
      </c>
      <c r="Q636" s="4"/>
      <c r="R636" s="4"/>
    </row>
    <row r="637" spans="1:18" s="7" customFormat="1" x14ac:dyDescent="0.2">
      <c r="A637" s="4" t="str">
        <v>IA Lin</v>
      </c>
      <c r="B637" s="65">
        <f ca="1"/>
        <v>0</v>
      </c>
      <c r="C637" s="65">
        <f ca="1"/>
        <v>0</v>
      </c>
      <c r="D637" s="65">
        <f ca="1"/>
        <v>0</v>
      </c>
      <c r="E637" s="65">
        <f ca="1"/>
        <v>0</v>
      </c>
      <c r="F637" s="65">
        <f ca="1"/>
        <v>1263.0026117525922</v>
      </c>
      <c r="G637" s="65">
        <f ca="1"/>
        <v>10956.046328521883</v>
      </c>
      <c r="H637" s="65">
        <f ca="1"/>
        <v>8993.2821130922384</v>
      </c>
      <c r="I637" s="65">
        <f ca="1"/>
        <v>7163.0594590120518</v>
      </c>
      <c r="J637" s="65">
        <f ca="1"/>
        <v>5361.761131562077</v>
      </c>
      <c r="K637" s="65">
        <f ca="1"/>
        <v>4093.2641770826267</v>
      </c>
      <c r="M637" s="4" t="str">
        <f t="shared" si="51"/>
        <v>$M(2015)</v>
      </c>
      <c r="Q637" s="4"/>
      <c r="R637" s="4"/>
    </row>
    <row r="638" spans="1:18" s="7" customFormat="1" x14ac:dyDescent="0.2">
      <c r="A638" s="4" t="str">
        <v>AF Lin</v>
      </c>
      <c r="B638" s="65">
        <f ca="1"/>
        <v>0</v>
      </c>
      <c r="C638" s="65">
        <f ca="1"/>
        <v>0</v>
      </c>
      <c r="D638" s="65">
        <f ca="1"/>
        <v>0</v>
      </c>
      <c r="E638" s="65">
        <f ca="1"/>
        <v>0</v>
      </c>
      <c r="F638" s="65">
        <f ca="1"/>
        <v>742.0155848609561</v>
      </c>
      <c r="G638" s="65">
        <f ca="1"/>
        <v>6542.0008640713722</v>
      </c>
      <c r="H638" s="65">
        <f ca="1"/>
        <v>5441.5810741865125</v>
      </c>
      <c r="I638" s="65">
        <f ca="1"/>
        <v>4359.7160441148335</v>
      </c>
      <c r="J638" s="65">
        <f ca="1"/>
        <v>3274.5740146074077</v>
      </c>
      <c r="K638" s="65">
        <f ca="1"/>
        <v>2505.6816291702257</v>
      </c>
      <c r="M638" s="4" t="str">
        <f t="shared" si="51"/>
        <v>$M(2015)</v>
      </c>
      <c r="Q638" s="4"/>
      <c r="R638" s="4"/>
    </row>
    <row r="639" spans="1:18" s="7" customFormat="1" ht="13.5" thickBot="1" x14ac:dyDescent="0.25">
      <c r="A639" s="4" t="str">
        <v>LA Lin</v>
      </c>
      <c r="B639" s="77">
        <f ca="1"/>
        <v>0</v>
      </c>
      <c r="C639" s="77">
        <f ca="1"/>
        <v>0</v>
      </c>
      <c r="D639" s="77">
        <f ca="1"/>
        <v>0</v>
      </c>
      <c r="E639" s="77">
        <f ca="1"/>
        <v>0</v>
      </c>
      <c r="F639" s="77">
        <f ca="1"/>
        <v>243.67435190032847</v>
      </c>
      <c r="G639" s="77">
        <f ca="1"/>
        <v>3060.1865793651273</v>
      </c>
      <c r="H639" s="77">
        <f ca="1"/>
        <v>2521.7266843587249</v>
      </c>
      <c r="I639" s="77">
        <f ca="1"/>
        <v>1995.4349776768472</v>
      </c>
      <c r="J639" s="77">
        <f ca="1"/>
        <v>1477.0259328552736</v>
      </c>
      <c r="K639" s="77">
        <f ca="1"/>
        <v>1112.2232677709562</v>
      </c>
      <c r="M639" s="4" t="str">
        <f t="shared" si="51"/>
        <v>$M(2015)</v>
      </c>
    </row>
    <row r="640" spans="1:18" s="2" customFormat="1" ht="15" thickTop="1" x14ac:dyDescent="0.25">
      <c r="A640" s="2" t="s">
        <v>352</v>
      </c>
      <c r="B640" s="2" t="s">
        <v>392</v>
      </c>
    </row>
    <row r="641" spans="1:18" s="7" customFormat="1" x14ac:dyDescent="0.2">
      <c r="A641" s="4" t="str">
        <f t="array" ref="A641:A648">R_CODE</f>
        <v>EU</v>
      </c>
      <c r="B641" s="76">
        <f t="array" aca="1" ref="B641:K648" ca="1">tc_co2+tc_ch4+tc_n2o+tc_glin</f>
        <v>0</v>
      </c>
      <c r="C641" s="76">
        <f ca="1"/>
        <v>0</v>
      </c>
      <c r="D641" s="76">
        <f ca="1"/>
        <v>0</v>
      </c>
      <c r="E641" s="76">
        <f ca="1"/>
        <v>0</v>
      </c>
      <c r="F641" s="76">
        <f ca="1"/>
        <v>4964.8786435854327</v>
      </c>
      <c r="G641" s="76">
        <f ca="1"/>
        <v>184961.15506849581</v>
      </c>
      <c r="H641" s="76">
        <f ca="1"/>
        <v>339903.20889917528</v>
      </c>
      <c r="I641" s="76">
        <f ca="1"/>
        <v>323510.8812629935</v>
      </c>
      <c r="J641" s="76">
        <f ca="1"/>
        <v>274202.38543205144</v>
      </c>
      <c r="K641" s="76">
        <f ca="1"/>
        <v>219966.19387756006</v>
      </c>
      <c r="M641" s="4" t="str">
        <f t="shared" ref="M641:M648" si="52">CURRENCY_NAME</f>
        <v>$M(2015)</v>
      </c>
      <c r="O641"/>
      <c r="P641"/>
      <c r="Q641" s="4"/>
      <c r="R641" s="4"/>
    </row>
    <row r="642" spans="1:18" s="7" customFormat="1" x14ac:dyDescent="0.2">
      <c r="A642" s="4" t="str">
        <v>US</v>
      </c>
      <c r="B642" s="65">
        <f ca="1"/>
        <v>0</v>
      </c>
      <c r="C642" s="65">
        <f ca="1"/>
        <v>0</v>
      </c>
      <c r="D642" s="65">
        <f ca="1"/>
        <v>0</v>
      </c>
      <c r="E642" s="65">
        <f ca="1"/>
        <v>0</v>
      </c>
      <c r="F642" s="65">
        <f ca="1"/>
        <v>18369.080573416286</v>
      </c>
      <c r="G642" s="65">
        <f ca="1"/>
        <v>437528.62976693525</v>
      </c>
      <c r="H642" s="65">
        <f ca="1"/>
        <v>694574.72779093159</v>
      </c>
      <c r="I642" s="65">
        <f ca="1"/>
        <v>636628.78486940509</v>
      </c>
      <c r="J642" s="65">
        <f ca="1"/>
        <v>487697.46612225357</v>
      </c>
      <c r="K642" s="65">
        <f ca="1"/>
        <v>370780.56472820271</v>
      </c>
      <c r="M642" s="4" t="str">
        <f t="shared" si="52"/>
        <v>$M(2015)</v>
      </c>
      <c r="O642"/>
      <c r="P642"/>
      <c r="Q642" s="4"/>
      <c r="R642" s="4"/>
    </row>
    <row r="643" spans="1:18" s="7" customFormat="1" x14ac:dyDescent="0.2">
      <c r="A643" s="4" t="str">
        <v>OT</v>
      </c>
      <c r="B643" s="65">
        <f ca="1"/>
        <v>0</v>
      </c>
      <c r="C643" s="65">
        <f ca="1"/>
        <v>0</v>
      </c>
      <c r="D643" s="65">
        <f ca="1"/>
        <v>0</v>
      </c>
      <c r="E643" s="65">
        <f ca="1"/>
        <v>0</v>
      </c>
      <c r="F643" s="65">
        <f ca="1"/>
        <v>6162.1499957739179</v>
      </c>
      <c r="G643" s="65">
        <f ca="1"/>
        <v>241800.11759569022</v>
      </c>
      <c r="H643" s="65">
        <f ca="1"/>
        <v>422057.684540544</v>
      </c>
      <c r="I643" s="65">
        <f ca="1"/>
        <v>397424.05367580417</v>
      </c>
      <c r="J643" s="65">
        <f ca="1"/>
        <v>337124.77581725741</v>
      </c>
      <c r="K643" s="65">
        <f ca="1"/>
        <v>279974.652348459</v>
      </c>
      <c r="M643" s="4" t="str">
        <f t="shared" si="52"/>
        <v>$M(2015)</v>
      </c>
      <c r="O643"/>
      <c r="P643"/>
      <c r="Q643" s="4"/>
      <c r="R643" s="4"/>
    </row>
    <row r="644" spans="1:18" s="7" customFormat="1" x14ac:dyDescent="0.2">
      <c r="A644" s="4" t="str">
        <v>EE</v>
      </c>
      <c r="B644" s="65">
        <f ca="1"/>
        <v>0</v>
      </c>
      <c r="C644" s="65">
        <f ca="1"/>
        <v>0</v>
      </c>
      <c r="D644" s="65">
        <f ca="1"/>
        <v>0</v>
      </c>
      <c r="E644" s="65">
        <f ca="1"/>
        <v>0</v>
      </c>
      <c r="F644" s="65">
        <f ca="1"/>
        <v>41964.311211265653</v>
      </c>
      <c r="G644" s="65">
        <f ca="1"/>
        <v>310724.60690434685</v>
      </c>
      <c r="H644" s="65">
        <f ca="1"/>
        <v>399384.94720482547</v>
      </c>
      <c r="I644" s="65">
        <f ca="1"/>
        <v>332446.66802769416</v>
      </c>
      <c r="J644" s="65">
        <f ca="1"/>
        <v>258449.44745711118</v>
      </c>
      <c r="K644" s="65">
        <f ca="1"/>
        <v>205496.32829624318</v>
      </c>
      <c r="M644" s="4" t="str">
        <f t="shared" si="52"/>
        <v>$M(2015)</v>
      </c>
      <c r="O644"/>
      <c r="P644"/>
      <c r="Q644" s="4"/>
      <c r="R644" s="4"/>
    </row>
    <row r="645" spans="1:18" s="7" customFormat="1" x14ac:dyDescent="0.2">
      <c r="A645" s="4" t="str">
        <v>CA</v>
      </c>
      <c r="B645" s="65">
        <f ca="1"/>
        <v>0</v>
      </c>
      <c r="C645" s="65">
        <f ca="1"/>
        <v>0</v>
      </c>
      <c r="D645" s="65">
        <f ca="1"/>
        <v>0</v>
      </c>
      <c r="E645" s="65">
        <f ca="1"/>
        <v>0</v>
      </c>
      <c r="F645" s="65">
        <f ca="1"/>
        <v>41656.158616720437</v>
      </c>
      <c r="G645" s="65">
        <f ca="1"/>
        <v>514135.94738591881</v>
      </c>
      <c r="H645" s="65">
        <f ca="1"/>
        <v>764401.09599668952</v>
      </c>
      <c r="I645" s="65">
        <f ca="1"/>
        <v>635634.61420702597</v>
      </c>
      <c r="J645" s="65">
        <f ca="1"/>
        <v>457755.59197844355</v>
      </c>
      <c r="K645" s="65">
        <f ca="1"/>
        <v>332588.07734741404</v>
      </c>
      <c r="M645" s="4" t="str">
        <f t="shared" si="52"/>
        <v>$M(2015)</v>
      </c>
      <c r="O645"/>
      <c r="P645"/>
      <c r="Q645" s="4"/>
      <c r="R645" s="4"/>
    </row>
    <row r="646" spans="1:18" s="7" customFormat="1" x14ac:dyDescent="0.2">
      <c r="A646" s="4" t="str">
        <v>IA</v>
      </c>
      <c r="B646" s="65">
        <f ca="1"/>
        <v>0</v>
      </c>
      <c r="C646" s="65">
        <f ca="1"/>
        <v>0</v>
      </c>
      <c r="D646" s="65">
        <f ca="1"/>
        <v>0</v>
      </c>
      <c r="E646" s="65">
        <f ca="1"/>
        <v>0</v>
      </c>
      <c r="F646" s="65">
        <f ca="1"/>
        <v>104683.06695228926</v>
      </c>
      <c r="G646" s="65">
        <f ca="1"/>
        <v>771533.13355811243</v>
      </c>
      <c r="H646" s="65">
        <f ca="1"/>
        <v>1158313.065060528</v>
      </c>
      <c r="I646" s="65">
        <f ca="1"/>
        <v>1074256.3835146793</v>
      </c>
      <c r="J646" s="65">
        <f ca="1"/>
        <v>866319.65183981019</v>
      </c>
      <c r="K646" s="65">
        <f ca="1"/>
        <v>648227.5997564405</v>
      </c>
      <c r="M646" s="4" t="str">
        <f t="shared" si="52"/>
        <v>$M(2015)</v>
      </c>
      <c r="O646"/>
      <c r="P646"/>
      <c r="Q646" s="4"/>
      <c r="R646" s="4"/>
    </row>
    <row r="647" spans="1:18" s="7" customFormat="1" x14ac:dyDescent="0.2">
      <c r="A647" s="4" t="str">
        <v>AF</v>
      </c>
      <c r="B647" s="65">
        <f ca="1"/>
        <v>0</v>
      </c>
      <c r="C647" s="65">
        <f ca="1"/>
        <v>0</v>
      </c>
      <c r="D647" s="65">
        <f ca="1"/>
        <v>0</v>
      </c>
      <c r="E647" s="65">
        <f ca="1"/>
        <v>0</v>
      </c>
      <c r="F647" s="65">
        <f ca="1"/>
        <v>193586.96406664464</v>
      </c>
      <c r="G647" s="65">
        <f ca="1"/>
        <v>1843307.8219520682</v>
      </c>
      <c r="H647" s="65">
        <f ca="1"/>
        <v>2495063.6117180157</v>
      </c>
      <c r="I647" s="65">
        <f ca="1"/>
        <v>2233185.7356069353</v>
      </c>
      <c r="J647" s="65">
        <f ca="1"/>
        <v>1807830.5846701823</v>
      </c>
      <c r="K647" s="65">
        <f ca="1"/>
        <v>1430426.9223345488</v>
      </c>
      <c r="M647" s="4" t="str">
        <f t="shared" si="52"/>
        <v>$M(2015)</v>
      </c>
      <c r="O647" s="4"/>
      <c r="P647" s="4"/>
      <c r="Q647" s="4"/>
      <c r="R647" s="4"/>
    </row>
    <row r="648" spans="1:18" s="7" customFormat="1" ht="13.5" thickBot="1" x14ac:dyDescent="0.25">
      <c r="A648" s="4" t="str">
        <v>LA</v>
      </c>
      <c r="B648" s="77">
        <f ca="1"/>
        <v>0</v>
      </c>
      <c r="C648" s="77">
        <f ca="1"/>
        <v>0</v>
      </c>
      <c r="D648" s="77">
        <f ca="1"/>
        <v>0</v>
      </c>
      <c r="E648" s="77">
        <f ca="1"/>
        <v>0</v>
      </c>
      <c r="F648" s="77">
        <f ca="1"/>
        <v>6774.0169874986013</v>
      </c>
      <c r="G648" s="77">
        <f ca="1"/>
        <v>251141.03465480925</v>
      </c>
      <c r="H648" s="77">
        <f ca="1"/>
        <v>470263.41902655869</v>
      </c>
      <c r="I648" s="77">
        <f ca="1"/>
        <v>525808.75686570571</v>
      </c>
      <c r="J648" s="77">
        <f ca="1"/>
        <v>446948.13237730321</v>
      </c>
      <c r="K648" s="77">
        <f ca="1"/>
        <v>429471.09361481725</v>
      </c>
      <c r="M648" s="4" t="str">
        <f t="shared" si="52"/>
        <v>$M(2015)</v>
      </c>
    </row>
    <row r="649" spans="1:18" s="2" customFormat="1" ht="15" thickTop="1" x14ac:dyDescent="0.25">
      <c r="A649" s="2" t="s">
        <v>357</v>
      </c>
      <c r="B649" s="2" t="s">
        <v>395</v>
      </c>
    </row>
    <row r="650" spans="1:18" s="7" customFormat="1" x14ac:dyDescent="0.2">
      <c r="A650" s="4" t="str">
        <f t="array" ref="A650:A657">R_CODE</f>
        <v>EU</v>
      </c>
      <c r="B650" s="32">
        <f t="array" aca="1" ref="B650:K657" ca="1">tct/POP</f>
        <v>0</v>
      </c>
      <c r="C650" s="32">
        <f ca="1"/>
        <v>0</v>
      </c>
      <c r="D650" s="32">
        <f ca="1"/>
        <v>0</v>
      </c>
      <c r="E650" s="32">
        <f ca="1"/>
        <v>0</v>
      </c>
      <c r="F650" s="32">
        <f ca="1"/>
        <v>8.0283540317154927</v>
      </c>
      <c r="G650" s="32">
        <f ca="1"/>
        <v>282.76982299247948</v>
      </c>
      <c r="H650" s="32">
        <f ca="1"/>
        <v>496.29890505606176</v>
      </c>
      <c r="I650" s="32">
        <f ca="1"/>
        <v>455.89890977309142</v>
      </c>
      <c r="J650" s="32">
        <f ca="1"/>
        <v>377.23250421604075</v>
      </c>
      <c r="K650" s="32">
        <f ca="1"/>
        <v>298.11857439141926</v>
      </c>
      <c r="M650" s="1" t="str">
        <f t="shared" ref="M650:M657" si="53">CURRENCY_NAME&amp;"/"&amp;POP_UNIT_NAME</f>
        <v>$M(2015)/million</v>
      </c>
      <c r="O650"/>
      <c r="P650"/>
    </row>
    <row r="651" spans="1:18" s="7" customFormat="1" x14ac:dyDescent="0.2">
      <c r="A651" s="4" t="str">
        <v>US</v>
      </c>
      <c r="B651" s="33">
        <f ca="1"/>
        <v>0</v>
      </c>
      <c r="C651" s="33">
        <f ca="1"/>
        <v>0</v>
      </c>
      <c r="D651" s="33">
        <f ca="1"/>
        <v>0</v>
      </c>
      <c r="E651" s="33">
        <f ca="1"/>
        <v>0</v>
      </c>
      <c r="F651" s="33">
        <f ca="1"/>
        <v>38.409994570508523</v>
      </c>
      <c r="G651" s="33">
        <f ca="1"/>
        <v>825.69864588043117</v>
      </c>
      <c r="H651" s="33">
        <f ca="1"/>
        <v>1191.6051532723727</v>
      </c>
      <c r="I651" s="33">
        <f ca="1"/>
        <v>1004.3380280296506</v>
      </c>
      <c r="J651" s="33">
        <f ca="1"/>
        <v>718.83009480626026</v>
      </c>
      <c r="K651" s="33">
        <f ca="1"/>
        <v>519.24742250190673</v>
      </c>
      <c r="M651" s="1" t="str">
        <f t="shared" si="53"/>
        <v>$M(2015)/million</v>
      </c>
      <c r="O651"/>
      <c r="P651"/>
    </row>
    <row r="652" spans="1:18" s="7" customFormat="1" x14ac:dyDescent="0.2">
      <c r="A652" s="4" t="str">
        <v>OT</v>
      </c>
      <c r="B652" s="33">
        <f ca="1"/>
        <v>0</v>
      </c>
      <c r="C652" s="33">
        <f ca="1"/>
        <v>0</v>
      </c>
      <c r="D652" s="33">
        <f ca="1"/>
        <v>0</v>
      </c>
      <c r="E652" s="33">
        <f ca="1"/>
        <v>0</v>
      </c>
      <c r="F652" s="33">
        <f ca="1"/>
        <v>17.017013826398422</v>
      </c>
      <c r="G652" s="33">
        <f ca="1"/>
        <v>643.91943180579642</v>
      </c>
      <c r="H652" s="33">
        <f ca="1"/>
        <v>1099.4263564221533</v>
      </c>
      <c r="I652" s="33">
        <f ca="1"/>
        <v>1026.4395593751967</v>
      </c>
      <c r="J652" s="33">
        <f ca="1"/>
        <v>875.66696403368826</v>
      </c>
      <c r="K652" s="33">
        <f ca="1"/>
        <v>740.12544239309227</v>
      </c>
      <c r="M652" s="1" t="str">
        <f t="shared" si="53"/>
        <v>$M(2015)/million</v>
      </c>
      <c r="O652"/>
      <c r="P652"/>
    </row>
    <row r="653" spans="1:18" s="7" customFormat="1" x14ac:dyDescent="0.2">
      <c r="A653" s="4" t="str">
        <v>EE</v>
      </c>
      <c r="B653" s="33">
        <f ca="1"/>
        <v>0</v>
      </c>
      <c r="C653" s="33">
        <f ca="1"/>
        <v>0</v>
      </c>
      <c r="D653" s="33">
        <f ca="1"/>
        <v>0</v>
      </c>
      <c r="E653" s="33">
        <f ca="1"/>
        <v>0</v>
      </c>
      <c r="F653" s="33">
        <f ca="1"/>
        <v>157.99280600907954</v>
      </c>
      <c r="G653" s="33">
        <f ca="1"/>
        <v>1216.7623718696273</v>
      </c>
      <c r="H653" s="33">
        <f ca="1"/>
        <v>1649.3218991655003</v>
      </c>
      <c r="I653" s="33">
        <f ca="1"/>
        <v>1475.8812003733303</v>
      </c>
      <c r="J653" s="33">
        <f ca="1"/>
        <v>1254.1767034522609</v>
      </c>
      <c r="K653" s="33">
        <f ca="1"/>
        <v>1103.9820796935812</v>
      </c>
      <c r="M653" s="1" t="str">
        <f t="shared" si="53"/>
        <v>$M(2015)/million</v>
      </c>
      <c r="O653"/>
      <c r="P653"/>
    </row>
    <row r="654" spans="1:18" s="7" customFormat="1" x14ac:dyDescent="0.2">
      <c r="A654" s="4" t="str">
        <v>CA</v>
      </c>
      <c r="B654" s="33">
        <f ca="1"/>
        <v>0</v>
      </c>
      <c r="C654" s="33">
        <f ca="1"/>
        <v>0</v>
      </c>
      <c r="D654" s="33">
        <f ca="1"/>
        <v>0</v>
      </c>
      <c r="E654" s="33">
        <f ca="1"/>
        <v>0</v>
      </c>
      <c r="F654" s="33">
        <f ca="1"/>
        <v>33.712349210503461</v>
      </c>
      <c r="G654" s="33">
        <f ca="1"/>
        <v>455.35547516348964</v>
      </c>
      <c r="H654" s="33">
        <f ca="1"/>
        <v>756.00116702982132</v>
      </c>
      <c r="I654" s="33">
        <f ca="1"/>
        <v>712.76985516289972</v>
      </c>
      <c r="J654" s="33">
        <f ca="1"/>
        <v>592.84168371255328</v>
      </c>
      <c r="K654" s="33">
        <f ca="1"/>
        <v>509.34430267011646</v>
      </c>
      <c r="M654" s="1" t="str">
        <f t="shared" si="53"/>
        <v>$M(2015)/million</v>
      </c>
      <c r="O654"/>
      <c r="P654"/>
    </row>
    <row r="655" spans="1:18" s="7" customFormat="1" x14ac:dyDescent="0.2">
      <c r="A655" s="4" t="str">
        <v>IA</v>
      </c>
      <c r="B655" s="33">
        <f ca="1"/>
        <v>0</v>
      </c>
      <c r="C655" s="33">
        <f ca="1"/>
        <v>0</v>
      </c>
      <c r="D655" s="33">
        <f ca="1"/>
        <v>0</v>
      </c>
      <c r="E655" s="33">
        <f ca="1"/>
        <v>0</v>
      </c>
      <c r="F655" s="33">
        <f ca="1"/>
        <v>36.601575119591224</v>
      </c>
      <c r="G655" s="33">
        <f ca="1"/>
        <v>274.11188669277249</v>
      </c>
      <c r="H655" s="33">
        <f ca="1"/>
        <v>428.12796940360215</v>
      </c>
      <c r="I655" s="33">
        <f ca="1"/>
        <v>422.5250361124227</v>
      </c>
      <c r="J655" s="33">
        <f ca="1"/>
        <v>370.4649337812952</v>
      </c>
      <c r="K655" s="33">
        <f ca="1"/>
        <v>307.06944948062403</v>
      </c>
      <c r="M655" s="1" t="str">
        <f t="shared" si="53"/>
        <v>$M(2015)/million</v>
      </c>
      <c r="O655"/>
      <c r="P655"/>
    </row>
    <row r="656" spans="1:18" s="7" customFormat="1" x14ac:dyDescent="0.2">
      <c r="A656" s="4" t="str">
        <v>AF</v>
      </c>
      <c r="B656" s="33">
        <f ca="1"/>
        <v>0</v>
      </c>
      <c r="C656" s="33">
        <f ca="1"/>
        <v>0</v>
      </c>
      <c r="D656" s="33">
        <f ca="1"/>
        <v>0</v>
      </c>
      <c r="E656" s="33">
        <f ca="1"/>
        <v>0</v>
      </c>
      <c r="F656" s="33">
        <f ca="1"/>
        <v>92.835287105813478</v>
      </c>
      <c r="G656" s="33">
        <f ca="1"/>
        <v>843.73904023984392</v>
      </c>
      <c r="H656" s="33">
        <f ca="1"/>
        <v>1115.494363417909</v>
      </c>
      <c r="I656" s="33">
        <f ca="1"/>
        <v>996.17898576489517</v>
      </c>
      <c r="J656" s="33">
        <f ca="1"/>
        <v>820.15640898889444</v>
      </c>
      <c r="K656" s="33">
        <f ca="1"/>
        <v>671.50865604303988</v>
      </c>
      <c r="M656" s="1" t="str">
        <f t="shared" si="53"/>
        <v>$M(2015)/million</v>
      </c>
      <c r="O656" s="4"/>
      <c r="P656" s="4"/>
    </row>
    <row r="657" spans="1:16" s="7" customFormat="1" ht="13.5" thickBot="1" x14ac:dyDescent="0.25">
      <c r="A657" s="4" t="str">
        <v>LA</v>
      </c>
      <c r="B657" s="34">
        <f ca="1"/>
        <v>0</v>
      </c>
      <c r="C657" s="34">
        <f ca="1"/>
        <v>0</v>
      </c>
      <c r="D657" s="34">
        <f ca="1"/>
        <v>0</v>
      </c>
      <c r="E657" s="34">
        <f ca="1"/>
        <v>0</v>
      </c>
      <c r="F657" s="34">
        <f ca="1"/>
        <v>10.394116134083756</v>
      </c>
      <c r="G657" s="34">
        <f ca="1"/>
        <v>400.78649622029468</v>
      </c>
      <c r="H657" s="34">
        <f ca="1"/>
        <v>793.42035658028067</v>
      </c>
      <c r="I657" s="34">
        <f ca="1"/>
        <v>951.42744647985035</v>
      </c>
      <c r="J657" s="34">
        <f ca="1"/>
        <v>884.00950247888215</v>
      </c>
      <c r="K657" s="34">
        <f ca="1"/>
        <v>951.40864170865621</v>
      </c>
      <c r="M657" s="1" t="str">
        <f t="shared" si="53"/>
        <v>$M(2015)/million</v>
      </c>
      <c r="O657" s="4"/>
      <c r="P657" s="4"/>
    </row>
    <row r="658" spans="1:16" s="2" customFormat="1" ht="15" thickTop="1" x14ac:dyDescent="0.25">
      <c r="A658" s="2" t="s">
        <v>358</v>
      </c>
      <c r="B658" s="2" t="s">
        <v>396</v>
      </c>
    </row>
    <row r="659" spans="1:16" s="7" customFormat="1" x14ac:dyDescent="0.2">
      <c r="A659" s="4" t="str">
        <f t="array" ref="A659:A666">R_CODE</f>
        <v>EU</v>
      </c>
      <c r="B659" s="242">
        <f t="array" aca="1" ref="B659:K666" ca="1" xml:space="preserve"> (((CONS_PER_CAP_FOCUS_0)^EMUC)/(1-EMUC))*( (CONS_PER_CAP)^(1-EMUC) - IF((CONS_PER_CAP - tct_per_cap) &lt; 0.01*CONS_PER_CAP_FOCUS_0, 0.01*CONS_PER_CAP_FOCUS_0, (CONS_PER_CAP - tct_per_cap)) ^(1-EMUC) )</f>
        <v>0</v>
      </c>
      <c r="C659" s="242">
        <f ca="1"/>
        <v>0</v>
      </c>
      <c r="D659" s="242">
        <f ca="1"/>
        <v>0</v>
      </c>
      <c r="E659" s="242">
        <f ca="1"/>
        <v>0</v>
      </c>
      <c r="F659" s="242">
        <f ca="1"/>
        <v>3.3984110402494467</v>
      </c>
      <c r="G659" s="242">
        <f ca="1"/>
        <v>97.522711484562663</v>
      </c>
      <c r="H659" s="242">
        <f ca="1"/>
        <v>138.40169405138866</v>
      </c>
      <c r="I659" s="242">
        <f ca="1"/>
        <v>103.36069390559028</v>
      </c>
      <c r="J659" s="242">
        <f ca="1"/>
        <v>69.574121829102467</v>
      </c>
      <c r="K659" s="242">
        <f ca="1"/>
        <v>44.58206678107387</v>
      </c>
      <c r="M659" s="1" t="str">
        <f t="shared" ref="M659:M666" si="54">CURRENCY_NAME&amp;"/"&amp;POP_UNIT_NAME</f>
        <v>$M(2015)/million</v>
      </c>
      <c r="O659" s="240" t="s">
        <v>872</v>
      </c>
      <c r="P659"/>
    </row>
    <row r="660" spans="1:16" s="7" customFormat="1" x14ac:dyDescent="0.2">
      <c r="A660" s="4" t="str">
        <v>US</v>
      </c>
      <c r="B660" s="108">
        <f ca="1"/>
        <v>0</v>
      </c>
      <c r="C660" s="108">
        <f ca="1"/>
        <v>0</v>
      </c>
      <c r="D660" s="108">
        <f ca="1"/>
        <v>0</v>
      </c>
      <c r="E660" s="108">
        <f ca="1"/>
        <v>0</v>
      </c>
      <c r="F660" s="108">
        <f ca="1"/>
        <v>12.980784330858182</v>
      </c>
      <c r="G660" s="108">
        <f ca="1"/>
        <v>239.23116729457547</v>
      </c>
      <c r="H660" s="108">
        <f ca="1"/>
        <v>292.14483528473983</v>
      </c>
      <c r="I660" s="108">
        <f ca="1"/>
        <v>206.59863415336804</v>
      </c>
      <c r="J660" s="108">
        <f ca="1"/>
        <v>123.3624478179181</v>
      </c>
      <c r="K660" s="108">
        <f ca="1"/>
        <v>73.882907171139195</v>
      </c>
      <c r="M660" s="1" t="str">
        <f t="shared" si="54"/>
        <v>$M(2015)/million</v>
      </c>
      <c r="O660"/>
      <c r="P660"/>
    </row>
    <row r="661" spans="1:16" s="7" customFormat="1" x14ac:dyDescent="0.2">
      <c r="A661" s="4" t="str">
        <v>OT</v>
      </c>
      <c r="B661" s="108">
        <f ca="1"/>
        <v>0</v>
      </c>
      <c r="C661" s="108">
        <f ca="1"/>
        <v>0</v>
      </c>
      <c r="D661" s="108">
        <f ca="1"/>
        <v>0</v>
      </c>
      <c r="E661" s="108">
        <f ca="1"/>
        <v>0</v>
      </c>
      <c r="F661" s="108">
        <f ca="1"/>
        <v>7.8131562176709721</v>
      </c>
      <c r="G661" s="108">
        <f ca="1"/>
        <v>237.44929504973089</v>
      </c>
      <c r="H661" s="108">
        <f ca="1"/>
        <v>323.87395508410663</v>
      </c>
      <c r="I661" s="108">
        <f ca="1"/>
        <v>242.99847522065369</v>
      </c>
      <c r="J661" s="108">
        <f ca="1"/>
        <v>167.21822651189797</v>
      </c>
      <c r="K661" s="108">
        <f ca="1"/>
        <v>113.9551767137667</v>
      </c>
      <c r="M661" s="1" t="str">
        <f t="shared" si="54"/>
        <v>$M(2015)/million</v>
      </c>
      <c r="O661"/>
      <c r="P661"/>
    </row>
    <row r="662" spans="1:16" s="7" customFormat="1" x14ac:dyDescent="0.2">
      <c r="A662" s="4" t="str">
        <v>EE</v>
      </c>
      <c r="B662" s="108">
        <f ca="1"/>
        <v>0</v>
      </c>
      <c r="C662" s="108">
        <f ca="1"/>
        <v>0</v>
      </c>
      <c r="D662" s="108">
        <f ca="1"/>
        <v>0</v>
      </c>
      <c r="E662" s="108">
        <f ca="1"/>
        <v>0</v>
      </c>
      <c r="F662" s="108">
        <f ca="1"/>
        <v>109.30559085822095</v>
      </c>
      <c r="G662" s="108">
        <f ca="1"/>
        <v>661.13772591321447</v>
      </c>
      <c r="H662" s="108">
        <f ca="1"/>
        <v>693.18145078157988</v>
      </c>
      <c r="I662" s="108">
        <f ca="1"/>
        <v>491.19603749563936</v>
      </c>
      <c r="J662" s="108">
        <f ca="1"/>
        <v>327.85297060041535</v>
      </c>
      <c r="K662" s="108">
        <f ca="1"/>
        <v>226.71859825019092</v>
      </c>
      <c r="M662" s="1" t="str">
        <f t="shared" si="54"/>
        <v>$M(2015)/million</v>
      </c>
      <c r="O662"/>
      <c r="P662"/>
    </row>
    <row r="663" spans="1:16" s="7" customFormat="1" x14ac:dyDescent="0.2">
      <c r="A663" s="4" t="str">
        <v>CA</v>
      </c>
      <c r="B663" s="108">
        <f ca="1"/>
        <v>0</v>
      </c>
      <c r="C663" s="108">
        <f ca="1"/>
        <v>0</v>
      </c>
      <c r="D663" s="108">
        <f ca="1"/>
        <v>0</v>
      </c>
      <c r="E663" s="108">
        <f ca="1"/>
        <v>0</v>
      </c>
      <c r="F663" s="108">
        <f ca="1"/>
        <v>15.782728103673476</v>
      </c>
      <c r="G663" s="108">
        <f ca="1"/>
        <v>168.39748400738563</v>
      </c>
      <c r="H663" s="108">
        <f ca="1"/>
        <v>226.47400367619801</v>
      </c>
      <c r="I663" s="108">
        <f ca="1"/>
        <v>176.09624335720281</v>
      </c>
      <c r="J663" s="108">
        <f ca="1"/>
        <v>120.71591256288984</v>
      </c>
      <c r="K663" s="108">
        <f ca="1"/>
        <v>85.523090177457505</v>
      </c>
      <c r="M663" s="1" t="str">
        <f t="shared" si="54"/>
        <v>$M(2015)/million</v>
      </c>
      <c r="O663"/>
      <c r="P663"/>
    </row>
    <row r="664" spans="1:16" s="7" customFormat="1" x14ac:dyDescent="0.2">
      <c r="A664" s="4" t="str">
        <v>IA</v>
      </c>
      <c r="B664" s="108">
        <f ca="1"/>
        <v>0</v>
      </c>
      <c r="C664" s="108">
        <f ca="1"/>
        <v>0</v>
      </c>
      <c r="D664" s="108">
        <f ca="1"/>
        <v>0</v>
      </c>
      <c r="E664" s="108">
        <f ca="1"/>
        <v>0</v>
      </c>
      <c r="F664" s="108">
        <f ca="1"/>
        <v>40.496394546184881</v>
      </c>
      <c r="G664" s="108">
        <f ca="1"/>
        <v>207.94291890319849</v>
      </c>
      <c r="H664" s="108">
        <f ca="1"/>
        <v>231.92748374892201</v>
      </c>
      <c r="I664" s="108">
        <f ca="1"/>
        <v>167.94366490508315</v>
      </c>
      <c r="J664" s="108">
        <f ca="1"/>
        <v>109.15285174848579</v>
      </c>
      <c r="K664" s="108">
        <f ca="1"/>
        <v>67.953969647843209</v>
      </c>
      <c r="M664" s="1" t="str">
        <f t="shared" si="54"/>
        <v>$M(2015)/million</v>
      </c>
      <c r="O664"/>
      <c r="P664"/>
    </row>
    <row r="665" spans="1:16" s="7" customFormat="1" x14ac:dyDescent="0.2">
      <c r="A665" s="4" t="str">
        <v>AF</v>
      </c>
      <c r="B665" s="108">
        <f ca="1"/>
        <v>0</v>
      </c>
      <c r="C665" s="108">
        <f ca="1"/>
        <v>0</v>
      </c>
      <c r="D665" s="108">
        <f ca="1"/>
        <v>0</v>
      </c>
      <c r="E665" s="108">
        <f ca="1"/>
        <v>0</v>
      </c>
      <c r="F665" s="108">
        <f ca="1"/>
        <v>170.40474100280775</v>
      </c>
      <c r="G665" s="108">
        <f ca="1"/>
        <v>1021.1424691671803</v>
      </c>
      <c r="H665" s="108">
        <f ca="1"/>
        <v>902.46642142456676</v>
      </c>
      <c r="I665" s="108">
        <f ca="1"/>
        <v>552.83624498676329</v>
      </c>
      <c r="J665" s="108">
        <f ca="1"/>
        <v>315.49715426570617</v>
      </c>
      <c r="K665" s="108">
        <f ca="1"/>
        <v>181.51897943892726</v>
      </c>
      <c r="M665" s="1" t="str">
        <f t="shared" si="54"/>
        <v>$M(2015)/million</v>
      </c>
      <c r="O665" s="4"/>
      <c r="P665" s="4"/>
    </row>
    <row r="666" spans="1:16" s="7" customFormat="1" x14ac:dyDescent="0.2">
      <c r="A666" s="4" t="str">
        <v>LA</v>
      </c>
      <c r="B666" s="108">
        <f ca="1"/>
        <v>0</v>
      </c>
      <c r="C666" s="108">
        <f ca="1"/>
        <v>0</v>
      </c>
      <c r="D666" s="108">
        <f ca="1"/>
        <v>0</v>
      </c>
      <c r="E666" s="108">
        <f ca="1"/>
        <v>0</v>
      </c>
      <c r="F666" s="108">
        <f ca="1"/>
        <v>8.5522360352176321</v>
      </c>
      <c r="G666" s="108">
        <f ca="1"/>
        <v>236.71974340538526</v>
      </c>
      <c r="H666" s="108">
        <f ca="1"/>
        <v>349.38740602295013</v>
      </c>
      <c r="I666" s="108">
        <f ca="1"/>
        <v>318.03284510308777</v>
      </c>
      <c r="J666" s="108">
        <f ca="1"/>
        <v>225.22541533618809</v>
      </c>
      <c r="K666" s="108">
        <f ca="1"/>
        <v>185.93415606549206</v>
      </c>
      <c r="M666" s="1" t="str">
        <f t="shared" si="54"/>
        <v>$M(2015)/million</v>
      </c>
    </row>
    <row r="667" spans="1:16" s="2" customFormat="1" ht="14.25" x14ac:dyDescent="0.25">
      <c r="A667" s="2" t="s">
        <v>359</v>
      </c>
      <c r="B667" s="2" t="s">
        <v>397</v>
      </c>
    </row>
    <row r="668" spans="1:16" s="7" customFormat="1" x14ac:dyDescent="0.2">
      <c r="A668" s="4" t="str">
        <f t="array" ref="A668:A675">R_CODE</f>
        <v>EU</v>
      </c>
      <c r="B668" s="29">
        <f t="array" aca="1" ref="B668:K675" ca="1">IF(EQUITY_SWITCH=0,tct_per_cap,(1-EQUITY_PROP)*tct_per_cap+EQUITY_PROP*wtct_per_cap)</f>
        <v>0</v>
      </c>
      <c r="C668" s="29">
        <f ca="1"/>
        <v>0</v>
      </c>
      <c r="D668" s="29">
        <f ca="1"/>
        <v>0</v>
      </c>
      <c r="E668" s="29">
        <f ca="1"/>
        <v>0</v>
      </c>
      <c r="F668" s="29">
        <f ca="1"/>
        <v>3.3984110402494467</v>
      </c>
      <c r="G668" s="29">
        <f ca="1"/>
        <v>97.522711484562663</v>
      </c>
      <c r="H668" s="29">
        <f ca="1"/>
        <v>138.40169405138866</v>
      </c>
      <c r="I668" s="29">
        <f ca="1"/>
        <v>103.36069390559028</v>
      </c>
      <c r="J668" s="29">
        <f ca="1"/>
        <v>69.574121829102467</v>
      </c>
      <c r="K668" s="29">
        <f ca="1"/>
        <v>44.58206678107387</v>
      </c>
      <c r="M668" s="1" t="str">
        <f t="shared" ref="M668:M675" si="55">CURRENCY_NAME&amp;"/"&amp;POP_UNIT_NAME</f>
        <v>$M(2015)/million</v>
      </c>
      <c r="O668"/>
      <c r="P668"/>
    </row>
    <row r="669" spans="1:16" s="7" customFormat="1" x14ac:dyDescent="0.2">
      <c r="A669" s="4" t="str">
        <v>US</v>
      </c>
      <c r="B669" s="26">
        <f ca="1"/>
        <v>0</v>
      </c>
      <c r="C669" s="26">
        <f ca="1"/>
        <v>0</v>
      </c>
      <c r="D669" s="26">
        <f ca="1"/>
        <v>0</v>
      </c>
      <c r="E669" s="26">
        <f ca="1"/>
        <v>0</v>
      </c>
      <c r="F669" s="26">
        <f ca="1"/>
        <v>12.980784330858182</v>
      </c>
      <c r="G669" s="26">
        <f ca="1"/>
        <v>239.23116729457547</v>
      </c>
      <c r="H669" s="26">
        <f ca="1"/>
        <v>292.14483528473983</v>
      </c>
      <c r="I669" s="26">
        <f ca="1"/>
        <v>206.59863415336804</v>
      </c>
      <c r="J669" s="26">
        <f ca="1"/>
        <v>123.3624478179181</v>
      </c>
      <c r="K669" s="26">
        <f ca="1"/>
        <v>73.882907171139195</v>
      </c>
      <c r="M669" s="1" t="str">
        <f t="shared" si="55"/>
        <v>$M(2015)/million</v>
      </c>
      <c r="O669"/>
      <c r="P669"/>
    </row>
    <row r="670" spans="1:16" s="7" customFormat="1" x14ac:dyDescent="0.2">
      <c r="A670" s="4" t="str">
        <v>OT</v>
      </c>
      <c r="B670" s="26">
        <f ca="1"/>
        <v>0</v>
      </c>
      <c r="C670" s="26">
        <f ca="1"/>
        <v>0</v>
      </c>
      <c r="D670" s="26">
        <f ca="1"/>
        <v>0</v>
      </c>
      <c r="E670" s="26">
        <f ca="1"/>
        <v>0</v>
      </c>
      <c r="F670" s="26">
        <f ca="1"/>
        <v>7.8131562176709721</v>
      </c>
      <c r="G670" s="26">
        <f ca="1"/>
        <v>237.44929504973089</v>
      </c>
      <c r="H670" s="26">
        <f ca="1"/>
        <v>323.87395508410663</v>
      </c>
      <c r="I670" s="26">
        <f ca="1"/>
        <v>242.99847522065369</v>
      </c>
      <c r="J670" s="26">
        <f ca="1"/>
        <v>167.21822651189797</v>
      </c>
      <c r="K670" s="26">
        <f ca="1"/>
        <v>113.9551767137667</v>
      </c>
      <c r="M670" s="1" t="str">
        <f t="shared" si="55"/>
        <v>$M(2015)/million</v>
      </c>
      <c r="O670"/>
      <c r="P670"/>
    </row>
    <row r="671" spans="1:16" s="7" customFormat="1" x14ac:dyDescent="0.2">
      <c r="A671" s="4" t="str">
        <v>EE</v>
      </c>
      <c r="B671" s="26">
        <f ca="1"/>
        <v>0</v>
      </c>
      <c r="C671" s="26">
        <f ca="1"/>
        <v>0</v>
      </c>
      <c r="D671" s="26">
        <f ca="1"/>
        <v>0</v>
      </c>
      <c r="E671" s="26">
        <f ca="1"/>
        <v>0</v>
      </c>
      <c r="F671" s="26">
        <f ca="1"/>
        <v>109.30559085822095</v>
      </c>
      <c r="G671" s="26">
        <f ca="1"/>
        <v>661.13772591321447</v>
      </c>
      <c r="H671" s="26">
        <f ca="1"/>
        <v>693.18145078157988</v>
      </c>
      <c r="I671" s="26">
        <f ca="1"/>
        <v>491.19603749563936</v>
      </c>
      <c r="J671" s="26">
        <f ca="1"/>
        <v>327.85297060041535</v>
      </c>
      <c r="K671" s="26">
        <f ca="1"/>
        <v>226.71859825019092</v>
      </c>
      <c r="M671" s="1" t="str">
        <f t="shared" si="55"/>
        <v>$M(2015)/million</v>
      </c>
      <c r="O671"/>
      <c r="P671"/>
    </row>
    <row r="672" spans="1:16" s="7" customFormat="1" x14ac:dyDescent="0.2">
      <c r="A672" s="4" t="str">
        <v>CA</v>
      </c>
      <c r="B672" s="26">
        <f ca="1"/>
        <v>0</v>
      </c>
      <c r="C672" s="26">
        <f ca="1"/>
        <v>0</v>
      </c>
      <c r="D672" s="26">
        <f ca="1"/>
        <v>0</v>
      </c>
      <c r="E672" s="26">
        <f ca="1"/>
        <v>0</v>
      </c>
      <c r="F672" s="26">
        <f ca="1"/>
        <v>15.782728103673476</v>
      </c>
      <c r="G672" s="26">
        <f ca="1"/>
        <v>168.39748400738563</v>
      </c>
      <c r="H672" s="26">
        <f ca="1"/>
        <v>226.47400367619801</v>
      </c>
      <c r="I672" s="26">
        <f ca="1"/>
        <v>176.09624335720281</v>
      </c>
      <c r="J672" s="26">
        <f ca="1"/>
        <v>120.71591256288984</v>
      </c>
      <c r="K672" s="26">
        <f ca="1"/>
        <v>85.523090177457505</v>
      </c>
      <c r="M672" s="1" t="str">
        <f t="shared" si="55"/>
        <v>$M(2015)/million</v>
      </c>
      <c r="O672"/>
      <c r="P672"/>
    </row>
    <row r="673" spans="1:16" s="7" customFormat="1" x14ac:dyDescent="0.2">
      <c r="A673" s="4" t="str">
        <v>IA</v>
      </c>
      <c r="B673" s="26">
        <f ca="1"/>
        <v>0</v>
      </c>
      <c r="C673" s="26">
        <f ca="1"/>
        <v>0</v>
      </c>
      <c r="D673" s="26">
        <f ca="1"/>
        <v>0</v>
      </c>
      <c r="E673" s="26">
        <f ca="1"/>
        <v>0</v>
      </c>
      <c r="F673" s="26">
        <f ca="1"/>
        <v>40.496394546184881</v>
      </c>
      <c r="G673" s="26">
        <f ca="1"/>
        <v>207.94291890319849</v>
      </c>
      <c r="H673" s="26">
        <f ca="1"/>
        <v>231.92748374892201</v>
      </c>
      <c r="I673" s="26">
        <f ca="1"/>
        <v>167.94366490508315</v>
      </c>
      <c r="J673" s="26">
        <f ca="1"/>
        <v>109.15285174848579</v>
      </c>
      <c r="K673" s="26">
        <f ca="1"/>
        <v>67.953969647843209</v>
      </c>
      <c r="M673" s="1" t="str">
        <f t="shared" si="55"/>
        <v>$M(2015)/million</v>
      </c>
      <c r="O673"/>
      <c r="P673"/>
    </row>
    <row r="674" spans="1:16" s="7" customFormat="1" x14ac:dyDescent="0.2">
      <c r="A674" s="4" t="str">
        <v>AF</v>
      </c>
      <c r="B674" s="26">
        <f ca="1"/>
        <v>0</v>
      </c>
      <c r="C674" s="26">
        <f ca="1"/>
        <v>0</v>
      </c>
      <c r="D674" s="26">
        <f ca="1"/>
        <v>0</v>
      </c>
      <c r="E674" s="26">
        <f ca="1"/>
        <v>0</v>
      </c>
      <c r="F674" s="26">
        <f ca="1"/>
        <v>170.40474100280775</v>
      </c>
      <c r="G674" s="26">
        <f ca="1"/>
        <v>1021.1424691671803</v>
      </c>
      <c r="H674" s="26">
        <f ca="1"/>
        <v>902.46642142456676</v>
      </c>
      <c r="I674" s="26">
        <f ca="1"/>
        <v>552.83624498676329</v>
      </c>
      <c r="J674" s="26">
        <f ca="1"/>
        <v>315.49715426570617</v>
      </c>
      <c r="K674" s="26">
        <f ca="1"/>
        <v>181.51897943892726</v>
      </c>
      <c r="M674" s="1" t="str">
        <f t="shared" si="55"/>
        <v>$M(2015)/million</v>
      </c>
      <c r="O674" s="4"/>
      <c r="P674" s="4"/>
    </row>
    <row r="675" spans="1:16" s="7" customFormat="1" x14ac:dyDescent="0.2">
      <c r="A675" s="4" t="str">
        <v>LA</v>
      </c>
      <c r="B675" s="26">
        <f ca="1"/>
        <v>0</v>
      </c>
      <c r="C675" s="26">
        <f ca="1"/>
        <v>0</v>
      </c>
      <c r="D675" s="26">
        <f ca="1"/>
        <v>0</v>
      </c>
      <c r="E675" s="26">
        <f ca="1"/>
        <v>0</v>
      </c>
      <c r="F675" s="26">
        <f ca="1"/>
        <v>8.5522360352176321</v>
      </c>
      <c r="G675" s="26">
        <f ca="1"/>
        <v>236.71974340538526</v>
      </c>
      <c r="H675" s="26">
        <f ca="1"/>
        <v>349.38740602295013</v>
      </c>
      <c r="I675" s="26">
        <f ca="1"/>
        <v>318.03284510308777</v>
      </c>
      <c r="J675" s="26">
        <f ca="1"/>
        <v>225.22541533618809</v>
      </c>
      <c r="K675" s="26">
        <f ca="1"/>
        <v>185.93415606549206</v>
      </c>
      <c r="M675" s="1" t="str">
        <f t="shared" si="55"/>
        <v>$M(2015)/million</v>
      </c>
    </row>
    <row r="676" spans="1:16" s="2" customFormat="1" ht="14.25" x14ac:dyDescent="0.25">
      <c r="A676" s="2" t="s">
        <v>44</v>
      </c>
      <c r="B676" s="2" t="s">
        <v>362</v>
      </c>
    </row>
    <row r="677" spans="1:16" x14ac:dyDescent="0.2">
      <c r="A677" s="4" t="str">
        <f t="array" ref="A677:A684">R_CODE</f>
        <v>EU</v>
      </c>
      <c r="B677" s="27">
        <f t="array" aca="1" ref="B677:K684" ca="1">pct_per_cap*POP</f>
        <v>0</v>
      </c>
      <c r="C677" s="27">
        <f ca="1"/>
        <v>0</v>
      </c>
      <c r="D677" s="27">
        <f ca="1"/>
        <v>0</v>
      </c>
      <c r="E677" s="27">
        <f ca="1"/>
        <v>0</v>
      </c>
      <c r="F677" s="27">
        <f ca="1"/>
        <v>2101.6385586889828</v>
      </c>
      <c r="G677" s="27">
        <f ca="1"/>
        <v>63790.093195609865</v>
      </c>
      <c r="H677" s="27">
        <f ca="1"/>
        <v>94787.998615138844</v>
      </c>
      <c r="I677" s="27">
        <f ca="1"/>
        <v>73345.885363039895</v>
      </c>
      <c r="J677" s="27">
        <f ca="1"/>
        <v>50571.968101016166</v>
      </c>
      <c r="K677" s="27">
        <f ca="1"/>
        <v>32894.788810281811</v>
      </c>
      <c r="M677" s="4" t="str">
        <f t="shared" ref="M677:M685" si="56">CURRENCY_NAME</f>
        <v>$M(2015)</v>
      </c>
    </row>
    <row r="678" spans="1:16" x14ac:dyDescent="0.2">
      <c r="A678" s="4" t="str">
        <v>US</v>
      </c>
      <c r="B678" s="28">
        <f ca="1"/>
        <v>0</v>
      </c>
      <c r="C678" s="28">
        <f ca="1"/>
        <v>0</v>
      </c>
      <c r="D678" s="28">
        <f ca="1"/>
        <v>0</v>
      </c>
      <c r="E678" s="28">
        <f ca="1"/>
        <v>0</v>
      </c>
      <c r="F678" s="28">
        <f ca="1"/>
        <v>6207.8913560366245</v>
      </c>
      <c r="G678" s="28">
        <f ca="1"/>
        <v>126765.96400655514</v>
      </c>
      <c r="H678" s="28">
        <f ca="1"/>
        <v>170288.30303912156</v>
      </c>
      <c r="I678" s="28">
        <f ca="1"/>
        <v>130958.53561850241</v>
      </c>
      <c r="J678" s="28">
        <f ca="1"/>
        <v>83696.486346544407</v>
      </c>
      <c r="K678" s="28">
        <f ca="1"/>
        <v>52757.789172416691</v>
      </c>
      <c r="M678" s="4" t="str">
        <f t="shared" si="56"/>
        <v>$M(2015)</v>
      </c>
    </row>
    <row r="679" spans="1:16" x14ac:dyDescent="0.2">
      <c r="A679" s="4" t="str">
        <v>OT</v>
      </c>
      <c r="B679" s="28">
        <f ca="1"/>
        <v>0</v>
      </c>
      <c r="C679" s="28">
        <f ca="1"/>
        <v>0</v>
      </c>
      <c r="D679" s="28">
        <f ca="1"/>
        <v>0</v>
      </c>
      <c r="E679" s="28">
        <f ca="1"/>
        <v>0</v>
      </c>
      <c r="F679" s="28">
        <f ca="1"/>
        <v>2829.2766900743595</v>
      </c>
      <c r="G679" s="28">
        <f ca="1"/>
        <v>89165.297132009655</v>
      </c>
      <c r="H679" s="28">
        <f ca="1"/>
        <v>124331.64874328261</v>
      </c>
      <c r="I679" s="28">
        <f ca="1"/>
        <v>94085.85062525922</v>
      </c>
      <c r="J679" s="28">
        <f ca="1"/>
        <v>64377.67946126857</v>
      </c>
      <c r="K679" s="28">
        <f ca="1"/>
        <v>43106.964247283679</v>
      </c>
      <c r="M679" s="4" t="str">
        <f t="shared" si="56"/>
        <v>$M(2015)</v>
      </c>
    </row>
    <row r="680" spans="1:16" x14ac:dyDescent="0.2">
      <c r="A680" s="4" t="str">
        <v>EE</v>
      </c>
      <c r="B680" s="28">
        <f ca="1"/>
        <v>0</v>
      </c>
      <c r="C680" s="28">
        <f ca="1"/>
        <v>0</v>
      </c>
      <c r="D680" s="28">
        <f ca="1"/>
        <v>0</v>
      </c>
      <c r="E680" s="28">
        <f ca="1"/>
        <v>0</v>
      </c>
      <c r="F680" s="28">
        <f ca="1"/>
        <v>29032.548682261237</v>
      </c>
      <c r="G680" s="28">
        <f ca="1"/>
        <v>168834.74106645765</v>
      </c>
      <c r="H680" s="28">
        <f ca="1"/>
        <v>167854.5814882105</v>
      </c>
      <c r="I680" s="28">
        <f ca="1"/>
        <v>110643.38103400539</v>
      </c>
      <c r="J680" s="28">
        <f ca="1"/>
        <v>67560.98950459827</v>
      </c>
      <c r="K680" s="28">
        <f ca="1"/>
        <v>42201.626596888847</v>
      </c>
      <c r="M680" s="4" t="str">
        <f t="shared" si="56"/>
        <v>$M(2015)</v>
      </c>
    </row>
    <row r="681" spans="1:16" x14ac:dyDescent="0.2">
      <c r="A681" s="4" t="str">
        <v>CA</v>
      </c>
      <c r="B681" s="28">
        <f ca="1"/>
        <v>0</v>
      </c>
      <c r="C681" s="28">
        <f ca="1"/>
        <v>0</v>
      </c>
      <c r="D681" s="28">
        <f ca="1"/>
        <v>0</v>
      </c>
      <c r="E681" s="28">
        <f ca="1"/>
        <v>0</v>
      </c>
      <c r="F681" s="28">
        <f ca="1"/>
        <v>19501.69124038257</v>
      </c>
      <c r="G681" s="28">
        <f ca="1"/>
        <v>190135.41002544694</v>
      </c>
      <c r="H681" s="28">
        <f ca="1"/>
        <v>228990.3563310442</v>
      </c>
      <c r="I681" s="28">
        <f ca="1"/>
        <v>157039.28399732968</v>
      </c>
      <c r="J681" s="28">
        <f ca="1"/>
        <v>93209.343294484657</v>
      </c>
      <c r="K681" s="28">
        <f ca="1"/>
        <v>55844.268762444975</v>
      </c>
      <c r="M681" s="4" t="str">
        <f t="shared" si="56"/>
        <v>$M(2015)</v>
      </c>
    </row>
    <row r="682" spans="1:16" x14ac:dyDescent="0.2">
      <c r="A682" s="4" t="str">
        <v>IA</v>
      </c>
      <c r="B682" s="28">
        <f ca="1"/>
        <v>0</v>
      </c>
      <c r="C682" s="28">
        <f ca="1"/>
        <v>0</v>
      </c>
      <c r="D682" s="28">
        <f ca="1"/>
        <v>0</v>
      </c>
      <c r="E682" s="28">
        <f ca="1"/>
        <v>0</v>
      </c>
      <c r="F682" s="28">
        <f ca="1"/>
        <v>115822.52314970698</v>
      </c>
      <c r="G682" s="28">
        <f ca="1"/>
        <v>585289.65583467111</v>
      </c>
      <c r="H682" s="28">
        <f ca="1"/>
        <v>627486.76510722109</v>
      </c>
      <c r="I682" s="28">
        <f ca="1"/>
        <v>426991.393823897</v>
      </c>
      <c r="J682" s="28">
        <f ca="1"/>
        <v>255250.23261687456</v>
      </c>
      <c r="K682" s="28">
        <f ca="1"/>
        <v>143451.71332820243</v>
      </c>
      <c r="M682" s="4" t="str">
        <f t="shared" si="56"/>
        <v>$M(2015)</v>
      </c>
    </row>
    <row r="683" spans="1:16" x14ac:dyDescent="0.2">
      <c r="A683" s="4" t="str">
        <v>AF</v>
      </c>
      <c r="B683" s="28">
        <f ca="1"/>
        <v>0</v>
      </c>
      <c r="C683" s="28">
        <f ca="1"/>
        <v>0</v>
      </c>
      <c r="D683" s="28">
        <f ca="1"/>
        <v>0</v>
      </c>
      <c r="E683" s="28">
        <f ca="1"/>
        <v>0</v>
      </c>
      <c r="F683" s="28">
        <f ca="1"/>
        <v>355340.49068751861</v>
      </c>
      <c r="G683" s="28">
        <f ca="1"/>
        <v>2230879.2303936169</v>
      </c>
      <c r="H683" s="28">
        <f ca="1"/>
        <v>2018576.8774254497</v>
      </c>
      <c r="I683" s="28">
        <f ca="1"/>
        <v>1239321.4814534457</v>
      </c>
      <c r="J683" s="28">
        <f ca="1"/>
        <v>695434.91778733814</v>
      </c>
      <c r="K683" s="28">
        <f ca="1"/>
        <v>386666.10291244095</v>
      </c>
      <c r="M683" s="4" t="str">
        <f t="shared" si="56"/>
        <v>$M(2015)</v>
      </c>
      <c r="O683" s="4"/>
      <c r="P683" s="4"/>
    </row>
    <row r="684" spans="1:16" x14ac:dyDescent="0.2">
      <c r="A684" s="4" t="str">
        <v>LA</v>
      </c>
      <c r="B684" s="28">
        <f ca="1"/>
        <v>0</v>
      </c>
      <c r="C684" s="28">
        <f ca="1"/>
        <v>0</v>
      </c>
      <c r="D684" s="28">
        <f ca="1"/>
        <v>0</v>
      </c>
      <c r="E684" s="28">
        <f ca="1"/>
        <v>0</v>
      </c>
      <c r="F684" s="28">
        <f ca="1"/>
        <v>5573.6333360459157</v>
      </c>
      <c r="G684" s="28">
        <f ca="1"/>
        <v>148333.44397255426</v>
      </c>
      <c r="H684" s="28">
        <f ca="1"/>
        <v>207083.31309942665</v>
      </c>
      <c r="I684" s="28">
        <f ca="1"/>
        <v>175761.64692833429</v>
      </c>
      <c r="J684" s="28">
        <f ca="1"/>
        <v>113872.16819065408</v>
      </c>
      <c r="K684" s="28">
        <f ca="1"/>
        <v>83931.700685821561</v>
      </c>
      <c r="M684" s="4" t="str">
        <f t="shared" si="56"/>
        <v>$M(2015)</v>
      </c>
    </row>
    <row r="685" spans="1:16" ht="13.5" thickBot="1" x14ac:dyDescent="0.25">
      <c r="A685" s="2" t="s">
        <v>204</v>
      </c>
      <c r="B685" s="42">
        <f ca="1">_xll.RiskOutput(,"pct_g_a",1)+SUM(B677:B684)</f>
        <v>0</v>
      </c>
      <c r="C685" s="42">
        <f ca="1">_xll.RiskOutput(,"pct_g_a",2)+SUM(C677:C684)</f>
        <v>0</v>
      </c>
      <c r="D685" s="42">
        <f ca="1">_xll.RiskOutput(,"pct_g_a",3)+SUM(D677:D684)</f>
        <v>0</v>
      </c>
      <c r="E685" s="42">
        <f ca="1">_xll.RiskOutput(,"pct_g_a",4)+SUM(E677:E684)</f>
        <v>0</v>
      </c>
      <c r="F685" s="42">
        <f ca="1">_xll.RiskOutput(,"pct_g_a",5)+SUM(F677:F684)</f>
        <v>536409.69370071532</v>
      </c>
      <c r="G685" s="42">
        <f ca="1">_xll.RiskOutput(,"pct_g_a",6)+SUM(G677:G684)</f>
        <v>3603193.8356269216</v>
      </c>
      <c r="H685" s="42">
        <f ca="1">_xll.RiskOutput(,"pct_g_a",7)+SUM(H677:H684)</f>
        <v>3639399.8438488948</v>
      </c>
      <c r="I685" s="42">
        <f ca="1">_xll.RiskOutput(,"pct_g_a",8)+SUM(I677:I684)</f>
        <v>2408147.4588438137</v>
      </c>
      <c r="J685" s="42">
        <f ca="1">_xll.RiskOutput(,"pct_g_a",9)+SUM(J677:J684)</f>
        <v>1423973.7853027789</v>
      </c>
      <c r="K685" s="42">
        <f ca="1">_xll.RiskOutput(,"pct_g_a",10)+SUM(K677:K684)</f>
        <v>840854.9545157809</v>
      </c>
      <c r="L685" s="1"/>
      <c r="M685" s="4" t="str">
        <f t="shared" si="56"/>
        <v>$M(2015)</v>
      </c>
    </row>
    <row r="686" spans="1:16" ht="15" thickTop="1" x14ac:dyDescent="0.25">
      <c r="A686" s="2" t="s">
        <v>112</v>
      </c>
      <c r="B686" s="53" t="s">
        <v>361</v>
      </c>
      <c r="C686" s="1"/>
      <c r="D686" s="1"/>
      <c r="E686" s="1"/>
      <c r="F686" s="1"/>
      <c r="G686" s="1"/>
      <c r="H686" s="1"/>
      <c r="I686" s="1"/>
      <c r="J686" s="1"/>
      <c r="K686" s="1"/>
      <c r="L686" s="1"/>
      <c r="M686" s="1"/>
      <c r="O686" s="2"/>
      <c r="P686" s="2"/>
    </row>
    <row r="687" spans="1:16" x14ac:dyDescent="0.2">
      <c r="A687" s="1" t="str">
        <f t="array" ref="A687:A694">R_CODE&amp;" total"</f>
        <v>EU total</v>
      </c>
      <c r="B687" s="27">
        <f t="array" aca="1" ref="B687:K694" ca="1">IF(EQUITY_SWITCH=0,pct*DFC,pct*DF)</f>
        <v>0</v>
      </c>
      <c r="C687" s="27">
        <f ca="1"/>
        <v>0</v>
      </c>
      <c r="D687" s="27">
        <f ca="1"/>
        <v>0</v>
      </c>
      <c r="E687" s="27">
        <f ca="1"/>
        <v>0</v>
      </c>
      <c r="F687" s="27">
        <f ca="1"/>
        <v>1466.5408687313218</v>
      </c>
      <c r="G687" s="27">
        <f ca="1"/>
        <v>40164.518274410679</v>
      </c>
      <c r="H687" s="27">
        <f ca="1"/>
        <v>53851.259207699419</v>
      </c>
      <c r="I687" s="27">
        <f ca="1"/>
        <v>37598.580446009335</v>
      </c>
      <c r="J687" s="27">
        <f ca="1"/>
        <v>23391.535522570903</v>
      </c>
      <c r="K687" s="27">
        <f ca="1"/>
        <v>13728.692018649226</v>
      </c>
      <c r="L687" s="1"/>
      <c r="M687" s="4" t="str">
        <f t="shared" ref="M687:M695" si="57">CURRENCY_NAME</f>
        <v>$M(2015)</v>
      </c>
    </row>
    <row r="688" spans="1:16" x14ac:dyDescent="0.2">
      <c r="A688" s="1" t="str">
        <v>US total</v>
      </c>
      <c r="B688" s="28">
        <f ca="1"/>
        <v>0</v>
      </c>
      <c r="C688" s="28">
        <f ca="1"/>
        <v>0</v>
      </c>
      <c r="D688" s="28">
        <f ca="1"/>
        <v>0</v>
      </c>
      <c r="E688" s="28">
        <f ca="1"/>
        <v>0</v>
      </c>
      <c r="F688" s="28">
        <f ca="1"/>
        <v>4331.9182285801007</v>
      </c>
      <c r="G688" s="28">
        <f ca="1"/>
        <v>79816.373089496818</v>
      </c>
      <c r="H688" s="28">
        <f ca="1"/>
        <v>96744.732254895396</v>
      </c>
      <c r="I688" s="28">
        <f ca="1"/>
        <v>67131.987188814383</v>
      </c>
      <c r="J688" s="28">
        <f ca="1"/>
        <v>38712.935387029662</v>
      </c>
      <c r="K688" s="28">
        <f ca="1"/>
        <v>22018.546564024302</v>
      </c>
      <c r="L688" s="1"/>
      <c r="M688" s="4" t="str">
        <f t="shared" si="57"/>
        <v>$M(2015)</v>
      </c>
    </row>
    <row r="689" spans="1:24" x14ac:dyDescent="0.2">
      <c r="A689" s="1" t="str">
        <v>OT total</v>
      </c>
      <c r="B689" s="28">
        <f ca="1"/>
        <v>0</v>
      </c>
      <c r="C689" s="28">
        <f ca="1"/>
        <v>0</v>
      </c>
      <c r="D689" s="28">
        <f ca="1"/>
        <v>0</v>
      </c>
      <c r="E689" s="28">
        <f ca="1"/>
        <v>0</v>
      </c>
      <c r="F689" s="28">
        <f ca="1"/>
        <v>1974.2928096690714</v>
      </c>
      <c r="G689" s="28">
        <f ca="1"/>
        <v>56141.651888170134</v>
      </c>
      <c r="H689" s="28">
        <f ca="1"/>
        <v>70635.691669998036</v>
      </c>
      <c r="I689" s="28">
        <f ca="1"/>
        <v>48230.305027412265</v>
      </c>
      <c r="J689" s="28">
        <f ca="1"/>
        <v>29777.223084752524</v>
      </c>
      <c r="K689" s="28">
        <f ca="1"/>
        <v>17990.759552312535</v>
      </c>
      <c r="L689" s="1"/>
      <c r="M689" s="4" t="str">
        <f t="shared" si="57"/>
        <v>$M(2015)</v>
      </c>
    </row>
    <row r="690" spans="1:24" x14ac:dyDescent="0.2">
      <c r="A690" s="1" t="str">
        <v>EE total</v>
      </c>
      <c r="B690" s="28">
        <f ca="1"/>
        <v>0</v>
      </c>
      <c r="C690" s="28">
        <f ca="1"/>
        <v>0</v>
      </c>
      <c r="D690" s="28">
        <f ca="1"/>
        <v>0</v>
      </c>
      <c r="E690" s="28">
        <f ca="1"/>
        <v>0</v>
      </c>
      <c r="F690" s="28">
        <f ca="1"/>
        <v>20259.153977707701</v>
      </c>
      <c r="G690" s="28">
        <f ca="1"/>
        <v>106304.37585543179</v>
      </c>
      <c r="H690" s="28">
        <f ca="1"/>
        <v>95362.078627935669</v>
      </c>
      <c r="I690" s="28">
        <f ca="1"/>
        <v>56718.029130531431</v>
      </c>
      <c r="J690" s="28">
        <f ca="1"/>
        <v>31249.629889430693</v>
      </c>
      <c r="K690" s="28">
        <f ca="1"/>
        <v>17612.915455278137</v>
      </c>
      <c r="L690" s="1"/>
      <c r="M690" s="4" t="str">
        <f t="shared" si="57"/>
        <v>$M(2015)</v>
      </c>
    </row>
    <row r="691" spans="1:24" x14ac:dyDescent="0.2">
      <c r="A691" s="1" t="str">
        <v>CA total</v>
      </c>
      <c r="B691" s="28">
        <f ca="1"/>
        <v>0</v>
      </c>
      <c r="C691" s="28">
        <f ca="1"/>
        <v>0</v>
      </c>
      <c r="D691" s="28">
        <f ca="1"/>
        <v>0</v>
      </c>
      <c r="E691" s="28">
        <f ca="1"/>
        <v>0</v>
      </c>
      <c r="F691" s="28">
        <f ca="1"/>
        <v>13608.442372337116</v>
      </c>
      <c r="G691" s="28">
        <f ca="1"/>
        <v>119716.03689560371</v>
      </c>
      <c r="H691" s="28">
        <f ca="1"/>
        <v>130094.72944897722</v>
      </c>
      <c r="I691" s="28">
        <f ca="1"/>
        <v>80501.504935580902</v>
      </c>
      <c r="J691" s="28">
        <f ca="1"/>
        <v>43113.007988008947</v>
      </c>
      <c r="K691" s="28">
        <f ca="1"/>
        <v>23306.693691453209</v>
      </c>
      <c r="L691" s="1"/>
      <c r="M691" s="4" t="str">
        <f t="shared" si="57"/>
        <v>$M(2015)</v>
      </c>
    </row>
    <row r="692" spans="1:24" x14ac:dyDescent="0.2">
      <c r="A692" s="1" t="str">
        <v>IA total</v>
      </c>
      <c r="B692" s="28">
        <f ca="1"/>
        <v>0</v>
      </c>
      <c r="C692" s="28">
        <f ca="1"/>
        <v>0</v>
      </c>
      <c r="D692" s="28">
        <f ca="1"/>
        <v>0</v>
      </c>
      <c r="E692" s="28">
        <f ca="1"/>
        <v>0</v>
      </c>
      <c r="F692" s="28">
        <f ca="1"/>
        <v>80821.920123403048</v>
      </c>
      <c r="G692" s="28">
        <f ca="1"/>
        <v>368519.24648407684</v>
      </c>
      <c r="H692" s="28">
        <f ca="1"/>
        <v>356489.77645776473</v>
      </c>
      <c r="I692" s="28">
        <f ca="1"/>
        <v>218884.40218531244</v>
      </c>
      <c r="J692" s="28">
        <f ca="1"/>
        <v>118063.3285118705</v>
      </c>
      <c r="K692" s="28">
        <f ca="1"/>
        <v>59869.798927387536</v>
      </c>
      <c r="L692" s="1"/>
      <c r="M692" s="4" t="str">
        <f t="shared" si="57"/>
        <v>$M(2015)</v>
      </c>
    </row>
    <row r="693" spans="1:24" x14ac:dyDescent="0.2">
      <c r="A693" s="1" t="str">
        <v>AF total</v>
      </c>
      <c r="B693" s="28">
        <f ca="1"/>
        <v>0</v>
      </c>
      <c r="C693" s="28">
        <f ca="1"/>
        <v>0</v>
      </c>
      <c r="D693" s="28">
        <f ca="1"/>
        <v>0</v>
      </c>
      <c r="E693" s="28">
        <f ca="1"/>
        <v>0</v>
      </c>
      <c r="F693" s="28">
        <f ca="1"/>
        <v>247959.55030125013</v>
      </c>
      <c r="G693" s="28">
        <f ca="1"/>
        <v>1404641.1461163098</v>
      </c>
      <c r="H693" s="28">
        <f ca="1"/>
        <v>1146800.3148612229</v>
      </c>
      <c r="I693" s="28">
        <f ca="1"/>
        <v>635301.19226532162</v>
      </c>
      <c r="J693" s="28">
        <f ca="1"/>
        <v>321666.15605240461</v>
      </c>
      <c r="K693" s="28">
        <f ca="1"/>
        <v>161375.70821786197</v>
      </c>
      <c r="L693" s="1"/>
      <c r="M693" s="4" t="str">
        <f t="shared" si="57"/>
        <v>$M(2015)</v>
      </c>
      <c r="O693" s="4"/>
      <c r="P693" s="4"/>
    </row>
    <row r="694" spans="1:24" x14ac:dyDescent="0.2">
      <c r="A694" s="1" t="str">
        <v>LA total</v>
      </c>
      <c r="B694" s="28">
        <f ca="1"/>
        <v>0</v>
      </c>
      <c r="C694" s="28">
        <f ca="1"/>
        <v>0</v>
      </c>
      <c r="D694" s="28">
        <f ca="1"/>
        <v>0</v>
      </c>
      <c r="E694" s="28">
        <f ca="1"/>
        <v>0</v>
      </c>
      <c r="F694" s="28">
        <f ca="1"/>
        <v>3889.3277061559088</v>
      </c>
      <c r="G694" s="28">
        <f ca="1"/>
        <v>93396.02785769169</v>
      </c>
      <c r="H694" s="28">
        <f ca="1"/>
        <v>117648.83038183839</v>
      </c>
      <c r="I694" s="28">
        <f ca="1"/>
        <v>90098.965860846147</v>
      </c>
      <c r="J694" s="28">
        <f ca="1"/>
        <v>52670.381780343079</v>
      </c>
      <c r="K694" s="28">
        <f ca="1"/>
        <v>35029.027727240871</v>
      </c>
      <c r="L694" s="1"/>
      <c r="M694" s="4" t="str">
        <f t="shared" si="57"/>
        <v>$M(2015)</v>
      </c>
    </row>
    <row r="695" spans="1:24" x14ac:dyDescent="0.2">
      <c r="A695" s="2" t="s">
        <v>255</v>
      </c>
      <c r="B695" s="40">
        <f ca="1">SUM(B687:B694)</f>
        <v>0</v>
      </c>
      <c r="C695" s="40">
        <f t="shared" ref="C695:K695" ca="1" si="58">SUM(C687:C694)</f>
        <v>0</v>
      </c>
      <c r="D695" s="40">
        <f t="shared" ca="1" si="58"/>
        <v>0</v>
      </c>
      <c r="E695" s="40">
        <f t="shared" ca="1" si="58"/>
        <v>0</v>
      </c>
      <c r="F695" s="40">
        <f t="shared" ca="1" si="58"/>
        <v>374311.14638783439</v>
      </c>
      <c r="G695" s="40">
        <f t="shared" ca="1" si="58"/>
        <v>2268699.3764611916</v>
      </c>
      <c r="H695" s="40">
        <f t="shared" ca="1" si="58"/>
        <v>2067627.4129103317</v>
      </c>
      <c r="I695" s="40">
        <f t="shared" ca="1" si="58"/>
        <v>1234464.9670398284</v>
      </c>
      <c r="J695" s="40">
        <f t="shared" ca="1" si="58"/>
        <v>658644.19821641105</v>
      </c>
      <c r="K695" s="40">
        <f t="shared" ca="1" si="58"/>
        <v>350932.1421542078</v>
      </c>
      <c r="L695" s="1"/>
      <c r="M695" s="4" t="str">
        <f t="shared" si="57"/>
        <v>$M(2015)</v>
      </c>
    </row>
    <row r="696" spans="1:24" s="2" customFormat="1" ht="14.25" x14ac:dyDescent="0.25">
      <c r="A696" s="2" t="s">
        <v>111</v>
      </c>
      <c r="B696" s="2" t="s">
        <v>363</v>
      </c>
      <c r="L696" s="2" t="s">
        <v>86</v>
      </c>
      <c r="O696">
        <f t="array" ref="O696:X696">Y</f>
        <v>2020</v>
      </c>
      <c r="P696">
        <v>2025</v>
      </c>
      <c r="Q696">
        <v>2030</v>
      </c>
      <c r="R696">
        <v>2040</v>
      </c>
      <c r="S696">
        <v>2050</v>
      </c>
      <c r="T696">
        <v>2060</v>
      </c>
      <c r="U696">
        <v>2070</v>
      </c>
      <c r="V696">
        <v>2080</v>
      </c>
      <c r="W696">
        <v>2090</v>
      </c>
      <c r="X696">
        <v>2100</v>
      </c>
    </row>
    <row r="697" spans="1:24" x14ac:dyDescent="0.2">
      <c r="A697" s="1" t="str">
        <f t="array" ref="A697:A704">R_CODE&amp;" total"</f>
        <v>EU total</v>
      </c>
      <c r="B697" s="27">
        <f t="array" aca="1" ref="B697:K704" ca="1">pcdt*YAGG</f>
        <v>0</v>
      </c>
      <c r="C697" s="27">
        <f ca="1"/>
        <v>0</v>
      </c>
      <c r="D697" s="27">
        <f ca="1"/>
        <v>0</v>
      </c>
      <c r="E697" s="27">
        <f ca="1"/>
        <v>0</v>
      </c>
      <c r="F697" s="27">
        <f ca="1"/>
        <v>14665.408687313218</v>
      </c>
      <c r="G697" s="27">
        <f ca="1"/>
        <v>401645.1827441068</v>
      </c>
      <c r="H697" s="27">
        <f ca="1"/>
        <v>538512.59207699425</v>
      </c>
      <c r="I697" s="27">
        <f ca="1"/>
        <v>375985.80446009338</v>
      </c>
      <c r="J697" s="27">
        <f ca="1"/>
        <v>233915.35522570903</v>
      </c>
      <c r="K697" s="27">
        <f ca="1"/>
        <v>68643.460093246133</v>
      </c>
      <c r="L697" s="40">
        <f ca="1">_xll.RiskOutput(,L696,1)+SUM(B697:K697)</f>
        <v>1633367.8032874628</v>
      </c>
      <c r="M697" s="4" t="str">
        <f t="shared" ref="M697:M706" si="59">CURRENCY_NAME</f>
        <v>$M(2015)</v>
      </c>
      <c r="O697" s="321">
        <f ca="1">_xll.RiskOutput(,"Preventative A",1)+B697</f>
        <v>0</v>
      </c>
      <c r="P697" s="321">
        <f ca="1">_xll.RiskOutput(,"Preventative A",2)+C697</f>
        <v>0</v>
      </c>
      <c r="Q697" s="321">
        <f ca="1">_xll.RiskOutput(,"Preventative A",3)+D697</f>
        <v>0</v>
      </c>
      <c r="R697" s="321">
        <f ca="1">_xll.RiskOutput(,"Preventative A",4)+E697</f>
        <v>0</v>
      </c>
      <c r="S697" s="321">
        <f ca="1">_xll.RiskOutput(,"Preventative A",5)+F697</f>
        <v>14665.408687313218</v>
      </c>
      <c r="T697" s="321">
        <f ca="1">_xll.RiskOutput(,"Preventative A",6)+G697</f>
        <v>401645.1827441068</v>
      </c>
      <c r="U697" s="321">
        <f ca="1">_xll.RiskOutput(,"Preventative A",7)+H697</f>
        <v>538512.59207699425</v>
      </c>
      <c r="V697" s="321">
        <f ca="1">_xll.RiskOutput(,"Preventative A",8)+I697</f>
        <v>375985.80446009338</v>
      </c>
      <c r="W697" s="321">
        <f ca="1">_xll.RiskOutput(,"Preventative A",9)+J697</f>
        <v>233915.35522570903</v>
      </c>
      <c r="X697" s="321">
        <f ca="1">_xll.RiskOutput(,"Preventative A",10)+K697</f>
        <v>68643.460093246133</v>
      </c>
    </row>
    <row r="698" spans="1:24" x14ac:dyDescent="0.2">
      <c r="A698" s="1" t="str">
        <v>US total</v>
      </c>
      <c r="B698" s="28">
        <f ca="1"/>
        <v>0</v>
      </c>
      <c r="C698" s="28">
        <f ca="1"/>
        <v>0</v>
      </c>
      <c r="D698" s="28">
        <f ca="1"/>
        <v>0</v>
      </c>
      <c r="E698" s="28">
        <f ca="1"/>
        <v>0</v>
      </c>
      <c r="F698" s="28">
        <f ca="1"/>
        <v>43319.182285801005</v>
      </c>
      <c r="G698" s="28">
        <f ca="1"/>
        <v>798163.73089496815</v>
      </c>
      <c r="H698" s="28">
        <f ca="1"/>
        <v>967447.32254895393</v>
      </c>
      <c r="I698" s="28">
        <f ca="1"/>
        <v>671319.87188814383</v>
      </c>
      <c r="J698" s="28">
        <f ca="1"/>
        <v>387129.35387029662</v>
      </c>
      <c r="K698" s="28">
        <f ca="1"/>
        <v>110092.73282012151</v>
      </c>
      <c r="L698" s="40">
        <f ca="1">_xll.RiskOutput(,L696,2)+SUM(B698:K698)</f>
        <v>2977472.1943082856</v>
      </c>
      <c r="M698" s="4" t="str">
        <f t="shared" si="59"/>
        <v>$M(2015)</v>
      </c>
      <c r="O698" s="321">
        <f ca="1">_xll.RiskOutput(,"Preventative A",11)+B698</f>
        <v>0</v>
      </c>
      <c r="P698" s="321">
        <f ca="1">_xll.RiskOutput(,"Preventative A",12)+C698</f>
        <v>0</v>
      </c>
      <c r="Q698" s="321">
        <f ca="1">_xll.RiskOutput(,"Preventative A",13)+D698</f>
        <v>0</v>
      </c>
      <c r="R698" s="321">
        <f ca="1">_xll.RiskOutput(,"Preventative A",14)+E698</f>
        <v>0</v>
      </c>
      <c r="S698" s="321">
        <f ca="1">_xll.RiskOutput(,"Preventative A",15)+F698</f>
        <v>43319.182285801005</v>
      </c>
      <c r="T698" s="321">
        <f ca="1">_xll.RiskOutput(,"Preventative A",16)+G698</f>
        <v>798163.73089496815</v>
      </c>
      <c r="U698" s="321">
        <f ca="1">_xll.RiskOutput(,"Preventative A",17)+H698</f>
        <v>967447.32254895393</v>
      </c>
      <c r="V698" s="321">
        <f ca="1">_xll.RiskOutput(,"Preventative A",18)+I698</f>
        <v>671319.87188814383</v>
      </c>
      <c r="W698" s="321">
        <f ca="1">_xll.RiskOutput(,"Preventative A",19)+J698</f>
        <v>387129.35387029662</v>
      </c>
      <c r="X698" s="321">
        <f ca="1">_xll.RiskOutput(,"Preventative A",20)+K698</f>
        <v>110092.73282012151</v>
      </c>
    </row>
    <row r="699" spans="1:24" x14ac:dyDescent="0.2">
      <c r="A699" s="1" t="str">
        <v>OT total</v>
      </c>
      <c r="B699" s="28">
        <f ca="1"/>
        <v>0</v>
      </c>
      <c r="C699" s="28">
        <f ca="1"/>
        <v>0</v>
      </c>
      <c r="D699" s="28">
        <f ca="1"/>
        <v>0</v>
      </c>
      <c r="E699" s="28">
        <f ca="1"/>
        <v>0</v>
      </c>
      <c r="F699" s="28">
        <f ca="1"/>
        <v>19742.928096690714</v>
      </c>
      <c r="G699" s="28">
        <f ca="1"/>
        <v>561416.5188817014</v>
      </c>
      <c r="H699" s="28">
        <f ca="1"/>
        <v>706356.91669998039</v>
      </c>
      <c r="I699" s="28">
        <f ca="1"/>
        <v>482303.05027412262</v>
      </c>
      <c r="J699" s="28">
        <f ca="1"/>
        <v>297772.23084752524</v>
      </c>
      <c r="K699" s="28">
        <f ca="1"/>
        <v>89953.797761562673</v>
      </c>
      <c r="L699" s="40">
        <f ca="1">_xll.RiskOutput(,L696,3)+SUM(B699:K699)</f>
        <v>2157545.4425615827</v>
      </c>
      <c r="M699" s="4" t="str">
        <f t="shared" si="59"/>
        <v>$M(2015)</v>
      </c>
      <c r="O699" s="321">
        <f ca="1">_xll.RiskOutput(,"Preventative A",21)+B699</f>
        <v>0</v>
      </c>
      <c r="P699" s="321">
        <f ca="1">_xll.RiskOutput(,"Preventative A",22)+C699</f>
        <v>0</v>
      </c>
      <c r="Q699" s="321">
        <f ca="1">_xll.RiskOutput(,"Preventative A",23)+D699</f>
        <v>0</v>
      </c>
      <c r="R699" s="321">
        <f ca="1">_xll.RiskOutput(,"Preventative A",24)+E699</f>
        <v>0</v>
      </c>
      <c r="S699" s="321">
        <f ca="1">_xll.RiskOutput(,"Preventative A",25)+F699</f>
        <v>19742.928096690714</v>
      </c>
      <c r="T699" s="321">
        <f ca="1">_xll.RiskOutput(,"Preventative A",26)+G699</f>
        <v>561416.5188817014</v>
      </c>
      <c r="U699" s="321">
        <f ca="1">_xll.RiskOutput(,"Preventative A",27)+H699</f>
        <v>706356.91669998039</v>
      </c>
      <c r="V699" s="321">
        <f ca="1">_xll.RiskOutput(,"Preventative A",28)+I699</f>
        <v>482303.05027412262</v>
      </c>
      <c r="W699" s="321">
        <f ca="1">_xll.RiskOutput(,"Preventative A",29)+J699</f>
        <v>297772.23084752524</v>
      </c>
      <c r="X699" s="321">
        <f ca="1">_xll.RiskOutput(,"Preventative A",30)+K699</f>
        <v>89953.797761562673</v>
      </c>
    </row>
    <row r="700" spans="1:24" x14ac:dyDescent="0.2">
      <c r="A700" s="1" t="str">
        <v>EE total</v>
      </c>
      <c r="B700" s="28">
        <f ca="1"/>
        <v>0</v>
      </c>
      <c r="C700" s="28">
        <f ca="1"/>
        <v>0</v>
      </c>
      <c r="D700" s="28">
        <f ca="1"/>
        <v>0</v>
      </c>
      <c r="E700" s="28">
        <f ca="1"/>
        <v>0</v>
      </c>
      <c r="F700" s="28">
        <f ca="1"/>
        <v>202591.53977707701</v>
      </c>
      <c r="G700" s="28">
        <f ca="1"/>
        <v>1063043.758554318</v>
      </c>
      <c r="H700" s="28">
        <f ca="1"/>
        <v>953620.78627935669</v>
      </c>
      <c r="I700" s="28">
        <f ca="1"/>
        <v>567180.29130531428</v>
      </c>
      <c r="J700" s="28">
        <f ca="1"/>
        <v>312496.29889430694</v>
      </c>
      <c r="K700" s="28">
        <f ca="1"/>
        <v>88064.577276390686</v>
      </c>
      <c r="L700" s="40">
        <f ca="1">_xll.RiskOutput(,L696,4)+SUM(B700:K700)</f>
        <v>3186997.2520867637</v>
      </c>
      <c r="M700" s="4" t="str">
        <f t="shared" si="59"/>
        <v>$M(2015)</v>
      </c>
      <c r="O700" s="321">
        <f ca="1">_xll.RiskOutput(,"Preventative A",31)+B700</f>
        <v>0</v>
      </c>
      <c r="P700" s="321">
        <f ca="1">_xll.RiskOutput(,"Preventative A",32)+C700</f>
        <v>0</v>
      </c>
      <c r="Q700" s="321">
        <f ca="1">_xll.RiskOutput(,"Preventative A",33)+D700</f>
        <v>0</v>
      </c>
      <c r="R700" s="321">
        <f ca="1">_xll.RiskOutput(,"Preventative A",34)+E700</f>
        <v>0</v>
      </c>
      <c r="S700" s="321">
        <f ca="1">_xll.RiskOutput(,"Preventative A",35)+F700</f>
        <v>202591.53977707701</v>
      </c>
      <c r="T700" s="321">
        <f ca="1">_xll.RiskOutput(,"Preventative A",36)+G700</f>
        <v>1063043.758554318</v>
      </c>
      <c r="U700" s="321">
        <f ca="1">_xll.RiskOutput(,"Preventative A",37)+H700</f>
        <v>953620.78627935669</v>
      </c>
      <c r="V700" s="321">
        <f ca="1">_xll.RiskOutput(,"Preventative A",38)+I700</f>
        <v>567180.29130531428</v>
      </c>
      <c r="W700" s="321">
        <f ca="1">_xll.RiskOutput(,"Preventative A",39)+J700</f>
        <v>312496.29889430694</v>
      </c>
      <c r="X700" s="321">
        <f ca="1">_xll.RiskOutput(,"Preventative A",40)+K700</f>
        <v>88064.577276390686</v>
      </c>
    </row>
    <row r="701" spans="1:24" x14ac:dyDescent="0.2">
      <c r="A701" s="1" t="str">
        <v>CA total</v>
      </c>
      <c r="B701" s="28">
        <f ca="1"/>
        <v>0</v>
      </c>
      <c r="C701" s="28">
        <f ca="1"/>
        <v>0</v>
      </c>
      <c r="D701" s="28">
        <f ca="1"/>
        <v>0</v>
      </c>
      <c r="E701" s="28">
        <f ca="1"/>
        <v>0</v>
      </c>
      <c r="F701" s="28">
        <f ca="1"/>
        <v>136084.42372337118</v>
      </c>
      <c r="G701" s="28">
        <f ca="1"/>
        <v>1197160.3689560371</v>
      </c>
      <c r="H701" s="28">
        <f ca="1"/>
        <v>1300947.2944897721</v>
      </c>
      <c r="I701" s="28">
        <f ca="1"/>
        <v>805015.04935580899</v>
      </c>
      <c r="J701" s="28">
        <f ca="1"/>
        <v>431130.0798800895</v>
      </c>
      <c r="K701" s="28">
        <f ca="1"/>
        <v>116533.46845726605</v>
      </c>
      <c r="L701" s="40">
        <f ca="1">_xll.RiskOutput(,L696,5)+SUM(B701:K701)</f>
        <v>3986870.6848623455</v>
      </c>
      <c r="M701" s="4" t="str">
        <f t="shared" si="59"/>
        <v>$M(2015)</v>
      </c>
      <c r="O701" s="321">
        <f ca="1">_xll.RiskOutput(,"Preventative A",41)+B701</f>
        <v>0</v>
      </c>
      <c r="P701" s="321">
        <f ca="1">_xll.RiskOutput(,"Preventative A",42)+C701</f>
        <v>0</v>
      </c>
      <c r="Q701" s="321">
        <f ca="1">_xll.RiskOutput(,"Preventative A",43)+D701</f>
        <v>0</v>
      </c>
      <c r="R701" s="321">
        <f ca="1">_xll.RiskOutput(,"Preventative A",44)+E701</f>
        <v>0</v>
      </c>
      <c r="S701" s="321">
        <f ca="1">_xll.RiskOutput(,"Preventative A",45)+F701</f>
        <v>136084.42372337118</v>
      </c>
      <c r="T701" s="321">
        <f ca="1">_xll.RiskOutput(,"Preventative A",46)+G701</f>
        <v>1197160.3689560371</v>
      </c>
      <c r="U701" s="321">
        <f ca="1">_xll.RiskOutput(,"Preventative A",47)+H701</f>
        <v>1300947.2944897721</v>
      </c>
      <c r="V701" s="321">
        <f ca="1">_xll.RiskOutput(,"Preventative A",48)+I701</f>
        <v>805015.04935580899</v>
      </c>
      <c r="W701" s="321">
        <f ca="1">_xll.RiskOutput(,"Preventative A",49)+J701</f>
        <v>431130.0798800895</v>
      </c>
      <c r="X701" s="321">
        <f ca="1">_xll.RiskOutput(,"Preventative A",50)+K701</f>
        <v>116533.46845726605</v>
      </c>
    </row>
    <row r="702" spans="1:24" x14ac:dyDescent="0.2">
      <c r="A702" s="1" t="str">
        <v>IA total</v>
      </c>
      <c r="B702" s="28">
        <f ca="1"/>
        <v>0</v>
      </c>
      <c r="C702" s="28">
        <f ca="1"/>
        <v>0</v>
      </c>
      <c r="D702" s="28">
        <f ca="1"/>
        <v>0</v>
      </c>
      <c r="E702" s="28">
        <f ca="1"/>
        <v>0</v>
      </c>
      <c r="F702" s="28">
        <f ca="1"/>
        <v>808219.20123403054</v>
      </c>
      <c r="G702" s="28">
        <f ca="1"/>
        <v>3685192.4648407684</v>
      </c>
      <c r="H702" s="28">
        <f ca="1"/>
        <v>3564897.7645776472</v>
      </c>
      <c r="I702" s="28">
        <f ca="1"/>
        <v>2188844.0218531243</v>
      </c>
      <c r="J702" s="28">
        <f ca="1"/>
        <v>1180633.2851187049</v>
      </c>
      <c r="K702" s="28">
        <f ca="1"/>
        <v>299348.99463693768</v>
      </c>
      <c r="L702" s="40">
        <f ca="1">_xll.RiskOutput(,L696,6)+SUM(B702:K702)</f>
        <v>11727135.732261214</v>
      </c>
      <c r="M702" s="4" t="str">
        <f t="shared" si="59"/>
        <v>$M(2015)</v>
      </c>
      <c r="O702" s="321">
        <f ca="1">_xll.RiskOutput(,"Preventative A",51)+B702</f>
        <v>0</v>
      </c>
      <c r="P702" s="321">
        <f ca="1">_xll.RiskOutput(,"Preventative A",52)+C702</f>
        <v>0</v>
      </c>
      <c r="Q702" s="321">
        <f ca="1">_xll.RiskOutput(,"Preventative A",53)+D702</f>
        <v>0</v>
      </c>
      <c r="R702" s="321">
        <f ca="1">_xll.RiskOutput(,"Preventative A",54)+E702</f>
        <v>0</v>
      </c>
      <c r="S702" s="321">
        <f ca="1">_xll.RiskOutput(,"Preventative A",55)+F702</f>
        <v>808219.20123403054</v>
      </c>
      <c r="T702" s="321">
        <f ca="1">_xll.RiskOutput(,"Preventative A",56)+G702</f>
        <v>3685192.4648407684</v>
      </c>
      <c r="U702" s="321">
        <f ca="1">_xll.RiskOutput(,"Preventative A",57)+H702</f>
        <v>3564897.7645776472</v>
      </c>
      <c r="V702" s="321">
        <f ca="1">_xll.RiskOutput(,"Preventative A",58)+I702</f>
        <v>2188844.0218531243</v>
      </c>
      <c r="W702" s="321">
        <f ca="1">_xll.RiskOutput(,"Preventative A",59)+J702</f>
        <v>1180633.2851187049</v>
      </c>
      <c r="X702" s="321">
        <f ca="1">_xll.RiskOutput(,"Preventative A",60)+K702</f>
        <v>299348.99463693768</v>
      </c>
    </row>
    <row r="703" spans="1:24" x14ac:dyDescent="0.2">
      <c r="A703" s="1" t="str">
        <v>AF total</v>
      </c>
      <c r="B703" s="28">
        <f ca="1"/>
        <v>0</v>
      </c>
      <c r="C703" s="28">
        <f ca="1"/>
        <v>0</v>
      </c>
      <c r="D703" s="28">
        <f ca="1"/>
        <v>0</v>
      </c>
      <c r="E703" s="28">
        <f ca="1"/>
        <v>0</v>
      </c>
      <c r="F703" s="28">
        <f ca="1"/>
        <v>2479595.5030125012</v>
      </c>
      <c r="G703" s="28">
        <f ca="1"/>
        <v>14046411.461163098</v>
      </c>
      <c r="H703" s="28">
        <f ca="1"/>
        <v>11468003.148612229</v>
      </c>
      <c r="I703" s="28">
        <f ca="1"/>
        <v>6353011.9226532159</v>
      </c>
      <c r="J703" s="28">
        <f ca="1"/>
        <v>3216661.560524046</v>
      </c>
      <c r="K703" s="28">
        <f ca="1"/>
        <v>806878.54108930985</v>
      </c>
      <c r="L703" s="40">
        <f ca="1">_xll.RiskOutput(,L696,7)+SUM(B703:K703)</f>
        <v>38370562.137054399</v>
      </c>
      <c r="M703" s="4" t="str">
        <f t="shared" si="59"/>
        <v>$M(2015)</v>
      </c>
      <c r="O703" s="321">
        <f ca="1">_xll.RiskOutput(,"Preventative A",61)+B703</f>
        <v>0</v>
      </c>
      <c r="P703" s="321">
        <f ca="1">_xll.RiskOutput(,"Preventative A",62)+C703</f>
        <v>0</v>
      </c>
      <c r="Q703" s="321">
        <f ca="1">_xll.RiskOutput(,"Preventative A",63)+D703</f>
        <v>0</v>
      </c>
      <c r="R703" s="321">
        <f ca="1">_xll.RiskOutput(,"Preventative A",64)+E703</f>
        <v>0</v>
      </c>
      <c r="S703" s="321">
        <f ca="1">_xll.RiskOutput(,"Preventative A",65)+F703</f>
        <v>2479595.5030125012</v>
      </c>
      <c r="T703" s="321">
        <f ca="1">_xll.RiskOutput(,"Preventative A",66)+G703</f>
        <v>14046411.461163098</v>
      </c>
      <c r="U703" s="321">
        <f ca="1">_xll.RiskOutput(,"Preventative A",67)+H703</f>
        <v>11468003.148612229</v>
      </c>
      <c r="V703" s="321">
        <f ca="1">_xll.RiskOutput(,"Preventative A",68)+I703</f>
        <v>6353011.9226532159</v>
      </c>
      <c r="W703" s="321">
        <f ca="1">_xll.RiskOutput(,"Preventative A",69)+J703</f>
        <v>3216661.560524046</v>
      </c>
      <c r="X703" s="321">
        <f ca="1">_xll.RiskOutput(,"Preventative A",70)+K703</f>
        <v>806878.54108930985</v>
      </c>
    </row>
    <row r="704" spans="1:24" x14ac:dyDescent="0.2">
      <c r="A704" s="1" t="str">
        <v>LA total</v>
      </c>
      <c r="B704" s="28">
        <f ca="1"/>
        <v>0</v>
      </c>
      <c r="C704" s="28">
        <f ca="1"/>
        <v>0</v>
      </c>
      <c r="D704" s="28">
        <f ca="1"/>
        <v>0</v>
      </c>
      <c r="E704" s="28">
        <f ca="1"/>
        <v>0</v>
      </c>
      <c r="F704" s="28">
        <f ca="1"/>
        <v>38893.277061559085</v>
      </c>
      <c r="G704" s="28">
        <f ca="1"/>
        <v>933960.2785769169</v>
      </c>
      <c r="H704" s="28">
        <f ca="1"/>
        <v>1176488.303818384</v>
      </c>
      <c r="I704" s="28">
        <f ca="1"/>
        <v>900989.6586084615</v>
      </c>
      <c r="J704" s="28">
        <f ca="1"/>
        <v>526703.81780343084</v>
      </c>
      <c r="K704" s="28">
        <f ca="1"/>
        <v>175145.13863620436</v>
      </c>
      <c r="L704" s="40">
        <f ca="1">_xll.RiskOutput(,L696,8)+SUM(B704:K704)</f>
        <v>3752180.4745049565</v>
      </c>
      <c r="M704" s="4" t="str">
        <f t="shared" si="59"/>
        <v>$M(2015)</v>
      </c>
      <c r="O704" s="321">
        <f ca="1">_xll.RiskOutput(,"Preventative A",71)+B704</f>
        <v>0</v>
      </c>
      <c r="P704" s="321">
        <f ca="1">_xll.RiskOutput(,"Preventative A",72)+C704</f>
        <v>0</v>
      </c>
      <c r="Q704" s="321">
        <f ca="1">_xll.RiskOutput(,"Preventative A",73)+D704</f>
        <v>0</v>
      </c>
      <c r="R704" s="321">
        <f ca="1">_xll.RiskOutput(,"Preventative A",74)+E704</f>
        <v>0</v>
      </c>
      <c r="S704" s="321">
        <f ca="1">_xll.RiskOutput(,"Preventative A",75)+F704</f>
        <v>38893.277061559085</v>
      </c>
      <c r="T704" s="321">
        <f ca="1">_xll.RiskOutput(,"Preventative A",76)+G704</f>
        <v>933960.2785769169</v>
      </c>
      <c r="U704" s="321">
        <f ca="1">_xll.RiskOutput(,"Preventative A",77)+H704</f>
        <v>1176488.303818384</v>
      </c>
      <c r="V704" s="321">
        <f ca="1">_xll.RiskOutput(,"Preventative A",78)+I704</f>
        <v>900989.6586084615</v>
      </c>
      <c r="W704" s="321">
        <f ca="1">_xll.RiskOutput(,"Preventative A",79)+J704</f>
        <v>526703.81780343084</v>
      </c>
      <c r="X704" s="321">
        <f ca="1">_xll.RiskOutput(,"Preventative A",80)+K704</f>
        <v>175145.13863620436</v>
      </c>
    </row>
    <row r="705" spans="1:19" x14ac:dyDescent="0.2">
      <c r="A705" s="2" t="s">
        <v>255</v>
      </c>
      <c r="B705" s="40">
        <f ca="1">_xll.RiskOutput(,A705,1)+SUM(B697:B704)</f>
        <v>0</v>
      </c>
      <c r="C705" s="40">
        <f ca="1">_xll.RiskOutput(,A705,2)+SUM(C697:C704)</f>
        <v>0</v>
      </c>
      <c r="D705" s="40">
        <f ca="1">_xll.RiskOutput(,A705,3)+SUM(D697:D704)</f>
        <v>0</v>
      </c>
      <c r="E705" s="40">
        <f ca="1">_xll.RiskOutput(,A705,4)+SUM(E697:E704)</f>
        <v>0</v>
      </c>
      <c r="F705" s="40">
        <f ca="1">_xll.RiskOutput(,A705,5)+SUM(F697:F704)</f>
        <v>3743111.4638783438</v>
      </c>
      <c r="G705" s="40">
        <f ca="1">_xll.RiskOutput(,A705,6)+SUM(G697:G704)</f>
        <v>22686993.764611915</v>
      </c>
      <c r="H705" s="40">
        <f ca="1">_xll.RiskOutput(,A705,7)+SUM(H697:H704)</f>
        <v>20676274.129103318</v>
      </c>
      <c r="I705" s="40">
        <f ca="1">_xll.RiskOutput(,A705,8)+SUM(I697:I704)</f>
        <v>12344649.670398286</v>
      </c>
      <c r="J705" s="40">
        <f ca="1">_xll.RiskOutput(,A705,9)+SUM(J697:J704)</f>
        <v>6586441.9821641091</v>
      </c>
      <c r="K705" s="40">
        <f ca="1">_xll.RiskOutput(,A705,10)+SUM(K697:K704)</f>
        <v>1754660.7107710391</v>
      </c>
      <c r="L705" s="40">
        <f ca="1">_xll.RiskOutput(,A705,11)+SUM(L697:L704)</f>
        <v>67792131.720927015</v>
      </c>
      <c r="M705" s="4" t="str">
        <f t="shared" si="59"/>
        <v>$M(2015)</v>
      </c>
      <c r="Q705" s="4"/>
      <c r="R705" s="4"/>
      <c r="S705" s="4"/>
    </row>
    <row r="706" spans="1:19" ht="13.5" thickBot="1" x14ac:dyDescent="0.25">
      <c r="A706" s="2" t="s">
        <v>364</v>
      </c>
      <c r="L706" s="42">
        <f ca="1">SUM(B705:K705)</f>
        <v>67792131.720927015</v>
      </c>
      <c r="M706" s="4" t="str">
        <f t="shared" si="59"/>
        <v>$M(2015)</v>
      </c>
    </row>
    <row r="707" spans="1:19" ht="13.5" thickTop="1" x14ac:dyDescent="0.2"/>
    <row r="709" spans="1:19" x14ac:dyDescent="0.2">
      <c r="A709" s="2" t="str">
        <f xml:space="preserve"> "Scenario = "&amp;SCENARIO_PAIR</f>
        <v>Scenario = SSP5-34-OS</v>
      </c>
    </row>
    <row r="710" spans="1:19" x14ac:dyDescent="0.2">
      <c r="A710" s="3" t="s">
        <v>800</v>
      </c>
      <c r="B710" s="51">
        <f t="shared" ref="B710:K710" ca="1" si="60" xml:space="preserve"> SUM(B641:B648)</f>
        <v>0</v>
      </c>
      <c r="C710" s="51">
        <f t="shared" ca="1" si="60"/>
        <v>0</v>
      </c>
      <c r="D710" s="51">
        <f t="shared" ca="1" si="60"/>
        <v>0</v>
      </c>
      <c r="E710" s="51">
        <f t="shared" ca="1" si="60"/>
        <v>0</v>
      </c>
      <c r="F710" s="51">
        <f t="shared" ca="1" si="60"/>
        <v>418160.62704719428</v>
      </c>
      <c r="G710" s="51">
        <f t="shared" ca="1" si="60"/>
        <v>4555132.4468863765</v>
      </c>
      <c r="H710" s="51">
        <f t="shared" ca="1" si="60"/>
        <v>6743961.7602372682</v>
      </c>
      <c r="I710" s="51">
        <f t="shared" ca="1" si="60"/>
        <v>6158895.8780302433</v>
      </c>
      <c r="J710" s="51">
        <f t="shared" ca="1" si="60"/>
        <v>4936328.0356944129</v>
      </c>
      <c r="K710" s="51">
        <f t="shared" ca="1" si="60"/>
        <v>3916931.4323036852</v>
      </c>
      <c r="L710" s="51" t="str">
        <f>CURRENCY_NAME</f>
        <v>$M(2015)</v>
      </c>
    </row>
    <row r="711" spans="1:19" x14ac:dyDescent="0.2">
      <c r="A711" t="s">
        <v>802</v>
      </c>
    </row>
    <row r="712" spans="1:19" x14ac:dyDescent="0.2">
      <c r="A712" s="3" t="s">
        <v>801</v>
      </c>
      <c r="B712">
        <f t="array" ref="B712:K712">Y</f>
        <v>2020</v>
      </c>
      <c r="C712">
        <v>2025</v>
      </c>
      <c r="D712">
        <v>2030</v>
      </c>
      <c r="E712">
        <v>2040</v>
      </c>
      <c r="F712">
        <v>2050</v>
      </c>
      <c r="G712">
        <v>2060</v>
      </c>
      <c r="H712">
        <v>2070</v>
      </c>
      <c r="I712">
        <v>2080</v>
      </c>
      <c r="J712">
        <v>2090</v>
      </c>
      <c r="K712">
        <v>2100</v>
      </c>
    </row>
    <row r="713" spans="1:19" x14ac:dyDescent="0.2">
      <c r="A713" t="str">
        <f t="array" ref="A713:A720">R_CODE</f>
        <v>EU</v>
      </c>
      <c r="B713" s="156">
        <f t="array" aca="1" ref="B713:K720" ca="1">tct/GDP</f>
        <v>0</v>
      </c>
      <c r="C713" s="156">
        <f ca="1"/>
        <v>0</v>
      </c>
      <c r="D713" s="156">
        <f ca="1"/>
        <v>0</v>
      </c>
      <c r="E713" s="156">
        <f ca="1"/>
        <v>0</v>
      </c>
      <c r="F713" s="156">
        <f ca="1"/>
        <v>1.0661132650410591E-4</v>
      </c>
      <c r="G713" s="156">
        <f ca="1"/>
        <v>3.1446098688424351E-3</v>
      </c>
      <c r="H713" s="156">
        <f ca="1"/>
        <v>4.5963402412863537E-3</v>
      </c>
      <c r="I713" s="156">
        <f ca="1"/>
        <v>3.5378723889306972E-3</v>
      </c>
      <c r="J713" s="156">
        <f ca="1"/>
        <v>2.4542513838505579E-3</v>
      </c>
      <c r="K713" s="156">
        <f ca="1"/>
        <v>1.6212664207571482E-3</v>
      </c>
    </row>
    <row r="714" spans="1:19" x14ac:dyDescent="0.2">
      <c r="A714" t="str">
        <v>US</v>
      </c>
      <c r="B714" s="156">
        <f ca="1"/>
        <v>0</v>
      </c>
      <c r="C714" s="156">
        <f ca="1"/>
        <v>0</v>
      </c>
      <c r="D714" s="156">
        <f ca="1"/>
        <v>0</v>
      </c>
      <c r="E714" s="156">
        <f ca="1"/>
        <v>0</v>
      </c>
      <c r="F714" s="156">
        <f ca="1"/>
        <v>4.2045407259967465E-4</v>
      </c>
      <c r="G714" s="156">
        <f ca="1"/>
        <v>7.8862682562632225E-3</v>
      </c>
      <c r="H714" s="156">
        <f ca="1"/>
        <v>9.8516016775379214E-3</v>
      </c>
      <c r="I714" s="156">
        <f ca="1"/>
        <v>7.1551583370498308E-3</v>
      </c>
      <c r="J714" s="156">
        <f ca="1"/>
        <v>4.3916373558746859E-3</v>
      </c>
      <c r="K714" s="156">
        <f ca="1"/>
        <v>2.704249915093201E-3</v>
      </c>
    </row>
    <row r="715" spans="1:19" x14ac:dyDescent="0.2">
      <c r="A715" t="str">
        <v>OT</v>
      </c>
      <c r="B715" s="156">
        <f ca="1"/>
        <v>0</v>
      </c>
      <c r="C715" s="156">
        <f ca="1"/>
        <v>0</v>
      </c>
      <c r="D715" s="156">
        <f ca="1"/>
        <v>0</v>
      </c>
      <c r="E715" s="156">
        <f ca="1"/>
        <v>0</v>
      </c>
      <c r="F715" s="156">
        <f ca="1"/>
        <v>2.422575512566647E-4</v>
      </c>
      <c r="G715" s="156">
        <f ca="1"/>
        <v>7.5638755085699737E-3</v>
      </c>
      <c r="H715" s="156">
        <f ca="1"/>
        <v>1.0633854485778395E-2</v>
      </c>
      <c r="I715" s="156">
        <f ca="1"/>
        <v>8.2432349533085904E-3</v>
      </c>
      <c r="J715" s="156">
        <f ca="1"/>
        <v>5.8576549377694484E-3</v>
      </c>
      <c r="K715" s="156">
        <f ca="1"/>
        <v>4.1207817875001116E-3</v>
      </c>
    </row>
    <row r="716" spans="1:19" x14ac:dyDescent="0.2">
      <c r="A716" t="str">
        <v>EE</v>
      </c>
      <c r="B716" s="156">
        <f ca="1"/>
        <v>0</v>
      </c>
      <c r="C716" s="156">
        <f ca="1"/>
        <v>0</v>
      </c>
      <c r="D716" s="156">
        <f ca="1"/>
        <v>0</v>
      </c>
      <c r="E716" s="156">
        <f ca="1"/>
        <v>0</v>
      </c>
      <c r="F716" s="156">
        <f ca="1"/>
        <v>3.1908119054560795E-3</v>
      </c>
      <c r="G716" s="156">
        <f ca="1"/>
        <v>1.9781118780899883E-2</v>
      </c>
      <c r="H716" s="156">
        <f ca="1"/>
        <v>2.1492857085304278E-2</v>
      </c>
      <c r="I716" s="156">
        <f ca="1"/>
        <v>1.5800152554993438E-2</v>
      </c>
      <c r="J716" s="156">
        <f ca="1"/>
        <v>1.094776619839998E-2</v>
      </c>
      <c r="K716" s="156">
        <f ca="1"/>
        <v>7.8506050122887985E-3</v>
      </c>
    </row>
    <row r="717" spans="1:19" x14ac:dyDescent="0.2">
      <c r="A717" t="str">
        <v>CA</v>
      </c>
      <c r="B717" s="156">
        <f ca="1"/>
        <v>0</v>
      </c>
      <c r="C717" s="156">
        <f ca="1"/>
        <v>0</v>
      </c>
      <c r="D717" s="156">
        <f ca="1"/>
        <v>0</v>
      </c>
      <c r="E717" s="156">
        <f ca="1"/>
        <v>0</v>
      </c>
      <c r="F717" s="156">
        <f ca="1"/>
        <v>4.8793612758524896E-4</v>
      </c>
      <c r="G717" s="156">
        <f ca="1"/>
        <v>5.3690264471877051E-3</v>
      </c>
      <c r="H717" s="156">
        <f ca="1"/>
        <v>7.4322047196949438E-3</v>
      </c>
      <c r="I717" s="156">
        <f ca="1"/>
        <v>5.9454980525702888E-3</v>
      </c>
      <c r="J717" s="156">
        <f ca="1"/>
        <v>4.1941968335374776E-3</v>
      </c>
      <c r="K717" s="156">
        <f ca="1"/>
        <v>3.0564987614616975E-3</v>
      </c>
    </row>
    <row r="718" spans="1:19" x14ac:dyDescent="0.2">
      <c r="A718" t="str">
        <v>IA</v>
      </c>
      <c r="B718" s="156">
        <f ca="1"/>
        <v>0</v>
      </c>
      <c r="C718" s="156">
        <f ca="1"/>
        <v>0</v>
      </c>
      <c r="D718" s="156">
        <f ca="1"/>
        <v>0</v>
      </c>
      <c r="E718" s="156">
        <f ca="1"/>
        <v>0</v>
      </c>
      <c r="F718" s="156">
        <f ca="1"/>
        <v>1.106823884373234E-3</v>
      </c>
      <c r="G718" s="156">
        <f ca="1"/>
        <v>5.9809608119602772E-3</v>
      </c>
      <c r="H718" s="156">
        <f ca="1"/>
        <v>6.995347161971097E-3</v>
      </c>
      <c r="I718" s="156">
        <f ca="1"/>
        <v>5.2998816051950696E-3</v>
      </c>
      <c r="J718" s="156">
        <f ca="1"/>
        <v>3.598727220493723E-3</v>
      </c>
      <c r="K718" s="156">
        <f ca="1"/>
        <v>2.3356666243594835E-3</v>
      </c>
    </row>
    <row r="719" spans="1:19" x14ac:dyDescent="0.2">
      <c r="A719" t="str">
        <v>AF</v>
      </c>
      <c r="B719" s="156">
        <f ca="1"/>
        <v>0</v>
      </c>
      <c r="C719" s="156">
        <f ca="1"/>
        <v>0</v>
      </c>
      <c r="D719" s="156">
        <f ca="1"/>
        <v>0</v>
      </c>
      <c r="E719" s="156">
        <f ca="1"/>
        <v>0</v>
      </c>
      <c r="F719" s="156">
        <f ca="1"/>
        <v>4.3242638791199202E-3</v>
      </c>
      <c r="G719" s="156">
        <f ca="1"/>
        <v>2.7129243975687427E-2</v>
      </c>
      <c r="H719" s="156">
        <f ca="1"/>
        <v>2.5422494288327706E-2</v>
      </c>
      <c r="I719" s="156">
        <f ca="1"/>
        <v>1.6523152582890145E-2</v>
      </c>
      <c r="J719" s="156">
        <f ca="1"/>
        <v>9.9752687082700249E-3</v>
      </c>
      <c r="K719" s="156">
        <f ca="1"/>
        <v>6.049952478376204E-3</v>
      </c>
    </row>
    <row r="720" spans="1:19" x14ac:dyDescent="0.2">
      <c r="A720" t="str">
        <v>LA</v>
      </c>
      <c r="B720" s="156">
        <f ca="1"/>
        <v>0</v>
      </c>
      <c r="C720" s="156">
        <f ca="1"/>
        <v>0</v>
      </c>
      <c r="D720" s="156">
        <f ca="1"/>
        <v>0</v>
      </c>
      <c r="E720" s="156">
        <f ca="1"/>
        <v>0</v>
      </c>
      <c r="F720" s="156">
        <f ca="1"/>
        <v>2.4397051778548597E-4</v>
      </c>
      <c r="G720" s="156">
        <f ca="1"/>
        <v>7.0520226713426306E-3</v>
      </c>
      <c r="H720" s="156">
        <f ca="1"/>
        <v>1.08300201754481E-2</v>
      </c>
      <c r="I720" s="156">
        <f ca="1"/>
        <v>1.0257532761692273E-2</v>
      </c>
      <c r="J720" s="156">
        <f ca="1"/>
        <v>7.563638897249981E-3</v>
      </c>
      <c r="K720" s="156">
        <f ca="1"/>
        <v>6.4893560811329232E-3</v>
      </c>
    </row>
    <row r="721" spans="1:11" x14ac:dyDescent="0.2">
      <c r="A721" s="3" t="s">
        <v>204</v>
      </c>
      <c r="B721" s="229">
        <f t="array" ref="B721:K721" ca="1">tct_g/GDP_G</f>
        <v>0</v>
      </c>
      <c r="C721" s="229">
        <f ca="1"/>
        <v>0</v>
      </c>
      <c r="D721" s="229">
        <f ca="1"/>
        <v>0</v>
      </c>
      <c r="E721" s="229">
        <f ca="1"/>
        <v>0</v>
      </c>
      <c r="F721" s="229">
        <f ca="1"/>
        <v>1.0965797057026008E-3</v>
      </c>
      <c r="G721" s="229">
        <f ca="1"/>
        <v>9.2906894587268963E-3</v>
      </c>
      <c r="H721" s="229">
        <f ca="1"/>
        <v>1.1006486178401706E-2</v>
      </c>
      <c r="I721" s="229">
        <f ca="1"/>
        <v>8.2593223025176944E-3</v>
      </c>
      <c r="J721" s="229">
        <f ca="1"/>
        <v>5.5208177927432867E-3</v>
      </c>
      <c r="K721" s="229">
        <f ca="1"/>
        <v>3.7096774652248636E-3</v>
      </c>
    </row>
  </sheetData>
  <phoneticPr fontId="0" type="noConversion"/>
  <conditionalFormatting sqref="B685:K685 L697:L704 O697:X704 B705:L705">
    <cfRule type="expression" dxfId="8" priority="1" stopIfTrue="1">
      <formula>RiskIsOutput</formula>
    </cfRule>
  </conditionalFormatting>
  <pageMargins left="0.75" right="0.75" top="1" bottom="1" header="0.5" footer="0.5"/>
  <pageSetup paperSize="9" orientation="portrait" horizontalDpi="4294967293"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X707"/>
  <sheetViews>
    <sheetView topLeftCell="B680" workbookViewId="0">
      <selection activeCell="C46" sqref="C46"/>
    </sheetView>
  </sheetViews>
  <sheetFormatPr defaultRowHeight="12.75" x14ac:dyDescent="0.2"/>
  <cols>
    <col min="1" max="1" width="21.5703125" bestFit="1" customWidth="1"/>
    <col min="2" max="6" width="10.140625" bestFit="1" customWidth="1"/>
    <col min="7" max="7" width="9" customWidth="1"/>
    <col min="8" max="11" width="10.140625" bestFit="1" customWidth="1"/>
    <col min="12" max="12" width="10.85546875" customWidth="1"/>
    <col min="13" max="13" width="7.140625" bestFit="1" customWidth="1"/>
  </cols>
  <sheetData>
    <row r="1" spans="1:8" x14ac:dyDescent="0.2">
      <c r="A1" s="2" t="str">
        <f>MODEL_NAME</f>
        <v>PAGE-ICE Nonlinear Arctic Feedbacks</v>
      </c>
      <c r="B1" t="s">
        <v>37</v>
      </c>
      <c r="C1" s="51" t="str">
        <f>VERSION</f>
        <v>6.22</v>
      </c>
      <c r="F1" s="302" t="s">
        <v>961</v>
      </c>
      <c r="G1" s="303"/>
      <c r="H1" s="303"/>
    </row>
    <row r="2" spans="1:8" s="3" customFormat="1" x14ac:dyDescent="0.2">
      <c r="A2" s="4" t="str">
        <f>"Uncertainty in BAU emissions in "&amp;Y_LAST</f>
        <v>Uncertainty in BAU emissions in 2100</v>
      </c>
      <c r="B2" s="4"/>
      <c r="C2" s="4"/>
      <c r="D2" s="4"/>
      <c r="E2" s="4"/>
    </row>
    <row r="3" spans="1:8" x14ac:dyDescent="0.2">
      <c r="A3" s="4"/>
      <c r="B3" s="58" t="s">
        <v>12</v>
      </c>
      <c r="C3" s="58" t="s">
        <v>13</v>
      </c>
      <c r="D3" s="58" t="s">
        <v>144</v>
      </c>
      <c r="E3" s="4" t="str">
        <f>GLIN_NAME</f>
        <v>Lin</v>
      </c>
    </row>
    <row r="4" spans="1:8" ht="15.75" x14ac:dyDescent="0.3">
      <c r="A4" s="4"/>
      <c r="B4" s="4" t="s">
        <v>97</v>
      </c>
      <c r="C4" s="4" t="s">
        <v>98</v>
      </c>
      <c r="D4" s="4" t="s">
        <v>98</v>
      </c>
      <c r="E4" s="4" t="s">
        <v>124</v>
      </c>
    </row>
    <row r="5" spans="1:8" x14ac:dyDescent="0.2">
      <c r="A5" s="14" t="str">
        <f t="array" ref="A5:A12">R_CODE</f>
        <v>EU</v>
      </c>
      <c r="B5" s="26">
        <f ca="1">EMIT_CO2_1</f>
        <v>-22</v>
      </c>
      <c r="C5" s="26">
        <f ca="1">EMIT_CH4_1</f>
        <v>-30.333333333333332</v>
      </c>
      <c r="D5" s="26">
        <f ca="1">EMIT_N2O_1</f>
        <v>-7</v>
      </c>
      <c r="E5" s="26">
        <f ca="1">EMIT_GLIN_1</f>
        <v>0</v>
      </c>
    </row>
    <row r="6" spans="1:8" x14ac:dyDescent="0.2">
      <c r="A6" s="14" t="str">
        <v>US</v>
      </c>
      <c r="B6" s="26">
        <f t="array" aca="1" ref="B6:B12" ca="1">EMIT_CO2_1*EMITF</f>
        <v>-22</v>
      </c>
      <c r="C6" s="26">
        <f t="array" aca="1" ref="C6:C12" ca="1">EMIT_CH4_1*EMITF</f>
        <v>-30.333333333333332</v>
      </c>
      <c r="D6" s="26">
        <f t="array" aca="1" ref="D6:D12" ca="1">EMIT_N2O_1*EMITF</f>
        <v>-7</v>
      </c>
      <c r="E6" s="26">
        <f t="array" aca="1" ref="E6:E12" ca="1">EMIT_GLIN_1*EMITF</f>
        <v>0</v>
      </c>
    </row>
    <row r="7" spans="1:8" x14ac:dyDescent="0.2">
      <c r="A7" s="14" t="str">
        <v>OT</v>
      </c>
      <c r="B7" s="26">
        <f ca="1"/>
        <v>-22</v>
      </c>
      <c r="C7" s="26">
        <f ca="1"/>
        <v>-30.333333333333332</v>
      </c>
      <c r="D7" s="26">
        <f ca="1"/>
        <v>-7</v>
      </c>
      <c r="E7" s="26">
        <f ca="1"/>
        <v>0</v>
      </c>
    </row>
    <row r="8" spans="1:8" x14ac:dyDescent="0.2">
      <c r="A8" s="14" t="str">
        <v>EE</v>
      </c>
      <c r="B8" s="26">
        <f ca="1"/>
        <v>-22</v>
      </c>
      <c r="C8" s="26">
        <f ca="1"/>
        <v>-30.333333333333332</v>
      </c>
      <c r="D8" s="26">
        <f ca="1"/>
        <v>-7</v>
      </c>
      <c r="E8" s="26">
        <f ca="1"/>
        <v>0</v>
      </c>
    </row>
    <row r="9" spans="1:8" x14ac:dyDescent="0.2">
      <c r="A9" s="14" t="str">
        <v>CA</v>
      </c>
      <c r="B9" s="26">
        <f ca="1"/>
        <v>-22</v>
      </c>
      <c r="C9" s="26">
        <f ca="1"/>
        <v>-30.333333333333332</v>
      </c>
      <c r="D9" s="26">
        <f ca="1"/>
        <v>-7</v>
      </c>
      <c r="E9" s="26">
        <f ca="1"/>
        <v>0</v>
      </c>
    </row>
    <row r="10" spans="1:8" x14ac:dyDescent="0.2">
      <c r="A10" s="14" t="str">
        <v>IA</v>
      </c>
      <c r="B10" s="26">
        <f ca="1"/>
        <v>-22</v>
      </c>
      <c r="C10" s="26">
        <f ca="1"/>
        <v>-30.333333333333332</v>
      </c>
      <c r="D10" s="26">
        <f ca="1"/>
        <v>-7</v>
      </c>
      <c r="E10" s="26">
        <f ca="1"/>
        <v>0</v>
      </c>
    </row>
    <row r="11" spans="1:8" x14ac:dyDescent="0.2">
      <c r="A11" s="14" t="str">
        <v>AF</v>
      </c>
      <c r="B11" s="26">
        <f ca="1"/>
        <v>-22</v>
      </c>
      <c r="C11" s="26">
        <f ca="1"/>
        <v>-30.333333333333332</v>
      </c>
      <c r="D11" s="26">
        <f ca="1"/>
        <v>-7</v>
      </c>
      <c r="E11" s="26">
        <f ca="1"/>
        <v>0</v>
      </c>
    </row>
    <row r="12" spans="1:8" x14ac:dyDescent="0.2">
      <c r="A12" s="14" t="str">
        <v>LA</v>
      </c>
      <c r="B12" s="26">
        <f ca="1"/>
        <v>-22</v>
      </c>
      <c r="C12" s="26">
        <f ca="1"/>
        <v>-30.333333333333332</v>
      </c>
      <c r="D12" s="26">
        <f ca="1"/>
        <v>-7</v>
      </c>
      <c r="E12" s="26">
        <f ca="1"/>
        <v>0</v>
      </c>
    </row>
    <row r="13" spans="1:8" x14ac:dyDescent="0.2">
      <c r="A13" s="4"/>
      <c r="B13" s="4" t="str">
        <f>'Library data'!$G$131</f>
        <v>% relative to RCP8.5</v>
      </c>
      <c r="C13" s="4" t="str">
        <f>'Library data'!$G$138</f>
        <v>% relative to RCP8.5</v>
      </c>
      <c r="D13" s="4" t="str">
        <f>'Library data'!$G$138</f>
        <v>% relative to RCP8.5</v>
      </c>
      <c r="E13" s="4" t="str">
        <f>'Library data'!$G$138</f>
        <v>% relative to RCP8.5</v>
      </c>
    </row>
    <row r="15" spans="1:8" s="3" customFormat="1" x14ac:dyDescent="0.2">
      <c r="A15" s="58" t="s">
        <v>273</v>
      </c>
      <c r="B15" s="4"/>
      <c r="C15" s="4"/>
      <c r="D15" s="4"/>
      <c r="E15" s="4"/>
    </row>
    <row r="16" spans="1:8" x14ac:dyDescent="0.2">
      <c r="A16" s="4"/>
      <c r="B16" s="58" t="s">
        <v>12</v>
      </c>
      <c r="C16" s="58" t="s">
        <v>13</v>
      </c>
      <c r="D16" s="58" t="s">
        <v>144</v>
      </c>
      <c r="E16" s="4" t="str">
        <f>GLIN_NAME</f>
        <v>Lin</v>
      </c>
    </row>
    <row r="17" spans="1:5" x14ac:dyDescent="0.2">
      <c r="A17" s="4"/>
      <c r="B17" s="71" t="s">
        <v>279</v>
      </c>
      <c r="C17" s="71" t="s">
        <v>280</v>
      </c>
      <c r="D17" s="71" t="s">
        <v>281</v>
      </c>
      <c r="E17" s="71" t="s">
        <v>282</v>
      </c>
    </row>
    <row r="18" spans="1:5" x14ac:dyDescent="0.2">
      <c r="A18" s="14" t="str">
        <f t="array" ref="A18:A25">R_CODE</f>
        <v>EU</v>
      </c>
      <c r="B18" s="26">
        <f ca="1">Q0_PROP_INIT_CO2_1</f>
        <v>10</v>
      </c>
      <c r="C18" s="26">
        <f ca="1">Q0_PROP_INIT_CH4_1</f>
        <v>10</v>
      </c>
      <c r="D18" s="26">
        <f ca="1">Q0_PROP_INIT_N2O_1</f>
        <v>10</v>
      </c>
      <c r="E18" s="26">
        <f ca="1">Q0_PROP_INIT_GLIN_1</f>
        <v>10</v>
      </c>
    </row>
    <row r="19" spans="1:5" x14ac:dyDescent="0.2">
      <c r="A19" s="14" t="str">
        <v>US</v>
      </c>
      <c r="B19" s="26">
        <f t="array" aca="1" ref="B19:B25" ca="1">Q0_PROP_INIT_CO2_1*Q0F</f>
        <v>10.833333333333332</v>
      </c>
      <c r="C19" s="26">
        <f t="array" aca="1" ref="C19:C25" ca="1">Q0_PROP_INIT_CH4_1*Q0F</f>
        <v>10.833333333333332</v>
      </c>
      <c r="D19" s="26">
        <f t="array" aca="1" ref="D19:D25" ca="1">Q0_PROP_INIT_N2O_1*Q0F</f>
        <v>10.833333333333332</v>
      </c>
      <c r="E19" s="26">
        <f t="array" aca="1" ref="E19:E25" ca="1">Q0_PROP_INIT_GLIN_1*Q0F</f>
        <v>10.833333333333332</v>
      </c>
    </row>
    <row r="20" spans="1:5" x14ac:dyDescent="0.2">
      <c r="A20" s="14" t="str">
        <v>OT</v>
      </c>
      <c r="B20" s="26">
        <f ca="1"/>
        <v>10</v>
      </c>
      <c r="C20" s="26">
        <f ca="1"/>
        <v>10</v>
      </c>
      <c r="D20" s="26">
        <f ca="1"/>
        <v>10</v>
      </c>
      <c r="E20" s="26">
        <f ca="1"/>
        <v>10</v>
      </c>
    </row>
    <row r="21" spans="1:5" x14ac:dyDescent="0.2">
      <c r="A21" s="14" t="str">
        <v>EE</v>
      </c>
      <c r="B21" s="26">
        <f ca="1"/>
        <v>7.0000000000000009</v>
      </c>
      <c r="C21" s="26">
        <f ca="1"/>
        <v>7.0000000000000009</v>
      </c>
      <c r="D21" s="26">
        <f ca="1"/>
        <v>7.0000000000000009</v>
      </c>
      <c r="E21" s="26">
        <f ca="1"/>
        <v>7.0000000000000009</v>
      </c>
    </row>
    <row r="22" spans="1:5" x14ac:dyDescent="0.2">
      <c r="A22" s="14" t="str">
        <v>CA</v>
      </c>
      <c r="B22" s="26">
        <f ca="1"/>
        <v>7.0000000000000009</v>
      </c>
      <c r="C22" s="26">
        <f ca="1"/>
        <v>7.0000000000000009</v>
      </c>
      <c r="D22" s="26">
        <f ca="1"/>
        <v>7.0000000000000009</v>
      </c>
      <c r="E22" s="26">
        <f ca="1"/>
        <v>7.0000000000000009</v>
      </c>
    </row>
    <row r="23" spans="1:5" x14ac:dyDescent="0.2">
      <c r="A23" s="14" t="str">
        <v>IA</v>
      </c>
      <c r="B23" s="26">
        <f ca="1"/>
        <v>7.0000000000000009</v>
      </c>
      <c r="C23" s="26">
        <f ca="1"/>
        <v>7.0000000000000009</v>
      </c>
      <c r="D23" s="26">
        <f ca="1"/>
        <v>7.0000000000000009</v>
      </c>
      <c r="E23" s="26">
        <f ca="1"/>
        <v>7.0000000000000009</v>
      </c>
    </row>
    <row r="24" spans="1:5" x14ac:dyDescent="0.2">
      <c r="A24" s="14" t="str">
        <v>AF</v>
      </c>
      <c r="B24" s="26">
        <f ca="1"/>
        <v>7.0000000000000009</v>
      </c>
      <c r="C24" s="26">
        <f ca="1"/>
        <v>7.0000000000000009</v>
      </c>
      <c r="D24" s="26">
        <f ca="1"/>
        <v>7.0000000000000009</v>
      </c>
      <c r="E24" s="26">
        <f ca="1"/>
        <v>7.0000000000000009</v>
      </c>
    </row>
    <row r="25" spans="1:5" x14ac:dyDescent="0.2">
      <c r="A25" s="14" t="str">
        <v>LA</v>
      </c>
      <c r="B25" s="26">
        <f ca="1"/>
        <v>7.0000000000000009</v>
      </c>
      <c r="C25" s="26">
        <f ca="1"/>
        <v>7.0000000000000009</v>
      </c>
      <c r="D25" s="26">
        <f ca="1"/>
        <v>7.0000000000000009</v>
      </c>
      <c r="E25" s="26">
        <f ca="1"/>
        <v>7.0000000000000009</v>
      </c>
    </row>
    <row r="26" spans="1:5" x14ac:dyDescent="0.2">
      <c r="A26" s="4"/>
      <c r="B26" s="4" t="str">
        <f>'Library data'!$G$131</f>
        <v>% relative to RCP8.5</v>
      </c>
      <c r="C26" s="4" t="str">
        <f>'Library data'!$G$138</f>
        <v>% relative to RCP8.5</v>
      </c>
      <c r="D26" s="4" t="str">
        <f>'Library data'!$G$138</f>
        <v>% relative to RCP8.5</v>
      </c>
      <c r="E26" s="4" t="str">
        <f>'Library data'!$G$138</f>
        <v>% relative to RCP8.5</v>
      </c>
    </row>
    <row r="28" spans="1:5" s="3" customFormat="1" x14ac:dyDescent="0.2">
      <c r="A28" s="58" t="s">
        <v>274</v>
      </c>
      <c r="B28" s="4"/>
      <c r="C28" s="4"/>
      <c r="D28" s="4"/>
      <c r="E28" s="4"/>
    </row>
    <row r="29" spans="1:5" x14ac:dyDescent="0.2">
      <c r="A29" s="4"/>
      <c r="B29" s="58" t="s">
        <v>12</v>
      </c>
      <c r="C29" s="58" t="s">
        <v>13</v>
      </c>
      <c r="D29" s="58" t="s">
        <v>144</v>
      </c>
      <c r="E29" s="4" t="str">
        <f>GLIN_NAME</f>
        <v>Lin</v>
      </c>
    </row>
    <row r="30" spans="1:5" x14ac:dyDescent="0.2">
      <c r="A30" s="4"/>
      <c r="B30" s="72" t="s">
        <v>275</v>
      </c>
      <c r="C30" s="72" t="s">
        <v>276</v>
      </c>
      <c r="D30" s="72" t="s">
        <v>277</v>
      </c>
      <c r="E30" s="72" t="s">
        <v>278</v>
      </c>
    </row>
    <row r="31" spans="1:5" x14ac:dyDescent="0.2">
      <c r="A31" s="14" t="str">
        <f t="array" ref="A31:A38">R_CODE</f>
        <v>EU</v>
      </c>
      <c r="B31" s="26">
        <f ca="1">CMAX_INIT_CO2_1</f>
        <v>150</v>
      </c>
      <c r="C31" s="26">
        <f ca="1">CMAX_INIT_CH4_1</f>
        <v>7283.333333333333</v>
      </c>
      <c r="D31" s="26">
        <f ca="1">CMAX_INIT_N2O_1</f>
        <v>31433.333333333332</v>
      </c>
      <c r="E31" s="26">
        <f ca="1">CMAX_INIT_GLIN_1</f>
        <v>383.33333333333331</v>
      </c>
    </row>
    <row r="32" spans="1:5" x14ac:dyDescent="0.2">
      <c r="A32" s="14" t="str">
        <v>US</v>
      </c>
      <c r="B32" s="26">
        <f t="array" aca="1" ref="B32:B38" ca="1">CMAX_INIT_CO2_1*CMAXF</f>
        <v>150</v>
      </c>
      <c r="C32" s="26">
        <f t="array" aca="1" ref="C32:C38" ca="1">CMAX_INIT_CH4_1*CMAXF</f>
        <v>7283.333333333333</v>
      </c>
      <c r="D32" s="26">
        <f t="array" aca="1" ref="D32:D38" ca="1">CMAX_INIT_N2O_1*CMAXF</f>
        <v>31433.333333333332</v>
      </c>
      <c r="E32" s="26">
        <f t="array" aca="1" ref="E32:E38" ca="1">CMAX_INIT_GLIN_1*CMAXF</f>
        <v>383.33333333333331</v>
      </c>
    </row>
    <row r="33" spans="1:13" x14ac:dyDescent="0.2">
      <c r="A33" s="14" t="str">
        <v>OT</v>
      </c>
      <c r="B33" s="26">
        <f ca="1"/>
        <v>185</v>
      </c>
      <c r="C33" s="26">
        <f ca="1"/>
        <v>8982.7777777777774</v>
      </c>
      <c r="D33" s="26">
        <f ca="1"/>
        <v>38767.777777777781</v>
      </c>
      <c r="E33" s="26">
        <f ca="1"/>
        <v>472.77777777777777</v>
      </c>
    </row>
    <row r="34" spans="1:13" x14ac:dyDescent="0.2">
      <c r="A34" s="14" t="str">
        <v>EE</v>
      </c>
      <c r="B34" s="26">
        <f ca="1"/>
        <v>105.00000000000001</v>
      </c>
      <c r="C34" s="26">
        <f ca="1"/>
        <v>5098.3333333333339</v>
      </c>
      <c r="D34" s="26">
        <f ca="1"/>
        <v>22003.333333333336</v>
      </c>
      <c r="E34" s="26">
        <f ca="1"/>
        <v>268.33333333333337</v>
      </c>
    </row>
    <row r="35" spans="1:13" x14ac:dyDescent="0.2">
      <c r="A35" s="14" t="str">
        <v>CA</v>
      </c>
      <c r="B35" s="26">
        <f ca="1"/>
        <v>150</v>
      </c>
      <c r="C35" s="26">
        <f ca="1"/>
        <v>7283.333333333333</v>
      </c>
      <c r="D35" s="26">
        <f ca="1"/>
        <v>31433.333333333332</v>
      </c>
      <c r="E35" s="26">
        <f ca="1"/>
        <v>383.33333333333331</v>
      </c>
    </row>
    <row r="36" spans="1:13" x14ac:dyDescent="0.2">
      <c r="A36" s="14" t="str">
        <v>IA</v>
      </c>
      <c r="B36" s="26">
        <f ca="1"/>
        <v>185</v>
      </c>
      <c r="C36" s="26">
        <f ca="1"/>
        <v>8982.7777777777774</v>
      </c>
      <c r="D36" s="26">
        <f ca="1"/>
        <v>38767.777777777781</v>
      </c>
      <c r="E36" s="26">
        <f ca="1"/>
        <v>472.77777777777777</v>
      </c>
    </row>
    <row r="37" spans="1:13" x14ac:dyDescent="0.2">
      <c r="A37" s="14" t="str">
        <v>AF</v>
      </c>
      <c r="B37" s="26">
        <f ca="1"/>
        <v>185</v>
      </c>
      <c r="C37" s="26">
        <f ca="1"/>
        <v>8982.7777777777774</v>
      </c>
      <c r="D37" s="26">
        <f ca="1"/>
        <v>38767.777777777781</v>
      </c>
      <c r="E37" s="26">
        <f ca="1"/>
        <v>472.77777777777777</v>
      </c>
    </row>
    <row r="38" spans="1:13" x14ac:dyDescent="0.2">
      <c r="A38" s="14" t="str">
        <v>LA</v>
      </c>
      <c r="B38" s="26">
        <f ca="1"/>
        <v>105.00000000000001</v>
      </c>
      <c r="C38" s="26">
        <f ca="1"/>
        <v>5098.3333333333339</v>
      </c>
      <c r="D38" s="26">
        <f ca="1"/>
        <v>22003.333333333336</v>
      </c>
      <c r="E38" s="26">
        <f ca="1"/>
        <v>268.33333333333337</v>
      </c>
    </row>
    <row r="39" spans="1:13" x14ac:dyDescent="0.2">
      <c r="A39" s="4"/>
      <c r="B39" s="4" t="str">
        <f>CURRENCY_NAME&amp;" per "&amp;EMIT_NAME</f>
        <v>$M(2015) per Mtonne</v>
      </c>
      <c r="C39" s="4" t="str">
        <f>CURRENCY_NAME&amp;" per "&amp;EMIT_NAME</f>
        <v>$M(2015) per Mtonne</v>
      </c>
      <c r="D39" s="4" t="str">
        <f>CURRENCY_NAME&amp;" per "&amp;EMIT_NAME</f>
        <v>$M(2015) per Mtonne</v>
      </c>
      <c r="E39" s="4" t="str">
        <f>CURRENCY_NAME&amp;" per "&amp;EMIT_NAME</f>
        <v>$M(2015) per Mtonne</v>
      </c>
    </row>
    <row r="40" spans="1:13" x14ac:dyDescent="0.2">
      <c r="A40" s="4"/>
      <c r="B40" s="4"/>
      <c r="C40" s="4"/>
      <c r="D40" s="4"/>
      <c r="E40" s="4"/>
    </row>
    <row r="41" spans="1:13" x14ac:dyDescent="0.2">
      <c r="B41">
        <f t="array" ref="B41:K41">Y</f>
        <v>2020</v>
      </c>
      <c r="C41">
        <v>2025</v>
      </c>
      <c r="D41">
        <v>2030</v>
      </c>
      <c r="E41">
        <v>2040</v>
      </c>
      <c r="F41">
        <v>2050</v>
      </c>
      <c r="G41">
        <v>2060</v>
      </c>
      <c r="H41">
        <v>2070</v>
      </c>
      <c r="I41">
        <v>2080</v>
      </c>
      <c r="J41">
        <v>2090</v>
      </c>
      <c r="K41">
        <v>2100</v>
      </c>
    </row>
    <row r="42" spans="1:13" s="4" customFormat="1" x14ac:dyDescent="0.2">
      <c r="A42" s="4" t="s">
        <v>57</v>
      </c>
      <c r="B42" s="12">
        <f t="array" ref="B42:K42">YP</f>
        <v>5</v>
      </c>
      <c r="C42" s="12">
        <v>5</v>
      </c>
      <c r="D42" s="12">
        <v>5</v>
      </c>
      <c r="E42" s="12">
        <v>10</v>
      </c>
      <c r="F42" s="12">
        <v>10</v>
      </c>
      <c r="G42" s="12">
        <v>10</v>
      </c>
      <c r="H42" s="12">
        <v>10</v>
      </c>
      <c r="I42" s="12">
        <v>10</v>
      </c>
      <c r="J42" s="12">
        <v>10</v>
      </c>
      <c r="K42" s="12">
        <v>10</v>
      </c>
      <c r="M42" s="4" t="s">
        <v>39</v>
      </c>
    </row>
    <row r="43" spans="1:13" s="4" customFormat="1" x14ac:dyDescent="0.2">
      <c r="A43" s="4" t="s">
        <v>82</v>
      </c>
      <c r="B43" s="14">
        <f t="array" ref="B43:K43">Y_HI</f>
        <v>2022.5</v>
      </c>
      <c r="C43" s="14">
        <v>2027.5</v>
      </c>
      <c r="D43" s="14">
        <v>2035</v>
      </c>
      <c r="E43" s="14">
        <v>2045</v>
      </c>
      <c r="F43" s="14">
        <v>2055</v>
      </c>
      <c r="G43" s="14">
        <v>2065</v>
      </c>
      <c r="H43" s="14">
        <v>2075</v>
      </c>
      <c r="I43" s="14">
        <v>2085</v>
      </c>
      <c r="J43" s="14">
        <v>2095</v>
      </c>
      <c r="K43" s="14">
        <v>2100</v>
      </c>
    </row>
    <row r="44" spans="1:13" s="4" customFormat="1" x14ac:dyDescent="0.2">
      <c r="A44" s="4" t="s">
        <v>83</v>
      </c>
      <c r="B44" s="14">
        <f t="array" ref="B44:K44">Y_LO</f>
        <v>2015</v>
      </c>
      <c r="C44" s="14">
        <v>2022.5</v>
      </c>
      <c r="D44" s="14">
        <v>2027.5</v>
      </c>
      <c r="E44" s="14">
        <v>2035</v>
      </c>
      <c r="F44" s="14">
        <v>2045</v>
      </c>
      <c r="G44" s="14">
        <v>2055</v>
      </c>
      <c r="H44" s="14">
        <v>2065</v>
      </c>
      <c r="I44" s="14">
        <v>2075</v>
      </c>
      <c r="J44" s="14">
        <v>2085</v>
      </c>
      <c r="K44" s="14">
        <v>2095</v>
      </c>
    </row>
    <row r="45" spans="1:13" s="4" customFormat="1" x14ac:dyDescent="0.2">
      <c r="A45" s="4" t="s">
        <v>81</v>
      </c>
      <c r="B45" s="65">
        <f t="array" ref="B45:K45">YAGG</f>
        <v>7.5</v>
      </c>
      <c r="C45" s="65">
        <v>5</v>
      </c>
      <c r="D45" s="65">
        <v>7.5</v>
      </c>
      <c r="E45" s="65">
        <v>10</v>
      </c>
      <c r="F45" s="65">
        <v>10</v>
      </c>
      <c r="G45" s="65">
        <v>10</v>
      </c>
      <c r="H45" s="65">
        <v>10</v>
      </c>
      <c r="I45" s="65">
        <v>10</v>
      </c>
      <c r="J45" s="65">
        <v>10</v>
      </c>
      <c r="K45" s="65">
        <v>5</v>
      </c>
      <c r="M45" s="4" t="s">
        <v>39</v>
      </c>
    </row>
    <row r="46" spans="1:13" ht="16.5" thickBot="1" x14ac:dyDescent="0.35">
      <c r="A46" t="s">
        <v>99</v>
      </c>
      <c r="B46" s="15">
        <f t="array" ref="B46:K46">Y-Y_0</f>
        <v>5</v>
      </c>
      <c r="C46" s="15">
        <v>10</v>
      </c>
      <c r="D46" s="15">
        <v>15</v>
      </c>
      <c r="E46" s="15">
        <v>25</v>
      </c>
      <c r="F46" s="15">
        <v>35</v>
      </c>
      <c r="G46" s="15">
        <v>45</v>
      </c>
      <c r="H46" s="15">
        <v>55</v>
      </c>
      <c r="I46" s="15">
        <v>65</v>
      </c>
      <c r="J46" s="15">
        <v>75</v>
      </c>
      <c r="K46" s="15">
        <v>85</v>
      </c>
      <c r="M46" t="s">
        <v>39</v>
      </c>
    </row>
    <row r="47" spans="1:13" ht="13.5" thickTop="1" x14ac:dyDescent="0.2"/>
    <row r="48" spans="1:13" s="2" customFormat="1" ht="14.25" x14ac:dyDescent="0.25">
      <c r="A48" s="2" t="s">
        <v>100</v>
      </c>
      <c r="B48" s="5" t="s">
        <v>101</v>
      </c>
    </row>
    <row r="49" spans="1:13" s="4" customFormat="1" x14ac:dyDescent="0.2">
      <c r="A49" s="4" t="str">
        <f t="array" ref="A49:A56">R_CODE&amp;" "&amp;'Base data'!$B$12</f>
        <v>EU CO2</v>
      </c>
      <c r="B49" s="12">
        <f t="array" aca="1" ref="B49:K56" ca="1">(1+(EMIT_CO2/100)*(YMINUSY0/YMINUSY0_LAST))*BAU_CO2</f>
        <v>105.7614624760196</v>
      </c>
      <c r="C49" s="12">
        <f ca="1"/>
        <v>112.04273967275601</v>
      </c>
      <c r="D49" s="12">
        <f ca="1"/>
        <v>118.12028041014563</v>
      </c>
      <c r="E49" s="12">
        <f ca="1"/>
        <v>136.84356212853319</v>
      </c>
      <c r="F49" s="12">
        <f ca="1"/>
        <v>159.58291104484172</v>
      </c>
      <c r="G49" s="12">
        <f ca="1"/>
        <v>190.24731508344271</v>
      </c>
      <c r="H49" s="12">
        <f ca="1"/>
        <v>220.4401377567321</v>
      </c>
      <c r="I49" s="12">
        <f ca="1"/>
        <v>238.79333084438937</v>
      </c>
      <c r="J49" s="12">
        <f ca="1"/>
        <v>240.01880017910221</v>
      </c>
      <c r="K49" s="12">
        <f ca="1"/>
        <v>242.28012169148846</v>
      </c>
      <c r="M49" s="4" t="str">
        <f>'Library data'!$G$131</f>
        <v>% relative to RCP8.5</v>
      </c>
    </row>
    <row r="50" spans="1:13" s="4" customFormat="1" x14ac:dyDescent="0.2">
      <c r="A50" s="4" t="str">
        <v>US CO2</v>
      </c>
      <c r="B50" s="14">
        <f ca="1"/>
        <v>105.24891744834873</v>
      </c>
      <c r="C50" s="14">
        <f ca="1"/>
        <v>119.27531526463481</v>
      </c>
      <c r="D50" s="14">
        <f ca="1"/>
        <v>132.89236694059466</v>
      </c>
      <c r="E50" s="14">
        <f ca="1"/>
        <v>160.90875482437556</v>
      </c>
      <c r="F50" s="14">
        <f ca="1"/>
        <v>190.55975377877101</v>
      </c>
      <c r="G50" s="14">
        <f ca="1"/>
        <v>226.16382074933486</v>
      </c>
      <c r="H50" s="14">
        <f ca="1"/>
        <v>243.40570836464551</v>
      </c>
      <c r="I50" s="14">
        <f ca="1"/>
        <v>258.92718885725355</v>
      </c>
      <c r="J50" s="14">
        <f ca="1"/>
        <v>244.78073838512145</v>
      </c>
      <c r="K50" s="14">
        <f ca="1"/>
        <v>222.49301904789684</v>
      </c>
      <c r="M50" s="4" t="str">
        <f>'Library data'!$G$131</f>
        <v>% relative to RCP8.5</v>
      </c>
    </row>
    <row r="51" spans="1:13" s="4" customFormat="1" x14ac:dyDescent="0.2">
      <c r="A51" s="4" t="str">
        <v>OT CO2</v>
      </c>
      <c r="B51" s="14">
        <f ca="1"/>
        <v>105.7614624760196</v>
      </c>
      <c r="C51" s="14">
        <f ca="1"/>
        <v>112.04273967275601</v>
      </c>
      <c r="D51" s="14">
        <f ca="1"/>
        <v>118.12028041014563</v>
      </c>
      <c r="E51" s="14">
        <f ca="1"/>
        <v>136.84356212853319</v>
      </c>
      <c r="F51" s="14">
        <f ca="1"/>
        <v>159.58291104484172</v>
      </c>
      <c r="G51" s="14">
        <f ca="1"/>
        <v>190.24731508344271</v>
      </c>
      <c r="H51" s="14">
        <f ca="1"/>
        <v>220.4401377567321</v>
      </c>
      <c r="I51" s="14">
        <f ca="1"/>
        <v>238.79333084438937</v>
      </c>
      <c r="J51" s="14">
        <f ca="1"/>
        <v>240.01880017910221</v>
      </c>
      <c r="K51" s="14">
        <f ca="1"/>
        <v>242.28012169148846</v>
      </c>
      <c r="M51" s="4" t="str">
        <f>'Library data'!$G$131</f>
        <v>% relative to RCP8.5</v>
      </c>
    </row>
    <row r="52" spans="1:13" s="4" customFormat="1" x14ac:dyDescent="0.2">
      <c r="A52" s="4" t="str">
        <v>EE CO2</v>
      </c>
      <c r="B52" s="14">
        <f ca="1"/>
        <v>104.24893843838623</v>
      </c>
      <c r="C52" s="14">
        <f ca="1"/>
        <v>110.92691670371852</v>
      </c>
      <c r="D52" s="14">
        <f ca="1"/>
        <v>117.39114503969563</v>
      </c>
      <c r="E52" s="14">
        <f ca="1"/>
        <v>140.65453270331665</v>
      </c>
      <c r="F52" s="14">
        <f ca="1"/>
        <v>168.06158714035647</v>
      </c>
      <c r="G52" s="14">
        <f ca="1"/>
        <v>196.65060982772764</v>
      </c>
      <c r="H52" s="14">
        <f ca="1"/>
        <v>207.47515376836057</v>
      </c>
      <c r="I52" s="14">
        <f ca="1"/>
        <v>194.39328457652175</v>
      </c>
      <c r="J52" s="14">
        <f ca="1"/>
        <v>167.71868107979734</v>
      </c>
      <c r="K52" s="14">
        <f ca="1"/>
        <v>141.50739324128344</v>
      </c>
      <c r="M52" s="4" t="str">
        <f>'Library data'!$G$131</f>
        <v>% relative to RCP8.5</v>
      </c>
    </row>
    <row r="53" spans="1:13" s="4" customFormat="1" x14ac:dyDescent="0.2">
      <c r="A53" s="4" t="str">
        <v>CA CO2</v>
      </c>
      <c r="B53" s="14">
        <f ca="1"/>
        <v>107.22590817325312</v>
      </c>
      <c r="C53" s="14">
        <f ca="1"/>
        <v>118.04645093551567</v>
      </c>
      <c r="D53" s="14">
        <f ca="1"/>
        <v>128.54213858488822</v>
      </c>
      <c r="E53" s="14">
        <f ca="1"/>
        <v>147.95661151698624</v>
      </c>
      <c r="F53" s="14">
        <f ca="1"/>
        <v>154.6526163317665</v>
      </c>
      <c r="G53" s="14">
        <f ca="1"/>
        <v>159.63848677141772</v>
      </c>
      <c r="H53" s="14">
        <f ca="1"/>
        <v>158.23053780751826</v>
      </c>
      <c r="I53" s="14">
        <f ca="1"/>
        <v>144.54407135773079</v>
      </c>
      <c r="J53" s="14">
        <f ca="1"/>
        <v>118.30896660050253</v>
      </c>
      <c r="K53" s="14">
        <f ca="1"/>
        <v>91.334950494164005</v>
      </c>
      <c r="M53" s="4" t="str">
        <f>'Library data'!$G$131</f>
        <v>% relative to RCP8.5</v>
      </c>
    </row>
    <row r="54" spans="1:13" s="4" customFormat="1" x14ac:dyDescent="0.2">
      <c r="A54" s="4" t="str">
        <v>IA CO2</v>
      </c>
      <c r="B54" s="14">
        <f ca="1"/>
        <v>119.92608604191598</v>
      </c>
      <c r="C54" s="14">
        <f ca="1"/>
        <v>143.88439476161824</v>
      </c>
      <c r="D54" s="14">
        <f ca="1"/>
        <v>167.16435311141498</v>
      </c>
      <c r="E54" s="14">
        <f ca="1"/>
        <v>231.57243399348192</v>
      </c>
      <c r="F54" s="14">
        <f ca="1"/>
        <v>309.53400219959292</v>
      </c>
      <c r="G54" s="14">
        <f ca="1"/>
        <v>390.38103262503648</v>
      </c>
      <c r="H54" s="14">
        <f ca="1"/>
        <v>465.75697185778012</v>
      </c>
      <c r="I54" s="14">
        <f ca="1"/>
        <v>525.23524823580954</v>
      </c>
      <c r="J54" s="14">
        <f ca="1"/>
        <v>529.25692639349018</v>
      </c>
      <c r="K54" s="14">
        <f ca="1"/>
        <v>499.92191281586724</v>
      </c>
      <c r="M54" s="4" t="str">
        <f>'Library data'!$G$131</f>
        <v>% relative to RCP8.5</v>
      </c>
    </row>
    <row r="55" spans="1:13" s="4" customFormat="1" x14ac:dyDescent="0.2">
      <c r="A55" s="4" t="str">
        <v>AF CO2</v>
      </c>
      <c r="B55" s="14">
        <f ca="1"/>
        <v>119.77061147174298</v>
      </c>
      <c r="C55" s="14">
        <f ca="1"/>
        <v>138.39198370764734</v>
      </c>
      <c r="D55" s="14">
        <f ca="1"/>
        <v>156.47686239431476</v>
      </c>
      <c r="E55" s="14">
        <f ca="1"/>
        <v>228.62790641008166</v>
      </c>
      <c r="F55" s="14">
        <f ca="1"/>
        <v>336.00194370422895</v>
      </c>
      <c r="G55" s="14">
        <f ca="1"/>
        <v>480.37627357281241</v>
      </c>
      <c r="H55" s="14">
        <f ca="1"/>
        <v>623.28007121371252</v>
      </c>
      <c r="I55" s="14">
        <f ca="1"/>
        <v>744.12703857462395</v>
      </c>
      <c r="J55" s="14">
        <f ca="1"/>
        <v>784.7808082470325</v>
      </c>
      <c r="K55" s="14">
        <f ca="1"/>
        <v>786.03173184290483</v>
      </c>
      <c r="M55" s="4" t="str">
        <f>'Library data'!$G$131</f>
        <v>% relative to RCP8.5</v>
      </c>
    </row>
    <row r="56" spans="1:13" s="4" customFormat="1" ht="13.5" thickBot="1" x14ac:dyDescent="0.25">
      <c r="A56" s="4" t="str">
        <v>LA CO2</v>
      </c>
      <c r="B56" s="16">
        <f ca="1"/>
        <v>116.3365855153737</v>
      </c>
      <c r="C56" s="16">
        <f ca="1"/>
        <v>138.38044058976976</v>
      </c>
      <c r="D56" s="16">
        <f ca="1"/>
        <v>159.79806284349434</v>
      </c>
      <c r="E56" s="16">
        <f ca="1"/>
        <v>207.31362008061376</v>
      </c>
      <c r="F56" s="16">
        <f ca="1"/>
        <v>244.03866473515276</v>
      </c>
      <c r="G56" s="16">
        <f ca="1"/>
        <v>271.17169480255291</v>
      </c>
      <c r="H56" s="16">
        <f ca="1"/>
        <v>289.61476880329616</v>
      </c>
      <c r="I56" s="16">
        <f ca="1"/>
        <v>291.58026720004676</v>
      </c>
      <c r="J56" s="16">
        <f ca="1"/>
        <v>274.25146372473444</v>
      </c>
      <c r="K56" s="16">
        <f ca="1"/>
        <v>255.1598613891322</v>
      </c>
      <c r="M56" s="4" t="str">
        <f>'Library data'!$G$131</f>
        <v>% relative to RCP8.5</v>
      </c>
    </row>
    <row r="57" spans="1:13" s="5" customFormat="1" ht="15" thickTop="1" x14ac:dyDescent="0.25">
      <c r="A57" s="5" t="s">
        <v>100</v>
      </c>
      <c r="B57" s="5" t="s">
        <v>102</v>
      </c>
    </row>
    <row r="58" spans="1:13" s="4" customFormat="1" x14ac:dyDescent="0.2">
      <c r="A58" s="4" t="str">
        <f t="array" ref="A58:A65">R_CODE&amp;" "&amp;'Base data'!$C$12</f>
        <v>EU CH4</v>
      </c>
      <c r="B58" s="12">
        <f t="array" aca="1" ref="B58:K65" ca="1">(1+(EMIT_CH4/100)*(YMINUSY0/YMINUSY0_LAST))*BAU_CH4</f>
        <v>98.093703842097995</v>
      </c>
      <c r="C58" s="12">
        <f ca="1"/>
        <v>102.6459359446724</v>
      </c>
      <c r="D58" s="12">
        <f ca="1"/>
        <v>106.96375405536186</v>
      </c>
      <c r="E58" s="12">
        <f ca="1"/>
        <v>121.61783264177042</v>
      </c>
      <c r="F58" s="12">
        <f ca="1"/>
        <v>133.06439406818913</v>
      </c>
      <c r="G58" s="12">
        <f ca="1"/>
        <v>132.52281763291998</v>
      </c>
      <c r="H58" s="12">
        <f ca="1"/>
        <v>133.82551745916643</v>
      </c>
      <c r="I58" s="12">
        <f ca="1"/>
        <v>130.45829319964955</v>
      </c>
      <c r="J58" s="12">
        <f ca="1"/>
        <v>143.38307149390363</v>
      </c>
      <c r="K58" s="12">
        <f ca="1"/>
        <v>125.14607435186188</v>
      </c>
      <c r="M58" s="4" t="str">
        <f>'Library data'!$G$138</f>
        <v>% relative to RCP8.5</v>
      </c>
    </row>
    <row r="59" spans="1:13" s="4" customFormat="1" x14ac:dyDescent="0.2">
      <c r="A59" s="4" t="str">
        <v>US CH4</v>
      </c>
      <c r="B59" s="14">
        <f ca="1"/>
        <v>93.981304307516609</v>
      </c>
      <c r="C59" s="14">
        <f ca="1"/>
        <v>100.0080846065283</v>
      </c>
      <c r="D59" s="14">
        <f ca="1"/>
        <v>105.74864726686377</v>
      </c>
      <c r="E59" s="14">
        <f ca="1"/>
        <v>120.73724640120862</v>
      </c>
      <c r="F59" s="14">
        <f ca="1"/>
        <v>134.37058942623398</v>
      </c>
      <c r="G59" s="14">
        <f ca="1"/>
        <v>135.87283266536042</v>
      </c>
      <c r="H59" s="14">
        <f ca="1"/>
        <v>124.77528272055531</v>
      </c>
      <c r="I59" s="14">
        <f ca="1"/>
        <v>124.40719215068938</v>
      </c>
      <c r="J59" s="14">
        <f ca="1"/>
        <v>120.87740076105125</v>
      </c>
      <c r="K59" s="14">
        <f ca="1"/>
        <v>111.43135165324422</v>
      </c>
      <c r="M59" s="4" t="str">
        <f>'Library data'!$G$138</f>
        <v>% relative to RCP8.5</v>
      </c>
    </row>
    <row r="60" spans="1:13" s="4" customFormat="1" x14ac:dyDescent="0.2">
      <c r="A60" s="4" t="str">
        <v>OT CH4</v>
      </c>
      <c r="B60" s="14">
        <f ca="1"/>
        <v>98.60121062138613</v>
      </c>
      <c r="C60" s="14">
        <f ca="1"/>
        <v>100.57439033732567</v>
      </c>
      <c r="D60" s="14">
        <f ca="1"/>
        <v>102.40825762490056</v>
      </c>
      <c r="E60" s="14">
        <f ca="1"/>
        <v>120.70288293514021</v>
      </c>
      <c r="F60" s="14">
        <f ca="1"/>
        <v>135.84106840480513</v>
      </c>
      <c r="G60" s="14">
        <f ca="1"/>
        <v>138.32835525009301</v>
      </c>
      <c r="H60" s="14">
        <f ca="1"/>
        <v>122.07059014336349</v>
      </c>
      <c r="I60" s="14">
        <f ca="1"/>
        <v>105.90349971761182</v>
      </c>
      <c r="J60" s="14">
        <f ca="1"/>
        <v>100.22493132540748</v>
      </c>
      <c r="K60" s="14">
        <f ca="1"/>
        <v>132.76597462386391</v>
      </c>
      <c r="M60" s="4" t="str">
        <f>'Library data'!$G$138</f>
        <v>% relative to RCP8.5</v>
      </c>
    </row>
    <row r="61" spans="1:13" s="4" customFormat="1" x14ac:dyDescent="0.2">
      <c r="A61" s="4" t="str">
        <v>EE CH4</v>
      </c>
      <c r="B61" s="14">
        <f ca="1"/>
        <v>101.06055438600109</v>
      </c>
      <c r="C61" s="14">
        <f ca="1"/>
        <v>103.8047030574443</v>
      </c>
      <c r="D61" s="14">
        <f ca="1"/>
        <v>106.37935466385352</v>
      </c>
      <c r="E61" s="14">
        <f ca="1"/>
        <v>118.54453781191795</v>
      </c>
      <c r="F61" s="14">
        <f ca="1"/>
        <v>134.12089257124464</v>
      </c>
      <c r="G61" s="14">
        <f ca="1"/>
        <v>147.50680107888903</v>
      </c>
      <c r="H61" s="14">
        <f ca="1"/>
        <v>159.22551996040028</v>
      </c>
      <c r="I61" s="14">
        <f ca="1"/>
        <v>168.34278486269889</v>
      </c>
      <c r="J61" s="14">
        <f ca="1"/>
        <v>165.42490487045367</v>
      </c>
      <c r="K61" s="14">
        <f ca="1"/>
        <v>155.48263657216253</v>
      </c>
      <c r="M61" s="4" t="str">
        <f>'Library data'!$G$138</f>
        <v>% relative to RCP8.5</v>
      </c>
    </row>
    <row r="62" spans="1:13" s="4" customFormat="1" x14ac:dyDescent="0.2">
      <c r="A62" s="4" t="str">
        <v>CA CH4</v>
      </c>
      <c r="B62" s="14">
        <f ca="1"/>
        <v>83.240768694906507</v>
      </c>
      <c r="C62" s="14">
        <f ca="1"/>
        <v>73.451769506569917</v>
      </c>
      <c r="D62" s="14">
        <f ca="1"/>
        <v>63.969066891312366</v>
      </c>
      <c r="E62" s="14">
        <f ca="1"/>
        <v>59.378029271428339</v>
      </c>
      <c r="F62" s="14">
        <f ca="1"/>
        <v>53.199858574192326</v>
      </c>
      <c r="G62" s="14">
        <f ca="1"/>
        <v>49.828610251756906</v>
      </c>
      <c r="H62" s="14">
        <f ca="1"/>
        <v>46.419808320319959</v>
      </c>
      <c r="I62" s="14">
        <f ca="1"/>
        <v>36.690024876157757</v>
      </c>
      <c r="J62" s="14">
        <f ca="1"/>
        <v>29.970830727041566</v>
      </c>
      <c r="K62" s="14">
        <f ca="1"/>
        <v>24.607815859844028</v>
      </c>
      <c r="M62" s="4" t="str">
        <f>'Library data'!$G$138</f>
        <v>% relative to RCP8.5</v>
      </c>
    </row>
    <row r="63" spans="1:13" s="4" customFormat="1" x14ac:dyDescent="0.2">
      <c r="A63" s="4" t="str">
        <v>IA CH4</v>
      </c>
      <c r="B63" s="14">
        <f ca="1"/>
        <v>97.861113396248328</v>
      </c>
      <c r="C63" s="14">
        <f ca="1"/>
        <v>97.98113990969216</v>
      </c>
      <c r="D63" s="14">
        <f ca="1"/>
        <v>98.030931053765812</v>
      </c>
      <c r="E63" s="14">
        <f ca="1"/>
        <v>99.671176382204877</v>
      </c>
      <c r="F63" s="14">
        <f ca="1"/>
        <v>100.78204824202565</v>
      </c>
      <c r="G63" s="14">
        <f ca="1"/>
        <v>76.206551829490536</v>
      </c>
      <c r="H63" s="14">
        <f ca="1"/>
        <v>61.004158074094278</v>
      </c>
      <c r="I63" s="14">
        <f ca="1"/>
        <v>45.39104395441845</v>
      </c>
      <c r="J63" s="14">
        <f ca="1"/>
        <v>37.7599336873173</v>
      </c>
      <c r="K63" s="14">
        <f ca="1"/>
        <v>31.647187030249416</v>
      </c>
      <c r="M63" s="4" t="str">
        <f>'Library data'!$G$138</f>
        <v>% relative to RCP8.5</v>
      </c>
    </row>
    <row r="64" spans="1:13" s="4" customFormat="1" x14ac:dyDescent="0.2">
      <c r="A64" s="4" t="str">
        <v>AF CH4</v>
      </c>
      <c r="B64" s="14">
        <f ca="1"/>
        <v>119.83814970832637</v>
      </c>
      <c r="C64" s="14">
        <f ca="1"/>
        <v>150.22298961848031</v>
      </c>
      <c r="D64" s="14">
        <f ca="1"/>
        <v>179.40281132587739</v>
      </c>
      <c r="E64" s="14">
        <f ca="1"/>
        <v>251.32182950594023</v>
      </c>
      <c r="F64" s="14">
        <f ca="1"/>
        <v>289.05565154998766</v>
      </c>
      <c r="G64" s="14">
        <f ca="1"/>
        <v>302.81399058085771</v>
      </c>
      <c r="H64" s="14">
        <f ca="1"/>
        <v>304.36406993916205</v>
      </c>
      <c r="I64" s="14">
        <f ca="1"/>
        <v>282.76375201863266</v>
      </c>
      <c r="J64" s="14">
        <f ca="1"/>
        <v>226.34863373771768</v>
      </c>
      <c r="K64" s="14">
        <f ca="1"/>
        <v>190.48969430875033</v>
      </c>
      <c r="M64" s="4" t="str">
        <f>'Library data'!$G$138</f>
        <v>% relative to RCP8.5</v>
      </c>
    </row>
    <row r="65" spans="1:13" s="4" customFormat="1" ht="13.5" thickBot="1" x14ac:dyDescent="0.25">
      <c r="A65" s="4" t="str">
        <v>LA CH4</v>
      </c>
      <c r="B65" s="16">
        <f ca="1"/>
        <v>107.90379621152979</v>
      </c>
      <c r="C65" s="16">
        <f ca="1"/>
        <v>111.98784363931549</v>
      </c>
      <c r="D65" s="16">
        <f ca="1"/>
        <v>115.84820766624154</v>
      </c>
      <c r="E65" s="16">
        <f ca="1"/>
        <v>117.23124011351786</v>
      </c>
      <c r="F65" s="16">
        <f ca="1"/>
        <v>94.070696295226213</v>
      </c>
      <c r="G65" s="16">
        <f ca="1"/>
        <v>84.85030005905783</v>
      </c>
      <c r="H65" s="16">
        <f ca="1"/>
        <v>78.428862388323495</v>
      </c>
      <c r="I65" s="16">
        <f ca="1"/>
        <v>69.474229984757429</v>
      </c>
      <c r="J65" s="16">
        <f ca="1"/>
        <v>53.455563280855124</v>
      </c>
      <c r="K65" s="16">
        <f ca="1"/>
        <v>45.269462326490626</v>
      </c>
      <c r="M65" s="4" t="str">
        <f>'Library data'!$G$138</f>
        <v>% relative to RCP8.5</v>
      </c>
    </row>
    <row r="66" spans="1:13" s="5" customFormat="1" ht="15" thickTop="1" x14ac:dyDescent="0.25">
      <c r="A66" s="5" t="s">
        <v>100</v>
      </c>
      <c r="B66" s="5" t="s">
        <v>125</v>
      </c>
    </row>
    <row r="67" spans="1:13" s="4" customFormat="1" x14ac:dyDescent="0.2">
      <c r="A67" s="4" t="str">
        <f t="array" ref="A67:A74">R_CODE&amp;" "&amp;'Base data'!$D$12</f>
        <v>EU N2O</v>
      </c>
      <c r="B67" s="12">
        <f t="array" aca="1" ref="B67:K74" ca="1">(1+(EMIT_N2O/100)*(YMINUSY0/YMINUSY0_LAST))*BAU_N2O</f>
        <v>107.19597088899577</v>
      </c>
      <c r="C67" s="12">
        <f ca="1"/>
        <v>110.91130774596382</v>
      </c>
      <c r="D67" s="12">
        <f ca="1"/>
        <v>114.59211328693075</v>
      </c>
      <c r="E67" s="12">
        <f ca="1"/>
        <v>120.22377917711333</v>
      </c>
      <c r="F67" s="12">
        <f ca="1"/>
        <v>117.35439409018809</v>
      </c>
      <c r="G67" s="12">
        <f ca="1"/>
        <v>118.70225372842185</v>
      </c>
      <c r="H67" s="12">
        <f ca="1"/>
        <v>117.66651798122173</v>
      </c>
      <c r="I67" s="12">
        <f ca="1"/>
        <v>117.12197025148407</v>
      </c>
      <c r="J67" s="12">
        <f ca="1"/>
        <v>113.82755287641663</v>
      </c>
      <c r="K67" s="12">
        <f ca="1"/>
        <v>108.57120244954127</v>
      </c>
      <c r="M67" s="4" t="str">
        <f>'Library data'!$G$138</f>
        <v>% relative to RCP8.5</v>
      </c>
    </row>
    <row r="68" spans="1:13" s="4" customFormat="1" x14ac:dyDescent="0.2">
      <c r="A68" s="4" t="str">
        <v>US N2O</v>
      </c>
      <c r="B68" s="14">
        <f ca="1"/>
        <v>107.19597088899577</v>
      </c>
      <c r="C68" s="14">
        <f ca="1"/>
        <v>110.91130774596382</v>
      </c>
      <c r="D68" s="14">
        <f ca="1"/>
        <v>114.59211328693075</v>
      </c>
      <c r="E68" s="14">
        <f ca="1"/>
        <v>120.22377917711333</v>
      </c>
      <c r="F68" s="14">
        <f ca="1"/>
        <v>117.35439409018809</v>
      </c>
      <c r="G68" s="14">
        <f ca="1"/>
        <v>118.70225372842185</v>
      </c>
      <c r="H68" s="14">
        <f ca="1"/>
        <v>117.66651798122173</v>
      </c>
      <c r="I68" s="14">
        <f ca="1"/>
        <v>117.12197025148407</v>
      </c>
      <c r="J68" s="14">
        <f ca="1"/>
        <v>113.82755287641663</v>
      </c>
      <c r="K68" s="14">
        <f ca="1"/>
        <v>108.57120244954127</v>
      </c>
      <c r="M68" s="4" t="str">
        <f>'Library data'!$G$138</f>
        <v>% relative to RCP8.5</v>
      </c>
    </row>
    <row r="69" spans="1:13" s="4" customFormat="1" x14ac:dyDescent="0.2">
      <c r="A69" s="4" t="str">
        <v>OT N2O</v>
      </c>
      <c r="B69" s="14">
        <f ca="1"/>
        <v>107.19597088899577</v>
      </c>
      <c r="C69" s="14">
        <f ca="1"/>
        <v>110.91130774596382</v>
      </c>
      <c r="D69" s="14">
        <f ca="1"/>
        <v>114.59211328693075</v>
      </c>
      <c r="E69" s="14">
        <f ca="1"/>
        <v>120.22377917711333</v>
      </c>
      <c r="F69" s="14">
        <f ca="1"/>
        <v>117.35439409018809</v>
      </c>
      <c r="G69" s="14">
        <f ca="1"/>
        <v>118.70225372842185</v>
      </c>
      <c r="H69" s="14">
        <f ca="1"/>
        <v>117.66651798122173</v>
      </c>
      <c r="I69" s="14">
        <f ca="1"/>
        <v>117.12197025148407</v>
      </c>
      <c r="J69" s="14">
        <f ca="1"/>
        <v>113.82755287641663</v>
      </c>
      <c r="K69" s="14">
        <f ca="1"/>
        <v>108.57120244954127</v>
      </c>
      <c r="M69" s="4" t="str">
        <f>'Library data'!$G$138</f>
        <v>% relative to RCP8.5</v>
      </c>
    </row>
    <row r="70" spans="1:13" s="4" customFormat="1" x14ac:dyDescent="0.2">
      <c r="A70" s="4" t="str">
        <v>EE N2O</v>
      </c>
      <c r="B70" s="14">
        <f ca="1"/>
        <v>107.19597088899577</v>
      </c>
      <c r="C70" s="14">
        <f ca="1"/>
        <v>110.91130774596382</v>
      </c>
      <c r="D70" s="14">
        <f ca="1"/>
        <v>114.59211328693075</v>
      </c>
      <c r="E70" s="14">
        <f ca="1"/>
        <v>120.22377917711333</v>
      </c>
      <c r="F70" s="14">
        <f ca="1"/>
        <v>117.35439409018809</v>
      </c>
      <c r="G70" s="14">
        <f ca="1"/>
        <v>118.70225372842185</v>
      </c>
      <c r="H70" s="14">
        <f ca="1"/>
        <v>117.66651798122173</v>
      </c>
      <c r="I70" s="14">
        <f ca="1"/>
        <v>117.12197025148407</v>
      </c>
      <c r="J70" s="14">
        <f ca="1"/>
        <v>113.82755287641663</v>
      </c>
      <c r="K70" s="14">
        <f ca="1"/>
        <v>108.57120244954127</v>
      </c>
      <c r="M70" s="4" t="str">
        <f>'Library data'!$G$138</f>
        <v>% relative to RCP8.5</v>
      </c>
    </row>
    <row r="71" spans="1:13" s="4" customFormat="1" x14ac:dyDescent="0.2">
      <c r="A71" s="4" t="str">
        <v>CA N2O</v>
      </c>
      <c r="B71" s="14">
        <f ca="1"/>
        <v>107.19597088899577</v>
      </c>
      <c r="C71" s="14">
        <f ca="1"/>
        <v>110.91130774596382</v>
      </c>
      <c r="D71" s="14">
        <f ca="1"/>
        <v>114.59211328693075</v>
      </c>
      <c r="E71" s="14">
        <f ca="1"/>
        <v>120.22377917711333</v>
      </c>
      <c r="F71" s="14">
        <f ca="1"/>
        <v>117.35439409018809</v>
      </c>
      <c r="G71" s="14">
        <f ca="1"/>
        <v>118.70225372842185</v>
      </c>
      <c r="H71" s="14">
        <f ca="1"/>
        <v>117.66651798122173</v>
      </c>
      <c r="I71" s="14">
        <f ca="1"/>
        <v>117.12197025148407</v>
      </c>
      <c r="J71" s="14">
        <f ca="1"/>
        <v>113.82755287641663</v>
      </c>
      <c r="K71" s="14">
        <f ca="1"/>
        <v>108.57120244954127</v>
      </c>
      <c r="M71" s="4" t="str">
        <f>'Library data'!$G$138</f>
        <v>% relative to RCP8.5</v>
      </c>
    </row>
    <row r="72" spans="1:13" s="4" customFormat="1" x14ac:dyDescent="0.2">
      <c r="A72" s="4" t="str">
        <v>IA N2O</v>
      </c>
      <c r="B72" s="14">
        <f ca="1"/>
        <v>107.19597088899577</v>
      </c>
      <c r="C72" s="14">
        <f ca="1"/>
        <v>110.91130774596382</v>
      </c>
      <c r="D72" s="14">
        <f ca="1"/>
        <v>114.59211328693075</v>
      </c>
      <c r="E72" s="14">
        <f ca="1"/>
        <v>120.22377917711333</v>
      </c>
      <c r="F72" s="14">
        <f ca="1"/>
        <v>117.35439409018809</v>
      </c>
      <c r="G72" s="14">
        <f ca="1"/>
        <v>118.70225372842185</v>
      </c>
      <c r="H72" s="14">
        <f ca="1"/>
        <v>117.66651798122173</v>
      </c>
      <c r="I72" s="14">
        <f ca="1"/>
        <v>117.12197025148407</v>
      </c>
      <c r="J72" s="14">
        <f ca="1"/>
        <v>113.82755287641663</v>
      </c>
      <c r="K72" s="14">
        <f ca="1"/>
        <v>108.57120244954127</v>
      </c>
      <c r="M72" s="4" t="str">
        <f>'Library data'!$G$138</f>
        <v>% relative to RCP8.5</v>
      </c>
    </row>
    <row r="73" spans="1:13" s="4" customFormat="1" x14ac:dyDescent="0.2">
      <c r="A73" s="4" t="str">
        <v>AF N2O</v>
      </c>
      <c r="B73" s="14">
        <f ca="1"/>
        <v>107.19597088899577</v>
      </c>
      <c r="C73" s="14">
        <f ca="1"/>
        <v>110.91130774596382</v>
      </c>
      <c r="D73" s="14">
        <f ca="1"/>
        <v>114.59211328693075</v>
      </c>
      <c r="E73" s="14">
        <f ca="1"/>
        <v>120.22377917711333</v>
      </c>
      <c r="F73" s="14">
        <f ca="1"/>
        <v>117.35439409018809</v>
      </c>
      <c r="G73" s="14">
        <f ca="1"/>
        <v>118.70225372842185</v>
      </c>
      <c r="H73" s="14">
        <f ca="1"/>
        <v>117.66651798122173</v>
      </c>
      <c r="I73" s="14">
        <f ca="1"/>
        <v>117.12197025148407</v>
      </c>
      <c r="J73" s="14">
        <f ca="1"/>
        <v>113.82755287641663</v>
      </c>
      <c r="K73" s="14">
        <f ca="1"/>
        <v>108.57120244954127</v>
      </c>
      <c r="M73" s="4" t="str">
        <f>'Library data'!$G$138</f>
        <v>% relative to RCP8.5</v>
      </c>
    </row>
    <row r="74" spans="1:13" s="4" customFormat="1" ht="13.5" thickBot="1" x14ac:dyDescent="0.25">
      <c r="A74" s="4" t="str">
        <v>LA N2O</v>
      </c>
      <c r="B74" s="16">
        <f ca="1"/>
        <v>107.19597088899577</v>
      </c>
      <c r="C74" s="16">
        <f ca="1"/>
        <v>110.91130774596382</v>
      </c>
      <c r="D74" s="16">
        <f ca="1"/>
        <v>114.59211328693075</v>
      </c>
      <c r="E74" s="16">
        <f ca="1"/>
        <v>120.22377917711333</v>
      </c>
      <c r="F74" s="16">
        <f ca="1"/>
        <v>117.35439409018809</v>
      </c>
      <c r="G74" s="16">
        <f ca="1"/>
        <v>118.70225372842185</v>
      </c>
      <c r="H74" s="16">
        <f ca="1"/>
        <v>117.66651798122173</v>
      </c>
      <c r="I74" s="16">
        <f ca="1"/>
        <v>117.12197025148407</v>
      </c>
      <c r="J74" s="16">
        <f ca="1"/>
        <v>113.82755287641663</v>
      </c>
      <c r="K74" s="16">
        <f ca="1"/>
        <v>108.57120244954127</v>
      </c>
      <c r="M74" s="4" t="str">
        <f>'Library data'!$G$138</f>
        <v>% relative to RCP8.5</v>
      </c>
    </row>
    <row r="75" spans="1:13" s="5" customFormat="1" ht="15" thickTop="1" x14ac:dyDescent="0.25">
      <c r="A75" s="5" t="s">
        <v>100</v>
      </c>
      <c r="B75" s="5" t="s">
        <v>260</v>
      </c>
    </row>
    <row r="76" spans="1:13" s="4" customFormat="1" x14ac:dyDescent="0.2">
      <c r="A76" s="4" t="str">
        <f t="array" ref="A76:A83">R_CODE&amp;" "&amp;GLIN_NAME</f>
        <v>EU Lin</v>
      </c>
      <c r="B76" s="12">
        <f t="array" aca="1" ref="B76:K83" ca="1">(1+(EMIT_GLIN/100)*(YMINUSY0/YMINUSY0_LAST))*BAU_GLIN</f>
        <v>123.12461561981884</v>
      </c>
      <c r="C76" s="12">
        <f ca="1"/>
        <v>127.87774576472447</v>
      </c>
      <c r="D76" s="12">
        <f ca="1"/>
        <v>132.63087590963011</v>
      </c>
      <c r="E76" s="12">
        <f ca="1"/>
        <v>137.19476273699667</v>
      </c>
      <c r="F76" s="12">
        <f ca="1"/>
        <v>150.7712200616993</v>
      </c>
      <c r="G76" s="12">
        <f ca="1"/>
        <v>169.03284158816098</v>
      </c>
      <c r="H76" s="12">
        <f ca="1"/>
        <v>191.32886988371919</v>
      </c>
      <c r="I76" s="12">
        <f ca="1"/>
        <v>200.99460176845437</v>
      </c>
      <c r="J76" s="12">
        <f ca="1"/>
        <v>192.97575950612435</v>
      </c>
      <c r="K76" s="12">
        <f ca="1"/>
        <v>184.06857667542283</v>
      </c>
      <c r="M76" s="4" t="str">
        <f>'Library data'!$G$138</f>
        <v>% relative to RCP8.5</v>
      </c>
    </row>
    <row r="77" spans="1:13" s="4" customFormat="1" x14ac:dyDescent="0.2">
      <c r="A77" s="4" t="str">
        <v>US Lin</v>
      </c>
      <c r="B77" s="14">
        <f ca="1"/>
        <v>123.12461561981884</v>
      </c>
      <c r="C77" s="14">
        <f ca="1"/>
        <v>127.87774576472447</v>
      </c>
      <c r="D77" s="14">
        <f ca="1"/>
        <v>132.63087590963011</v>
      </c>
      <c r="E77" s="14">
        <f ca="1"/>
        <v>137.19476273699667</v>
      </c>
      <c r="F77" s="14">
        <f ca="1"/>
        <v>150.7712200616993</v>
      </c>
      <c r="G77" s="14">
        <f ca="1"/>
        <v>169.03284158816098</v>
      </c>
      <c r="H77" s="14">
        <f ca="1"/>
        <v>191.32886988371919</v>
      </c>
      <c r="I77" s="14">
        <f ca="1"/>
        <v>200.99460176845437</v>
      </c>
      <c r="J77" s="14">
        <f ca="1"/>
        <v>192.97575950612435</v>
      </c>
      <c r="K77" s="14">
        <f ca="1"/>
        <v>184.06857667542283</v>
      </c>
      <c r="M77" s="4" t="str">
        <f>'Library data'!$G$138</f>
        <v>% relative to RCP8.5</v>
      </c>
    </row>
    <row r="78" spans="1:13" s="4" customFormat="1" x14ac:dyDescent="0.2">
      <c r="A78" s="4" t="str">
        <v>OT Lin</v>
      </c>
      <c r="B78" s="14">
        <f ca="1"/>
        <v>123.12461561981884</v>
      </c>
      <c r="C78" s="14">
        <f ca="1"/>
        <v>127.87774576472447</v>
      </c>
      <c r="D78" s="14">
        <f ca="1"/>
        <v>132.63087590963011</v>
      </c>
      <c r="E78" s="14">
        <f ca="1"/>
        <v>137.19476273699667</v>
      </c>
      <c r="F78" s="14">
        <f ca="1"/>
        <v>150.7712200616993</v>
      </c>
      <c r="G78" s="14">
        <f ca="1"/>
        <v>169.03284158816098</v>
      </c>
      <c r="H78" s="14">
        <f ca="1"/>
        <v>191.32886988371919</v>
      </c>
      <c r="I78" s="14">
        <f ca="1"/>
        <v>200.99460176845437</v>
      </c>
      <c r="J78" s="14">
        <f ca="1"/>
        <v>192.97575950612435</v>
      </c>
      <c r="K78" s="14">
        <f ca="1"/>
        <v>184.06857667542283</v>
      </c>
      <c r="M78" s="4" t="str">
        <f>'Library data'!$G$138</f>
        <v>% relative to RCP8.5</v>
      </c>
    </row>
    <row r="79" spans="1:13" s="4" customFormat="1" x14ac:dyDescent="0.2">
      <c r="A79" s="4" t="str">
        <v>EE Lin</v>
      </c>
      <c r="B79" s="14">
        <f ca="1"/>
        <v>123.12461561981884</v>
      </c>
      <c r="C79" s="14">
        <f ca="1"/>
        <v>127.87774576472447</v>
      </c>
      <c r="D79" s="14">
        <f ca="1"/>
        <v>132.63087590963011</v>
      </c>
      <c r="E79" s="14">
        <f ca="1"/>
        <v>137.19476273699667</v>
      </c>
      <c r="F79" s="14">
        <f ca="1"/>
        <v>150.7712200616993</v>
      </c>
      <c r="G79" s="14">
        <f ca="1"/>
        <v>169.03284158816098</v>
      </c>
      <c r="H79" s="14">
        <f ca="1"/>
        <v>191.32886988371919</v>
      </c>
      <c r="I79" s="14">
        <f ca="1"/>
        <v>200.99460176845437</v>
      </c>
      <c r="J79" s="14">
        <f ca="1"/>
        <v>192.97575950612435</v>
      </c>
      <c r="K79" s="14">
        <f ca="1"/>
        <v>184.06857667542283</v>
      </c>
      <c r="M79" s="4" t="str">
        <f>'Library data'!$G$138</f>
        <v>% relative to RCP8.5</v>
      </c>
    </row>
    <row r="80" spans="1:13" s="4" customFormat="1" x14ac:dyDescent="0.2">
      <c r="A80" s="4" t="str">
        <v>CA Lin</v>
      </c>
      <c r="B80" s="14">
        <f ca="1"/>
        <v>123.12461561981884</v>
      </c>
      <c r="C80" s="14">
        <f ca="1"/>
        <v>127.87774576472447</v>
      </c>
      <c r="D80" s="14">
        <f ca="1"/>
        <v>132.63087590963011</v>
      </c>
      <c r="E80" s="14">
        <f ca="1"/>
        <v>137.19476273699667</v>
      </c>
      <c r="F80" s="14">
        <f ca="1"/>
        <v>150.7712200616993</v>
      </c>
      <c r="G80" s="14">
        <f ca="1"/>
        <v>169.03284158816098</v>
      </c>
      <c r="H80" s="14">
        <f ca="1"/>
        <v>191.32886988371919</v>
      </c>
      <c r="I80" s="14">
        <f ca="1"/>
        <v>200.99460176845437</v>
      </c>
      <c r="J80" s="14">
        <f ca="1"/>
        <v>192.97575950612435</v>
      </c>
      <c r="K80" s="14">
        <f ca="1"/>
        <v>184.06857667542283</v>
      </c>
      <c r="M80" s="4" t="str">
        <f>'Library data'!$G$138</f>
        <v>% relative to RCP8.5</v>
      </c>
    </row>
    <row r="81" spans="1:13" s="4" customFormat="1" x14ac:dyDescent="0.2">
      <c r="A81" s="4" t="str">
        <v>IA Lin</v>
      </c>
      <c r="B81" s="14">
        <f ca="1"/>
        <v>123.12461561981884</v>
      </c>
      <c r="C81" s="14">
        <f ca="1"/>
        <v>127.87774576472447</v>
      </c>
      <c r="D81" s="14">
        <f ca="1"/>
        <v>132.63087590963011</v>
      </c>
      <c r="E81" s="14">
        <f ca="1"/>
        <v>137.19476273699667</v>
      </c>
      <c r="F81" s="14">
        <f ca="1"/>
        <v>150.7712200616993</v>
      </c>
      <c r="G81" s="14">
        <f ca="1"/>
        <v>169.03284158816098</v>
      </c>
      <c r="H81" s="14">
        <f ca="1"/>
        <v>191.32886988371919</v>
      </c>
      <c r="I81" s="14">
        <f ca="1"/>
        <v>200.99460176845437</v>
      </c>
      <c r="J81" s="14">
        <f ca="1"/>
        <v>192.97575950612435</v>
      </c>
      <c r="K81" s="14">
        <f ca="1"/>
        <v>184.06857667542283</v>
      </c>
      <c r="M81" s="4" t="str">
        <f>'Library data'!$G$138</f>
        <v>% relative to RCP8.5</v>
      </c>
    </row>
    <row r="82" spans="1:13" s="4" customFormat="1" x14ac:dyDescent="0.2">
      <c r="A82" s="4" t="str">
        <v>AF Lin</v>
      </c>
      <c r="B82" s="14">
        <f ca="1"/>
        <v>123.12461561981884</v>
      </c>
      <c r="C82" s="14">
        <f ca="1"/>
        <v>127.87774576472447</v>
      </c>
      <c r="D82" s="14">
        <f ca="1"/>
        <v>132.63087590963011</v>
      </c>
      <c r="E82" s="14">
        <f ca="1"/>
        <v>137.19476273699667</v>
      </c>
      <c r="F82" s="14">
        <f ca="1"/>
        <v>150.7712200616993</v>
      </c>
      <c r="G82" s="14">
        <f ca="1"/>
        <v>169.03284158816098</v>
      </c>
      <c r="H82" s="14">
        <f ca="1"/>
        <v>191.32886988371919</v>
      </c>
      <c r="I82" s="14">
        <f ca="1"/>
        <v>200.99460176845437</v>
      </c>
      <c r="J82" s="14">
        <f ca="1"/>
        <v>192.97575950612435</v>
      </c>
      <c r="K82" s="14">
        <f ca="1"/>
        <v>184.06857667542283</v>
      </c>
      <c r="M82" s="4" t="str">
        <f>'Library data'!$G$138</f>
        <v>% relative to RCP8.5</v>
      </c>
    </row>
    <row r="83" spans="1:13" s="4" customFormat="1" ht="13.5" thickBot="1" x14ac:dyDescent="0.25">
      <c r="A83" s="4" t="str">
        <v>LA Lin</v>
      </c>
      <c r="B83" s="16">
        <f ca="1"/>
        <v>123.12461561981884</v>
      </c>
      <c r="C83" s="16">
        <f ca="1"/>
        <v>127.87774576472447</v>
      </c>
      <c r="D83" s="16">
        <f ca="1"/>
        <v>132.63087590963011</v>
      </c>
      <c r="E83" s="16">
        <f ca="1"/>
        <v>137.19476273699667</v>
      </c>
      <c r="F83" s="16">
        <f ca="1"/>
        <v>150.7712200616993</v>
      </c>
      <c r="G83" s="16">
        <f ca="1"/>
        <v>169.03284158816098</v>
      </c>
      <c r="H83" s="16">
        <f ca="1"/>
        <v>191.32886988371919</v>
      </c>
      <c r="I83" s="16">
        <f ca="1"/>
        <v>200.99460176845437</v>
      </c>
      <c r="J83" s="16">
        <f ca="1"/>
        <v>192.97575950612435</v>
      </c>
      <c r="K83" s="16">
        <f ca="1"/>
        <v>184.06857667542283</v>
      </c>
      <c r="M83" s="4" t="str">
        <f>'Library data'!$G$138</f>
        <v>% relative to RCP8.5</v>
      </c>
    </row>
    <row r="84" spans="1:13" s="2" customFormat="1" ht="15" thickTop="1" x14ac:dyDescent="0.25">
      <c r="A84" s="2" t="s">
        <v>103</v>
      </c>
      <c r="B84" s="2" t="s">
        <v>104</v>
      </c>
    </row>
    <row r="85" spans="1:13" s="6" customFormat="1" x14ac:dyDescent="0.2">
      <c r="A85" s="4" t="str">
        <f t="array" ref="A85:A92">R_CODE&amp;" "&amp;'Base data'!$B$12</f>
        <v>EU CO2</v>
      </c>
      <c r="B85" s="265">
        <f t="array" aca="1" ref="B85:B92" ca="1">IF(ZC_CO2_1&lt;er_co2_1_b,0,ZC_CO2_1-er_co2_1_b)</f>
        <v>0</v>
      </c>
      <c r="C85" s="265">
        <f t="array" aca="1" ref="C85:K92" ca="1">IF(ZC_CO2_NOT_1-er_co2_not_1_b&lt;0,0,ZC_CO2_NOT_1-er_co2_not_1_b)</f>
        <v>0</v>
      </c>
      <c r="D85" s="265">
        <f ca="1"/>
        <v>0</v>
      </c>
      <c r="E85" s="265">
        <f ca="1"/>
        <v>0</v>
      </c>
      <c r="F85" s="265">
        <f ca="1"/>
        <v>0</v>
      </c>
      <c r="G85" s="265">
        <f ca="1"/>
        <v>0</v>
      </c>
      <c r="H85" s="265">
        <f ca="1"/>
        <v>0</v>
      </c>
      <c r="I85" s="265">
        <f ca="1"/>
        <v>0</v>
      </c>
      <c r="J85" s="265">
        <f ca="1"/>
        <v>0</v>
      </c>
      <c r="K85" s="265">
        <f ca="1"/>
        <v>0</v>
      </c>
      <c r="M85" s="4" t="str">
        <f>'Library data'!$G$138</f>
        <v>% relative to RCP8.5</v>
      </c>
    </row>
    <row r="86" spans="1:13" s="6" customFormat="1" x14ac:dyDescent="0.2">
      <c r="A86" s="4" t="str">
        <v>US CO2</v>
      </c>
      <c r="B86" s="264">
        <f ca="1"/>
        <v>0</v>
      </c>
      <c r="C86" s="264">
        <f ca="1"/>
        <v>0</v>
      </c>
      <c r="D86" s="264">
        <f ca="1"/>
        <v>0</v>
      </c>
      <c r="E86" s="264">
        <f ca="1"/>
        <v>0</v>
      </c>
      <c r="F86" s="264">
        <f ca="1"/>
        <v>0</v>
      </c>
      <c r="G86" s="264">
        <f ca="1"/>
        <v>0</v>
      </c>
      <c r="H86" s="264">
        <f ca="1"/>
        <v>0</v>
      </c>
      <c r="I86" s="264">
        <f ca="1"/>
        <v>0</v>
      </c>
      <c r="J86" s="264">
        <f ca="1"/>
        <v>0</v>
      </c>
      <c r="K86" s="264">
        <f ca="1"/>
        <v>0</v>
      </c>
      <c r="M86" s="4" t="str">
        <f>'Library data'!$G$138</f>
        <v>% relative to RCP8.5</v>
      </c>
    </row>
    <row r="87" spans="1:13" s="6" customFormat="1" x14ac:dyDescent="0.2">
      <c r="A87" s="4" t="str">
        <v>OT CO2</v>
      </c>
      <c r="B87" s="264">
        <f ca="1"/>
        <v>0</v>
      </c>
      <c r="C87" s="264">
        <f ca="1"/>
        <v>0</v>
      </c>
      <c r="D87" s="264">
        <f ca="1"/>
        <v>0</v>
      </c>
      <c r="E87" s="264">
        <f ca="1"/>
        <v>0</v>
      </c>
      <c r="F87" s="264">
        <f ca="1"/>
        <v>0</v>
      </c>
      <c r="G87" s="264">
        <f ca="1"/>
        <v>0</v>
      </c>
      <c r="H87" s="264">
        <f ca="1"/>
        <v>0</v>
      </c>
      <c r="I87" s="264">
        <f ca="1"/>
        <v>0</v>
      </c>
      <c r="J87" s="264">
        <f ca="1"/>
        <v>0</v>
      </c>
      <c r="K87" s="264">
        <f ca="1"/>
        <v>0</v>
      </c>
      <c r="M87" s="4" t="str">
        <f>'Library data'!$G$138</f>
        <v>% relative to RCP8.5</v>
      </c>
    </row>
    <row r="88" spans="1:13" s="6" customFormat="1" x14ac:dyDescent="0.2">
      <c r="A88" s="4" t="str">
        <v>EE CO2</v>
      </c>
      <c r="B88" s="264">
        <f ca="1"/>
        <v>0</v>
      </c>
      <c r="C88" s="264">
        <f ca="1"/>
        <v>0</v>
      </c>
      <c r="D88" s="264">
        <f ca="1"/>
        <v>0</v>
      </c>
      <c r="E88" s="264">
        <f ca="1"/>
        <v>0</v>
      </c>
      <c r="F88" s="264">
        <f ca="1"/>
        <v>0</v>
      </c>
      <c r="G88" s="264">
        <f ca="1"/>
        <v>0</v>
      </c>
      <c r="H88" s="264">
        <f ca="1"/>
        <v>0</v>
      </c>
      <c r="I88" s="264">
        <f ca="1"/>
        <v>0</v>
      </c>
      <c r="J88" s="264">
        <f ca="1"/>
        <v>0</v>
      </c>
      <c r="K88" s="264">
        <f ca="1"/>
        <v>0</v>
      </c>
      <c r="M88" s="4" t="str">
        <f>'Library data'!$G$138</f>
        <v>% relative to RCP8.5</v>
      </c>
    </row>
    <row r="89" spans="1:13" s="6" customFormat="1" x14ac:dyDescent="0.2">
      <c r="A89" s="4" t="str">
        <v>CA CO2</v>
      </c>
      <c r="B89" s="264">
        <f ca="1"/>
        <v>0</v>
      </c>
      <c r="C89" s="264">
        <f ca="1"/>
        <v>0</v>
      </c>
      <c r="D89" s="264">
        <f ca="1"/>
        <v>0</v>
      </c>
      <c r="E89" s="264">
        <f ca="1"/>
        <v>0</v>
      </c>
      <c r="F89" s="264">
        <f ca="1"/>
        <v>0</v>
      </c>
      <c r="G89" s="264">
        <f ca="1"/>
        <v>0</v>
      </c>
      <c r="H89" s="264">
        <f ca="1"/>
        <v>0</v>
      </c>
      <c r="I89" s="264">
        <f ca="1"/>
        <v>0</v>
      </c>
      <c r="J89" s="264">
        <f ca="1"/>
        <v>0</v>
      </c>
      <c r="K89" s="264">
        <f ca="1"/>
        <v>0</v>
      </c>
      <c r="M89" s="4" t="str">
        <f>'Library data'!$G$138</f>
        <v>% relative to RCP8.5</v>
      </c>
    </row>
    <row r="90" spans="1:13" s="6" customFormat="1" x14ac:dyDescent="0.2">
      <c r="A90" s="4" t="str">
        <v>IA CO2</v>
      </c>
      <c r="B90" s="264">
        <f ca="1"/>
        <v>0</v>
      </c>
      <c r="C90" s="264">
        <f ca="1"/>
        <v>0</v>
      </c>
      <c r="D90" s="264">
        <f ca="1"/>
        <v>0</v>
      </c>
      <c r="E90" s="264">
        <f ca="1"/>
        <v>0</v>
      </c>
      <c r="F90" s="264">
        <f ca="1"/>
        <v>0</v>
      </c>
      <c r="G90" s="264">
        <f ca="1"/>
        <v>0</v>
      </c>
      <c r="H90" s="264">
        <f ca="1"/>
        <v>0</v>
      </c>
      <c r="I90" s="264">
        <f ca="1"/>
        <v>0</v>
      </c>
      <c r="J90" s="264">
        <f ca="1"/>
        <v>0</v>
      </c>
      <c r="K90" s="264">
        <f ca="1"/>
        <v>0</v>
      </c>
      <c r="M90" s="4" t="str">
        <f>'Library data'!$G$138</f>
        <v>% relative to RCP8.5</v>
      </c>
    </row>
    <row r="91" spans="1:13" s="6" customFormat="1" x14ac:dyDescent="0.2">
      <c r="A91" s="4" t="str">
        <v>AF CO2</v>
      </c>
      <c r="B91" s="264">
        <f ca="1"/>
        <v>0</v>
      </c>
      <c r="C91" s="264">
        <f ca="1"/>
        <v>0</v>
      </c>
      <c r="D91" s="264">
        <f ca="1"/>
        <v>0</v>
      </c>
      <c r="E91" s="264">
        <f ca="1"/>
        <v>0</v>
      </c>
      <c r="F91" s="264">
        <f ca="1"/>
        <v>0</v>
      </c>
      <c r="G91" s="264">
        <f ca="1"/>
        <v>0</v>
      </c>
      <c r="H91" s="264">
        <f ca="1"/>
        <v>0</v>
      </c>
      <c r="I91" s="264">
        <f ca="1"/>
        <v>0</v>
      </c>
      <c r="J91" s="264">
        <f ca="1"/>
        <v>0</v>
      </c>
      <c r="K91" s="264">
        <f ca="1"/>
        <v>0</v>
      </c>
      <c r="M91" s="4" t="str">
        <f>'Library data'!$G$138</f>
        <v>% relative to RCP8.5</v>
      </c>
    </row>
    <row r="92" spans="1:13" s="6" customFormat="1" ht="13.5" thickBot="1" x14ac:dyDescent="0.25">
      <c r="A92" s="4" t="str">
        <v>LA CO2</v>
      </c>
      <c r="B92" s="266">
        <f ca="1"/>
        <v>0</v>
      </c>
      <c r="C92" s="266">
        <f ca="1"/>
        <v>0</v>
      </c>
      <c r="D92" s="266">
        <f ca="1"/>
        <v>0</v>
      </c>
      <c r="E92" s="266">
        <f ca="1"/>
        <v>0</v>
      </c>
      <c r="F92" s="266">
        <f ca="1"/>
        <v>0</v>
      </c>
      <c r="G92" s="266">
        <f ca="1"/>
        <v>0</v>
      </c>
      <c r="H92" s="266">
        <f ca="1"/>
        <v>0</v>
      </c>
      <c r="I92" s="266">
        <f ca="1"/>
        <v>0</v>
      </c>
      <c r="J92" s="266">
        <f ca="1"/>
        <v>0</v>
      </c>
      <c r="K92" s="266">
        <f ca="1"/>
        <v>0</v>
      </c>
      <c r="M92" s="4" t="str">
        <f>'Library data'!$G$138</f>
        <v>% relative to RCP8.5</v>
      </c>
    </row>
    <row r="93" spans="1:13" s="8" customFormat="1" ht="15" thickTop="1" x14ac:dyDescent="0.25">
      <c r="A93" s="8" t="s">
        <v>103</v>
      </c>
      <c r="B93" s="8" t="s">
        <v>105</v>
      </c>
    </row>
    <row r="94" spans="1:13" s="7" customFormat="1" x14ac:dyDescent="0.2">
      <c r="A94" s="4" t="str">
        <f t="array" ref="A94:A101">R_CODE&amp;" "&amp;'Base data'!$C$12</f>
        <v>EU CH4</v>
      </c>
      <c r="B94" s="265">
        <f t="array" aca="1" ref="B94:B101" ca="1">IF(ZC_CH4_1&lt;er_ch4_1_b,0,ZC_CH4_1-er_ch4_1_b)</f>
        <v>0</v>
      </c>
      <c r="C94" s="265">
        <f t="array" aca="1" ref="C94:K101" ca="1">IF(ZC_CH4_NOT_1-er_ch4_not_1_b&lt;0,0,ZC_CH4_NOT_1-er_ch4_not_1_b)</f>
        <v>0</v>
      </c>
      <c r="D94" s="265">
        <f ca="1"/>
        <v>0</v>
      </c>
      <c r="E94" s="265">
        <f ca="1"/>
        <v>0</v>
      </c>
      <c r="F94" s="265">
        <f ca="1"/>
        <v>0</v>
      </c>
      <c r="G94" s="265">
        <f ca="1"/>
        <v>0</v>
      </c>
      <c r="H94" s="265">
        <f ca="1"/>
        <v>0</v>
      </c>
      <c r="I94" s="265">
        <f ca="1"/>
        <v>0</v>
      </c>
      <c r="J94" s="265">
        <f ca="1"/>
        <v>0</v>
      </c>
      <c r="K94" s="265">
        <f ca="1"/>
        <v>0</v>
      </c>
      <c r="M94" s="4" t="str">
        <f>'Library data'!$G$138</f>
        <v>% relative to RCP8.5</v>
      </c>
    </row>
    <row r="95" spans="1:13" s="7" customFormat="1" x14ac:dyDescent="0.2">
      <c r="A95" s="4" t="str">
        <v>US CH4</v>
      </c>
      <c r="B95" s="264">
        <f ca="1"/>
        <v>0</v>
      </c>
      <c r="C95" s="264">
        <f ca="1"/>
        <v>0</v>
      </c>
      <c r="D95" s="264">
        <f ca="1"/>
        <v>0</v>
      </c>
      <c r="E95" s="264">
        <f ca="1"/>
        <v>0</v>
      </c>
      <c r="F95" s="264">
        <f ca="1"/>
        <v>0</v>
      </c>
      <c r="G95" s="264">
        <f ca="1"/>
        <v>0</v>
      </c>
      <c r="H95" s="264">
        <f ca="1"/>
        <v>0</v>
      </c>
      <c r="I95" s="264">
        <f ca="1"/>
        <v>0</v>
      </c>
      <c r="J95" s="264">
        <f ca="1"/>
        <v>0</v>
      </c>
      <c r="K95" s="264">
        <f ca="1"/>
        <v>0</v>
      </c>
      <c r="M95" s="4" t="str">
        <f>'Library data'!$G$138</f>
        <v>% relative to RCP8.5</v>
      </c>
    </row>
    <row r="96" spans="1:13" s="7" customFormat="1" x14ac:dyDescent="0.2">
      <c r="A96" s="4" t="str">
        <v>OT CH4</v>
      </c>
      <c r="B96" s="264">
        <f ca="1"/>
        <v>0</v>
      </c>
      <c r="C96" s="264">
        <f ca="1"/>
        <v>0</v>
      </c>
      <c r="D96" s="264">
        <f ca="1"/>
        <v>0</v>
      </c>
      <c r="E96" s="264">
        <f ca="1"/>
        <v>0</v>
      </c>
      <c r="F96" s="264">
        <f ca="1"/>
        <v>0</v>
      </c>
      <c r="G96" s="264">
        <f ca="1"/>
        <v>0</v>
      </c>
      <c r="H96" s="264">
        <f ca="1"/>
        <v>0</v>
      </c>
      <c r="I96" s="264">
        <f ca="1"/>
        <v>0</v>
      </c>
      <c r="J96" s="264">
        <f ca="1"/>
        <v>0</v>
      </c>
      <c r="K96" s="264">
        <f ca="1"/>
        <v>0</v>
      </c>
      <c r="M96" s="4" t="str">
        <f>'Library data'!$G$138</f>
        <v>% relative to RCP8.5</v>
      </c>
    </row>
    <row r="97" spans="1:13" s="7" customFormat="1" x14ac:dyDescent="0.2">
      <c r="A97" s="4" t="str">
        <v>EE CH4</v>
      </c>
      <c r="B97" s="264">
        <f ca="1"/>
        <v>0</v>
      </c>
      <c r="C97" s="264">
        <f ca="1"/>
        <v>0</v>
      </c>
      <c r="D97" s="264">
        <f ca="1"/>
        <v>0</v>
      </c>
      <c r="E97" s="264">
        <f ca="1"/>
        <v>0</v>
      </c>
      <c r="F97" s="264">
        <f ca="1"/>
        <v>0</v>
      </c>
      <c r="G97" s="264">
        <f ca="1"/>
        <v>0</v>
      </c>
      <c r="H97" s="264">
        <f ca="1"/>
        <v>0</v>
      </c>
      <c r="I97" s="264">
        <f ca="1"/>
        <v>0</v>
      </c>
      <c r="J97" s="264">
        <f ca="1"/>
        <v>0</v>
      </c>
      <c r="K97" s="264">
        <f ca="1"/>
        <v>0</v>
      </c>
      <c r="M97" s="4" t="str">
        <f>'Library data'!$G$138</f>
        <v>% relative to RCP8.5</v>
      </c>
    </row>
    <row r="98" spans="1:13" s="7" customFormat="1" x14ac:dyDescent="0.2">
      <c r="A98" s="4" t="str">
        <v>CA CH4</v>
      </c>
      <c r="B98" s="264">
        <f ca="1"/>
        <v>0</v>
      </c>
      <c r="C98" s="264">
        <f ca="1"/>
        <v>0</v>
      </c>
      <c r="D98" s="264">
        <f ca="1"/>
        <v>0</v>
      </c>
      <c r="E98" s="264">
        <f ca="1"/>
        <v>0</v>
      </c>
      <c r="F98" s="264">
        <f ca="1"/>
        <v>0</v>
      </c>
      <c r="G98" s="264">
        <f ca="1"/>
        <v>0</v>
      </c>
      <c r="H98" s="264">
        <f ca="1"/>
        <v>0</v>
      </c>
      <c r="I98" s="264">
        <f ca="1"/>
        <v>0</v>
      </c>
      <c r="J98" s="264">
        <f ca="1"/>
        <v>0</v>
      </c>
      <c r="K98" s="264">
        <f ca="1"/>
        <v>0</v>
      </c>
      <c r="M98" s="4" t="str">
        <f>'Library data'!$G$138</f>
        <v>% relative to RCP8.5</v>
      </c>
    </row>
    <row r="99" spans="1:13" s="7" customFormat="1" x14ac:dyDescent="0.2">
      <c r="A99" s="4" t="str">
        <v>IA CH4</v>
      </c>
      <c r="B99" s="264">
        <f ca="1"/>
        <v>0</v>
      </c>
      <c r="C99" s="264">
        <f ca="1"/>
        <v>0</v>
      </c>
      <c r="D99" s="264">
        <f ca="1"/>
        <v>0</v>
      </c>
      <c r="E99" s="264">
        <f ca="1"/>
        <v>0</v>
      </c>
      <c r="F99" s="264">
        <f ca="1"/>
        <v>0</v>
      </c>
      <c r="G99" s="264">
        <f ca="1"/>
        <v>0</v>
      </c>
      <c r="H99" s="264">
        <f ca="1"/>
        <v>0</v>
      </c>
      <c r="I99" s="264">
        <f ca="1"/>
        <v>0</v>
      </c>
      <c r="J99" s="264">
        <f ca="1"/>
        <v>0</v>
      </c>
      <c r="K99" s="264">
        <f ca="1"/>
        <v>0</v>
      </c>
      <c r="M99" s="4" t="str">
        <f>'Library data'!$G$138</f>
        <v>% relative to RCP8.5</v>
      </c>
    </row>
    <row r="100" spans="1:13" s="7" customFormat="1" x14ac:dyDescent="0.2">
      <c r="A100" s="4" t="str">
        <v>AF CH4</v>
      </c>
      <c r="B100" s="264">
        <f ca="1"/>
        <v>0</v>
      </c>
      <c r="C100" s="264">
        <f ca="1"/>
        <v>0</v>
      </c>
      <c r="D100" s="264">
        <f ca="1"/>
        <v>0</v>
      </c>
      <c r="E100" s="264">
        <f ca="1"/>
        <v>0</v>
      </c>
      <c r="F100" s="264">
        <f ca="1"/>
        <v>0</v>
      </c>
      <c r="G100" s="264">
        <f ca="1"/>
        <v>0</v>
      </c>
      <c r="H100" s="264">
        <f ca="1"/>
        <v>0</v>
      </c>
      <c r="I100" s="264">
        <f ca="1"/>
        <v>0</v>
      </c>
      <c r="J100" s="264">
        <f ca="1"/>
        <v>0</v>
      </c>
      <c r="K100" s="264">
        <f ca="1"/>
        <v>0</v>
      </c>
      <c r="M100" s="4" t="str">
        <f>'Library data'!$G$138</f>
        <v>% relative to RCP8.5</v>
      </c>
    </row>
    <row r="101" spans="1:13" s="7" customFormat="1" ht="13.5" thickBot="1" x14ac:dyDescent="0.25">
      <c r="A101" s="4" t="str">
        <v>LA CH4</v>
      </c>
      <c r="B101" s="266">
        <f ca="1"/>
        <v>0</v>
      </c>
      <c r="C101" s="266">
        <f ca="1"/>
        <v>0</v>
      </c>
      <c r="D101" s="266">
        <f ca="1"/>
        <v>0</v>
      </c>
      <c r="E101" s="266">
        <f ca="1"/>
        <v>0</v>
      </c>
      <c r="F101" s="266">
        <f ca="1"/>
        <v>0</v>
      </c>
      <c r="G101" s="266">
        <f ca="1"/>
        <v>0</v>
      </c>
      <c r="H101" s="266">
        <f ca="1"/>
        <v>0</v>
      </c>
      <c r="I101" s="266">
        <f ca="1"/>
        <v>0</v>
      </c>
      <c r="J101" s="266">
        <f ca="1"/>
        <v>0</v>
      </c>
      <c r="K101" s="266">
        <f ca="1"/>
        <v>0</v>
      </c>
      <c r="M101" s="4" t="str">
        <f>'Library data'!$G$138</f>
        <v>% relative to RCP8.5</v>
      </c>
    </row>
    <row r="102" spans="1:13" s="8" customFormat="1" ht="15" thickTop="1" x14ac:dyDescent="0.25">
      <c r="A102" s="8" t="s">
        <v>103</v>
      </c>
      <c r="B102" s="8" t="s">
        <v>126</v>
      </c>
    </row>
    <row r="103" spans="1:13" s="7" customFormat="1" x14ac:dyDescent="0.2">
      <c r="A103" s="4" t="str">
        <f t="array" ref="A103:A110">R_CODE&amp;" "&amp;'Base data'!$D$12</f>
        <v>EU N2O</v>
      </c>
      <c r="B103" s="265">
        <f t="array" aca="1" ref="B103:B110" ca="1">IF(ZC_N2O_1&lt;er_n2o_1_b,0,ZC_N2O_1-er_n2o_1_b)</f>
        <v>0</v>
      </c>
      <c r="C103" s="265">
        <f t="array" aca="1" ref="C103:K110" ca="1">IF(ZC_N2O_NOT_1-er_n2o_not_1_b&lt;0,0,ZC_N2O_NOT_1-er_n2o_not_1_b)</f>
        <v>0</v>
      </c>
      <c r="D103" s="265">
        <f ca="1"/>
        <v>0</v>
      </c>
      <c r="E103" s="265">
        <f ca="1"/>
        <v>0</v>
      </c>
      <c r="F103" s="265">
        <f ca="1"/>
        <v>0</v>
      </c>
      <c r="G103" s="265">
        <f ca="1"/>
        <v>0</v>
      </c>
      <c r="H103" s="265">
        <f ca="1"/>
        <v>0</v>
      </c>
      <c r="I103" s="265">
        <f ca="1"/>
        <v>0</v>
      </c>
      <c r="J103" s="265">
        <f ca="1"/>
        <v>0</v>
      </c>
      <c r="K103" s="265">
        <f ca="1"/>
        <v>0</v>
      </c>
      <c r="M103" s="4" t="str">
        <f>'Library data'!$G$138</f>
        <v>% relative to RCP8.5</v>
      </c>
    </row>
    <row r="104" spans="1:13" s="7" customFormat="1" x14ac:dyDescent="0.2">
      <c r="A104" s="4" t="str">
        <v>US N2O</v>
      </c>
      <c r="B104" s="264">
        <f ca="1"/>
        <v>0</v>
      </c>
      <c r="C104" s="264">
        <f ca="1"/>
        <v>0</v>
      </c>
      <c r="D104" s="264">
        <f ca="1"/>
        <v>0</v>
      </c>
      <c r="E104" s="264">
        <f ca="1"/>
        <v>0</v>
      </c>
      <c r="F104" s="264">
        <f ca="1"/>
        <v>0</v>
      </c>
      <c r="G104" s="264">
        <f ca="1"/>
        <v>0</v>
      </c>
      <c r="H104" s="264">
        <f ca="1"/>
        <v>0</v>
      </c>
      <c r="I104" s="264">
        <f ca="1"/>
        <v>0</v>
      </c>
      <c r="J104" s="264">
        <f ca="1"/>
        <v>0</v>
      </c>
      <c r="K104" s="264">
        <f ca="1"/>
        <v>0</v>
      </c>
      <c r="M104" s="4" t="str">
        <f>'Library data'!$G$138</f>
        <v>% relative to RCP8.5</v>
      </c>
    </row>
    <row r="105" spans="1:13" s="7" customFormat="1" x14ac:dyDescent="0.2">
      <c r="A105" s="4" t="str">
        <v>OT N2O</v>
      </c>
      <c r="B105" s="264">
        <f ca="1"/>
        <v>0</v>
      </c>
      <c r="C105" s="264">
        <f ca="1"/>
        <v>0</v>
      </c>
      <c r="D105" s="264">
        <f ca="1"/>
        <v>0</v>
      </c>
      <c r="E105" s="264">
        <f ca="1"/>
        <v>0</v>
      </c>
      <c r="F105" s="264">
        <f ca="1"/>
        <v>0</v>
      </c>
      <c r="G105" s="264">
        <f ca="1"/>
        <v>0</v>
      </c>
      <c r="H105" s="264">
        <f ca="1"/>
        <v>0</v>
      </c>
      <c r="I105" s="264">
        <f ca="1"/>
        <v>0</v>
      </c>
      <c r="J105" s="264">
        <f ca="1"/>
        <v>0</v>
      </c>
      <c r="K105" s="264">
        <f ca="1"/>
        <v>0</v>
      </c>
      <c r="M105" s="4" t="str">
        <f>'Library data'!$G$138</f>
        <v>% relative to RCP8.5</v>
      </c>
    </row>
    <row r="106" spans="1:13" s="7" customFormat="1" x14ac:dyDescent="0.2">
      <c r="A106" s="4" t="str">
        <v>EE N2O</v>
      </c>
      <c r="B106" s="264">
        <f ca="1"/>
        <v>0</v>
      </c>
      <c r="C106" s="264">
        <f ca="1"/>
        <v>0</v>
      </c>
      <c r="D106" s="264">
        <f ca="1"/>
        <v>0</v>
      </c>
      <c r="E106" s="264">
        <f ca="1"/>
        <v>0</v>
      </c>
      <c r="F106" s="264">
        <f ca="1"/>
        <v>0</v>
      </c>
      <c r="G106" s="264">
        <f ca="1"/>
        <v>0</v>
      </c>
      <c r="H106" s="264">
        <f ca="1"/>
        <v>0</v>
      </c>
      <c r="I106" s="264">
        <f ca="1"/>
        <v>0</v>
      </c>
      <c r="J106" s="264">
        <f ca="1"/>
        <v>0</v>
      </c>
      <c r="K106" s="264">
        <f ca="1"/>
        <v>0</v>
      </c>
      <c r="M106" s="4" t="str">
        <f>'Library data'!$G$138</f>
        <v>% relative to RCP8.5</v>
      </c>
    </row>
    <row r="107" spans="1:13" s="7" customFormat="1" x14ac:dyDescent="0.2">
      <c r="A107" s="4" t="str">
        <v>CA N2O</v>
      </c>
      <c r="B107" s="264">
        <f ca="1"/>
        <v>0</v>
      </c>
      <c r="C107" s="264">
        <f ca="1"/>
        <v>0</v>
      </c>
      <c r="D107" s="264">
        <f ca="1"/>
        <v>0</v>
      </c>
      <c r="E107" s="264">
        <f ca="1"/>
        <v>0</v>
      </c>
      <c r="F107" s="264">
        <f ca="1"/>
        <v>0</v>
      </c>
      <c r="G107" s="264">
        <f ca="1"/>
        <v>0</v>
      </c>
      <c r="H107" s="264">
        <f ca="1"/>
        <v>0</v>
      </c>
      <c r="I107" s="264">
        <f ca="1"/>
        <v>0</v>
      </c>
      <c r="J107" s="264">
        <f ca="1"/>
        <v>0</v>
      </c>
      <c r="K107" s="264">
        <f ca="1"/>
        <v>0</v>
      </c>
      <c r="M107" s="4" t="str">
        <f>'Library data'!$G$138</f>
        <v>% relative to RCP8.5</v>
      </c>
    </row>
    <row r="108" spans="1:13" s="7" customFormat="1" x14ac:dyDescent="0.2">
      <c r="A108" s="4" t="str">
        <v>IA N2O</v>
      </c>
      <c r="B108" s="264">
        <f ca="1"/>
        <v>0</v>
      </c>
      <c r="C108" s="264">
        <f ca="1"/>
        <v>0</v>
      </c>
      <c r="D108" s="264">
        <f ca="1"/>
        <v>0</v>
      </c>
      <c r="E108" s="264">
        <f ca="1"/>
        <v>0</v>
      </c>
      <c r="F108" s="264">
        <f ca="1"/>
        <v>0</v>
      </c>
      <c r="G108" s="264">
        <f ca="1"/>
        <v>0</v>
      </c>
      <c r="H108" s="264">
        <f ca="1"/>
        <v>0</v>
      </c>
      <c r="I108" s="264">
        <f ca="1"/>
        <v>0</v>
      </c>
      <c r="J108" s="264">
        <f ca="1"/>
        <v>0</v>
      </c>
      <c r="K108" s="264">
        <f ca="1"/>
        <v>0</v>
      </c>
      <c r="M108" s="4" t="str">
        <f>'Library data'!$G$138</f>
        <v>% relative to RCP8.5</v>
      </c>
    </row>
    <row r="109" spans="1:13" s="7" customFormat="1" x14ac:dyDescent="0.2">
      <c r="A109" s="4" t="str">
        <v>AF N2O</v>
      </c>
      <c r="B109" s="264">
        <f ca="1"/>
        <v>0</v>
      </c>
      <c r="C109" s="264">
        <f ca="1"/>
        <v>0</v>
      </c>
      <c r="D109" s="264">
        <f ca="1"/>
        <v>0</v>
      </c>
      <c r="E109" s="264">
        <f ca="1"/>
        <v>0</v>
      </c>
      <c r="F109" s="264">
        <f ca="1"/>
        <v>0</v>
      </c>
      <c r="G109" s="264">
        <f ca="1"/>
        <v>0</v>
      </c>
      <c r="H109" s="264">
        <f ca="1"/>
        <v>0</v>
      </c>
      <c r="I109" s="264">
        <f ca="1"/>
        <v>0</v>
      </c>
      <c r="J109" s="264">
        <f ca="1"/>
        <v>0</v>
      </c>
      <c r="K109" s="264">
        <f ca="1"/>
        <v>0</v>
      </c>
      <c r="M109" s="4" t="str">
        <f>'Library data'!$G$138</f>
        <v>% relative to RCP8.5</v>
      </c>
    </row>
    <row r="110" spans="1:13" s="7" customFormat="1" ht="13.5" thickBot="1" x14ac:dyDescent="0.25">
      <c r="A110" s="4" t="str">
        <v>LA N2O</v>
      </c>
      <c r="B110" s="266">
        <f ca="1"/>
        <v>0</v>
      </c>
      <c r="C110" s="266">
        <f ca="1"/>
        <v>0</v>
      </c>
      <c r="D110" s="266">
        <f ca="1"/>
        <v>0</v>
      </c>
      <c r="E110" s="266">
        <f ca="1"/>
        <v>0</v>
      </c>
      <c r="F110" s="266">
        <f ca="1"/>
        <v>0</v>
      </c>
      <c r="G110" s="266">
        <f ca="1"/>
        <v>0</v>
      </c>
      <c r="H110" s="266">
        <f ca="1"/>
        <v>0</v>
      </c>
      <c r="I110" s="266">
        <f ca="1"/>
        <v>0</v>
      </c>
      <c r="J110" s="266">
        <f ca="1"/>
        <v>0</v>
      </c>
      <c r="K110" s="266">
        <f ca="1"/>
        <v>0</v>
      </c>
      <c r="M110" s="4" t="str">
        <f>'Library data'!$G$138</f>
        <v>% relative to RCP8.5</v>
      </c>
    </row>
    <row r="111" spans="1:13" s="8" customFormat="1" ht="15" thickTop="1" x14ac:dyDescent="0.25">
      <c r="A111" s="8" t="s">
        <v>103</v>
      </c>
      <c r="B111" s="8" t="s">
        <v>261</v>
      </c>
    </row>
    <row r="112" spans="1:13" s="7" customFormat="1" x14ac:dyDescent="0.2">
      <c r="A112" s="4" t="str">
        <f t="array" ref="A112:A119">R_CODE&amp;" "&amp;GLIN_NAME</f>
        <v>EU Lin</v>
      </c>
      <c r="B112" s="265">
        <f t="array" aca="1" ref="B112:B119" ca="1">IF(ZC_GLIN_1&lt;er_glin_1_b,0,ZC_GLIN_1-er_glin_1_b)</f>
        <v>0</v>
      </c>
      <c r="C112" s="265">
        <f t="array" aca="1" ref="C112:K119" ca="1">IF(ZC_GLIN_NOT_1-er_glin_not_1_b&lt;0,0,ZC_GLIN_NOT_1-er_glin_not_1_b)</f>
        <v>0</v>
      </c>
      <c r="D112" s="265">
        <f ca="1"/>
        <v>0</v>
      </c>
      <c r="E112" s="265">
        <f ca="1"/>
        <v>0</v>
      </c>
      <c r="F112" s="265">
        <f ca="1"/>
        <v>0</v>
      </c>
      <c r="G112" s="265">
        <f ca="1"/>
        <v>0</v>
      </c>
      <c r="H112" s="265">
        <f ca="1"/>
        <v>0</v>
      </c>
      <c r="I112" s="265">
        <f ca="1"/>
        <v>0</v>
      </c>
      <c r="J112" s="265">
        <f ca="1"/>
        <v>0</v>
      </c>
      <c r="K112" s="265">
        <f ca="1"/>
        <v>0</v>
      </c>
      <c r="M112" s="4" t="str">
        <f>'Library data'!$G$138</f>
        <v>% relative to RCP8.5</v>
      </c>
    </row>
    <row r="113" spans="1:13" s="7" customFormat="1" x14ac:dyDescent="0.2">
      <c r="A113" s="4" t="str">
        <v>US Lin</v>
      </c>
      <c r="B113" s="264">
        <f ca="1"/>
        <v>0</v>
      </c>
      <c r="C113" s="264">
        <f ca="1"/>
        <v>0</v>
      </c>
      <c r="D113" s="264">
        <f ca="1"/>
        <v>0</v>
      </c>
      <c r="E113" s="264">
        <f ca="1"/>
        <v>0</v>
      </c>
      <c r="F113" s="264">
        <f ca="1"/>
        <v>0</v>
      </c>
      <c r="G113" s="264">
        <f ca="1"/>
        <v>0</v>
      </c>
      <c r="H113" s="264">
        <f ca="1"/>
        <v>0</v>
      </c>
      <c r="I113" s="264">
        <f ca="1"/>
        <v>0</v>
      </c>
      <c r="J113" s="264">
        <f ca="1"/>
        <v>0</v>
      </c>
      <c r="K113" s="264">
        <f ca="1"/>
        <v>0</v>
      </c>
      <c r="M113" s="4" t="str">
        <f>'Library data'!$G$138</f>
        <v>% relative to RCP8.5</v>
      </c>
    </row>
    <row r="114" spans="1:13" s="7" customFormat="1" x14ac:dyDescent="0.2">
      <c r="A114" s="4" t="str">
        <v>OT Lin</v>
      </c>
      <c r="B114" s="264">
        <f ca="1"/>
        <v>0</v>
      </c>
      <c r="C114" s="264">
        <f ca="1"/>
        <v>0</v>
      </c>
      <c r="D114" s="264">
        <f ca="1"/>
        <v>0</v>
      </c>
      <c r="E114" s="264">
        <f ca="1"/>
        <v>0</v>
      </c>
      <c r="F114" s="264">
        <f ca="1"/>
        <v>0</v>
      </c>
      <c r="G114" s="264">
        <f ca="1"/>
        <v>0</v>
      </c>
      <c r="H114" s="264">
        <f ca="1"/>
        <v>0</v>
      </c>
      <c r="I114" s="264">
        <f ca="1"/>
        <v>0</v>
      </c>
      <c r="J114" s="264">
        <f ca="1"/>
        <v>0</v>
      </c>
      <c r="K114" s="264">
        <f ca="1"/>
        <v>0</v>
      </c>
      <c r="M114" s="4" t="str">
        <f>'Library data'!$G$138</f>
        <v>% relative to RCP8.5</v>
      </c>
    </row>
    <row r="115" spans="1:13" s="7" customFormat="1" x14ac:dyDescent="0.2">
      <c r="A115" s="4" t="str">
        <v>EE Lin</v>
      </c>
      <c r="B115" s="264">
        <f ca="1"/>
        <v>0</v>
      </c>
      <c r="C115" s="264">
        <f ca="1"/>
        <v>0</v>
      </c>
      <c r="D115" s="264">
        <f ca="1"/>
        <v>0</v>
      </c>
      <c r="E115" s="264">
        <f ca="1"/>
        <v>0</v>
      </c>
      <c r="F115" s="264">
        <f ca="1"/>
        <v>0</v>
      </c>
      <c r="G115" s="264">
        <f ca="1"/>
        <v>0</v>
      </c>
      <c r="H115" s="264">
        <f ca="1"/>
        <v>0</v>
      </c>
      <c r="I115" s="264">
        <f ca="1"/>
        <v>0</v>
      </c>
      <c r="J115" s="264">
        <f ca="1"/>
        <v>0</v>
      </c>
      <c r="K115" s="264">
        <f ca="1"/>
        <v>0</v>
      </c>
      <c r="M115" s="4" t="str">
        <f>'Library data'!$G$138</f>
        <v>% relative to RCP8.5</v>
      </c>
    </row>
    <row r="116" spans="1:13" s="7" customFormat="1" x14ac:dyDescent="0.2">
      <c r="A116" s="4" t="str">
        <v>CA Lin</v>
      </c>
      <c r="B116" s="264">
        <f ca="1"/>
        <v>0</v>
      </c>
      <c r="C116" s="264">
        <f ca="1"/>
        <v>0</v>
      </c>
      <c r="D116" s="264">
        <f ca="1"/>
        <v>0</v>
      </c>
      <c r="E116" s="264">
        <f ca="1"/>
        <v>0</v>
      </c>
      <c r="F116" s="264">
        <f ca="1"/>
        <v>0</v>
      </c>
      <c r="G116" s="264">
        <f ca="1"/>
        <v>0</v>
      </c>
      <c r="H116" s="264">
        <f ca="1"/>
        <v>0</v>
      </c>
      <c r="I116" s="264">
        <f ca="1"/>
        <v>0</v>
      </c>
      <c r="J116" s="264">
        <f ca="1"/>
        <v>0</v>
      </c>
      <c r="K116" s="264">
        <f ca="1"/>
        <v>0</v>
      </c>
      <c r="M116" s="4" t="str">
        <f>'Library data'!$G$138</f>
        <v>% relative to RCP8.5</v>
      </c>
    </row>
    <row r="117" spans="1:13" s="7" customFormat="1" x14ac:dyDescent="0.2">
      <c r="A117" s="4" t="str">
        <v>IA Lin</v>
      </c>
      <c r="B117" s="264">
        <f ca="1"/>
        <v>0</v>
      </c>
      <c r="C117" s="264">
        <f ca="1"/>
        <v>0</v>
      </c>
      <c r="D117" s="264">
        <f ca="1"/>
        <v>0</v>
      </c>
      <c r="E117" s="264">
        <f ca="1"/>
        <v>0</v>
      </c>
      <c r="F117" s="264">
        <f ca="1"/>
        <v>0</v>
      </c>
      <c r="G117" s="264">
        <f ca="1"/>
        <v>0</v>
      </c>
      <c r="H117" s="264">
        <f ca="1"/>
        <v>0</v>
      </c>
      <c r="I117" s="264">
        <f ca="1"/>
        <v>0</v>
      </c>
      <c r="J117" s="264">
        <f ca="1"/>
        <v>0</v>
      </c>
      <c r="K117" s="264">
        <f ca="1"/>
        <v>0</v>
      </c>
      <c r="M117" s="4" t="str">
        <f>'Library data'!$G$138</f>
        <v>% relative to RCP8.5</v>
      </c>
    </row>
    <row r="118" spans="1:13" s="7" customFormat="1" x14ac:dyDescent="0.2">
      <c r="A118" s="4" t="str">
        <v>AF Lin</v>
      </c>
      <c r="B118" s="264">
        <f ca="1"/>
        <v>0</v>
      </c>
      <c r="C118" s="264">
        <f ca="1"/>
        <v>0</v>
      </c>
      <c r="D118" s="264">
        <f ca="1"/>
        <v>0</v>
      </c>
      <c r="E118" s="264">
        <f ca="1"/>
        <v>0</v>
      </c>
      <c r="F118" s="264">
        <f ca="1"/>
        <v>0</v>
      </c>
      <c r="G118" s="264">
        <f ca="1"/>
        <v>0</v>
      </c>
      <c r="H118" s="264">
        <f ca="1"/>
        <v>0</v>
      </c>
      <c r="I118" s="264">
        <f ca="1"/>
        <v>0</v>
      </c>
      <c r="J118" s="264">
        <f ca="1"/>
        <v>0</v>
      </c>
      <c r="K118" s="264">
        <f ca="1"/>
        <v>0</v>
      </c>
      <c r="M118" s="4" t="str">
        <f>'Library data'!$G$138</f>
        <v>% relative to RCP8.5</v>
      </c>
    </row>
    <row r="119" spans="1:13" s="7" customFormat="1" ht="13.5" thickBot="1" x14ac:dyDescent="0.25">
      <c r="A119" s="4" t="str">
        <v>LA Lin</v>
      </c>
      <c r="B119" s="266">
        <f ca="1"/>
        <v>0</v>
      </c>
      <c r="C119" s="266">
        <f ca="1"/>
        <v>0</v>
      </c>
      <c r="D119" s="266">
        <f ca="1"/>
        <v>0</v>
      </c>
      <c r="E119" s="266">
        <f ca="1"/>
        <v>0</v>
      </c>
      <c r="F119" s="266">
        <f ca="1"/>
        <v>0</v>
      </c>
      <c r="G119" s="266">
        <f ca="1"/>
        <v>0</v>
      </c>
      <c r="H119" s="266">
        <f ca="1"/>
        <v>0</v>
      </c>
      <c r="I119" s="266">
        <f ca="1"/>
        <v>0</v>
      </c>
      <c r="J119" s="266">
        <f ca="1"/>
        <v>0</v>
      </c>
      <c r="K119" s="266">
        <f ca="1"/>
        <v>0</v>
      </c>
      <c r="M119" s="4" t="str">
        <f>'Library data'!$G$138</f>
        <v>% relative to RCP8.5</v>
      </c>
    </row>
    <row r="120" spans="1:13" s="2" customFormat="1" ht="15" thickTop="1" x14ac:dyDescent="0.25">
      <c r="A120" s="2" t="s">
        <v>103</v>
      </c>
      <c r="B120" s="2" t="s">
        <v>284</v>
      </c>
    </row>
    <row r="121" spans="1:13" s="6" customFormat="1" x14ac:dyDescent="0.2">
      <c r="A121" s="4" t="str">
        <f t="array" ref="A121:A128">R_CODE&amp;" "&amp;'Base data'!$B$12</f>
        <v>EU CO2</v>
      </c>
      <c r="B121" s="265">
        <f t="array" aca="1" ref="B121:K128" ca="1">cb_co2_b*E_CO2_0/100</f>
        <v>0</v>
      </c>
      <c r="C121" s="265">
        <f ca="1"/>
        <v>0</v>
      </c>
      <c r="D121" s="265">
        <f ca="1"/>
        <v>0</v>
      </c>
      <c r="E121" s="265">
        <f ca="1"/>
        <v>0</v>
      </c>
      <c r="F121" s="265">
        <f ca="1"/>
        <v>0</v>
      </c>
      <c r="G121" s="265">
        <f ca="1"/>
        <v>0</v>
      </c>
      <c r="H121" s="265">
        <f ca="1"/>
        <v>0</v>
      </c>
      <c r="I121" s="265">
        <f ca="1"/>
        <v>0</v>
      </c>
      <c r="J121" s="265">
        <f ca="1"/>
        <v>0</v>
      </c>
      <c r="K121" s="265">
        <f ca="1"/>
        <v>0</v>
      </c>
      <c r="M121" s="4" t="str">
        <f t="shared" ref="M121:M128" si="0">EMIT_NAME</f>
        <v>Mtonne</v>
      </c>
    </row>
    <row r="122" spans="1:13" s="6" customFormat="1" x14ac:dyDescent="0.2">
      <c r="A122" s="4" t="str">
        <v>US CO2</v>
      </c>
      <c r="B122" s="264">
        <f ca="1"/>
        <v>0</v>
      </c>
      <c r="C122" s="264">
        <f ca="1"/>
        <v>0</v>
      </c>
      <c r="D122" s="264">
        <f ca="1"/>
        <v>0</v>
      </c>
      <c r="E122" s="264">
        <f ca="1"/>
        <v>0</v>
      </c>
      <c r="F122" s="264">
        <f ca="1"/>
        <v>0</v>
      </c>
      <c r="G122" s="264">
        <f ca="1"/>
        <v>0</v>
      </c>
      <c r="H122" s="264">
        <f ca="1"/>
        <v>0</v>
      </c>
      <c r="I122" s="264">
        <f ca="1"/>
        <v>0</v>
      </c>
      <c r="J122" s="264">
        <f ca="1"/>
        <v>0</v>
      </c>
      <c r="K122" s="264">
        <f ca="1"/>
        <v>0</v>
      </c>
      <c r="M122" s="4" t="str">
        <f t="shared" si="0"/>
        <v>Mtonne</v>
      </c>
    </row>
    <row r="123" spans="1:13" s="6" customFormat="1" x14ac:dyDescent="0.2">
      <c r="A123" s="4" t="str">
        <v>OT CO2</v>
      </c>
      <c r="B123" s="264">
        <f ca="1"/>
        <v>0</v>
      </c>
      <c r="C123" s="264">
        <f ca="1"/>
        <v>0</v>
      </c>
      <c r="D123" s="264">
        <f ca="1"/>
        <v>0</v>
      </c>
      <c r="E123" s="264">
        <f ca="1"/>
        <v>0</v>
      </c>
      <c r="F123" s="264">
        <f ca="1"/>
        <v>0</v>
      </c>
      <c r="G123" s="264">
        <f ca="1"/>
        <v>0</v>
      </c>
      <c r="H123" s="264">
        <f ca="1"/>
        <v>0</v>
      </c>
      <c r="I123" s="264">
        <f ca="1"/>
        <v>0</v>
      </c>
      <c r="J123" s="264">
        <f ca="1"/>
        <v>0</v>
      </c>
      <c r="K123" s="264">
        <f ca="1"/>
        <v>0</v>
      </c>
      <c r="M123" s="4" t="str">
        <f t="shared" si="0"/>
        <v>Mtonne</v>
      </c>
    </row>
    <row r="124" spans="1:13" s="6" customFormat="1" x14ac:dyDescent="0.2">
      <c r="A124" s="4" t="str">
        <v>EE CO2</v>
      </c>
      <c r="B124" s="264">
        <f ca="1"/>
        <v>0</v>
      </c>
      <c r="C124" s="264">
        <f ca="1"/>
        <v>0</v>
      </c>
      <c r="D124" s="264">
        <f ca="1"/>
        <v>0</v>
      </c>
      <c r="E124" s="264">
        <f ca="1"/>
        <v>0</v>
      </c>
      <c r="F124" s="264">
        <f ca="1"/>
        <v>0</v>
      </c>
      <c r="G124" s="264">
        <f ca="1"/>
        <v>0</v>
      </c>
      <c r="H124" s="264">
        <f ca="1"/>
        <v>0</v>
      </c>
      <c r="I124" s="264">
        <f ca="1"/>
        <v>0</v>
      </c>
      <c r="J124" s="264">
        <f ca="1"/>
        <v>0</v>
      </c>
      <c r="K124" s="264">
        <f ca="1"/>
        <v>0</v>
      </c>
      <c r="M124" s="4" t="str">
        <f t="shared" si="0"/>
        <v>Mtonne</v>
      </c>
    </row>
    <row r="125" spans="1:13" s="6" customFormat="1" x14ac:dyDescent="0.2">
      <c r="A125" s="4" t="str">
        <v>CA CO2</v>
      </c>
      <c r="B125" s="264">
        <f ca="1"/>
        <v>0</v>
      </c>
      <c r="C125" s="264">
        <f ca="1"/>
        <v>0</v>
      </c>
      <c r="D125" s="264">
        <f ca="1"/>
        <v>0</v>
      </c>
      <c r="E125" s="264">
        <f ca="1"/>
        <v>0</v>
      </c>
      <c r="F125" s="264">
        <f ca="1"/>
        <v>0</v>
      </c>
      <c r="G125" s="264">
        <f ca="1"/>
        <v>0</v>
      </c>
      <c r="H125" s="264">
        <f ca="1"/>
        <v>0</v>
      </c>
      <c r="I125" s="264">
        <f ca="1"/>
        <v>0</v>
      </c>
      <c r="J125" s="264">
        <f ca="1"/>
        <v>0</v>
      </c>
      <c r="K125" s="264">
        <f ca="1"/>
        <v>0</v>
      </c>
      <c r="M125" s="4" t="str">
        <f t="shared" si="0"/>
        <v>Mtonne</v>
      </c>
    </row>
    <row r="126" spans="1:13" s="6" customFormat="1" x14ac:dyDescent="0.2">
      <c r="A126" s="4" t="str">
        <v>IA CO2</v>
      </c>
      <c r="B126" s="264">
        <f ca="1"/>
        <v>0</v>
      </c>
      <c r="C126" s="264">
        <f ca="1"/>
        <v>0</v>
      </c>
      <c r="D126" s="264">
        <f ca="1"/>
        <v>0</v>
      </c>
      <c r="E126" s="264">
        <f ca="1"/>
        <v>0</v>
      </c>
      <c r="F126" s="264">
        <f ca="1"/>
        <v>0</v>
      </c>
      <c r="G126" s="264">
        <f ca="1"/>
        <v>0</v>
      </c>
      <c r="H126" s="264">
        <f ca="1"/>
        <v>0</v>
      </c>
      <c r="I126" s="264">
        <f ca="1"/>
        <v>0</v>
      </c>
      <c r="J126" s="264">
        <f ca="1"/>
        <v>0</v>
      </c>
      <c r="K126" s="264">
        <f ca="1"/>
        <v>0</v>
      </c>
      <c r="M126" s="4" t="str">
        <f t="shared" si="0"/>
        <v>Mtonne</v>
      </c>
    </row>
    <row r="127" spans="1:13" s="6" customFormat="1" x14ac:dyDescent="0.2">
      <c r="A127" s="4" t="str">
        <v>AF CO2</v>
      </c>
      <c r="B127" s="264">
        <f ca="1"/>
        <v>0</v>
      </c>
      <c r="C127" s="264">
        <f ca="1"/>
        <v>0</v>
      </c>
      <c r="D127" s="264">
        <f ca="1"/>
        <v>0</v>
      </c>
      <c r="E127" s="264">
        <f ca="1"/>
        <v>0</v>
      </c>
      <c r="F127" s="264">
        <f ca="1"/>
        <v>0</v>
      </c>
      <c r="G127" s="264">
        <f ca="1"/>
        <v>0</v>
      </c>
      <c r="H127" s="264">
        <f ca="1"/>
        <v>0</v>
      </c>
      <c r="I127" s="264">
        <f ca="1"/>
        <v>0</v>
      </c>
      <c r="J127" s="264">
        <f ca="1"/>
        <v>0</v>
      </c>
      <c r="K127" s="264">
        <f ca="1"/>
        <v>0</v>
      </c>
      <c r="M127" s="4" t="str">
        <f t="shared" si="0"/>
        <v>Mtonne</v>
      </c>
    </row>
    <row r="128" spans="1:13" s="6" customFormat="1" ht="13.5" thickBot="1" x14ac:dyDescent="0.25">
      <c r="A128" s="4" t="str">
        <v>LA CO2</v>
      </c>
      <c r="B128" s="266">
        <f ca="1"/>
        <v>0</v>
      </c>
      <c r="C128" s="266">
        <f ca="1"/>
        <v>0</v>
      </c>
      <c r="D128" s="266">
        <f ca="1"/>
        <v>0</v>
      </c>
      <c r="E128" s="266">
        <f ca="1"/>
        <v>0</v>
      </c>
      <c r="F128" s="266">
        <f ca="1"/>
        <v>0</v>
      </c>
      <c r="G128" s="266">
        <f ca="1"/>
        <v>0</v>
      </c>
      <c r="H128" s="266">
        <f ca="1"/>
        <v>0</v>
      </c>
      <c r="I128" s="266">
        <f ca="1"/>
        <v>0</v>
      </c>
      <c r="J128" s="266">
        <f ca="1"/>
        <v>0</v>
      </c>
      <c r="K128" s="266">
        <f ca="1"/>
        <v>0</v>
      </c>
      <c r="M128" s="4" t="str">
        <f t="shared" si="0"/>
        <v>Mtonne</v>
      </c>
    </row>
    <row r="129" spans="1:13" s="8" customFormat="1" ht="15" thickTop="1" x14ac:dyDescent="0.25">
      <c r="A129" s="8" t="s">
        <v>103</v>
      </c>
      <c r="B129" s="2" t="s">
        <v>285</v>
      </c>
      <c r="C129" s="2"/>
      <c r="D129" s="2"/>
      <c r="E129" s="2"/>
      <c r="F129" s="2"/>
      <c r="G129" s="2"/>
      <c r="H129" s="2"/>
      <c r="I129" s="2"/>
      <c r="J129" s="2"/>
      <c r="K129" s="2"/>
    </row>
    <row r="130" spans="1:13" s="7" customFormat="1" x14ac:dyDescent="0.2">
      <c r="A130" s="4" t="str">
        <f t="array" ref="A130:A137">R_CODE&amp;" "&amp;'Base data'!$C$12</f>
        <v>EU CH4</v>
      </c>
      <c r="B130" s="265">
        <f t="array" aca="1" ref="B130:K137" ca="1">cb_ch4_b*E_CH4_0/100</f>
        <v>0</v>
      </c>
      <c r="C130" s="265">
        <f ca="1"/>
        <v>0</v>
      </c>
      <c r="D130" s="265">
        <f ca="1"/>
        <v>0</v>
      </c>
      <c r="E130" s="265">
        <f ca="1"/>
        <v>0</v>
      </c>
      <c r="F130" s="265">
        <f ca="1"/>
        <v>0</v>
      </c>
      <c r="G130" s="265">
        <f ca="1"/>
        <v>0</v>
      </c>
      <c r="H130" s="265">
        <f ca="1"/>
        <v>0</v>
      </c>
      <c r="I130" s="265">
        <f ca="1"/>
        <v>0</v>
      </c>
      <c r="J130" s="265">
        <f ca="1"/>
        <v>0</v>
      </c>
      <c r="K130" s="265">
        <f ca="1"/>
        <v>0</v>
      </c>
      <c r="M130" s="4" t="str">
        <f t="shared" ref="M130:M137" si="1">EMIT_NAME</f>
        <v>Mtonne</v>
      </c>
    </row>
    <row r="131" spans="1:13" s="7" customFormat="1" x14ac:dyDescent="0.2">
      <c r="A131" s="4" t="str">
        <v>US CH4</v>
      </c>
      <c r="B131" s="264">
        <f ca="1"/>
        <v>0</v>
      </c>
      <c r="C131" s="264">
        <f ca="1"/>
        <v>0</v>
      </c>
      <c r="D131" s="264">
        <f ca="1"/>
        <v>0</v>
      </c>
      <c r="E131" s="264">
        <f ca="1"/>
        <v>0</v>
      </c>
      <c r="F131" s="264">
        <f ca="1"/>
        <v>0</v>
      </c>
      <c r="G131" s="264">
        <f ca="1"/>
        <v>0</v>
      </c>
      <c r="H131" s="264">
        <f ca="1"/>
        <v>0</v>
      </c>
      <c r="I131" s="264">
        <f ca="1"/>
        <v>0</v>
      </c>
      <c r="J131" s="264">
        <f ca="1"/>
        <v>0</v>
      </c>
      <c r="K131" s="264">
        <f ca="1"/>
        <v>0</v>
      </c>
      <c r="M131" s="4" t="str">
        <f t="shared" si="1"/>
        <v>Mtonne</v>
      </c>
    </row>
    <row r="132" spans="1:13" s="7" customFormat="1" x14ac:dyDescent="0.2">
      <c r="A132" s="4" t="str">
        <v>OT CH4</v>
      </c>
      <c r="B132" s="264">
        <f ca="1"/>
        <v>0</v>
      </c>
      <c r="C132" s="264">
        <f ca="1"/>
        <v>0</v>
      </c>
      <c r="D132" s="264">
        <f ca="1"/>
        <v>0</v>
      </c>
      <c r="E132" s="264">
        <f ca="1"/>
        <v>0</v>
      </c>
      <c r="F132" s="264">
        <f ca="1"/>
        <v>0</v>
      </c>
      <c r="G132" s="264">
        <f ca="1"/>
        <v>0</v>
      </c>
      <c r="H132" s="264">
        <f ca="1"/>
        <v>0</v>
      </c>
      <c r="I132" s="264">
        <f ca="1"/>
        <v>0</v>
      </c>
      <c r="J132" s="264">
        <f ca="1"/>
        <v>0</v>
      </c>
      <c r="K132" s="264">
        <f ca="1"/>
        <v>0</v>
      </c>
      <c r="M132" s="4" t="str">
        <f t="shared" si="1"/>
        <v>Mtonne</v>
      </c>
    </row>
    <row r="133" spans="1:13" s="7" customFormat="1" x14ac:dyDescent="0.2">
      <c r="A133" s="4" t="str">
        <v>EE CH4</v>
      </c>
      <c r="B133" s="264">
        <f ca="1"/>
        <v>0</v>
      </c>
      <c r="C133" s="264">
        <f ca="1"/>
        <v>0</v>
      </c>
      <c r="D133" s="264">
        <f ca="1"/>
        <v>0</v>
      </c>
      <c r="E133" s="264">
        <f ca="1"/>
        <v>0</v>
      </c>
      <c r="F133" s="264">
        <f ca="1"/>
        <v>0</v>
      </c>
      <c r="G133" s="264">
        <f ca="1"/>
        <v>0</v>
      </c>
      <c r="H133" s="264">
        <f ca="1"/>
        <v>0</v>
      </c>
      <c r="I133" s="264">
        <f ca="1"/>
        <v>0</v>
      </c>
      <c r="J133" s="264">
        <f ca="1"/>
        <v>0</v>
      </c>
      <c r="K133" s="264">
        <f ca="1"/>
        <v>0</v>
      </c>
      <c r="M133" s="4" t="str">
        <f t="shared" si="1"/>
        <v>Mtonne</v>
      </c>
    </row>
    <row r="134" spans="1:13" s="7" customFormat="1" x14ac:dyDescent="0.2">
      <c r="A134" s="4" t="str">
        <v>CA CH4</v>
      </c>
      <c r="B134" s="264">
        <f ca="1"/>
        <v>0</v>
      </c>
      <c r="C134" s="264">
        <f ca="1"/>
        <v>0</v>
      </c>
      <c r="D134" s="264">
        <f ca="1"/>
        <v>0</v>
      </c>
      <c r="E134" s="264">
        <f ca="1"/>
        <v>0</v>
      </c>
      <c r="F134" s="264">
        <f ca="1"/>
        <v>0</v>
      </c>
      <c r="G134" s="264">
        <f ca="1"/>
        <v>0</v>
      </c>
      <c r="H134" s="264">
        <f ca="1"/>
        <v>0</v>
      </c>
      <c r="I134" s="264">
        <f ca="1"/>
        <v>0</v>
      </c>
      <c r="J134" s="264">
        <f ca="1"/>
        <v>0</v>
      </c>
      <c r="K134" s="264">
        <f ca="1"/>
        <v>0</v>
      </c>
      <c r="M134" s="4" t="str">
        <f t="shared" si="1"/>
        <v>Mtonne</v>
      </c>
    </row>
    <row r="135" spans="1:13" s="7" customFormat="1" x14ac:dyDescent="0.2">
      <c r="A135" s="4" t="str">
        <v>IA CH4</v>
      </c>
      <c r="B135" s="264">
        <f ca="1"/>
        <v>0</v>
      </c>
      <c r="C135" s="264">
        <f ca="1"/>
        <v>0</v>
      </c>
      <c r="D135" s="264">
        <f ca="1"/>
        <v>0</v>
      </c>
      <c r="E135" s="264">
        <f ca="1"/>
        <v>0</v>
      </c>
      <c r="F135" s="264">
        <f ca="1"/>
        <v>0</v>
      </c>
      <c r="G135" s="264">
        <f ca="1"/>
        <v>0</v>
      </c>
      <c r="H135" s="264">
        <f ca="1"/>
        <v>0</v>
      </c>
      <c r="I135" s="264">
        <f ca="1"/>
        <v>0</v>
      </c>
      <c r="J135" s="264">
        <f ca="1"/>
        <v>0</v>
      </c>
      <c r="K135" s="264">
        <f ca="1"/>
        <v>0</v>
      </c>
      <c r="M135" s="4" t="str">
        <f t="shared" si="1"/>
        <v>Mtonne</v>
      </c>
    </row>
    <row r="136" spans="1:13" s="7" customFormat="1" x14ac:dyDescent="0.2">
      <c r="A136" s="4" t="str">
        <v>AF CH4</v>
      </c>
      <c r="B136" s="264">
        <f ca="1"/>
        <v>0</v>
      </c>
      <c r="C136" s="264">
        <f ca="1"/>
        <v>0</v>
      </c>
      <c r="D136" s="264">
        <f ca="1"/>
        <v>0</v>
      </c>
      <c r="E136" s="264">
        <f ca="1"/>
        <v>0</v>
      </c>
      <c r="F136" s="264">
        <f ca="1"/>
        <v>0</v>
      </c>
      <c r="G136" s="264">
        <f ca="1"/>
        <v>0</v>
      </c>
      <c r="H136" s="264">
        <f ca="1"/>
        <v>0</v>
      </c>
      <c r="I136" s="264">
        <f ca="1"/>
        <v>0</v>
      </c>
      <c r="J136" s="264">
        <f ca="1"/>
        <v>0</v>
      </c>
      <c r="K136" s="264">
        <f ca="1"/>
        <v>0</v>
      </c>
      <c r="M136" s="4" t="str">
        <f t="shared" si="1"/>
        <v>Mtonne</v>
      </c>
    </row>
    <row r="137" spans="1:13" s="7" customFormat="1" ht="13.5" thickBot="1" x14ac:dyDescent="0.25">
      <c r="A137" s="4" t="str">
        <v>LA CH4</v>
      </c>
      <c r="B137" s="266">
        <f ca="1"/>
        <v>0</v>
      </c>
      <c r="C137" s="266">
        <f ca="1"/>
        <v>0</v>
      </c>
      <c r="D137" s="266">
        <f ca="1"/>
        <v>0</v>
      </c>
      <c r="E137" s="266">
        <f ca="1"/>
        <v>0</v>
      </c>
      <c r="F137" s="266">
        <f ca="1"/>
        <v>0</v>
      </c>
      <c r="G137" s="266">
        <f ca="1"/>
        <v>0</v>
      </c>
      <c r="H137" s="266">
        <f ca="1"/>
        <v>0</v>
      </c>
      <c r="I137" s="266">
        <f ca="1"/>
        <v>0</v>
      </c>
      <c r="J137" s="266">
        <f ca="1"/>
        <v>0</v>
      </c>
      <c r="K137" s="266">
        <f ca="1"/>
        <v>0</v>
      </c>
      <c r="M137" s="4" t="str">
        <f t="shared" si="1"/>
        <v>Mtonne</v>
      </c>
    </row>
    <row r="138" spans="1:13" s="8" customFormat="1" ht="15" thickTop="1" x14ac:dyDescent="0.25">
      <c r="A138" s="8" t="s">
        <v>103</v>
      </c>
      <c r="B138" s="8" t="s">
        <v>286</v>
      </c>
    </row>
    <row r="139" spans="1:13" s="7" customFormat="1" x14ac:dyDescent="0.2">
      <c r="A139" s="4" t="str">
        <f t="array" ref="A139:A146">R_CODE&amp;" "&amp;'Base data'!$D$12</f>
        <v>EU N2O</v>
      </c>
      <c r="B139" s="265">
        <f t="array" aca="1" ref="B139:K146" ca="1">cb_n2o_b*E_N2O_0/100</f>
        <v>0</v>
      </c>
      <c r="C139" s="265">
        <f ca="1"/>
        <v>0</v>
      </c>
      <c r="D139" s="265">
        <f ca="1"/>
        <v>0</v>
      </c>
      <c r="E139" s="265">
        <f ca="1"/>
        <v>0</v>
      </c>
      <c r="F139" s="265">
        <f ca="1"/>
        <v>0</v>
      </c>
      <c r="G139" s="265">
        <f ca="1"/>
        <v>0</v>
      </c>
      <c r="H139" s="265">
        <f ca="1"/>
        <v>0</v>
      </c>
      <c r="I139" s="265">
        <f ca="1"/>
        <v>0</v>
      </c>
      <c r="J139" s="265">
        <f ca="1"/>
        <v>0</v>
      </c>
      <c r="K139" s="265">
        <f ca="1"/>
        <v>0</v>
      </c>
      <c r="M139" s="4" t="str">
        <f t="shared" ref="M139:M146" si="2">EMIT_NAME</f>
        <v>Mtonne</v>
      </c>
    </row>
    <row r="140" spans="1:13" s="7" customFormat="1" x14ac:dyDescent="0.2">
      <c r="A140" s="4" t="str">
        <v>US N2O</v>
      </c>
      <c r="B140" s="264">
        <f ca="1"/>
        <v>0</v>
      </c>
      <c r="C140" s="264">
        <f ca="1"/>
        <v>0</v>
      </c>
      <c r="D140" s="264">
        <f ca="1"/>
        <v>0</v>
      </c>
      <c r="E140" s="264">
        <f ca="1"/>
        <v>0</v>
      </c>
      <c r="F140" s="264">
        <f ca="1"/>
        <v>0</v>
      </c>
      <c r="G140" s="264">
        <f ca="1"/>
        <v>0</v>
      </c>
      <c r="H140" s="264">
        <f ca="1"/>
        <v>0</v>
      </c>
      <c r="I140" s="264">
        <f ca="1"/>
        <v>0</v>
      </c>
      <c r="J140" s="264">
        <f ca="1"/>
        <v>0</v>
      </c>
      <c r="K140" s="264">
        <f ca="1"/>
        <v>0</v>
      </c>
      <c r="M140" s="4" t="str">
        <f t="shared" si="2"/>
        <v>Mtonne</v>
      </c>
    </row>
    <row r="141" spans="1:13" s="7" customFormat="1" x14ac:dyDescent="0.2">
      <c r="A141" s="4" t="str">
        <v>OT N2O</v>
      </c>
      <c r="B141" s="264">
        <f ca="1"/>
        <v>0</v>
      </c>
      <c r="C141" s="264">
        <f ca="1"/>
        <v>0</v>
      </c>
      <c r="D141" s="264">
        <f ca="1"/>
        <v>0</v>
      </c>
      <c r="E141" s="264">
        <f ca="1"/>
        <v>0</v>
      </c>
      <c r="F141" s="264">
        <f ca="1"/>
        <v>0</v>
      </c>
      <c r="G141" s="264">
        <f ca="1"/>
        <v>0</v>
      </c>
      <c r="H141" s="264">
        <f ca="1"/>
        <v>0</v>
      </c>
      <c r="I141" s="264">
        <f ca="1"/>
        <v>0</v>
      </c>
      <c r="J141" s="264">
        <f ca="1"/>
        <v>0</v>
      </c>
      <c r="K141" s="264">
        <f ca="1"/>
        <v>0</v>
      </c>
      <c r="M141" s="4" t="str">
        <f t="shared" si="2"/>
        <v>Mtonne</v>
      </c>
    </row>
    <row r="142" spans="1:13" s="7" customFormat="1" x14ac:dyDescent="0.2">
      <c r="A142" s="4" t="str">
        <v>EE N2O</v>
      </c>
      <c r="B142" s="264">
        <f ca="1"/>
        <v>0</v>
      </c>
      <c r="C142" s="264">
        <f ca="1"/>
        <v>0</v>
      </c>
      <c r="D142" s="264">
        <f ca="1"/>
        <v>0</v>
      </c>
      <c r="E142" s="264">
        <f ca="1"/>
        <v>0</v>
      </c>
      <c r="F142" s="264">
        <f ca="1"/>
        <v>0</v>
      </c>
      <c r="G142" s="264">
        <f ca="1"/>
        <v>0</v>
      </c>
      <c r="H142" s="264">
        <f ca="1"/>
        <v>0</v>
      </c>
      <c r="I142" s="264">
        <f ca="1"/>
        <v>0</v>
      </c>
      <c r="J142" s="264">
        <f ca="1"/>
        <v>0</v>
      </c>
      <c r="K142" s="264">
        <f ca="1"/>
        <v>0</v>
      </c>
      <c r="M142" s="4" t="str">
        <f t="shared" si="2"/>
        <v>Mtonne</v>
      </c>
    </row>
    <row r="143" spans="1:13" s="7" customFormat="1" x14ac:dyDescent="0.2">
      <c r="A143" s="4" t="str">
        <v>CA N2O</v>
      </c>
      <c r="B143" s="264">
        <f ca="1"/>
        <v>0</v>
      </c>
      <c r="C143" s="264">
        <f ca="1"/>
        <v>0</v>
      </c>
      <c r="D143" s="264">
        <f ca="1"/>
        <v>0</v>
      </c>
      <c r="E143" s="264">
        <f ca="1"/>
        <v>0</v>
      </c>
      <c r="F143" s="264">
        <f ca="1"/>
        <v>0</v>
      </c>
      <c r="G143" s="264">
        <f ca="1"/>
        <v>0</v>
      </c>
      <c r="H143" s="264">
        <f ca="1"/>
        <v>0</v>
      </c>
      <c r="I143" s="264">
        <f ca="1"/>
        <v>0</v>
      </c>
      <c r="J143" s="264">
        <f ca="1"/>
        <v>0</v>
      </c>
      <c r="K143" s="264">
        <f ca="1"/>
        <v>0</v>
      </c>
      <c r="M143" s="4" t="str">
        <f t="shared" si="2"/>
        <v>Mtonne</v>
      </c>
    </row>
    <row r="144" spans="1:13" s="7" customFormat="1" x14ac:dyDescent="0.2">
      <c r="A144" s="4" t="str">
        <v>IA N2O</v>
      </c>
      <c r="B144" s="264">
        <f ca="1"/>
        <v>0</v>
      </c>
      <c r="C144" s="264">
        <f ca="1"/>
        <v>0</v>
      </c>
      <c r="D144" s="264">
        <f ca="1"/>
        <v>0</v>
      </c>
      <c r="E144" s="264">
        <f ca="1"/>
        <v>0</v>
      </c>
      <c r="F144" s="264">
        <f ca="1"/>
        <v>0</v>
      </c>
      <c r="G144" s="264">
        <f ca="1"/>
        <v>0</v>
      </c>
      <c r="H144" s="264">
        <f ca="1"/>
        <v>0</v>
      </c>
      <c r="I144" s="264">
        <f ca="1"/>
        <v>0</v>
      </c>
      <c r="J144" s="264">
        <f ca="1"/>
        <v>0</v>
      </c>
      <c r="K144" s="264">
        <f ca="1"/>
        <v>0</v>
      </c>
      <c r="M144" s="4" t="str">
        <f t="shared" si="2"/>
        <v>Mtonne</v>
      </c>
    </row>
    <row r="145" spans="1:13" s="7" customFormat="1" x14ac:dyDescent="0.2">
      <c r="A145" s="4" t="str">
        <v>AF N2O</v>
      </c>
      <c r="B145" s="264">
        <f ca="1"/>
        <v>0</v>
      </c>
      <c r="C145" s="264">
        <f ca="1"/>
        <v>0</v>
      </c>
      <c r="D145" s="264">
        <f ca="1"/>
        <v>0</v>
      </c>
      <c r="E145" s="264">
        <f ca="1"/>
        <v>0</v>
      </c>
      <c r="F145" s="264">
        <f ca="1"/>
        <v>0</v>
      </c>
      <c r="G145" s="264">
        <f ca="1"/>
        <v>0</v>
      </c>
      <c r="H145" s="264">
        <f ca="1"/>
        <v>0</v>
      </c>
      <c r="I145" s="264">
        <f ca="1"/>
        <v>0</v>
      </c>
      <c r="J145" s="264">
        <f ca="1"/>
        <v>0</v>
      </c>
      <c r="K145" s="264">
        <f ca="1"/>
        <v>0</v>
      </c>
      <c r="M145" s="4" t="str">
        <f t="shared" si="2"/>
        <v>Mtonne</v>
      </c>
    </row>
    <row r="146" spans="1:13" s="7" customFormat="1" ht="13.5" thickBot="1" x14ac:dyDescent="0.25">
      <c r="A146" s="4" t="str">
        <v>LA N2O</v>
      </c>
      <c r="B146" s="266">
        <f ca="1"/>
        <v>0</v>
      </c>
      <c r="C146" s="266">
        <f ca="1"/>
        <v>0</v>
      </c>
      <c r="D146" s="266">
        <f ca="1"/>
        <v>0</v>
      </c>
      <c r="E146" s="266">
        <f ca="1"/>
        <v>0</v>
      </c>
      <c r="F146" s="266">
        <f ca="1"/>
        <v>0</v>
      </c>
      <c r="G146" s="266">
        <f ca="1"/>
        <v>0</v>
      </c>
      <c r="H146" s="266">
        <f ca="1"/>
        <v>0</v>
      </c>
      <c r="I146" s="266">
        <f ca="1"/>
        <v>0</v>
      </c>
      <c r="J146" s="266">
        <f ca="1"/>
        <v>0</v>
      </c>
      <c r="K146" s="266">
        <f ca="1"/>
        <v>0</v>
      </c>
      <c r="M146" s="4" t="str">
        <f t="shared" si="2"/>
        <v>Mtonne</v>
      </c>
    </row>
    <row r="147" spans="1:13" s="8" customFormat="1" ht="15" thickTop="1" x14ac:dyDescent="0.25">
      <c r="A147" s="8" t="s">
        <v>103</v>
      </c>
      <c r="B147" s="8" t="s">
        <v>287</v>
      </c>
    </row>
    <row r="148" spans="1:13" s="7" customFormat="1" x14ac:dyDescent="0.2">
      <c r="A148" s="4" t="str">
        <f t="array" ref="A148:A155">R_CODE&amp;" "&amp;GLIN_NAME</f>
        <v>EU Lin</v>
      </c>
      <c r="B148" s="265">
        <f t="array" aca="1" ref="B148:K155" ca="1">cb_glin_b*E_GLIN_0/100</f>
        <v>0</v>
      </c>
      <c r="C148" s="265">
        <f ca="1"/>
        <v>0</v>
      </c>
      <c r="D148" s="265">
        <f ca="1"/>
        <v>0</v>
      </c>
      <c r="E148" s="265">
        <f ca="1"/>
        <v>0</v>
      </c>
      <c r="F148" s="265">
        <f ca="1"/>
        <v>0</v>
      </c>
      <c r="G148" s="265">
        <f ca="1"/>
        <v>0</v>
      </c>
      <c r="H148" s="265">
        <f ca="1"/>
        <v>0</v>
      </c>
      <c r="I148" s="265">
        <f ca="1"/>
        <v>0</v>
      </c>
      <c r="J148" s="265">
        <f ca="1"/>
        <v>0</v>
      </c>
      <c r="K148" s="265">
        <f ca="1"/>
        <v>0</v>
      </c>
      <c r="M148" s="4" t="str">
        <f t="shared" ref="M148:M155" si="3">EMIT_NAME</f>
        <v>Mtonne</v>
      </c>
    </row>
    <row r="149" spans="1:13" s="7" customFormat="1" x14ac:dyDescent="0.2">
      <c r="A149" s="4" t="str">
        <v>US Lin</v>
      </c>
      <c r="B149" s="264">
        <f ca="1"/>
        <v>0</v>
      </c>
      <c r="C149" s="264">
        <f ca="1"/>
        <v>0</v>
      </c>
      <c r="D149" s="264">
        <f ca="1"/>
        <v>0</v>
      </c>
      <c r="E149" s="264">
        <f ca="1"/>
        <v>0</v>
      </c>
      <c r="F149" s="264">
        <f ca="1"/>
        <v>0</v>
      </c>
      <c r="G149" s="264">
        <f ca="1"/>
        <v>0</v>
      </c>
      <c r="H149" s="264">
        <f ca="1"/>
        <v>0</v>
      </c>
      <c r="I149" s="264">
        <f ca="1"/>
        <v>0</v>
      </c>
      <c r="J149" s="264">
        <f ca="1"/>
        <v>0</v>
      </c>
      <c r="K149" s="264">
        <f ca="1"/>
        <v>0</v>
      </c>
      <c r="M149" s="4" t="str">
        <f t="shared" si="3"/>
        <v>Mtonne</v>
      </c>
    </row>
    <row r="150" spans="1:13" s="7" customFormat="1" x14ac:dyDescent="0.2">
      <c r="A150" s="4" t="str">
        <v>OT Lin</v>
      </c>
      <c r="B150" s="264">
        <f ca="1"/>
        <v>0</v>
      </c>
      <c r="C150" s="264">
        <f ca="1"/>
        <v>0</v>
      </c>
      <c r="D150" s="264">
        <f ca="1"/>
        <v>0</v>
      </c>
      <c r="E150" s="264">
        <f ca="1"/>
        <v>0</v>
      </c>
      <c r="F150" s="264">
        <f ca="1"/>
        <v>0</v>
      </c>
      <c r="G150" s="264">
        <f ca="1"/>
        <v>0</v>
      </c>
      <c r="H150" s="264">
        <f ca="1"/>
        <v>0</v>
      </c>
      <c r="I150" s="264">
        <f ca="1"/>
        <v>0</v>
      </c>
      <c r="J150" s="264">
        <f ca="1"/>
        <v>0</v>
      </c>
      <c r="K150" s="264">
        <f ca="1"/>
        <v>0</v>
      </c>
      <c r="M150" s="4" t="str">
        <f t="shared" si="3"/>
        <v>Mtonne</v>
      </c>
    </row>
    <row r="151" spans="1:13" s="7" customFormat="1" x14ac:dyDescent="0.2">
      <c r="A151" s="4" t="str">
        <v>EE Lin</v>
      </c>
      <c r="B151" s="264">
        <f ca="1"/>
        <v>0</v>
      </c>
      <c r="C151" s="264">
        <f ca="1"/>
        <v>0</v>
      </c>
      <c r="D151" s="264">
        <f ca="1"/>
        <v>0</v>
      </c>
      <c r="E151" s="264">
        <f ca="1"/>
        <v>0</v>
      </c>
      <c r="F151" s="264">
        <f ca="1"/>
        <v>0</v>
      </c>
      <c r="G151" s="264">
        <f ca="1"/>
        <v>0</v>
      </c>
      <c r="H151" s="264">
        <f ca="1"/>
        <v>0</v>
      </c>
      <c r="I151" s="264">
        <f ca="1"/>
        <v>0</v>
      </c>
      <c r="J151" s="264">
        <f ca="1"/>
        <v>0</v>
      </c>
      <c r="K151" s="264">
        <f ca="1"/>
        <v>0</v>
      </c>
      <c r="M151" s="4" t="str">
        <f t="shared" si="3"/>
        <v>Mtonne</v>
      </c>
    </row>
    <row r="152" spans="1:13" s="7" customFormat="1" x14ac:dyDescent="0.2">
      <c r="A152" s="4" t="str">
        <v>CA Lin</v>
      </c>
      <c r="B152" s="264">
        <f ca="1"/>
        <v>0</v>
      </c>
      <c r="C152" s="264">
        <f ca="1"/>
        <v>0</v>
      </c>
      <c r="D152" s="264">
        <f ca="1"/>
        <v>0</v>
      </c>
      <c r="E152" s="264">
        <f ca="1"/>
        <v>0</v>
      </c>
      <c r="F152" s="264">
        <f ca="1"/>
        <v>0</v>
      </c>
      <c r="G152" s="264">
        <f ca="1"/>
        <v>0</v>
      </c>
      <c r="H152" s="264">
        <f ca="1"/>
        <v>0</v>
      </c>
      <c r="I152" s="264">
        <f ca="1"/>
        <v>0</v>
      </c>
      <c r="J152" s="264">
        <f ca="1"/>
        <v>0</v>
      </c>
      <c r="K152" s="264">
        <f ca="1"/>
        <v>0</v>
      </c>
      <c r="M152" s="4" t="str">
        <f t="shared" si="3"/>
        <v>Mtonne</v>
      </c>
    </row>
    <row r="153" spans="1:13" s="7" customFormat="1" x14ac:dyDescent="0.2">
      <c r="A153" s="4" t="str">
        <v>IA Lin</v>
      </c>
      <c r="B153" s="264">
        <f ca="1"/>
        <v>0</v>
      </c>
      <c r="C153" s="264">
        <f ca="1"/>
        <v>0</v>
      </c>
      <c r="D153" s="264">
        <f ca="1"/>
        <v>0</v>
      </c>
      <c r="E153" s="264">
        <f ca="1"/>
        <v>0</v>
      </c>
      <c r="F153" s="264">
        <f ca="1"/>
        <v>0</v>
      </c>
      <c r="G153" s="264">
        <f ca="1"/>
        <v>0</v>
      </c>
      <c r="H153" s="264">
        <f ca="1"/>
        <v>0</v>
      </c>
      <c r="I153" s="264">
        <f ca="1"/>
        <v>0</v>
      </c>
      <c r="J153" s="264">
        <f ca="1"/>
        <v>0</v>
      </c>
      <c r="K153" s="264">
        <f ca="1"/>
        <v>0</v>
      </c>
      <c r="M153" s="4" t="str">
        <f t="shared" si="3"/>
        <v>Mtonne</v>
      </c>
    </row>
    <row r="154" spans="1:13" s="7" customFormat="1" x14ac:dyDescent="0.2">
      <c r="A154" s="4" t="str">
        <v>AF Lin</v>
      </c>
      <c r="B154" s="264">
        <f ca="1"/>
        <v>0</v>
      </c>
      <c r="C154" s="264">
        <f ca="1"/>
        <v>0</v>
      </c>
      <c r="D154" s="264">
        <f ca="1"/>
        <v>0</v>
      </c>
      <c r="E154" s="264">
        <f ca="1"/>
        <v>0</v>
      </c>
      <c r="F154" s="264">
        <f ca="1"/>
        <v>0</v>
      </c>
      <c r="G154" s="264">
        <f ca="1"/>
        <v>0</v>
      </c>
      <c r="H154" s="264">
        <f ca="1"/>
        <v>0</v>
      </c>
      <c r="I154" s="264">
        <f ca="1"/>
        <v>0</v>
      </c>
      <c r="J154" s="264">
        <f ca="1"/>
        <v>0</v>
      </c>
      <c r="K154" s="264">
        <f ca="1"/>
        <v>0</v>
      </c>
      <c r="M154" s="4" t="str">
        <f t="shared" si="3"/>
        <v>Mtonne</v>
      </c>
    </row>
    <row r="155" spans="1:13" s="7" customFormat="1" ht="13.5" thickBot="1" x14ac:dyDescent="0.25">
      <c r="A155" s="4" t="str">
        <v>LA Lin</v>
      </c>
      <c r="B155" s="266">
        <f ca="1"/>
        <v>0</v>
      </c>
      <c r="C155" s="266">
        <f ca="1"/>
        <v>0</v>
      </c>
      <c r="D155" s="266">
        <f ca="1"/>
        <v>0</v>
      </c>
      <c r="E155" s="266">
        <f ca="1"/>
        <v>0</v>
      </c>
      <c r="F155" s="266">
        <f ca="1"/>
        <v>0</v>
      </c>
      <c r="G155" s="266">
        <f ca="1"/>
        <v>0</v>
      </c>
      <c r="H155" s="266">
        <f ca="1"/>
        <v>0</v>
      </c>
      <c r="I155" s="266">
        <f ca="1"/>
        <v>0</v>
      </c>
      <c r="J155" s="266">
        <f ca="1"/>
        <v>0</v>
      </c>
      <c r="K155" s="266">
        <f ca="1"/>
        <v>0</v>
      </c>
      <c r="M155" s="4" t="str">
        <f t="shared" si="3"/>
        <v>Mtonne</v>
      </c>
    </row>
    <row r="156" spans="1:13" s="2" customFormat="1" ht="15" thickTop="1" x14ac:dyDescent="0.25">
      <c r="A156" s="2" t="s">
        <v>283</v>
      </c>
      <c r="B156" s="2" t="s">
        <v>288</v>
      </c>
    </row>
    <row r="157" spans="1:13" s="6" customFormat="1" x14ac:dyDescent="0.2">
      <c r="A157" s="4" t="str">
        <f t="array" ref="A157:A164">R_CODE&amp;" "&amp;'Base data'!$B$12</f>
        <v>EU CO2</v>
      </c>
      <c r="B157" s="27">
        <f t="array" ref="B157:B164">0</f>
        <v>0</v>
      </c>
      <c r="C157" s="267">
        <f t="array" ref="C157:K164" ca="1">cumcbe_co2_b+cbe_co2_b*YAGG</f>
        <v>0</v>
      </c>
      <c r="D157" s="267">
        <f ca="1"/>
        <v>0</v>
      </c>
      <c r="E157" s="267">
        <f ca="1"/>
        <v>0</v>
      </c>
      <c r="F157" s="267">
        <f ca="1"/>
        <v>0</v>
      </c>
      <c r="G157" s="267">
        <f ca="1"/>
        <v>0</v>
      </c>
      <c r="H157" s="267">
        <f ca="1"/>
        <v>0</v>
      </c>
      <c r="I157" s="267">
        <f ca="1"/>
        <v>0</v>
      </c>
      <c r="J157" s="267">
        <f ca="1"/>
        <v>0</v>
      </c>
      <c r="K157" s="267">
        <f ca="1"/>
        <v>0</v>
      </c>
      <c r="M157" s="4" t="str">
        <f t="shared" ref="M157:M165" si="4">EMIT_NAME</f>
        <v>Mtonne</v>
      </c>
    </row>
    <row r="158" spans="1:13" s="6" customFormat="1" x14ac:dyDescent="0.2">
      <c r="A158" s="4" t="str">
        <v>US CO2</v>
      </c>
      <c r="B158" s="28">
        <v>0</v>
      </c>
      <c r="C158" s="259">
        <f ca="1"/>
        <v>0</v>
      </c>
      <c r="D158" s="259">
        <f ca="1"/>
        <v>0</v>
      </c>
      <c r="E158" s="259">
        <f ca="1"/>
        <v>0</v>
      </c>
      <c r="F158" s="259">
        <f ca="1"/>
        <v>0</v>
      </c>
      <c r="G158" s="259">
        <f ca="1"/>
        <v>0</v>
      </c>
      <c r="H158" s="259">
        <f ca="1"/>
        <v>0</v>
      </c>
      <c r="I158" s="259">
        <f ca="1"/>
        <v>0</v>
      </c>
      <c r="J158" s="259">
        <f ca="1"/>
        <v>0</v>
      </c>
      <c r="K158" s="259">
        <f ca="1"/>
        <v>0</v>
      </c>
      <c r="M158" s="4" t="str">
        <f t="shared" si="4"/>
        <v>Mtonne</v>
      </c>
    </row>
    <row r="159" spans="1:13" s="6" customFormat="1" x14ac:dyDescent="0.2">
      <c r="A159" s="4" t="str">
        <v>OT CO2</v>
      </c>
      <c r="B159" s="28">
        <v>0</v>
      </c>
      <c r="C159" s="259">
        <f ca="1"/>
        <v>0</v>
      </c>
      <c r="D159" s="259">
        <f ca="1"/>
        <v>0</v>
      </c>
      <c r="E159" s="259">
        <f ca="1"/>
        <v>0</v>
      </c>
      <c r="F159" s="259">
        <f ca="1"/>
        <v>0</v>
      </c>
      <c r="G159" s="259">
        <f ca="1"/>
        <v>0</v>
      </c>
      <c r="H159" s="259">
        <f ca="1"/>
        <v>0</v>
      </c>
      <c r="I159" s="259">
        <f ca="1"/>
        <v>0</v>
      </c>
      <c r="J159" s="259">
        <f ca="1"/>
        <v>0</v>
      </c>
      <c r="K159" s="259">
        <f ca="1"/>
        <v>0</v>
      </c>
      <c r="M159" s="4" t="str">
        <f t="shared" si="4"/>
        <v>Mtonne</v>
      </c>
    </row>
    <row r="160" spans="1:13" s="6" customFormat="1" x14ac:dyDescent="0.2">
      <c r="A160" s="4" t="str">
        <v>EE CO2</v>
      </c>
      <c r="B160" s="28">
        <v>0</v>
      </c>
      <c r="C160" s="259">
        <f ca="1"/>
        <v>0</v>
      </c>
      <c r="D160" s="259">
        <f ca="1"/>
        <v>0</v>
      </c>
      <c r="E160" s="259">
        <f ca="1"/>
        <v>0</v>
      </c>
      <c r="F160" s="259">
        <f ca="1"/>
        <v>0</v>
      </c>
      <c r="G160" s="259">
        <f ca="1"/>
        <v>0</v>
      </c>
      <c r="H160" s="259">
        <f ca="1"/>
        <v>0</v>
      </c>
      <c r="I160" s="259">
        <f ca="1"/>
        <v>0</v>
      </c>
      <c r="J160" s="259">
        <f ca="1"/>
        <v>0</v>
      </c>
      <c r="K160" s="259">
        <f ca="1"/>
        <v>0</v>
      </c>
      <c r="M160" s="4" t="str">
        <f t="shared" si="4"/>
        <v>Mtonne</v>
      </c>
    </row>
    <row r="161" spans="1:13" s="6" customFormat="1" x14ac:dyDescent="0.2">
      <c r="A161" s="4" t="str">
        <v>CA CO2</v>
      </c>
      <c r="B161" s="28">
        <v>0</v>
      </c>
      <c r="C161" s="259">
        <f ca="1"/>
        <v>0</v>
      </c>
      <c r="D161" s="259">
        <f ca="1"/>
        <v>0</v>
      </c>
      <c r="E161" s="259">
        <f ca="1"/>
        <v>0</v>
      </c>
      <c r="F161" s="259">
        <f ca="1"/>
        <v>0</v>
      </c>
      <c r="G161" s="259">
        <f ca="1"/>
        <v>0</v>
      </c>
      <c r="H161" s="259">
        <f ca="1"/>
        <v>0</v>
      </c>
      <c r="I161" s="259">
        <f ca="1"/>
        <v>0</v>
      </c>
      <c r="J161" s="259">
        <f ca="1"/>
        <v>0</v>
      </c>
      <c r="K161" s="259">
        <f ca="1"/>
        <v>0</v>
      </c>
      <c r="M161" s="4" t="str">
        <f t="shared" si="4"/>
        <v>Mtonne</v>
      </c>
    </row>
    <row r="162" spans="1:13" s="6" customFormat="1" x14ac:dyDescent="0.2">
      <c r="A162" s="4" t="str">
        <v>IA CO2</v>
      </c>
      <c r="B162" s="28">
        <v>0</v>
      </c>
      <c r="C162" s="259">
        <f ca="1"/>
        <v>0</v>
      </c>
      <c r="D162" s="259">
        <f ca="1"/>
        <v>0</v>
      </c>
      <c r="E162" s="259">
        <f ca="1"/>
        <v>0</v>
      </c>
      <c r="F162" s="259">
        <f ca="1"/>
        <v>0</v>
      </c>
      <c r="G162" s="259">
        <f ca="1"/>
        <v>0</v>
      </c>
      <c r="H162" s="259">
        <f ca="1"/>
        <v>0</v>
      </c>
      <c r="I162" s="259">
        <f ca="1"/>
        <v>0</v>
      </c>
      <c r="J162" s="259">
        <f ca="1"/>
        <v>0</v>
      </c>
      <c r="K162" s="259">
        <f ca="1"/>
        <v>0</v>
      </c>
      <c r="M162" s="4" t="str">
        <f t="shared" si="4"/>
        <v>Mtonne</v>
      </c>
    </row>
    <row r="163" spans="1:13" s="6" customFormat="1" x14ac:dyDescent="0.2">
      <c r="A163" s="4" t="str">
        <v>AF CO2</v>
      </c>
      <c r="B163" s="28">
        <v>0</v>
      </c>
      <c r="C163" s="259">
        <f ca="1"/>
        <v>0</v>
      </c>
      <c r="D163" s="259">
        <f ca="1"/>
        <v>0</v>
      </c>
      <c r="E163" s="259">
        <f ca="1"/>
        <v>0</v>
      </c>
      <c r="F163" s="259">
        <f ca="1"/>
        <v>0</v>
      </c>
      <c r="G163" s="259">
        <f ca="1"/>
        <v>0</v>
      </c>
      <c r="H163" s="259">
        <f ca="1"/>
        <v>0</v>
      </c>
      <c r="I163" s="259">
        <f ca="1"/>
        <v>0</v>
      </c>
      <c r="J163" s="259">
        <f ca="1"/>
        <v>0</v>
      </c>
      <c r="K163" s="259">
        <f ca="1"/>
        <v>0</v>
      </c>
      <c r="M163" s="4" t="str">
        <f t="shared" si="4"/>
        <v>Mtonne</v>
      </c>
    </row>
    <row r="164" spans="1:13" s="6" customFormat="1" ht="13.5" thickBot="1" x14ac:dyDescent="0.25">
      <c r="A164" s="4" t="str">
        <v>LA CO2</v>
      </c>
      <c r="B164" s="36">
        <v>0</v>
      </c>
      <c r="C164" s="268">
        <f ca="1"/>
        <v>0</v>
      </c>
      <c r="D164" s="268">
        <f ca="1"/>
        <v>0</v>
      </c>
      <c r="E164" s="268">
        <f ca="1"/>
        <v>0</v>
      </c>
      <c r="F164" s="268">
        <f ca="1"/>
        <v>0</v>
      </c>
      <c r="G164" s="268">
        <f ca="1"/>
        <v>0</v>
      </c>
      <c r="H164" s="268">
        <f ca="1"/>
        <v>0</v>
      </c>
      <c r="I164" s="268">
        <f ca="1"/>
        <v>0</v>
      </c>
      <c r="J164" s="268">
        <f ca="1"/>
        <v>0</v>
      </c>
      <c r="K164" s="268">
        <f ca="1"/>
        <v>0</v>
      </c>
      <c r="M164" s="4" t="str">
        <f t="shared" si="4"/>
        <v>Mtonne</v>
      </c>
    </row>
    <row r="165" spans="1:13" s="6" customFormat="1" ht="13.5" thickTop="1" x14ac:dyDescent="0.2">
      <c r="A165" s="58" t="s">
        <v>204</v>
      </c>
      <c r="B165" s="28">
        <f t="shared" ref="B165:K165" si="5">SUM(B157:B164)</f>
        <v>0</v>
      </c>
      <c r="C165" s="28">
        <f t="shared" ca="1" si="5"/>
        <v>0</v>
      </c>
      <c r="D165" s="28">
        <f t="shared" ca="1" si="5"/>
        <v>0</v>
      </c>
      <c r="E165" s="28">
        <f t="shared" ca="1" si="5"/>
        <v>0</v>
      </c>
      <c r="F165" s="28">
        <f t="shared" ca="1" si="5"/>
        <v>0</v>
      </c>
      <c r="G165" s="28">
        <f t="shared" ca="1" si="5"/>
        <v>0</v>
      </c>
      <c r="H165" s="28">
        <f t="shared" ca="1" si="5"/>
        <v>0</v>
      </c>
      <c r="I165" s="28">
        <f t="shared" ca="1" si="5"/>
        <v>0</v>
      </c>
      <c r="J165" s="28">
        <f t="shared" ca="1" si="5"/>
        <v>0</v>
      </c>
      <c r="K165" s="28">
        <f t="shared" ca="1" si="5"/>
        <v>0</v>
      </c>
      <c r="M165" s="4" t="str">
        <f t="shared" si="4"/>
        <v>Mtonne</v>
      </c>
    </row>
    <row r="166" spans="1:13" s="8" customFormat="1" ht="14.25" x14ac:dyDescent="0.25">
      <c r="A166" s="2" t="s">
        <v>283</v>
      </c>
      <c r="B166" s="2" t="s">
        <v>289</v>
      </c>
      <c r="C166" s="2"/>
      <c r="D166" s="2"/>
      <c r="E166" s="2"/>
      <c r="F166" s="2"/>
      <c r="G166" s="2"/>
      <c r="H166" s="2"/>
      <c r="I166" s="2"/>
      <c r="J166" s="2"/>
      <c r="K166" s="2"/>
    </row>
    <row r="167" spans="1:13" s="7" customFormat="1" x14ac:dyDescent="0.2">
      <c r="A167" s="4" t="str">
        <f t="array" ref="A167:A174">R_CODE&amp;" "&amp;'Base data'!$C$12</f>
        <v>EU CH4</v>
      </c>
      <c r="B167" s="29">
        <f t="array" ref="B167:B174">0</f>
        <v>0</v>
      </c>
      <c r="C167" s="265">
        <f t="array" ref="C167:K174" ca="1">cumcbe_ch4_b+cbe_ch4_b*YAGG</f>
        <v>0</v>
      </c>
      <c r="D167" s="265">
        <f ca="1"/>
        <v>0</v>
      </c>
      <c r="E167" s="265">
        <f ca="1"/>
        <v>0</v>
      </c>
      <c r="F167" s="265">
        <f ca="1"/>
        <v>0</v>
      </c>
      <c r="G167" s="265">
        <f ca="1"/>
        <v>0</v>
      </c>
      <c r="H167" s="265">
        <f ca="1"/>
        <v>0</v>
      </c>
      <c r="I167" s="265">
        <f ca="1"/>
        <v>0</v>
      </c>
      <c r="J167" s="265">
        <f ca="1"/>
        <v>0</v>
      </c>
      <c r="K167" s="265">
        <f ca="1"/>
        <v>0</v>
      </c>
      <c r="M167" s="4" t="str">
        <f t="shared" ref="M167:M175" si="6">EMIT_NAME</f>
        <v>Mtonne</v>
      </c>
    </row>
    <row r="168" spans="1:13" s="7" customFormat="1" x14ac:dyDescent="0.2">
      <c r="A168" s="4" t="str">
        <v>US CH4</v>
      </c>
      <c r="B168" s="26">
        <v>0</v>
      </c>
      <c r="C168" s="264">
        <f ca="1"/>
        <v>0</v>
      </c>
      <c r="D168" s="264">
        <f ca="1"/>
        <v>0</v>
      </c>
      <c r="E168" s="264">
        <f ca="1"/>
        <v>0</v>
      </c>
      <c r="F168" s="264">
        <f ca="1"/>
        <v>0</v>
      </c>
      <c r="G168" s="264">
        <f ca="1"/>
        <v>0</v>
      </c>
      <c r="H168" s="264">
        <f ca="1"/>
        <v>0</v>
      </c>
      <c r="I168" s="264">
        <f ca="1"/>
        <v>0</v>
      </c>
      <c r="J168" s="264">
        <f ca="1"/>
        <v>0</v>
      </c>
      <c r="K168" s="264">
        <f ca="1"/>
        <v>0</v>
      </c>
      <c r="M168" s="4" t="str">
        <f t="shared" si="6"/>
        <v>Mtonne</v>
      </c>
    </row>
    <row r="169" spans="1:13" s="7" customFormat="1" x14ac:dyDescent="0.2">
      <c r="A169" s="4" t="str">
        <v>OT CH4</v>
      </c>
      <c r="B169" s="26">
        <v>0</v>
      </c>
      <c r="C169" s="264">
        <f ca="1"/>
        <v>0</v>
      </c>
      <c r="D169" s="264">
        <f ca="1"/>
        <v>0</v>
      </c>
      <c r="E169" s="264">
        <f ca="1"/>
        <v>0</v>
      </c>
      <c r="F169" s="264">
        <f ca="1"/>
        <v>0</v>
      </c>
      <c r="G169" s="264">
        <f ca="1"/>
        <v>0</v>
      </c>
      <c r="H169" s="264">
        <f ca="1"/>
        <v>0</v>
      </c>
      <c r="I169" s="264">
        <f ca="1"/>
        <v>0</v>
      </c>
      <c r="J169" s="264">
        <f ca="1"/>
        <v>0</v>
      </c>
      <c r="K169" s="264">
        <f ca="1"/>
        <v>0</v>
      </c>
      <c r="M169" s="4" t="str">
        <f t="shared" si="6"/>
        <v>Mtonne</v>
      </c>
    </row>
    <row r="170" spans="1:13" s="7" customFormat="1" x14ac:dyDescent="0.2">
      <c r="A170" s="4" t="str">
        <v>EE CH4</v>
      </c>
      <c r="B170" s="26">
        <v>0</v>
      </c>
      <c r="C170" s="264">
        <f ca="1"/>
        <v>0</v>
      </c>
      <c r="D170" s="264">
        <f ca="1"/>
        <v>0</v>
      </c>
      <c r="E170" s="264">
        <f ca="1"/>
        <v>0</v>
      </c>
      <c r="F170" s="264">
        <f ca="1"/>
        <v>0</v>
      </c>
      <c r="G170" s="264">
        <f ca="1"/>
        <v>0</v>
      </c>
      <c r="H170" s="264">
        <f ca="1"/>
        <v>0</v>
      </c>
      <c r="I170" s="264">
        <f ca="1"/>
        <v>0</v>
      </c>
      <c r="J170" s="264">
        <f ca="1"/>
        <v>0</v>
      </c>
      <c r="K170" s="264">
        <f ca="1"/>
        <v>0</v>
      </c>
      <c r="M170" s="4" t="str">
        <f t="shared" si="6"/>
        <v>Mtonne</v>
      </c>
    </row>
    <row r="171" spans="1:13" s="7" customFormat="1" x14ac:dyDescent="0.2">
      <c r="A171" s="4" t="str">
        <v>CA CH4</v>
      </c>
      <c r="B171" s="26">
        <v>0</v>
      </c>
      <c r="C171" s="264">
        <f ca="1"/>
        <v>0</v>
      </c>
      <c r="D171" s="264">
        <f ca="1"/>
        <v>0</v>
      </c>
      <c r="E171" s="264">
        <f ca="1"/>
        <v>0</v>
      </c>
      <c r="F171" s="264">
        <f ca="1"/>
        <v>0</v>
      </c>
      <c r="G171" s="264">
        <f ca="1"/>
        <v>0</v>
      </c>
      <c r="H171" s="264">
        <f ca="1"/>
        <v>0</v>
      </c>
      <c r="I171" s="264">
        <f ca="1"/>
        <v>0</v>
      </c>
      <c r="J171" s="264">
        <f ca="1"/>
        <v>0</v>
      </c>
      <c r="K171" s="264">
        <f ca="1"/>
        <v>0</v>
      </c>
      <c r="M171" s="4" t="str">
        <f t="shared" si="6"/>
        <v>Mtonne</v>
      </c>
    </row>
    <row r="172" spans="1:13" s="7" customFormat="1" x14ac:dyDescent="0.2">
      <c r="A172" s="4" t="str">
        <v>IA CH4</v>
      </c>
      <c r="B172" s="26">
        <v>0</v>
      </c>
      <c r="C172" s="264">
        <f ca="1"/>
        <v>0</v>
      </c>
      <c r="D172" s="264">
        <f ca="1"/>
        <v>0</v>
      </c>
      <c r="E172" s="264">
        <f ca="1"/>
        <v>0</v>
      </c>
      <c r="F172" s="264">
        <f ca="1"/>
        <v>0</v>
      </c>
      <c r="G172" s="264">
        <f ca="1"/>
        <v>0</v>
      </c>
      <c r="H172" s="264">
        <f ca="1"/>
        <v>0</v>
      </c>
      <c r="I172" s="264">
        <f ca="1"/>
        <v>0</v>
      </c>
      <c r="J172" s="264">
        <f ca="1"/>
        <v>0</v>
      </c>
      <c r="K172" s="264">
        <f ca="1"/>
        <v>0</v>
      </c>
      <c r="M172" s="4" t="str">
        <f t="shared" si="6"/>
        <v>Mtonne</v>
      </c>
    </row>
    <row r="173" spans="1:13" s="7" customFormat="1" x14ac:dyDescent="0.2">
      <c r="A173" s="4" t="str">
        <v>AF CH4</v>
      </c>
      <c r="B173" s="26">
        <v>0</v>
      </c>
      <c r="C173" s="264">
        <f ca="1"/>
        <v>0</v>
      </c>
      <c r="D173" s="264">
        <f ca="1"/>
        <v>0</v>
      </c>
      <c r="E173" s="264">
        <f ca="1"/>
        <v>0</v>
      </c>
      <c r="F173" s="264">
        <f ca="1"/>
        <v>0</v>
      </c>
      <c r="G173" s="264">
        <f ca="1"/>
        <v>0</v>
      </c>
      <c r="H173" s="264">
        <f ca="1"/>
        <v>0</v>
      </c>
      <c r="I173" s="264">
        <f ca="1"/>
        <v>0</v>
      </c>
      <c r="J173" s="264">
        <f ca="1"/>
        <v>0</v>
      </c>
      <c r="K173" s="264">
        <f ca="1"/>
        <v>0</v>
      </c>
      <c r="M173" s="4" t="str">
        <f t="shared" si="6"/>
        <v>Mtonne</v>
      </c>
    </row>
    <row r="174" spans="1:13" s="7" customFormat="1" ht="13.5" thickBot="1" x14ac:dyDescent="0.25">
      <c r="A174" s="4" t="str">
        <v>LA CH4</v>
      </c>
      <c r="B174" s="35">
        <v>0</v>
      </c>
      <c r="C174" s="266">
        <f ca="1"/>
        <v>0</v>
      </c>
      <c r="D174" s="266">
        <f ca="1"/>
        <v>0</v>
      </c>
      <c r="E174" s="266">
        <f ca="1"/>
        <v>0</v>
      </c>
      <c r="F174" s="266">
        <f ca="1"/>
        <v>0</v>
      </c>
      <c r="G174" s="266">
        <f ca="1"/>
        <v>0</v>
      </c>
      <c r="H174" s="266">
        <f ca="1"/>
        <v>0</v>
      </c>
      <c r="I174" s="266">
        <f ca="1"/>
        <v>0</v>
      </c>
      <c r="J174" s="266">
        <f ca="1"/>
        <v>0</v>
      </c>
      <c r="K174" s="266">
        <f ca="1"/>
        <v>0</v>
      </c>
      <c r="M174" s="4" t="str">
        <f t="shared" si="6"/>
        <v>Mtonne</v>
      </c>
    </row>
    <row r="175" spans="1:13" s="6" customFormat="1" ht="13.5" thickTop="1" x14ac:dyDescent="0.2">
      <c r="A175" s="58" t="s">
        <v>204</v>
      </c>
      <c r="B175" s="26">
        <f t="shared" ref="B175:K175" si="7">SUM(B167:B174)</f>
        <v>0</v>
      </c>
      <c r="C175" s="26">
        <f t="shared" ca="1" si="7"/>
        <v>0</v>
      </c>
      <c r="D175" s="26">
        <f t="shared" ca="1" si="7"/>
        <v>0</v>
      </c>
      <c r="E175" s="26">
        <f t="shared" ca="1" si="7"/>
        <v>0</v>
      </c>
      <c r="F175" s="26">
        <f t="shared" ca="1" si="7"/>
        <v>0</v>
      </c>
      <c r="G175" s="26">
        <f t="shared" ca="1" si="7"/>
        <v>0</v>
      </c>
      <c r="H175" s="26">
        <f t="shared" ca="1" si="7"/>
        <v>0</v>
      </c>
      <c r="I175" s="26">
        <f t="shared" ca="1" si="7"/>
        <v>0</v>
      </c>
      <c r="J175" s="26">
        <f t="shared" ca="1" si="7"/>
        <v>0</v>
      </c>
      <c r="K175" s="26">
        <f t="shared" ca="1" si="7"/>
        <v>0</v>
      </c>
      <c r="M175" s="4" t="str">
        <f t="shared" si="6"/>
        <v>Mtonne</v>
      </c>
    </row>
    <row r="176" spans="1:13" s="8" customFormat="1" ht="14.25" x14ac:dyDescent="0.25">
      <c r="A176" s="2" t="s">
        <v>283</v>
      </c>
      <c r="B176" s="8" t="s">
        <v>290</v>
      </c>
    </row>
    <row r="177" spans="1:13" s="7" customFormat="1" x14ac:dyDescent="0.2">
      <c r="A177" s="4" t="str">
        <f t="array" ref="A177:A184">R_CODE&amp;" "&amp;'Base data'!$D$12</f>
        <v>EU N2O</v>
      </c>
      <c r="B177" s="29">
        <f t="array" ref="B177:B184">0</f>
        <v>0</v>
      </c>
      <c r="C177" s="265">
        <f t="array" ref="C177:K184" ca="1">cumcbe_n2o_b+cbe_n2o_b*YAGG</f>
        <v>0</v>
      </c>
      <c r="D177" s="265">
        <f ca="1"/>
        <v>0</v>
      </c>
      <c r="E177" s="265">
        <f ca="1"/>
        <v>0</v>
      </c>
      <c r="F177" s="265">
        <f ca="1"/>
        <v>0</v>
      </c>
      <c r="G177" s="265">
        <f ca="1"/>
        <v>0</v>
      </c>
      <c r="H177" s="265">
        <f ca="1"/>
        <v>0</v>
      </c>
      <c r="I177" s="265">
        <f ca="1"/>
        <v>0</v>
      </c>
      <c r="J177" s="265">
        <f ca="1"/>
        <v>0</v>
      </c>
      <c r="K177" s="265">
        <f ca="1"/>
        <v>0</v>
      </c>
      <c r="M177" s="4" t="str">
        <f t="shared" ref="M177:M185" si="8">EMIT_NAME</f>
        <v>Mtonne</v>
      </c>
    </row>
    <row r="178" spans="1:13" s="7" customFormat="1" x14ac:dyDescent="0.2">
      <c r="A178" s="4" t="str">
        <v>US N2O</v>
      </c>
      <c r="B178" s="26">
        <v>0</v>
      </c>
      <c r="C178" s="264">
        <f ca="1"/>
        <v>0</v>
      </c>
      <c r="D178" s="264">
        <f ca="1"/>
        <v>0</v>
      </c>
      <c r="E178" s="264">
        <f ca="1"/>
        <v>0</v>
      </c>
      <c r="F178" s="264">
        <f ca="1"/>
        <v>0</v>
      </c>
      <c r="G178" s="264">
        <f ca="1"/>
        <v>0</v>
      </c>
      <c r="H178" s="264">
        <f ca="1"/>
        <v>0</v>
      </c>
      <c r="I178" s="264">
        <f ca="1"/>
        <v>0</v>
      </c>
      <c r="J178" s="264">
        <f ca="1"/>
        <v>0</v>
      </c>
      <c r="K178" s="264">
        <f ca="1"/>
        <v>0</v>
      </c>
      <c r="M178" s="4" t="str">
        <f t="shared" si="8"/>
        <v>Mtonne</v>
      </c>
    </row>
    <row r="179" spans="1:13" s="7" customFormat="1" x14ac:dyDescent="0.2">
      <c r="A179" s="4" t="str">
        <v>OT N2O</v>
      </c>
      <c r="B179" s="26">
        <v>0</v>
      </c>
      <c r="C179" s="264">
        <f ca="1"/>
        <v>0</v>
      </c>
      <c r="D179" s="264">
        <f ca="1"/>
        <v>0</v>
      </c>
      <c r="E179" s="264">
        <f ca="1"/>
        <v>0</v>
      </c>
      <c r="F179" s="264">
        <f ca="1"/>
        <v>0</v>
      </c>
      <c r="G179" s="264">
        <f ca="1"/>
        <v>0</v>
      </c>
      <c r="H179" s="264">
        <f ca="1"/>
        <v>0</v>
      </c>
      <c r="I179" s="264">
        <f ca="1"/>
        <v>0</v>
      </c>
      <c r="J179" s="264">
        <f ca="1"/>
        <v>0</v>
      </c>
      <c r="K179" s="264">
        <f ca="1"/>
        <v>0</v>
      </c>
      <c r="M179" s="4" t="str">
        <f t="shared" si="8"/>
        <v>Mtonne</v>
      </c>
    </row>
    <row r="180" spans="1:13" s="7" customFormat="1" x14ac:dyDescent="0.2">
      <c r="A180" s="4" t="str">
        <v>EE N2O</v>
      </c>
      <c r="B180" s="26">
        <v>0</v>
      </c>
      <c r="C180" s="264">
        <f ca="1"/>
        <v>0</v>
      </c>
      <c r="D180" s="264">
        <f ca="1"/>
        <v>0</v>
      </c>
      <c r="E180" s="264">
        <f ca="1"/>
        <v>0</v>
      </c>
      <c r="F180" s="264">
        <f ca="1"/>
        <v>0</v>
      </c>
      <c r="G180" s="264">
        <f ca="1"/>
        <v>0</v>
      </c>
      <c r="H180" s="264">
        <f ca="1"/>
        <v>0</v>
      </c>
      <c r="I180" s="264">
        <f ca="1"/>
        <v>0</v>
      </c>
      <c r="J180" s="264">
        <f ca="1"/>
        <v>0</v>
      </c>
      <c r="K180" s="264">
        <f ca="1"/>
        <v>0</v>
      </c>
      <c r="M180" s="4" t="str">
        <f t="shared" si="8"/>
        <v>Mtonne</v>
      </c>
    </row>
    <row r="181" spans="1:13" s="7" customFormat="1" x14ac:dyDescent="0.2">
      <c r="A181" s="4" t="str">
        <v>CA N2O</v>
      </c>
      <c r="B181" s="26">
        <v>0</v>
      </c>
      <c r="C181" s="264">
        <f ca="1"/>
        <v>0</v>
      </c>
      <c r="D181" s="264">
        <f ca="1"/>
        <v>0</v>
      </c>
      <c r="E181" s="264">
        <f ca="1"/>
        <v>0</v>
      </c>
      <c r="F181" s="264">
        <f ca="1"/>
        <v>0</v>
      </c>
      <c r="G181" s="264">
        <f ca="1"/>
        <v>0</v>
      </c>
      <c r="H181" s="264">
        <f ca="1"/>
        <v>0</v>
      </c>
      <c r="I181" s="264">
        <f ca="1"/>
        <v>0</v>
      </c>
      <c r="J181" s="264">
        <f ca="1"/>
        <v>0</v>
      </c>
      <c r="K181" s="264">
        <f ca="1"/>
        <v>0</v>
      </c>
      <c r="M181" s="4" t="str">
        <f t="shared" si="8"/>
        <v>Mtonne</v>
      </c>
    </row>
    <row r="182" spans="1:13" s="7" customFormat="1" x14ac:dyDescent="0.2">
      <c r="A182" s="4" t="str">
        <v>IA N2O</v>
      </c>
      <c r="B182" s="26">
        <v>0</v>
      </c>
      <c r="C182" s="264">
        <f ca="1"/>
        <v>0</v>
      </c>
      <c r="D182" s="264">
        <f ca="1"/>
        <v>0</v>
      </c>
      <c r="E182" s="264">
        <f ca="1"/>
        <v>0</v>
      </c>
      <c r="F182" s="264">
        <f ca="1"/>
        <v>0</v>
      </c>
      <c r="G182" s="264">
        <f ca="1"/>
        <v>0</v>
      </c>
      <c r="H182" s="264">
        <f ca="1"/>
        <v>0</v>
      </c>
      <c r="I182" s="264">
        <f ca="1"/>
        <v>0</v>
      </c>
      <c r="J182" s="264">
        <f ca="1"/>
        <v>0</v>
      </c>
      <c r="K182" s="264">
        <f ca="1"/>
        <v>0</v>
      </c>
      <c r="M182" s="4" t="str">
        <f t="shared" si="8"/>
        <v>Mtonne</v>
      </c>
    </row>
    <row r="183" spans="1:13" s="7" customFormat="1" x14ac:dyDescent="0.2">
      <c r="A183" s="4" t="str">
        <v>AF N2O</v>
      </c>
      <c r="B183" s="26">
        <v>0</v>
      </c>
      <c r="C183" s="264">
        <f ca="1"/>
        <v>0</v>
      </c>
      <c r="D183" s="264">
        <f ca="1"/>
        <v>0</v>
      </c>
      <c r="E183" s="264">
        <f ca="1"/>
        <v>0</v>
      </c>
      <c r="F183" s="264">
        <f ca="1"/>
        <v>0</v>
      </c>
      <c r="G183" s="264">
        <f ca="1"/>
        <v>0</v>
      </c>
      <c r="H183" s="264">
        <f ca="1"/>
        <v>0</v>
      </c>
      <c r="I183" s="264">
        <f ca="1"/>
        <v>0</v>
      </c>
      <c r="J183" s="264">
        <f ca="1"/>
        <v>0</v>
      </c>
      <c r="K183" s="264">
        <f ca="1"/>
        <v>0</v>
      </c>
      <c r="M183" s="4" t="str">
        <f t="shared" si="8"/>
        <v>Mtonne</v>
      </c>
    </row>
    <row r="184" spans="1:13" s="7" customFormat="1" ht="13.5" thickBot="1" x14ac:dyDescent="0.25">
      <c r="A184" s="4" t="str">
        <v>LA N2O</v>
      </c>
      <c r="B184" s="35">
        <v>0</v>
      </c>
      <c r="C184" s="266">
        <f ca="1"/>
        <v>0</v>
      </c>
      <c r="D184" s="266">
        <f ca="1"/>
        <v>0</v>
      </c>
      <c r="E184" s="266">
        <f ca="1"/>
        <v>0</v>
      </c>
      <c r="F184" s="266">
        <f ca="1"/>
        <v>0</v>
      </c>
      <c r="G184" s="266">
        <f ca="1"/>
        <v>0</v>
      </c>
      <c r="H184" s="266">
        <f ca="1"/>
        <v>0</v>
      </c>
      <c r="I184" s="266">
        <f ca="1"/>
        <v>0</v>
      </c>
      <c r="J184" s="266">
        <f ca="1"/>
        <v>0</v>
      </c>
      <c r="K184" s="266">
        <f ca="1"/>
        <v>0</v>
      </c>
      <c r="M184" s="4" t="str">
        <f t="shared" si="8"/>
        <v>Mtonne</v>
      </c>
    </row>
    <row r="185" spans="1:13" s="6" customFormat="1" ht="13.5" thickTop="1" x14ac:dyDescent="0.2">
      <c r="A185" s="58" t="s">
        <v>204</v>
      </c>
      <c r="B185" s="26">
        <f t="shared" ref="B185:K185" si="9">SUM(B177:B184)</f>
        <v>0</v>
      </c>
      <c r="C185" s="26">
        <f t="shared" ca="1" si="9"/>
        <v>0</v>
      </c>
      <c r="D185" s="26">
        <f t="shared" ca="1" si="9"/>
        <v>0</v>
      </c>
      <c r="E185" s="26">
        <f t="shared" ca="1" si="9"/>
        <v>0</v>
      </c>
      <c r="F185" s="26">
        <f t="shared" ca="1" si="9"/>
        <v>0</v>
      </c>
      <c r="G185" s="26">
        <f t="shared" ca="1" si="9"/>
        <v>0</v>
      </c>
      <c r="H185" s="26">
        <f t="shared" ca="1" si="9"/>
        <v>0</v>
      </c>
      <c r="I185" s="26">
        <f t="shared" ca="1" si="9"/>
        <v>0</v>
      </c>
      <c r="J185" s="26">
        <f t="shared" ca="1" si="9"/>
        <v>0</v>
      </c>
      <c r="K185" s="26">
        <f t="shared" ca="1" si="9"/>
        <v>0</v>
      </c>
      <c r="M185" s="4" t="str">
        <f t="shared" si="8"/>
        <v>Mtonne</v>
      </c>
    </row>
    <row r="186" spans="1:13" s="8" customFormat="1" ht="14.25" x14ac:dyDescent="0.25">
      <c r="A186" s="2" t="s">
        <v>283</v>
      </c>
      <c r="B186" s="8" t="s">
        <v>291</v>
      </c>
    </row>
    <row r="187" spans="1:13" s="7" customFormat="1" x14ac:dyDescent="0.2">
      <c r="A187" s="4" t="str">
        <f t="array" ref="A187:A194">R_CODE&amp;" "&amp;GLIN_NAME</f>
        <v>EU Lin</v>
      </c>
      <c r="B187" s="29">
        <f t="array" ref="B187:B194">0</f>
        <v>0</v>
      </c>
      <c r="C187" s="265">
        <f t="array" ref="C187:K194" ca="1">cumcbe_glin_b+cbe_glin_b*YAGG</f>
        <v>0</v>
      </c>
      <c r="D187" s="265">
        <f ca="1"/>
        <v>0</v>
      </c>
      <c r="E187" s="265">
        <f ca="1"/>
        <v>0</v>
      </c>
      <c r="F187" s="265">
        <f ca="1"/>
        <v>0</v>
      </c>
      <c r="G187" s="265">
        <f ca="1"/>
        <v>0</v>
      </c>
      <c r="H187" s="265">
        <f ca="1"/>
        <v>0</v>
      </c>
      <c r="I187" s="265">
        <f ca="1"/>
        <v>0</v>
      </c>
      <c r="J187" s="265">
        <f ca="1"/>
        <v>0</v>
      </c>
      <c r="K187" s="265">
        <f ca="1"/>
        <v>0</v>
      </c>
      <c r="M187" s="4" t="str">
        <f t="shared" ref="M187:M195" si="10">EMIT_NAME</f>
        <v>Mtonne</v>
      </c>
    </row>
    <row r="188" spans="1:13" s="7" customFormat="1" x14ac:dyDescent="0.2">
      <c r="A188" s="4" t="str">
        <v>US Lin</v>
      </c>
      <c r="B188" s="26">
        <v>0</v>
      </c>
      <c r="C188" s="264">
        <f ca="1"/>
        <v>0</v>
      </c>
      <c r="D188" s="264">
        <f ca="1"/>
        <v>0</v>
      </c>
      <c r="E188" s="264">
        <f ca="1"/>
        <v>0</v>
      </c>
      <c r="F188" s="264">
        <f ca="1"/>
        <v>0</v>
      </c>
      <c r="G188" s="264">
        <f ca="1"/>
        <v>0</v>
      </c>
      <c r="H188" s="264">
        <f ca="1"/>
        <v>0</v>
      </c>
      <c r="I188" s="264">
        <f ca="1"/>
        <v>0</v>
      </c>
      <c r="J188" s="264">
        <f ca="1"/>
        <v>0</v>
      </c>
      <c r="K188" s="264">
        <f ca="1"/>
        <v>0</v>
      </c>
      <c r="M188" s="4" t="str">
        <f t="shared" si="10"/>
        <v>Mtonne</v>
      </c>
    </row>
    <row r="189" spans="1:13" s="7" customFormat="1" x14ac:dyDescent="0.2">
      <c r="A189" s="4" t="str">
        <v>OT Lin</v>
      </c>
      <c r="B189" s="26">
        <v>0</v>
      </c>
      <c r="C189" s="264">
        <f ca="1"/>
        <v>0</v>
      </c>
      <c r="D189" s="264">
        <f ca="1"/>
        <v>0</v>
      </c>
      <c r="E189" s="264">
        <f ca="1"/>
        <v>0</v>
      </c>
      <c r="F189" s="264">
        <f ca="1"/>
        <v>0</v>
      </c>
      <c r="G189" s="264">
        <f ca="1"/>
        <v>0</v>
      </c>
      <c r="H189" s="264">
        <f ca="1"/>
        <v>0</v>
      </c>
      <c r="I189" s="264">
        <f ca="1"/>
        <v>0</v>
      </c>
      <c r="J189" s="264">
        <f ca="1"/>
        <v>0</v>
      </c>
      <c r="K189" s="264">
        <f ca="1"/>
        <v>0</v>
      </c>
      <c r="M189" s="4" t="str">
        <f t="shared" si="10"/>
        <v>Mtonne</v>
      </c>
    </row>
    <row r="190" spans="1:13" s="7" customFormat="1" x14ac:dyDescent="0.2">
      <c r="A190" s="4" t="str">
        <v>EE Lin</v>
      </c>
      <c r="B190" s="26">
        <v>0</v>
      </c>
      <c r="C190" s="264">
        <f ca="1"/>
        <v>0</v>
      </c>
      <c r="D190" s="264">
        <f ca="1"/>
        <v>0</v>
      </c>
      <c r="E190" s="264">
        <f ca="1"/>
        <v>0</v>
      </c>
      <c r="F190" s="264">
        <f ca="1"/>
        <v>0</v>
      </c>
      <c r="G190" s="264">
        <f ca="1"/>
        <v>0</v>
      </c>
      <c r="H190" s="264">
        <f ca="1"/>
        <v>0</v>
      </c>
      <c r="I190" s="264">
        <f ca="1"/>
        <v>0</v>
      </c>
      <c r="J190" s="264">
        <f ca="1"/>
        <v>0</v>
      </c>
      <c r="K190" s="264">
        <f ca="1"/>
        <v>0</v>
      </c>
      <c r="M190" s="4" t="str">
        <f t="shared" si="10"/>
        <v>Mtonne</v>
      </c>
    </row>
    <row r="191" spans="1:13" s="7" customFormat="1" x14ac:dyDescent="0.2">
      <c r="A191" s="4" t="str">
        <v>CA Lin</v>
      </c>
      <c r="B191" s="26">
        <v>0</v>
      </c>
      <c r="C191" s="264">
        <f ca="1"/>
        <v>0</v>
      </c>
      <c r="D191" s="264">
        <f ca="1"/>
        <v>0</v>
      </c>
      <c r="E191" s="264">
        <f ca="1"/>
        <v>0</v>
      </c>
      <c r="F191" s="264">
        <f ca="1"/>
        <v>0</v>
      </c>
      <c r="G191" s="264">
        <f ca="1"/>
        <v>0</v>
      </c>
      <c r="H191" s="264">
        <f ca="1"/>
        <v>0</v>
      </c>
      <c r="I191" s="264">
        <f ca="1"/>
        <v>0</v>
      </c>
      <c r="J191" s="264">
        <f ca="1"/>
        <v>0</v>
      </c>
      <c r="K191" s="264">
        <f ca="1"/>
        <v>0</v>
      </c>
      <c r="M191" s="4" t="str">
        <f t="shared" si="10"/>
        <v>Mtonne</v>
      </c>
    </row>
    <row r="192" spans="1:13" s="7" customFormat="1" x14ac:dyDescent="0.2">
      <c r="A192" s="4" t="str">
        <v>IA Lin</v>
      </c>
      <c r="B192" s="26">
        <v>0</v>
      </c>
      <c r="C192" s="264">
        <f ca="1"/>
        <v>0</v>
      </c>
      <c r="D192" s="264">
        <f ca="1"/>
        <v>0</v>
      </c>
      <c r="E192" s="264">
        <f ca="1"/>
        <v>0</v>
      </c>
      <c r="F192" s="264">
        <f ca="1"/>
        <v>0</v>
      </c>
      <c r="G192" s="264">
        <f ca="1"/>
        <v>0</v>
      </c>
      <c r="H192" s="264">
        <f ca="1"/>
        <v>0</v>
      </c>
      <c r="I192" s="264">
        <f ca="1"/>
        <v>0</v>
      </c>
      <c r="J192" s="264">
        <f ca="1"/>
        <v>0</v>
      </c>
      <c r="K192" s="264">
        <f ca="1"/>
        <v>0</v>
      </c>
      <c r="M192" s="4" t="str">
        <f t="shared" si="10"/>
        <v>Mtonne</v>
      </c>
    </row>
    <row r="193" spans="1:13" s="7" customFormat="1" x14ac:dyDescent="0.2">
      <c r="A193" s="4" t="str">
        <v>AF Lin</v>
      </c>
      <c r="B193" s="26">
        <v>0</v>
      </c>
      <c r="C193" s="264">
        <f ca="1"/>
        <v>0</v>
      </c>
      <c r="D193" s="264">
        <f ca="1"/>
        <v>0</v>
      </c>
      <c r="E193" s="264">
        <f ca="1"/>
        <v>0</v>
      </c>
      <c r="F193" s="264">
        <f ca="1"/>
        <v>0</v>
      </c>
      <c r="G193" s="264">
        <f ca="1"/>
        <v>0</v>
      </c>
      <c r="H193" s="264">
        <f ca="1"/>
        <v>0</v>
      </c>
      <c r="I193" s="264">
        <f ca="1"/>
        <v>0</v>
      </c>
      <c r="J193" s="264">
        <f ca="1"/>
        <v>0</v>
      </c>
      <c r="K193" s="264">
        <f ca="1"/>
        <v>0</v>
      </c>
      <c r="M193" s="4" t="str">
        <f t="shared" si="10"/>
        <v>Mtonne</v>
      </c>
    </row>
    <row r="194" spans="1:13" s="7" customFormat="1" ht="13.5" thickBot="1" x14ac:dyDescent="0.25">
      <c r="A194" s="4" t="str">
        <v>LA Lin</v>
      </c>
      <c r="B194" s="35">
        <v>0</v>
      </c>
      <c r="C194" s="266">
        <f ca="1"/>
        <v>0</v>
      </c>
      <c r="D194" s="266">
        <f ca="1"/>
        <v>0</v>
      </c>
      <c r="E194" s="266">
        <f ca="1"/>
        <v>0</v>
      </c>
      <c r="F194" s="266">
        <f ca="1"/>
        <v>0</v>
      </c>
      <c r="G194" s="266">
        <f ca="1"/>
        <v>0</v>
      </c>
      <c r="H194" s="266">
        <f ca="1"/>
        <v>0</v>
      </c>
      <c r="I194" s="266">
        <f ca="1"/>
        <v>0</v>
      </c>
      <c r="J194" s="266">
        <f ca="1"/>
        <v>0</v>
      </c>
      <c r="K194" s="266">
        <f ca="1"/>
        <v>0</v>
      </c>
      <c r="M194" s="4" t="str">
        <f t="shared" si="10"/>
        <v>Mtonne</v>
      </c>
    </row>
    <row r="195" spans="1:13" s="6" customFormat="1" ht="13.5" thickTop="1" x14ac:dyDescent="0.2">
      <c r="A195" s="58" t="s">
        <v>204</v>
      </c>
      <c r="B195" s="26">
        <f t="shared" ref="B195:K195" si="11">SUM(B187:B194)</f>
        <v>0</v>
      </c>
      <c r="C195" s="26">
        <f t="shared" ca="1" si="11"/>
        <v>0</v>
      </c>
      <c r="D195" s="26">
        <f t="shared" ca="1" si="11"/>
        <v>0</v>
      </c>
      <c r="E195" s="26">
        <f t="shared" ca="1" si="11"/>
        <v>0</v>
      </c>
      <c r="F195" s="26">
        <f t="shared" ca="1" si="11"/>
        <v>0</v>
      </c>
      <c r="G195" s="26">
        <f t="shared" ca="1" si="11"/>
        <v>0</v>
      </c>
      <c r="H195" s="26">
        <f t="shared" ca="1" si="11"/>
        <v>0</v>
      </c>
      <c r="I195" s="26">
        <f t="shared" ca="1" si="11"/>
        <v>0</v>
      </c>
      <c r="J195" s="26">
        <f t="shared" ca="1" si="11"/>
        <v>0</v>
      </c>
      <c r="K195" s="26">
        <f t="shared" ca="1" si="11"/>
        <v>0</v>
      </c>
      <c r="M195" s="4" t="str">
        <f t="shared" si="10"/>
        <v>Mtonne</v>
      </c>
    </row>
    <row r="196" spans="1:13" s="2" customFormat="1" ht="14.25" x14ac:dyDescent="0.25">
      <c r="A196" s="2" t="s">
        <v>292</v>
      </c>
      <c r="B196" s="2" t="s">
        <v>293</v>
      </c>
    </row>
    <row r="197" spans="1:13" s="6" customFormat="1" x14ac:dyDescent="0.2">
      <c r="A197" s="4" t="str">
        <f t="array" ref="A197:A204">R_CODE&amp;" "&amp;'Base data'!$B$12</f>
        <v>EU CO2</v>
      </c>
      <c r="B197" s="269">
        <f t="array" ref="B197:K204" ca="1">((CROSS*cumcbe_co2_g_b+(1-CROSS)*cumcbe_co2_b+IES_CO2)/IES_CO2)^-(LN(1/(1-LEARN))/LN(2))</f>
        <v>1</v>
      </c>
      <c r="C197" s="269">
        <f ca="1"/>
        <v>1</v>
      </c>
      <c r="D197" s="269">
        <f ca="1"/>
        <v>1</v>
      </c>
      <c r="E197" s="269">
        <f ca="1"/>
        <v>1</v>
      </c>
      <c r="F197" s="269">
        <f ca="1"/>
        <v>1</v>
      </c>
      <c r="G197" s="269">
        <f ca="1"/>
        <v>1</v>
      </c>
      <c r="H197" s="269">
        <f ca="1"/>
        <v>1</v>
      </c>
      <c r="I197" s="269">
        <f ca="1"/>
        <v>1</v>
      </c>
      <c r="J197" s="269">
        <f ca="1"/>
        <v>1</v>
      </c>
      <c r="K197" s="269">
        <f ca="1"/>
        <v>1</v>
      </c>
      <c r="M197" s="4"/>
    </row>
    <row r="198" spans="1:13" s="6" customFormat="1" x14ac:dyDescent="0.2">
      <c r="A198" s="4" t="str">
        <v>US CO2</v>
      </c>
      <c r="B198" s="260">
        <f ca="1"/>
        <v>1</v>
      </c>
      <c r="C198" s="260">
        <f ca="1"/>
        <v>1</v>
      </c>
      <c r="D198" s="260">
        <f ca="1"/>
        <v>1</v>
      </c>
      <c r="E198" s="260">
        <f ca="1"/>
        <v>1</v>
      </c>
      <c r="F198" s="260">
        <f ca="1"/>
        <v>1</v>
      </c>
      <c r="G198" s="260">
        <f ca="1"/>
        <v>1</v>
      </c>
      <c r="H198" s="260">
        <f ca="1"/>
        <v>1</v>
      </c>
      <c r="I198" s="260">
        <f ca="1"/>
        <v>1</v>
      </c>
      <c r="J198" s="260">
        <f ca="1"/>
        <v>1</v>
      </c>
      <c r="K198" s="260">
        <f ca="1"/>
        <v>1</v>
      </c>
      <c r="M198" s="4"/>
    </row>
    <row r="199" spans="1:13" s="6" customFormat="1" x14ac:dyDescent="0.2">
      <c r="A199" s="4" t="str">
        <v>OT CO2</v>
      </c>
      <c r="B199" s="260">
        <f ca="1"/>
        <v>1</v>
      </c>
      <c r="C199" s="260">
        <f ca="1"/>
        <v>1</v>
      </c>
      <c r="D199" s="260">
        <f ca="1"/>
        <v>1</v>
      </c>
      <c r="E199" s="260">
        <f ca="1"/>
        <v>1</v>
      </c>
      <c r="F199" s="260">
        <f ca="1"/>
        <v>1</v>
      </c>
      <c r="G199" s="260">
        <f ca="1"/>
        <v>1</v>
      </c>
      <c r="H199" s="260">
        <f ca="1"/>
        <v>1</v>
      </c>
      <c r="I199" s="260">
        <f ca="1"/>
        <v>1</v>
      </c>
      <c r="J199" s="260">
        <f ca="1"/>
        <v>1</v>
      </c>
      <c r="K199" s="260">
        <f ca="1"/>
        <v>1</v>
      </c>
      <c r="M199" s="4"/>
    </row>
    <row r="200" spans="1:13" s="6" customFormat="1" x14ac:dyDescent="0.2">
      <c r="A200" s="4" t="str">
        <v>EE CO2</v>
      </c>
      <c r="B200" s="260">
        <f ca="1"/>
        <v>1</v>
      </c>
      <c r="C200" s="260">
        <f ca="1"/>
        <v>1</v>
      </c>
      <c r="D200" s="260">
        <f ca="1"/>
        <v>1</v>
      </c>
      <c r="E200" s="260">
        <f ca="1"/>
        <v>1</v>
      </c>
      <c r="F200" s="260">
        <f ca="1"/>
        <v>1</v>
      </c>
      <c r="G200" s="260">
        <f ca="1"/>
        <v>1</v>
      </c>
      <c r="H200" s="260">
        <f ca="1"/>
        <v>1</v>
      </c>
      <c r="I200" s="260">
        <f ca="1"/>
        <v>1</v>
      </c>
      <c r="J200" s="260">
        <f ca="1"/>
        <v>1</v>
      </c>
      <c r="K200" s="260">
        <f ca="1"/>
        <v>1</v>
      </c>
      <c r="M200" s="4"/>
    </row>
    <row r="201" spans="1:13" s="6" customFormat="1" x14ac:dyDescent="0.2">
      <c r="A201" s="4" t="str">
        <v>CA CO2</v>
      </c>
      <c r="B201" s="260">
        <f ca="1"/>
        <v>1</v>
      </c>
      <c r="C201" s="260">
        <f ca="1"/>
        <v>1</v>
      </c>
      <c r="D201" s="260">
        <f ca="1"/>
        <v>1</v>
      </c>
      <c r="E201" s="260">
        <f ca="1"/>
        <v>1</v>
      </c>
      <c r="F201" s="260">
        <f ca="1"/>
        <v>1</v>
      </c>
      <c r="G201" s="260">
        <f ca="1"/>
        <v>1</v>
      </c>
      <c r="H201" s="260">
        <f ca="1"/>
        <v>1</v>
      </c>
      <c r="I201" s="260">
        <f ca="1"/>
        <v>1</v>
      </c>
      <c r="J201" s="260">
        <f ca="1"/>
        <v>1</v>
      </c>
      <c r="K201" s="260">
        <f ca="1"/>
        <v>1</v>
      </c>
      <c r="M201" s="4"/>
    </row>
    <row r="202" spans="1:13" s="6" customFormat="1" x14ac:dyDescent="0.2">
      <c r="A202" s="4" t="str">
        <v>IA CO2</v>
      </c>
      <c r="B202" s="260">
        <f ca="1"/>
        <v>1</v>
      </c>
      <c r="C202" s="260">
        <f ca="1"/>
        <v>1</v>
      </c>
      <c r="D202" s="260">
        <f ca="1"/>
        <v>1</v>
      </c>
      <c r="E202" s="260">
        <f ca="1"/>
        <v>1</v>
      </c>
      <c r="F202" s="260">
        <f ca="1"/>
        <v>1</v>
      </c>
      <c r="G202" s="260">
        <f ca="1"/>
        <v>1</v>
      </c>
      <c r="H202" s="260">
        <f ca="1"/>
        <v>1</v>
      </c>
      <c r="I202" s="260">
        <f ca="1"/>
        <v>1</v>
      </c>
      <c r="J202" s="260">
        <f ca="1"/>
        <v>1</v>
      </c>
      <c r="K202" s="260">
        <f ca="1"/>
        <v>1</v>
      </c>
      <c r="M202" s="4"/>
    </row>
    <row r="203" spans="1:13" s="6" customFormat="1" x14ac:dyDescent="0.2">
      <c r="A203" s="4" t="str">
        <v>AF CO2</v>
      </c>
      <c r="B203" s="260">
        <f ca="1"/>
        <v>1</v>
      </c>
      <c r="C203" s="260">
        <f ca="1"/>
        <v>1</v>
      </c>
      <c r="D203" s="260">
        <f ca="1"/>
        <v>1</v>
      </c>
      <c r="E203" s="260">
        <f ca="1"/>
        <v>1</v>
      </c>
      <c r="F203" s="260">
        <f ca="1"/>
        <v>1</v>
      </c>
      <c r="G203" s="260">
        <f ca="1"/>
        <v>1</v>
      </c>
      <c r="H203" s="260">
        <f ca="1"/>
        <v>1</v>
      </c>
      <c r="I203" s="260">
        <f ca="1"/>
        <v>1</v>
      </c>
      <c r="J203" s="260">
        <f ca="1"/>
        <v>1</v>
      </c>
      <c r="K203" s="260">
        <f ca="1"/>
        <v>1</v>
      </c>
      <c r="M203" s="4"/>
    </row>
    <row r="204" spans="1:13" s="6" customFormat="1" ht="13.5" thickBot="1" x14ac:dyDescent="0.25">
      <c r="A204" s="4" t="str">
        <v>LA CO2</v>
      </c>
      <c r="B204" s="270">
        <f ca="1"/>
        <v>1</v>
      </c>
      <c r="C204" s="270">
        <f ca="1"/>
        <v>1</v>
      </c>
      <c r="D204" s="270">
        <f ca="1"/>
        <v>1</v>
      </c>
      <c r="E204" s="270">
        <f ca="1"/>
        <v>1</v>
      </c>
      <c r="F204" s="270">
        <f ca="1"/>
        <v>1</v>
      </c>
      <c r="G204" s="270">
        <f ca="1"/>
        <v>1</v>
      </c>
      <c r="H204" s="270">
        <f ca="1"/>
        <v>1</v>
      </c>
      <c r="I204" s="270">
        <f ca="1"/>
        <v>1</v>
      </c>
      <c r="J204" s="270">
        <f ca="1"/>
        <v>1</v>
      </c>
      <c r="K204" s="270">
        <f ca="1"/>
        <v>1</v>
      </c>
      <c r="M204" s="4"/>
    </row>
    <row r="205" spans="1:13" s="2" customFormat="1" ht="15" thickTop="1" x14ac:dyDescent="0.25">
      <c r="A205" s="2" t="s">
        <v>292</v>
      </c>
      <c r="B205" s="2" t="s">
        <v>294</v>
      </c>
    </row>
    <row r="206" spans="1:13" s="7" customFormat="1" x14ac:dyDescent="0.2">
      <c r="A206" s="4" t="str">
        <f t="array" ref="A206:A213">R_CODE&amp;" "&amp;'Base data'!$C$12</f>
        <v>EU CH4</v>
      </c>
      <c r="B206" s="265">
        <f t="array" ref="B206:K213" ca="1">((CROSS*cumcbe_ch4_g_b+(1-CROSS)*cumcbe_ch4_b+IES_CH4)/IES_CH4)^-(LN(1/(1-LEARN))/LN(2))</f>
        <v>1</v>
      </c>
      <c r="C206" s="265">
        <f ca="1"/>
        <v>1</v>
      </c>
      <c r="D206" s="265">
        <f ca="1"/>
        <v>1</v>
      </c>
      <c r="E206" s="265">
        <f ca="1"/>
        <v>1</v>
      </c>
      <c r="F206" s="265">
        <f ca="1"/>
        <v>1</v>
      </c>
      <c r="G206" s="265">
        <f ca="1"/>
        <v>1</v>
      </c>
      <c r="H206" s="265">
        <f ca="1"/>
        <v>1</v>
      </c>
      <c r="I206" s="265">
        <f ca="1"/>
        <v>1</v>
      </c>
      <c r="J206" s="265">
        <f ca="1"/>
        <v>1</v>
      </c>
      <c r="K206" s="265">
        <f ca="1"/>
        <v>1</v>
      </c>
      <c r="M206" s="4"/>
    </row>
    <row r="207" spans="1:13" s="7" customFormat="1" x14ac:dyDescent="0.2">
      <c r="A207" s="4" t="str">
        <v>US CH4</v>
      </c>
      <c r="B207" s="264">
        <f ca="1"/>
        <v>1</v>
      </c>
      <c r="C207" s="264">
        <f ca="1"/>
        <v>1</v>
      </c>
      <c r="D207" s="264">
        <f ca="1"/>
        <v>1</v>
      </c>
      <c r="E207" s="264">
        <f ca="1"/>
        <v>1</v>
      </c>
      <c r="F207" s="264">
        <f ca="1"/>
        <v>1</v>
      </c>
      <c r="G207" s="264">
        <f ca="1"/>
        <v>1</v>
      </c>
      <c r="H207" s="264">
        <f ca="1"/>
        <v>1</v>
      </c>
      <c r="I207" s="264">
        <f ca="1"/>
        <v>1</v>
      </c>
      <c r="J207" s="264">
        <f ca="1"/>
        <v>1</v>
      </c>
      <c r="K207" s="264">
        <f ca="1"/>
        <v>1</v>
      </c>
      <c r="M207" s="4"/>
    </row>
    <row r="208" spans="1:13" s="7" customFormat="1" x14ac:dyDescent="0.2">
      <c r="A208" s="4" t="str">
        <v>OT CH4</v>
      </c>
      <c r="B208" s="264">
        <f ca="1"/>
        <v>1</v>
      </c>
      <c r="C208" s="264">
        <f ca="1"/>
        <v>1</v>
      </c>
      <c r="D208" s="264">
        <f ca="1"/>
        <v>1</v>
      </c>
      <c r="E208" s="264">
        <f ca="1"/>
        <v>1</v>
      </c>
      <c r="F208" s="264">
        <f ca="1"/>
        <v>1</v>
      </c>
      <c r="G208" s="264">
        <f ca="1"/>
        <v>1</v>
      </c>
      <c r="H208" s="264">
        <f ca="1"/>
        <v>1</v>
      </c>
      <c r="I208" s="264">
        <f ca="1"/>
        <v>1</v>
      </c>
      <c r="J208" s="264">
        <f ca="1"/>
        <v>1</v>
      </c>
      <c r="K208" s="264">
        <f ca="1"/>
        <v>1</v>
      </c>
      <c r="M208" s="4"/>
    </row>
    <row r="209" spans="1:13" s="7" customFormat="1" x14ac:dyDescent="0.2">
      <c r="A209" s="4" t="str">
        <v>EE CH4</v>
      </c>
      <c r="B209" s="264">
        <f ca="1"/>
        <v>1</v>
      </c>
      <c r="C209" s="264">
        <f ca="1"/>
        <v>1</v>
      </c>
      <c r="D209" s="264">
        <f ca="1"/>
        <v>1</v>
      </c>
      <c r="E209" s="264">
        <f ca="1"/>
        <v>1</v>
      </c>
      <c r="F209" s="264">
        <f ca="1"/>
        <v>1</v>
      </c>
      <c r="G209" s="264">
        <f ca="1"/>
        <v>1</v>
      </c>
      <c r="H209" s="264">
        <f ca="1"/>
        <v>1</v>
      </c>
      <c r="I209" s="264">
        <f ca="1"/>
        <v>1</v>
      </c>
      <c r="J209" s="264">
        <f ca="1"/>
        <v>1</v>
      </c>
      <c r="K209" s="264">
        <f ca="1"/>
        <v>1</v>
      </c>
      <c r="M209" s="4"/>
    </row>
    <row r="210" spans="1:13" s="7" customFormat="1" x14ac:dyDescent="0.2">
      <c r="A210" s="4" t="str">
        <v>CA CH4</v>
      </c>
      <c r="B210" s="264">
        <f ca="1"/>
        <v>1</v>
      </c>
      <c r="C210" s="264">
        <f ca="1"/>
        <v>1</v>
      </c>
      <c r="D210" s="264">
        <f ca="1"/>
        <v>1</v>
      </c>
      <c r="E210" s="264">
        <f ca="1"/>
        <v>1</v>
      </c>
      <c r="F210" s="264">
        <f ca="1"/>
        <v>1</v>
      </c>
      <c r="G210" s="264">
        <f ca="1"/>
        <v>1</v>
      </c>
      <c r="H210" s="264">
        <f ca="1"/>
        <v>1</v>
      </c>
      <c r="I210" s="264">
        <f ca="1"/>
        <v>1</v>
      </c>
      <c r="J210" s="264">
        <f ca="1"/>
        <v>1</v>
      </c>
      <c r="K210" s="264">
        <f ca="1"/>
        <v>1</v>
      </c>
      <c r="M210" s="4"/>
    </row>
    <row r="211" spans="1:13" s="7" customFormat="1" x14ac:dyDescent="0.2">
      <c r="A211" s="4" t="str">
        <v>IA CH4</v>
      </c>
      <c r="B211" s="264">
        <f ca="1"/>
        <v>1</v>
      </c>
      <c r="C211" s="264">
        <f ca="1"/>
        <v>1</v>
      </c>
      <c r="D211" s="264">
        <f ca="1"/>
        <v>1</v>
      </c>
      <c r="E211" s="264">
        <f ca="1"/>
        <v>1</v>
      </c>
      <c r="F211" s="264">
        <f ca="1"/>
        <v>1</v>
      </c>
      <c r="G211" s="264">
        <f ca="1"/>
        <v>1</v>
      </c>
      <c r="H211" s="264">
        <f ca="1"/>
        <v>1</v>
      </c>
      <c r="I211" s="264">
        <f ca="1"/>
        <v>1</v>
      </c>
      <c r="J211" s="264">
        <f ca="1"/>
        <v>1</v>
      </c>
      <c r="K211" s="264">
        <f ca="1"/>
        <v>1</v>
      </c>
      <c r="M211" s="4"/>
    </row>
    <row r="212" spans="1:13" s="7" customFormat="1" x14ac:dyDescent="0.2">
      <c r="A212" s="4" t="str">
        <v>AF CH4</v>
      </c>
      <c r="B212" s="264">
        <f ca="1"/>
        <v>1</v>
      </c>
      <c r="C212" s="264">
        <f ca="1"/>
        <v>1</v>
      </c>
      <c r="D212" s="264">
        <f ca="1"/>
        <v>1</v>
      </c>
      <c r="E212" s="264">
        <f ca="1"/>
        <v>1</v>
      </c>
      <c r="F212" s="264">
        <f ca="1"/>
        <v>1</v>
      </c>
      <c r="G212" s="264">
        <f ca="1"/>
        <v>1</v>
      </c>
      <c r="H212" s="264">
        <f ca="1"/>
        <v>1</v>
      </c>
      <c r="I212" s="264">
        <f ca="1"/>
        <v>1</v>
      </c>
      <c r="J212" s="264">
        <f ca="1"/>
        <v>1</v>
      </c>
      <c r="K212" s="264">
        <f ca="1"/>
        <v>1</v>
      </c>
      <c r="M212" s="4"/>
    </row>
    <row r="213" spans="1:13" s="7" customFormat="1" ht="13.5" thickBot="1" x14ac:dyDescent="0.25">
      <c r="A213" s="4" t="str">
        <v>LA CH4</v>
      </c>
      <c r="B213" s="266">
        <f ca="1"/>
        <v>1</v>
      </c>
      <c r="C213" s="266">
        <f ca="1"/>
        <v>1</v>
      </c>
      <c r="D213" s="266">
        <f ca="1"/>
        <v>1</v>
      </c>
      <c r="E213" s="266">
        <f ca="1"/>
        <v>1</v>
      </c>
      <c r="F213" s="266">
        <f ca="1"/>
        <v>1</v>
      </c>
      <c r="G213" s="266">
        <f ca="1"/>
        <v>1</v>
      </c>
      <c r="H213" s="266">
        <f ca="1"/>
        <v>1</v>
      </c>
      <c r="I213" s="266">
        <f ca="1"/>
        <v>1</v>
      </c>
      <c r="J213" s="266">
        <f ca="1"/>
        <v>1</v>
      </c>
      <c r="K213" s="266">
        <f ca="1"/>
        <v>1</v>
      </c>
      <c r="M213" s="4"/>
    </row>
    <row r="214" spans="1:13" s="2" customFormat="1" ht="15" thickTop="1" x14ac:dyDescent="0.25">
      <c r="A214" s="2" t="s">
        <v>292</v>
      </c>
      <c r="B214" s="2" t="s">
        <v>295</v>
      </c>
    </row>
    <row r="215" spans="1:13" s="7" customFormat="1" x14ac:dyDescent="0.2">
      <c r="A215" s="4" t="str">
        <f t="array" ref="A215:A222">R_CODE&amp;" "&amp;'Base data'!$D$12</f>
        <v>EU N2O</v>
      </c>
      <c r="B215" s="265">
        <f t="array" ref="B215:K222" ca="1">((CROSS*cumcbe_n2o_g_b+(1-CROSS)*cumcbe_n2o_b+IES_N2O)/IES_N2O)^-(LN(1/(1-LEARN))/LN(2))</f>
        <v>1</v>
      </c>
      <c r="C215" s="265">
        <f ca="1"/>
        <v>1</v>
      </c>
      <c r="D215" s="265">
        <f ca="1"/>
        <v>1</v>
      </c>
      <c r="E215" s="265">
        <f ca="1"/>
        <v>1</v>
      </c>
      <c r="F215" s="265">
        <f ca="1"/>
        <v>1</v>
      </c>
      <c r="G215" s="265">
        <f ca="1"/>
        <v>1</v>
      </c>
      <c r="H215" s="265">
        <f ca="1"/>
        <v>1</v>
      </c>
      <c r="I215" s="265">
        <f ca="1"/>
        <v>1</v>
      </c>
      <c r="J215" s="265">
        <f ca="1"/>
        <v>1</v>
      </c>
      <c r="K215" s="265">
        <f ca="1"/>
        <v>1</v>
      </c>
      <c r="M215" s="4"/>
    </row>
    <row r="216" spans="1:13" s="7" customFormat="1" x14ac:dyDescent="0.2">
      <c r="A216" s="4" t="str">
        <v>US N2O</v>
      </c>
      <c r="B216" s="264">
        <f ca="1"/>
        <v>1</v>
      </c>
      <c r="C216" s="264">
        <f ca="1"/>
        <v>1</v>
      </c>
      <c r="D216" s="264">
        <f ca="1"/>
        <v>1</v>
      </c>
      <c r="E216" s="264">
        <f ca="1"/>
        <v>1</v>
      </c>
      <c r="F216" s="264">
        <f ca="1"/>
        <v>1</v>
      </c>
      <c r="G216" s="264">
        <f ca="1"/>
        <v>1</v>
      </c>
      <c r="H216" s="264">
        <f ca="1"/>
        <v>1</v>
      </c>
      <c r="I216" s="264">
        <f ca="1"/>
        <v>1</v>
      </c>
      <c r="J216" s="264">
        <f ca="1"/>
        <v>1</v>
      </c>
      <c r="K216" s="264">
        <f ca="1"/>
        <v>1</v>
      </c>
      <c r="M216" s="4"/>
    </row>
    <row r="217" spans="1:13" s="7" customFormat="1" x14ac:dyDescent="0.2">
      <c r="A217" s="4" t="str">
        <v>OT N2O</v>
      </c>
      <c r="B217" s="264">
        <f ca="1"/>
        <v>1</v>
      </c>
      <c r="C217" s="264">
        <f ca="1"/>
        <v>1</v>
      </c>
      <c r="D217" s="264">
        <f ca="1"/>
        <v>1</v>
      </c>
      <c r="E217" s="264">
        <f ca="1"/>
        <v>1</v>
      </c>
      <c r="F217" s="264">
        <f ca="1"/>
        <v>1</v>
      </c>
      <c r="G217" s="264">
        <f ca="1"/>
        <v>1</v>
      </c>
      <c r="H217" s="264">
        <f ca="1"/>
        <v>1</v>
      </c>
      <c r="I217" s="264">
        <f ca="1"/>
        <v>1</v>
      </c>
      <c r="J217" s="264">
        <f ca="1"/>
        <v>1</v>
      </c>
      <c r="K217" s="264">
        <f ca="1"/>
        <v>1</v>
      </c>
      <c r="M217" s="4"/>
    </row>
    <row r="218" spans="1:13" s="7" customFormat="1" x14ac:dyDescent="0.2">
      <c r="A218" s="4" t="str">
        <v>EE N2O</v>
      </c>
      <c r="B218" s="264">
        <f ca="1"/>
        <v>1</v>
      </c>
      <c r="C218" s="264">
        <f ca="1"/>
        <v>1</v>
      </c>
      <c r="D218" s="264">
        <f ca="1"/>
        <v>1</v>
      </c>
      <c r="E218" s="264">
        <f ca="1"/>
        <v>1</v>
      </c>
      <c r="F218" s="264">
        <f ca="1"/>
        <v>1</v>
      </c>
      <c r="G218" s="264">
        <f ca="1"/>
        <v>1</v>
      </c>
      <c r="H218" s="264">
        <f ca="1"/>
        <v>1</v>
      </c>
      <c r="I218" s="264">
        <f ca="1"/>
        <v>1</v>
      </c>
      <c r="J218" s="264">
        <f ca="1"/>
        <v>1</v>
      </c>
      <c r="K218" s="264">
        <f ca="1"/>
        <v>1</v>
      </c>
      <c r="M218" s="4"/>
    </row>
    <row r="219" spans="1:13" s="7" customFormat="1" x14ac:dyDescent="0.2">
      <c r="A219" s="4" t="str">
        <v>CA N2O</v>
      </c>
      <c r="B219" s="264">
        <f ca="1"/>
        <v>1</v>
      </c>
      <c r="C219" s="264">
        <f ca="1"/>
        <v>1</v>
      </c>
      <c r="D219" s="264">
        <f ca="1"/>
        <v>1</v>
      </c>
      <c r="E219" s="264">
        <f ca="1"/>
        <v>1</v>
      </c>
      <c r="F219" s="264">
        <f ca="1"/>
        <v>1</v>
      </c>
      <c r="G219" s="264">
        <f ca="1"/>
        <v>1</v>
      </c>
      <c r="H219" s="264">
        <f ca="1"/>
        <v>1</v>
      </c>
      <c r="I219" s="264">
        <f ca="1"/>
        <v>1</v>
      </c>
      <c r="J219" s="264">
        <f ca="1"/>
        <v>1</v>
      </c>
      <c r="K219" s="264">
        <f ca="1"/>
        <v>1</v>
      </c>
      <c r="M219" s="4"/>
    </row>
    <row r="220" spans="1:13" s="7" customFormat="1" x14ac:dyDescent="0.2">
      <c r="A220" s="4" t="str">
        <v>IA N2O</v>
      </c>
      <c r="B220" s="264">
        <f ca="1"/>
        <v>1</v>
      </c>
      <c r="C220" s="264">
        <f ca="1"/>
        <v>1</v>
      </c>
      <c r="D220" s="264">
        <f ca="1"/>
        <v>1</v>
      </c>
      <c r="E220" s="264">
        <f ca="1"/>
        <v>1</v>
      </c>
      <c r="F220" s="264">
        <f ca="1"/>
        <v>1</v>
      </c>
      <c r="G220" s="264">
        <f ca="1"/>
        <v>1</v>
      </c>
      <c r="H220" s="264">
        <f ca="1"/>
        <v>1</v>
      </c>
      <c r="I220" s="264">
        <f ca="1"/>
        <v>1</v>
      </c>
      <c r="J220" s="264">
        <f ca="1"/>
        <v>1</v>
      </c>
      <c r="K220" s="264">
        <f ca="1"/>
        <v>1</v>
      </c>
      <c r="M220" s="4"/>
    </row>
    <row r="221" spans="1:13" s="7" customFormat="1" x14ac:dyDescent="0.2">
      <c r="A221" s="4" t="str">
        <v>AF N2O</v>
      </c>
      <c r="B221" s="264">
        <f ca="1"/>
        <v>1</v>
      </c>
      <c r="C221" s="264">
        <f ca="1"/>
        <v>1</v>
      </c>
      <c r="D221" s="264">
        <f ca="1"/>
        <v>1</v>
      </c>
      <c r="E221" s="264">
        <f ca="1"/>
        <v>1</v>
      </c>
      <c r="F221" s="264">
        <f ca="1"/>
        <v>1</v>
      </c>
      <c r="G221" s="264">
        <f ca="1"/>
        <v>1</v>
      </c>
      <c r="H221" s="264">
        <f ca="1"/>
        <v>1</v>
      </c>
      <c r="I221" s="264">
        <f ca="1"/>
        <v>1</v>
      </c>
      <c r="J221" s="264">
        <f ca="1"/>
        <v>1</v>
      </c>
      <c r="K221" s="264">
        <f ca="1"/>
        <v>1</v>
      </c>
      <c r="M221" s="4"/>
    </row>
    <row r="222" spans="1:13" s="7" customFormat="1" ht="13.5" thickBot="1" x14ac:dyDescent="0.25">
      <c r="A222" s="4" t="str">
        <v>LA N2O</v>
      </c>
      <c r="B222" s="266">
        <f ca="1"/>
        <v>1</v>
      </c>
      <c r="C222" s="266">
        <f ca="1"/>
        <v>1</v>
      </c>
      <c r="D222" s="266">
        <f ca="1"/>
        <v>1</v>
      </c>
      <c r="E222" s="266">
        <f ca="1"/>
        <v>1</v>
      </c>
      <c r="F222" s="266">
        <f ca="1"/>
        <v>1</v>
      </c>
      <c r="G222" s="266">
        <f ca="1"/>
        <v>1</v>
      </c>
      <c r="H222" s="266">
        <f ca="1"/>
        <v>1</v>
      </c>
      <c r="I222" s="266">
        <f ca="1"/>
        <v>1</v>
      </c>
      <c r="J222" s="266">
        <f ca="1"/>
        <v>1</v>
      </c>
      <c r="K222" s="266">
        <f ca="1"/>
        <v>1</v>
      </c>
      <c r="M222" s="4"/>
    </row>
    <row r="223" spans="1:13" s="2" customFormat="1" ht="15" thickTop="1" x14ac:dyDescent="0.25">
      <c r="A223" s="2" t="s">
        <v>292</v>
      </c>
      <c r="B223" s="2" t="s">
        <v>296</v>
      </c>
    </row>
    <row r="224" spans="1:13" s="7" customFormat="1" x14ac:dyDescent="0.2">
      <c r="A224" s="4" t="str">
        <f t="array" ref="A224:A231">R_CODE&amp;" "&amp;GLIN_NAME</f>
        <v>EU Lin</v>
      </c>
      <c r="B224" s="265">
        <f t="array" ref="B224:K231" ca="1">((CROSS*cumcbe_glin_g_b+(1-CROSS)*cumcbe_glin_b+IES_GLIN)/IES_GLIN)^-(LN(1/(1-LEARN))/LN(2))</f>
        <v>1</v>
      </c>
      <c r="C224" s="265">
        <f ca="1"/>
        <v>1</v>
      </c>
      <c r="D224" s="265">
        <f ca="1"/>
        <v>1</v>
      </c>
      <c r="E224" s="265">
        <f ca="1"/>
        <v>1</v>
      </c>
      <c r="F224" s="265">
        <f ca="1"/>
        <v>1</v>
      </c>
      <c r="G224" s="265">
        <f ca="1"/>
        <v>1</v>
      </c>
      <c r="H224" s="265">
        <f ca="1"/>
        <v>1</v>
      </c>
      <c r="I224" s="265">
        <f ca="1"/>
        <v>1</v>
      </c>
      <c r="J224" s="265">
        <f ca="1"/>
        <v>1</v>
      </c>
      <c r="K224" s="265">
        <f ca="1"/>
        <v>1</v>
      </c>
      <c r="M224" s="4"/>
    </row>
    <row r="225" spans="1:13" s="7" customFormat="1" x14ac:dyDescent="0.2">
      <c r="A225" s="4" t="str">
        <v>US Lin</v>
      </c>
      <c r="B225" s="264">
        <f ca="1"/>
        <v>1</v>
      </c>
      <c r="C225" s="264">
        <f ca="1"/>
        <v>1</v>
      </c>
      <c r="D225" s="264">
        <f ca="1"/>
        <v>1</v>
      </c>
      <c r="E225" s="264">
        <f ca="1"/>
        <v>1</v>
      </c>
      <c r="F225" s="264">
        <f ca="1"/>
        <v>1</v>
      </c>
      <c r="G225" s="264">
        <f ca="1"/>
        <v>1</v>
      </c>
      <c r="H225" s="264">
        <f ca="1"/>
        <v>1</v>
      </c>
      <c r="I225" s="264">
        <f ca="1"/>
        <v>1</v>
      </c>
      <c r="J225" s="264">
        <f ca="1"/>
        <v>1</v>
      </c>
      <c r="K225" s="264">
        <f ca="1"/>
        <v>1</v>
      </c>
      <c r="M225" s="4"/>
    </row>
    <row r="226" spans="1:13" s="7" customFormat="1" x14ac:dyDescent="0.2">
      <c r="A226" s="4" t="str">
        <v>OT Lin</v>
      </c>
      <c r="B226" s="264">
        <f ca="1"/>
        <v>1</v>
      </c>
      <c r="C226" s="264">
        <f ca="1"/>
        <v>1</v>
      </c>
      <c r="D226" s="264">
        <f ca="1"/>
        <v>1</v>
      </c>
      <c r="E226" s="264">
        <f ca="1"/>
        <v>1</v>
      </c>
      <c r="F226" s="264">
        <f ca="1"/>
        <v>1</v>
      </c>
      <c r="G226" s="264">
        <f ca="1"/>
        <v>1</v>
      </c>
      <c r="H226" s="264">
        <f ca="1"/>
        <v>1</v>
      </c>
      <c r="I226" s="264">
        <f ca="1"/>
        <v>1</v>
      </c>
      <c r="J226" s="264">
        <f ca="1"/>
        <v>1</v>
      </c>
      <c r="K226" s="264">
        <f ca="1"/>
        <v>1</v>
      </c>
      <c r="M226" s="4"/>
    </row>
    <row r="227" spans="1:13" s="7" customFormat="1" x14ac:dyDescent="0.2">
      <c r="A227" s="4" t="str">
        <v>EE Lin</v>
      </c>
      <c r="B227" s="264">
        <f ca="1"/>
        <v>1</v>
      </c>
      <c r="C227" s="264">
        <f ca="1"/>
        <v>1</v>
      </c>
      <c r="D227" s="264">
        <f ca="1"/>
        <v>1</v>
      </c>
      <c r="E227" s="264">
        <f ca="1"/>
        <v>1</v>
      </c>
      <c r="F227" s="264">
        <f ca="1"/>
        <v>1</v>
      </c>
      <c r="G227" s="264">
        <f ca="1"/>
        <v>1</v>
      </c>
      <c r="H227" s="264">
        <f ca="1"/>
        <v>1</v>
      </c>
      <c r="I227" s="264">
        <f ca="1"/>
        <v>1</v>
      </c>
      <c r="J227" s="264">
        <f ca="1"/>
        <v>1</v>
      </c>
      <c r="K227" s="264">
        <f ca="1"/>
        <v>1</v>
      </c>
      <c r="M227" s="4"/>
    </row>
    <row r="228" spans="1:13" s="7" customFormat="1" x14ac:dyDescent="0.2">
      <c r="A228" s="4" t="str">
        <v>CA Lin</v>
      </c>
      <c r="B228" s="264">
        <f ca="1"/>
        <v>1</v>
      </c>
      <c r="C228" s="264">
        <f ca="1"/>
        <v>1</v>
      </c>
      <c r="D228" s="264">
        <f ca="1"/>
        <v>1</v>
      </c>
      <c r="E228" s="264">
        <f ca="1"/>
        <v>1</v>
      </c>
      <c r="F228" s="264">
        <f ca="1"/>
        <v>1</v>
      </c>
      <c r="G228" s="264">
        <f ca="1"/>
        <v>1</v>
      </c>
      <c r="H228" s="264">
        <f ca="1"/>
        <v>1</v>
      </c>
      <c r="I228" s="264">
        <f ca="1"/>
        <v>1</v>
      </c>
      <c r="J228" s="264">
        <f ca="1"/>
        <v>1</v>
      </c>
      <c r="K228" s="264">
        <f ca="1"/>
        <v>1</v>
      </c>
      <c r="M228" s="4"/>
    </row>
    <row r="229" spans="1:13" s="7" customFormat="1" x14ac:dyDescent="0.2">
      <c r="A229" s="4" t="str">
        <v>IA Lin</v>
      </c>
      <c r="B229" s="264">
        <f ca="1"/>
        <v>1</v>
      </c>
      <c r="C229" s="264">
        <f ca="1"/>
        <v>1</v>
      </c>
      <c r="D229" s="264">
        <f ca="1"/>
        <v>1</v>
      </c>
      <c r="E229" s="264">
        <f ca="1"/>
        <v>1</v>
      </c>
      <c r="F229" s="264">
        <f ca="1"/>
        <v>1</v>
      </c>
      <c r="G229" s="264">
        <f ca="1"/>
        <v>1</v>
      </c>
      <c r="H229" s="264">
        <f ca="1"/>
        <v>1</v>
      </c>
      <c r="I229" s="264">
        <f ca="1"/>
        <v>1</v>
      </c>
      <c r="J229" s="264">
        <f ca="1"/>
        <v>1</v>
      </c>
      <c r="K229" s="264">
        <f ca="1"/>
        <v>1</v>
      </c>
      <c r="M229" s="4"/>
    </row>
    <row r="230" spans="1:13" s="7" customFormat="1" x14ac:dyDescent="0.2">
      <c r="A230" s="4" t="str">
        <v>AF Lin</v>
      </c>
      <c r="B230" s="264">
        <f ca="1"/>
        <v>1</v>
      </c>
      <c r="C230" s="264">
        <f ca="1"/>
        <v>1</v>
      </c>
      <c r="D230" s="264">
        <f ca="1"/>
        <v>1</v>
      </c>
      <c r="E230" s="264">
        <f ca="1"/>
        <v>1</v>
      </c>
      <c r="F230" s="264">
        <f ca="1"/>
        <v>1</v>
      </c>
      <c r="G230" s="264">
        <f ca="1"/>
        <v>1</v>
      </c>
      <c r="H230" s="264">
        <f ca="1"/>
        <v>1</v>
      </c>
      <c r="I230" s="264">
        <f ca="1"/>
        <v>1</v>
      </c>
      <c r="J230" s="264">
        <f ca="1"/>
        <v>1</v>
      </c>
      <c r="K230" s="264">
        <f ca="1"/>
        <v>1</v>
      </c>
      <c r="M230" s="4"/>
    </row>
    <row r="231" spans="1:13" s="7" customFormat="1" ht="13.5" thickBot="1" x14ac:dyDescent="0.25">
      <c r="A231" s="4" t="str">
        <v>LA Lin</v>
      </c>
      <c r="B231" s="266">
        <f ca="1"/>
        <v>1</v>
      </c>
      <c r="C231" s="266">
        <f ca="1"/>
        <v>1</v>
      </c>
      <c r="D231" s="266">
        <f ca="1"/>
        <v>1</v>
      </c>
      <c r="E231" s="266">
        <f ca="1"/>
        <v>1</v>
      </c>
      <c r="F231" s="266">
        <f ca="1"/>
        <v>1</v>
      </c>
      <c r="G231" s="266">
        <f ca="1"/>
        <v>1</v>
      </c>
      <c r="H231" s="266">
        <f ca="1"/>
        <v>1</v>
      </c>
      <c r="I231" s="266">
        <f ca="1"/>
        <v>1</v>
      </c>
      <c r="J231" s="266">
        <f ca="1"/>
        <v>1</v>
      </c>
      <c r="K231" s="266">
        <f ca="1"/>
        <v>1</v>
      </c>
      <c r="M231" s="4"/>
    </row>
    <row r="232" spans="1:13" s="2" customFormat="1" ht="13.5" thickTop="1" x14ac:dyDescent="0.2">
      <c r="A232" s="2" t="s">
        <v>297</v>
      </c>
      <c r="B232" s="2" t="s">
        <v>298</v>
      </c>
    </row>
    <row r="233" spans="1:13" s="7" customFormat="1" ht="13.5" thickBot="1" x14ac:dyDescent="0.25">
      <c r="A233" s="4"/>
      <c r="B233" s="34">
        <f t="array" aca="1" ref="B233:K233" ca="1">(1-AUTO/100)^YMINUSY0</f>
        <v>0.9532626895480365</v>
      </c>
      <c r="C233" s="34">
        <f ca="1"/>
        <v>0.90870975528435627</v>
      </c>
      <c r="D233" s="34">
        <f ca="1"/>
        <v>0.86623910534090343</v>
      </c>
      <c r="E233" s="34">
        <f ca="1"/>
        <v>0.78715992543207214</v>
      </c>
      <c r="F233" s="34">
        <f ca="1"/>
        <v>0.71529990320903036</v>
      </c>
      <c r="G233" s="34">
        <f ca="1"/>
        <v>0.65000000000000169</v>
      </c>
      <c r="H233" s="34">
        <f ca="1"/>
        <v>0.59066134093483313</v>
      </c>
      <c r="I233" s="34">
        <f ca="1"/>
        <v>0.53673972257682201</v>
      </c>
      <c r="J233" s="34">
        <f ca="1"/>
        <v>0.48774062195417722</v>
      </c>
      <c r="K233" s="34">
        <f ca="1"/>
        <v>0.44321466121822012</v>
      </c>
      <c r="M233" s="4"/>
    </row>
    <row r="234" spans="1:13" s="2" customFormat="1" ht="13.5" thickTop="1" x14ac:dyDescent="0.2">
      <c r="A234" s="2" t="s">
        <v>308</v>
      </c>
      <c r="B234" s="2" t="s">
        <v>309</v>
      </c>
    </row>
    <row r="235" spans="1:13" s="7" customFormat="1" x14ac:dyDescent="0.2">
      <c r="A235" s="58" t="s">
        <v>12</v>
      </c>
      <c r="B235" s="26">
        <f t="array" aca="1" ref="B235:K235" ca="1">C0_INIT_CO2*(1+C0G/100)^YMINUSY0</f>
        <v>-99.236343326911253</v>
      </c>
      <c r="C235" s="26">
        <f ca="1"/>
        <v>-98.478518368966036</v>
      </c>
      <c r="D235" s="26">
        <f ca="1"/>
        <v>-97.72648059188252</v>
      </c>
      <c r="E235" s="26">
        <f ca="1"/>
        <v>-96.239590141021054</v>
      </c>
      <c r="F235" s="26">
        <f ca="1"/>
        <v>-94.775322455243057</v>
      </c>
      <c r="G235" s="26">
        <f ca="1"/>
        <v>-93.333333333333329</v>
      </c>
      <c r="H235" s="26">
        <f ca="1"/>
        <v>-91.913283811034987</v>
      </c>
      <c r="I235" s="26">
        <f ca="1"/>
        <v>-90.514840081369982</v>
      </c>
      <c r="J235" s="26">
        <f ca="1"/>
        <v>-89.137673416172177</v>
      </c>
      <c r="K235" s="26">
        <f ca="1"/>
        <v>-87.781460088814086</v>
      </c>
      <c r="M235" s="4" t="str">
        <f>CURRENCY_NAME&amp;" per "&amp;EMIT_NAME</f>
        <v>$M(2015) per Mtonne</v>
      </c>
    </row>
    <row r="236" spans="1:13" s="7" customFormat="1" x14ac:dyDescent="0.2">
      <c r="A236" s="58" t="s">
        <v>13</v>
      </c>
      <c r="B236" s="26">
        <f t="array" aca="1" ref="B236:K236" ca="1">C0_INIT_CH4*(1+C0G/100)^YMINUSY0</f>
        <v>-4945.2777757910771</v>
      </c>
      <c r="C236" s="26">
        <f ca="1"/>
        <v>-4907.5128320534741</v>
      </c>
      <c r="D236" s="26">
        <f ca="1"/>
        <v>-4870.0362828288116</v>
      </c>
      <c r="E236" s="26">
        <f ca="1"/>
        <v>-4795.9395753608815</v>
      </c>
      <c r="F236" s="26">
        <f ca="1"/>
        <v>-4722.970235686279</v>
      </c>
      <c r="G236" s="26">
        <f ca="1"/>
        <v>-4651.1111111111113</v>
      </c>
      <c r="H236" s="26">
        <f ca="1"/>
        <v>-4580.3453099165763</v>
      </c>
      <c r="I236" s="26">
        <f ca="1"/>
        <v>-4510.6561973882708</v>
      </c>
      <c r="J236" s="26">
        <f ca="1"/>
        <v>-4442.0273919059136</v>
      </c>
      <c r="K236" s="26">
        <f ca="1"/>
        <v>-4374.4427610925686</v>
      </c>
      <c r="M236" s="4" t="str">
        <f>CURRENCY_NAME&amp;" per "&amp;EMIT_NAME</f>
        <v>$M(2015) per Mtonne</v>
      </c>
    </row>
    <row r="237" spans="1:13" s="7" customFormat="1" x14ac:dyDescent="0.2">
      <c r="A237" s="58" t="s">
        <v>144</v>
      </c>
      <c r="B237" s="26">
        <f t="array" aca="1" ref="B237:K237" ca="1">C0_INIT_N2O*(1+C0G/100)^YMINUSY0</f>
        <v>-8368.9316205695159</v>
      </c>
      <c r="C237" s="26">
        <f ca="1"/>
        <v>-8305.0217157828029</v>
      </c>
      <c r="D237" s="26">
        <f ca="1"/>
        <v>-8241.599863248759</v>
      </c>
      <c r="E237" s="26">
        <f ca="1"/>
        <v>-8116.2054352261093</v>
      </c>
      <c r="F237" s="26">
        <f ca="1"/>
        <v>-7992.718860392165</v>
      </c>
      <c r="G237" s="26">
        <f ca="1"/>
        <v>-7871.1111111111122</v>
      </c>
      <c r="H237" s="26">
        <f ca="1"/>
        <v>-7751.3536013972844</v>
      </c>
      <c r="I237" s="26">
        <f ca="1"/>
        <v>-7633.4181801955356</v>
      </c>
      <c r="J237" s="26">
        <f ca="1"/>
        <v>-7517.2771247638548</v>
      </c>
      <c r="K237" s="26">
        <f ca="1"/>
        <v>-7402.9031341566551</v>
      </c>
      <c r="M237" s="4" t="str">
        <f>CURRENCY_NAME&amp;" per "&amp;EMIT_NAME</f>
        <v>$M(2015) per Mtonne</v>
      </c>
    </row>
    <row r="238" spans="1:13" s="7" customFormat="1" x14ac:dyDescent="0.2">
      <c r="A238" s="4" t="str">
        <f>GLIN_NAME</f>
        <v>Lin</v>
      </c>
      <c r="B238" s="26">
        <f t="array" aca="1" ref="B238:K238" ca="1">C0_INIT_GLIN*(1+C0G/100)^YMINUSY0</f>
        <v>-266.28418792721186</v>
      </c>
      <c r="C238" s="26">
        <f ca="1"/>
        <v>-264.25069095672552</v>
      </c>
      <c r="D238" s="26">
        <f ca="1"/>
        <v>-262.23272292155139</v>
      </c>
      <c r="E238" s="26">
        <f ca="1"/>
        <v>-258.24290021173977</v>
      </c>
      <c r="F238" s="26">
        <f ca="1"/>
        <v>-254.31378192156888</v>
      </c>
      <c r="G238" s="26">
        <f ca="1"/>
        <v>-250.44444444444443</v>
      </c>
      <c r="H238" s="26">
        <f ca="1"/>
        <v>-246.63397822627718</v>
      </c>
      <c r="I238" s="26">
        <f ca="1"/>
        <v>-242.88148755167612</v>
      </c>
      <c r="J238" s="26">
        <f ca="1"/>
        <v>-239.18609033339533</v>
      </c>
      <c r="K238" s="26">
        <f ca="1"/>
        <v>-235.54691790498447</v>
      </c>
      <c r="M238" s="4" t="str">
        <f>CURRENCY_NAME&amp;" per "&amp;EMIT_NAME</f>
        <v>$M(2015) per Mtonne</v>
      </c>
    </row>
    <row r="239" spans="1:13" s="2" customFormat="1" ht="14.25" x14ac:dyDescent="0.25">
      <c r="A239" s="2" t="s">
        <v>310</v>
      </c>
      <c r="B239" s="2" t="s">
        <v>311</v>
      </c>
    </row>
    <row r="240" spans="1:13" s="7" customFormat="1" x14ac:dyDescent="0.2">
      <c r="A240" s="58" t="s">
        <v>12</v>
      </c>
      <c r="B240" s="29">
        <f t="array" aca="1" ref="B240:K240" ca="1">QMAX_MINUS_Q0_PROP_INIT_CO2*(1+QMAX_MINUS_Q0_PROPG/100)^YMINUSY0</f>
        <v>60.740182089407554</v>
      </c>
      <c r="C240" s="29">
        <f ca="1"/>
        <v>61.489495337573096</v>
      </c>
      <c r="D240" s="29">
        <f ca="1"/>
        <v>62.248052389832772</v>
      </c>
      <c r="E240" s="29">
        <f ca="1"/>
        <v>63.793355453293785</v>
      </c>
      <c r="F240" s="29">
        <f ca="1"/>
        <v>65.377020545224184</v>
      </c>
      <c r="G240" s="29">
        <f ca="1"/>
        <v>66.999999999999716</v>
      </c>
      <c r="H240" s="29">
        <f ca="1"/>
        <v>68.663269793623002</v>
      </c>
      <c r="I240" s="29">
        <f ca="1"/>
        <v>70.367830130625066</v>
      </c>
      <c r="J240" s="29">
        <f ca="1"/>
        <v>72.114706045536749</v>
      </c>
      <c r="K240" s="29">
        <f ca="1"/>
        <v>73.904948019291439</v>
      </c>
      <c r="M240" s="4" t="str">
        <f>'Library data'!$G$138</f>
        <v>% relative to RCP8.5</v>
      </c>
    </row>
    <row r="241" spans="1:15" s="7" customFormat="1" x14ac:dyDescent="0.2">
      <c r="A241" s="58" t="s">
        <v>13</v>
      </c>
      <c r="B241" s="26">
        <f t="array" aca="1" ref="B241:K241" ca="1">QMAX_MINUS_Q0_PROP_INIT_CH4*(1+QMAX_MINUS_Q0_PROPG/100)^YMINUSY0</f>
        <v>52.304045688100942</v>
      </c>
      <c r="C241" s="26">
        <f ca="1"/>
        <v>52.949287651799054</v>
      </c>
      <c r="D241" s="26">
        <f ca="1"/>
        <v>53.602489557911554</v>
      </c>
      <c r="E241" s="26">
        <f ca="1"/>
        <v>54.933167195891869</v>
      </c>
      <c r="F241" s="26">
        <f ca="1"/>
        <v>56.296878802831941</v>
      </c>
      <c r="G241" s="26">
        <f ca="1"/>
        <v>57.694444444444194</v>
      </c>
      <c r="H241" s="26">
        <f ca="1"/>
        <v>59.126704544508691</v>
      </c>
      <c r="I241" s="26">
        <f ca="1"/>
        <v>60.59452039026047</v>
      </c>
      <c r="J241" s="26">
        <f ca="1"/>
        <v>62.098774650323314</v>
      </c>
      <c r="K241" s="26">
        <f ca="1"/>
        <v>63.640371905500963</v>
      </c>
      <c r="M241" s="4" t="str">
        <f>'Library data'!$G$138</f>
        <v>% relative to RCP8.5</v>
      </c>
    </row>
    <row r="242" spans="1:15" s="7" customFormat="1" x14ac:dyDescent="0.2">
      <c r="A242" s="58" t="s">
        <v>144</v>
      </c>
      <c r="B242" s="26">
        <f t="array" aca="1" ref="B242:K242" ca="1">QMAX_MINUS_Q0_PROP_INIT_N2O*(1+QMAX_MINUS_Q0_PROPG/100)^YMINUSY0</f>
        <v>52.304045688100942</v>
      </c>
      <c r="C242" s="26">
        <f ca="1"/>
        <v>52.949287651799054</v>
      </c>
      <c r="D242" s="26">
        <f ca="1"/>
        <v>53.602489557911554</v>
      </c>
      <c r="E242" s="26">
        <f ca="1"/>
        <v>54.933167195891869</v>
      </c>
      <c r="F242" s="26">
        <f ca="1"/>
        <v>56.296878802831941</v>
      </c>
      <c r="G242" s="26">
        <f ca="1"/>
        <v>57.694444444444194</v>
      </c>
      <c r="H242" s="26">
        <f ca="1"/>
        <v>59.126704544508691</v>
      </c>
      <c r="I242" s="26">
        <f ca="1"/>
        <v>60.59452039026047</v>
      </c>
      <c r="J242" s="26">
        <f ca="1"/>
        <v>62.098774650323314</v>
      </c>
      <c r="K242" s="26">
        <f ca="1"/>
        <v>63.640371905500963</v>
      </c>
      <c r="M242" s="4" t="str">
        <f>'Library data'!$G$138</f>
        <v>% relative to RCP8.5</v>
      </c>
    </row>
    <row r="243" spans="1:15" s="7" customFormat="1" x14ac:dyDescent="0.2">
      <c r="A243" s="4" t="str">
        <f>GLIN_NAME</f>
        <v>Lin</v>
      </c>
      <c r="B243" s="26">
        <f t="array" aca="1" ref="B243:K243" ca="1">QMAX_MINUS_Q0_PROP_INIT_GLIN*(1+QMAX_MINUS_Q0_PROPG/100)^YMINUSY0</f>
        <v>70.863545770975477</v>
      </c>
      <c r="C243" s="26">
        <f ca="1"/>
        <v>71.737744560501937</v>
      </c>
      <c r="D243" s="26">
        <f ca="1"/>
        <v>72.622727788138235</v>
      </c>
      <c r="E243" s="26">
        <f ca="1"/>
        <v>74.425581362176089</v>
      </c>
      <c r="F243" s="26">
        <f ca="1"/>
        <v>76.273190636094881</v>
      </c>
      <c r="G243" s="26">
        <f ca="1"/>
        <v>78.16666666666633</v>
      </c>
      <c r="H243" s="26">
        <f ca="1"/>
        <v>80.107148092560166</v>
      </c>
      <c r="I243" s="26">
        <f ca="1"/>
        <v>82.095801819062572</v>
      </c>
      <c r="J243" s="26">
        <f ca="1"/>
        <v>84.133823719792886</v>
      </c>
      <c r="K243" s="26">
        <f ca="1"/>
        <v>86.222439355840024</v>
      </c>
      <c r="M243" s="4" t="str">
        <f>'Library data'!$G$138</f>
        <v>% relative to RCP8.5</v>
      </c>
    </row>
    <row r="244" spans="1:15" s="2" customFormat="1" ht="14.25" x14ac:dyDescent="0.25">
      <c r="A244" s="2" t="s">
        <v>299</v>
      </c>
      <c r="B244" s="2" t="s">
        <v>300</v>
      </c>
    </row>
    <row r="245" spans="1:15" s="6" customFormat="1" x14ac:dyDescent="0.2">
      <c r="A245" s="4" t="str">
        <f t="array" ref="A245:A252">R_CODE&amp;" "&amp;'Base data'!$B$12</f>
        <v>EU CO2</v>
      </c>
      <c r="B245" s="29">
        <f t="array" aca="1" ref="B245:K252" ca="1">Q0_PROP_INIT_CO2*(1+Q0PROPG/100)^YMINUSY0</f>
        <v>9.8631093161029799</v>
      </c>
      <c r="C245" s="29">
        <f ca="1"/>
        <v>9.7280925381397392</v>
      </c>
      <c r="D245" s="29">
        <f ca="1"/>
        <v>9.5949240140837944</v>
      </c>
      <c r="E245" s="29">
        <f ca="1"/>
        <v>9.3340308705426374</v>
      </c>
      <c r="F245" s="29">
        <f ca="1"/>
        <v>9.0802316062491801</v>
      </c>
      <c r="G245" s="29">
        <f ca="1"/>
        <v>8.8333333333333286</v>
      </c>
      <c r="H245" s="29">
        <f ca="1"/>
        <v>8.5931484086900962</v>
      </c>
      <c r="I245" s="29">
        <f ca="1"/>
        <v>8.3594942913705523</v>
      </c>
      <c r="J245" s="29">
        <f ca="1"/>
        <v>8.132193403850362</v>
      </c>
      <c r="K245" s="29">
        <f ca="1"/>
        <v>7.9110729970705931</v>
      </c>
      <c r="M245" s="4" t="str">
        <f>'Library data'!$G$138</f>
        <v>% relative to RCP8.5</v>
      </c>
    </row>
    <row r="246" spans="1:15" s="6" customFormat="1" x14ac:dyDescent="0.2">
      <c r="A246" s="4" t="str">
        <v>US CO2</v>
      </c>
      <c r="B246" s="26">
        <f ca="1"/>
        <v>10.685035092444894</v>
      </c>
      <c r="C246" s="26">
        <f ca="1"/>
        <v>10.53876691631805</v>
      </c>
      <c r="D246" s="26">
        <f ca="1"/>
        <v>10.394501015257443</v>
      </c>
      <c r="E246" s="26">
        <f ca="1"/>
        <v>10.111866776421188</v>
      </c>
      <c r="F246" s="26">
        <f ca="1"/>
        <v>9.8369175734366117</v>
      </c>
      <c r="G246" s="26">
        <f ca="1"/>
        <v>9.5694444444444375</v>
      </c>
      <c r="H246" s="26">
        <f ca="1"/>
        <v>9.3092441094142711</v>
      </c>
      <c r="I246" s="26">
        <f ca="1"/>
        <v>9.0561188156514305</v>
      </c>
      <c r="J246" s="26">
        <f ca="1"/>
        <v>8.8098761875045568</v>
      </c>
      <c r="K246" s="26">
        <f ca="1"/>
        <v>8.5703290801598087</v>
      </c>
      <c r="M246" s="4" t="str">
        <f>'Library data'!$G$138</f>
        <v>% relative to RCP8.5</v>
      </c>
    </row>
    <row r="247" spans="1:15" s="6" customFormat="1" x14ac:dyDescent="0.2">
      <c r="A247" s="4" t="str">
        <v>OT CO2</v>
      </c>
      <c r="B247" s="26">
        <f ca="1"/>
        <v>9.8631093161029799</v>
      </c>
      <c r="C247" s="26">
        <f ca="1"/>
        <v>9.7280925381397392</v>
      </c>
      <c r="D247" s="26">
        <f ca="1"/>
        <v>9.5949240140837944</v>
      </c>
      <c r="E247" s="26">
        <f ca="1"/>
        <v>9.3340308705426374</v>
      </c>
      <c r="F247" s="26">
        <f ca="1"/>
        <v>9.0802316062491801</v>
      </c>
      <c r="G247" s="26">
        <f ca="1"/>
        <v>8.8333333333333286</v>
      </c>
      <c r="H247" s="26">
        <f ca="1"/>
        <v>8.5931484086900962</v>
      </c>
      <c r="I247" s="26">
        <f ca="1"/>
        <v>8.3594942913705523</v>
      </c>
      <c r="J247" s="26">
        <f ca="1"/>
        <v>8.132193403850362</v>
      </c>
      <c r="K247" s="26">
        <f ca="1"/>
        <v>7.9110729970705931</v>
      </c>
      <c r="M247" s="4" t="str">
        <f>'Library data'!$G$138</f>
        <v>% relative to RCP8.5</v>
      </c>
    </row>
    <row r="248" spans="1:15" s="6" customFormat="1" x14ac:dyDescent="0.2">
      <c r="A248" s="4" t="str">
        <v>EE CO2</v>
      </c>
      <c r="B248" s="26">
        <f ca="1"/>
        <v>6.9041765212720874</v>
      </c>
      <c r="C248" s="26">
        <f ca="1"/>
        <v>6.8096647766978187</v>
      </c>
      <c r="D248" s="26">
        <f ca="1"/>
        <v>6.7164468098586569</v>
      </c>
      <c r="E248" s="26">
        <f ca="1"/>
        <v>6.5338216093798467</v>
      </c>
      <c r="F248" s="26">
        <f ca="1"/>
        <v>6.3561621243744275</v>
      </c>
      <c r="G248" s="26">
        <f ca="1"/>
        <v>6.1833333333333309</v>
      </c>
      <c r="H248" s="26">
        <f ca="1"/>
        <v>6.0152038860830688</v>
      </c>
      <c r="I248" s="26">
        <f ca="1"/>
        <v>5.8516460039593881</v>
      </c>
      <c r="J248" s="26">
        <f ca="1"/>
        <v>5.6925353826952536</v>
      </c>
      <c r="K248" s="26">
        <f ca="1"/>
        <v>5.5377510979494158</v>
      </c>
      <c r="M248" s="4" t="str">
        <f>'Library data'!$G$138</f>
        <v>% relative to RCP8.5</v>
      </c>
    </row>
    <row r="249" spans="1:15" s="6" customFormat="1" x14ac:dyDescent="0.2">
      <c r="A249" s="4" t="str">
        <v>CA CO2</v>
      </c>
      <c r="B249" s="26">
        <f ca="1"/>
        <v>6.9041765212720874</v>
      </c>
      <c r="C249" s="26">
        <f ca="1"/>
        <v>6.8096647766978187</v>
      </c>
      <c r="D249" s="26">
        <f ca="1"/>
        <v>6.7164468098586569</v>
      </c>
      <c r="E249" s="26">
        <f ca="1"/>
        <v>6.5338216093798467</v>
      </c>
      <c r="F249" s="26">
        <f ca="1"/>
        <v>6.3561621243744275</v>
      </c>
      <c r="G249" s="26">
        <f ca="1"/>
        <v>6.1833333333333309</v>
      </c>
      <c r="H249" s="26">
        <f ca="1"/>
        <v>6.0152038860830688</v>
      </c>
      <c r="I249" s="26">
        <f ca="1"/>
        <v>5.8516460039593881</v>
      </c>
      <c r="J249" s="26">
        <f ca="1"/>
        <v>5.6925353826952536</v>
      </c>
      <c r="K249" s="26">
        <f ca="1"/>
        <v>5.5377510979494158</v>
      </c>
      <c r="M249" s="4" t="str">
        <f>'Library data'!$G$138</f>
        <v>% relative to RCP8.5</v>
      </c>
    </row>
    <row r="250" spans="1:15" s="6" customFormat="1" x14ac:dyDescent="0.2">
      <c r="A250" s="4" t="str">
        <v>IA CO2</v>
      </c>
      <c r="B250" s="26">
        <f ca="1"/>
        <v>6.9041765212720874</v>
      </c>
      <c r="C250" s="26">
        <f ca="1"/>
        <v>6.8096647766978187</v>
      </c>
      <c r="D250" s="26">
        <f ca="1"/>
        <v>6.7164468098586569</v>
      </c>
      <c r="E250" s="26">
        <f ca="1"/>
        <v>6.5338216093798467</v>
      </c>
      <c r="F250" s="26">
        <f ca="1"/>
        <v>6.3561621243744275</v>
      </c>
      <c r="G250" s="26">
        <f ca="1"/>
        <v>6.1833333333333309</v>
      </c>
      <c r="H250" s="26">
        <f ca="1"/>
        <v>6.0152038860830688</v>
      </c>
      <c r="I250" s="26">
        <f ca="1"/>
        <v>5.8516460039593881</v>
      </c>
      <c r="J250" s="26">
        <f ca="1"/>
        <v>5.6925353826952536</v>
      </c>
      <c r="K250" s="26">
        <f ca="1"/>
        <v>5.5377510979494158</v>
      </c>
      <c r="M250" s="4" t="str">
        <f>'Library data'!$G$138</f>
        <v>% relative to RCP8.5</v>
      </c>
    </row>
    <row r="251" spans="1:15" s="6" customFormat="1" x14ac:dyDescent="0.2">
      <c r="A251" s="4" t="str">
        <v>AF CO2</v>
      </c>
      <c r="B251" s="26">
        <f ca="1"/>
        <v>6.9041765212720874</v>
      </c>
      <c r="C251" s="26">
        <f ca="1"/>
        <v>6.8096647766978187</v>
      </c>
      <c r="D251" s="26">
        <f ca="1"/>
        <v>6.7164468098586569</v>
      </c>
      <c r="E251" s="26">
        <f ca="1"/>
        <v>6.5338216093798467</v>
      </c>
      <c r="F251" s="26">
        <f ca="1"/>
        <v>6.3561621243744275</v>
      </c>
      <c r="G251" s="26">
        <f ca="1"/>
        <v>6.1833333333333309</v>
      </c>
      <c r="H251" s="26">
        <f ca="1"/>
        <v>6.0152038860830688</v>
      </c>
      <c r="I251" s="26">
        <f ca="1"/>
        <v>5.8516460039593881</v>
      </c>
      <c r="J251" s="26">
        <f ca="1"/>
        <v>5.6925353826952536</v>
      </c>
      <c r="K251" s="26">
        <f ca="1"/>
        <v>5.5377510979494158</v>
      </c>
      <c r="M251" s="4" t="str">
        <f>'Library data'!$G$138</f>
        <v>% relative to RCP8.5</v>
      </c>
    </row>
    <row r="252" spans="1:15" s="6" customFormat="1" ht="13.5" thickBot="1" x14ac:dyDescent="0.25">
      <c r="A252" s="4" t="str">
        <v>LA CO2</v>
      </c>
      <c r="B252" s="35">
        <f ca="1"/>
        <v>6.9041765212720874</v>
      </c>
      <c r="C252" s="35">
        <f ca="1"/>
        <v>6.8096647766978187</v>
      </c>
      <c r="D252" s="35">
        <f ca="1"/>
        <v>6.7164468098586569</v>
      </c>
      <c r="E252" s="35">
        <f ca="1"/>
        <v>6.5338216093798467</v>
      </c>
      <c r="F252" s="35">
        <f ca="1"/>
        <v>6.3561621243744275</v>
      </c>
      <c r="G252" s="35">
        <f ca="1"/>
        <v>6.1833333333333309</v>
      </c>
      <c r="H252" s="35">
        <f ca="1"/>
        <v>6.0152038860830688</v>
      </c>
      <c r="I252" s="35">
        <f ca="1"/>
        <v>5.8516460039593881</v>
      </c>
      <c r="J252" s="35">
        <f ca="1"/>
        <v>5.6925353826952536</v>
      </c>
      <c r="K252" s="35">
        <f ca="1"/>
        <v>5.5377510979494158</v>
      </c>
      <c r="M252" s="4" t="str">
        <f>'Library data'!$G$138</f>
        <v>% relative to RCP8.5</v>
      </c>
      <c r="O252" s="7"/>
    </row>
    <row r="253" spans="1:15" s="8" customFormat="1" ht="15" thickTop="1" x14ac:dyDescent="0.25">
      <c r="A253" s="2" t="s">
        <v>299</v>
      </c>
      <c r="B253" s="2" t="s">
        <v>301</v>
      </c>
    </row>
    <row r="254" spans="1:15" s="7" customFormat="1" x14ac:dyDescent="0.2">
      <c r="A254" s="4" t="str">
        <f t="array" ref="A254:A261">R_CODE&amp;" "&amp;'Base data'!$C$12</f>
        <v>EU CH4</v>
      </c>
      <c r="B254" s="29">
        <f t="array" aca="1" ref="B254:K261" ca="1">Q0_PROP_INIT_CH4*(1+Q0PROPG/100)^YMINUSY0</f>
        <v>9.8631093161029799</v>
      </c>
      <c r="C254" s="29">
        <f ca="1"/>
        <v>9.7280925381397392</v>
      </c>
      <c r="D254" s="29">
        <f ca="1"/>
        <v>9.5949240140837944</v>
      </c>
      <c r="E254" s="29">
        <f ca="1"/>
        <v>9.3340308705426374</v>
      </c>
      <c r="F254" s="29">
        <f ca="1"/>
        <v>9.0802316062491801</v>
      </c>
      <c r="G254" s="29">
        <f ca="1"/>
        <v>8.8333333333333286</v>
      </c>
      <c r="H254" s="29">
        <f ca="1"/>
        <v>8.5931484086900962</v>
      </c>
      <c r="I254" s="29">
        <f ca="1"/>
        <v>8.3594942913705523</v>
      </c>
      <c r="J254" s="29">
        <f ca="1"/>
        <v>8.132193403850362</v>
      </c>
      <c r="K254" s="29">
        <f ca="1"/>
        <v>7.9110729970705931</v>
      </c>
      <c r="M254" s="4" t="str">
        <f>'Library data'!$G$138</f>
        <v>% relative to RCP8.5</v>
      </c>
    </row>
    <row r="255" spans="1:15" s="7" customFormat="1" x14ac:dyDescent="0.2">
      <c r="A255" s="4" t="str">
        <v>US CH4</v>
      </c>
      <c r="B255" s="26">
        <f ca="1"/>
        <v>10.685035092444894</v>
      </c>
      <c r="C255" s="26">
        <f ca="1"/>
        <v>10.53876691631805</v>
      </c>
      <c r="D255" s="26">
        <f ca="1"/>
        <v>10.394501015257443</v>
      </c>
      <c r="E255" s="26">
        <f ca="1"/>
        <v>10.111866776421188</v>
      </c>
      <c r="F255" s="26">
        <f ca="1"/>
        <v>9.8369175734366117</v>
      </c>
      <c r="G255" s="26">
        <f ca="1"/>
        <v>9.5694444444444375</v>
      </c>
      <c r="H255" s="26">
        <f ca="1"/>
        <v>9.3092441094142711</v>
      </c>
      <c r="I255" s="26">
        <f ca="1"/>
        <v>9.0561188156514305</v>
      </c>
      <c r="J255" s="26">
        <f ca="1"/>
        <v>8.8098761875045568</v>
      </c>
      <c r="K255" s="26">
        <f ca="1"/>
        <v>8.5703290801598087</v>
      </c>
      <c r="M255" s="4" t="str">
        <f>'Library data'!$G$138</f>
        <v>% relative to RCP8.5</v>
      </c>
    </row>
    <row r="256" spans="1:15" s="7" customFormat="1" x14ac:dyDescent="0.2">
      <c r="A256" s="4" t="str">
        <v>OT CH4</v>
      </c>
      <c r="B256" s="26">
        <f ca="1"/>
        <v>9.8631093161029799</v>
      </c>
      <c r="C256" s="26">
        <f ca="1"/>
        <v>9.7280925381397392</v>
      </c>
      <c r="D256" s="26">
        <f ca="1"/>
        <v>9.5949240140837944</v>
      </c>
      <c r="E256" s="26">
        <f ca="1"/>
        <v>9.3340308705426374</v>
      </c>
      <c r="F256" s="26">
        <f ca="1"/>
        <v>9.0802316062491801</v>
      </c>
      <c r="G256" s="26">
        <f ca="1"/>
        <v>8.8333333333333286</v>
      </c>
      <c r="H256" s="26">
        <f ca="1"/>
        <v>8.5931484086900962</v>
      </c>
      <c r="I256" s="26">
        <f ca="1"/>
        <v>8.3594942913705523</v>
      </c>
      <c r="J256" s="26">
        <f ca="1"/>
        <v>8.132193403850362</v>
      </c>
      <c r="K256" s="26">
        <f ca="1"/>
        <v>7.9110729970705931</v>
      </c>
      <c r="M256" s="4" t="str">
        <f>'Library data'!$G$138</f>
        <v>% relative to RCP8.5</v>
      </c>
    </row>
    <row r="257" spans="1:13" s="7" customFormat="1" x14ac:dyDescent="0.2">
      <c r="A257" s="4" t="str">
        <v>EE CH4</v>
      </c>
      <c r="B257" s="26">
        <f ca="1"/>
        <v>6.9041765212720874</v>
      </c>
      <c r="C257" s="26">
        <f ca="1"/>
        <v>6.8096647766978187</v>
      </c>
      <c r="D257" s="26">
        <f ca="1"/>
        <v>6.7164468098586569</v>
      </c>
      <c r="E257" s="26">
        <f ca="1"/>
        <v>6.5338216093798467</v>
      </c>
      <c r="F257" s="26">
        <f ca="1"/>
        <v>6.3561621243744275</v>
      </c>
      <c r="G257" s="26">
        <f ca="1"/>
        <v>6.1833333333333309</v>
      </c>
      <c r="H257" s="26">
        <f ca="1"/>
        <v>6.0152038860830688</v>
      </c>
      <c r="I257" s="26">
        <f ca="1"/>
        <v>5.8516460039593881</v>
      </c>
      <c r="J257" s="26">
        <f ca="1"/>
        <v>5.6925353826952536</v>
      </c>
      <c r="K257" s="26">
        <f ca="1"/>
        <v>5.5377510979494158</v>
      </c>
      <c r="M257" s="4" t="str">
        <f>'Library data'!$G$138</f>
        <v>% relative to RCP8.5</v>
      </c>
    </row>
    <row r="258" spans="1:13" s="7" customFormat="1" x14ac:dyDescent="0.2">
      <c r="A258" s="4" t="str">
        <v>CA CH4</v>
      </c>
      <c r="B258" s="26">
        <f ca="1"/>
        <v>6.9041765212720874</v>
      </c>
      <c r="C258" s="26">
        <f ca="1"/>
        <v>6.8096647766978187</v>
      </c>
      <c r="D258" s="26">
        <f ca="1"/>
        <v>6.7164468098586569</v>
      </c>
      <c r="E258" s="26">
        <f ca="1"/>
        <v>6.5338216093798467</v>
      </c>
      <c r="F258" s="26">
        <f ca="1"/>
        <v>6.3561621243744275</v>
      </c>
      <c r="G258" s="26">
        <f ca="1"/>
        <v>6.1833333333333309</v>
      </c>
      <c r="H258" s="26">
        <f ca="1"/>
        <v>6.0152038860830688</v>
      </c>
      <c r="I258" s="26">
        <f ca="1"/>
        <v>5.8516460039593881</v>
      </c>
      <c r="J258" s="26">
        <f ca="1"/>
        <v>5.6925353826952536</v>
      </c>
      <c r="K258" s="26">
        <f ca="1"/>
        <v>5.5377510979494158</v>
      </c>
      <c r="M258" s="4" t="str">
        <f>'Library data'!$G$138</f>
        <v>% relative to RCP8.5</v>
      </c>
    </row>
    <row r="259" spans="1:13" s="7" customFormat="1" x14ac:dyDescent="0.2">
      <c r="A259" s="4" t="str">
        <v>IA CH4</v>
      </c>
      <c r="B259" s="26">
        <f ca="1"/>
        <v>6.9041765212720874</v>
      </c>
      <c r="C259" s="26">
        <f ca="1"/>
        <v>6.8096647766978187</v>
      </c>
      <c r="D259" s="26">
        <f ca="1"/>
        <v>6.7164468098586569</v>
      </c>
      <c r="E259" s="26">
        <f ca="1"/>
        <v>6.5338216093798467</v>
      </c>
      <c r="F259" s="26">
        <f ca="1"/>
        <v>6.3561621243744275</v>
      </c>
      <c r="G259" s="26">
        <f ca="1"/>
        <v>6.1833333333333309</v>
      </c>
      <c r="H259" s="26">
        <f ca="1"/>
        <v>6.0152038860830688</v>
      </c>
      <c r="I259" s="26">
        <f ca="1"/>
        <v>5.8516460039593881</v>
      </c>
      <c r="J259" s="26">
        <f ca="1"/>
        <v>5.6925353826952536</v>
      </c>
      <c r="K259" s="26">
        <f ca="1"/>
        <v>5.5377510979494158</v>
      </c>
      <c r="M259" s="4" t="str">
        <f>'Library data'!$G$138</f>
        <v>% relative to RCP8.5</v>
      </c>
    </row>
    <row r="260" spans="1:13" s="7" customFormat="1" x14ac:dyDescent="0.2">
      <c r="A260" s="4" t="str">
        <v>AF CH4</v>
      </c>
      <c r="B260" s="26">
        <f ca="1"/>
        <v>6.9041765212720874</v>
      </c>
      <c r="C260" s="26">
        <f ca="1"/>
        <v>6.8096647766978187</v>
      </c>
      <c r="D260" s="26">
        <f ca="1"/>
        <v>6.7164468098586569</v>
      </c>
      <c r="E260" s="26">
        <f ca="1"/>
        <v>6.5338216093798467</v>
      </c>
      <c r="F260" s="26">
        <f ca="1"/>
        <v>6.3561621243744275</v>
      </c>
      <c r="G260" s="26">
        <f ca="1"/>
        <v>6.1833333333333309</v>
      </c>
      <c r="H260" s="26">
        <f ca="1"/>
        <v>6.0152038860830688</v>
      </c>
      <c r="I260" s="26">
        <f ca="1"/>
        <v>5.8516460039593881</v>
      </c>
      <c r="J260" s="26">
        <f ca="1"/>
        <v>5.6925353826952536</v>
      </c>
      <c r="K260" s="26">
        <f ca="1"/>
        <v>5.5377510979494158</v>
      </c>
      <c r="M260" s="4" t="str">
        <f>'Library data'!$G$138</f>
        <v>% relative to RCP8.5</v>
      </c>
    </row>
    <row r="261" spans="1:13" s="7" customFormat="1" ht="13.5" thickBot="1" x14ac:dyDescent="0.25">
      <c r="A261" s="4" t="str">
        <v>LA CH4</v>
      </c>
      <c r="B261" s="35">
        <f ca="1"/>
        <v>6.9041765212720874</v>
      </c>
      <c r="C261" s="35">
        <f ca="1"/>
        <v>6.8096647766978187</v>
      </c>
      <c r="D261" s="35">
        <f ca="1"/>
        <v>6.7164468098586569</v>
      </c>
      <c r="E261" s="35">
        <f ca="1"/>
        <v>6.5338216093798467</v>
      </c>
      <c r="F261" s="35">
        <f ca="1"/>
        <v>6.3561621243744275</v>
      </c>
      <c r="G261" s="35">
        <f ca="1"/>
        <v>6.1833333333333309</v>
      </c>
      <c r="H261" s="35">
        <f ca="1"/>
        <v>6.0152038860830688</v>
      </c>
      <c r="I261" s="35">
        <f ca="1"/>
        <v>5.8516460039593881</v>
      </c>
      <c r="J261" s="35">
        <f ca="1"/>
        <v>5.6925353826952536</v>
      </c>
      <c r="K261" s="35">
        <f ca="1"/>
        <v>5.5377510979494158</v>
      </c>
      <c r="M261" s="4" t="str">
        <f>'Library data'!$G$138</f>
        <v>% relative to RCP8.5</v>
      </c>
    </row>
    <row r="262" spans="1:13" s="8" customFormat="1" ht="15" thickTop="1" x14ac:dyDescent="0.25">
      <c r="A262" s="2" t="s">
        <v>299</v>
      </c>
      <c r="B262" s="2" t="s">
        <v>302</v>
      </c>
    </row>
    <row r="263" spans="1:13" s="7" customFormat="1" x14ac:dyDescent="0.2">
      <c r="A263" s="4" t="str">
        <f t="array" ref="A263:A270">R_CODE&amp;" "&amp;'Base data'!$D$12</f>
        <v>EU N2O</v>
      </c>
      <c r="B263" s="29">
        <f t="array" aca="1" ref="B263:K270" ca="1">Q0_PROP_INIT_N2O*(1+Q0PROPG/100)^YMINUSY0</f>
        <v>9.8631093161029799</v>
      </c>
      <c r="C263" s="29">
        <f ca="1"/>
        <v>9.7280925381397392</v>
      </c>
      <c r="D263" s="29">
        <f ca="1"/>
        <v>9.5949240140837944</v>
      </c>
      <c r="E263" s="29">
        <f ca="1"/>
        <v>9.3340308705426374</v>
      </c>
      <c r="F263" s="29">
        <f ca="1"/>
        <v>9.0802316062491801</v>
      </c>
      <c r="G263" s="29">
        <f ca="1"/>
        <v>8.8333333333333286</v>
      </c>
      <c r="H263" s="29">
        <f ca="1"/>
        <v>8.5931484086900962</v>
      </c>
      <c r="I263" s="29">
        <f ca="1"/>
        <v>8.3594942913705523</v>
      </c>
      <c r="J263" s="29">
        <f ca="1"/>
        <v>8.132193403850362</v>
      </c>
      <c r="K263" s="29">
        <f ca="1"/>
        <v>7.9110729970705931</v>
      </c>
      <c r="M263" s="4" t="str">
        <f>'Library data'!$G$138</f>
        <v>% relative to RCP8.5</v>
      </c>
    </row>
    <row r="264" spans="1:13" s="7" customFormat="1" x14ac:dyDescent="0.2">
      <c r="A264" s="4" t="str">
        <v>US N2O</v>
      </c>
      <c r="B264" s="26">
        <f ca="1"/>
        <v>10.685035092444894</v>
      </c>
      <c r="C264" s="26">
        <f ca="1"/>
        <v>10.53876691631805</v>
      </c>
      <c r="D264" s="26">
        <f ca="1"/>
        <v>10.394501015257443</v>
      </c>
      <c r="E264" s="26">
        <f ca="1"/>
        <v>10.111866776421188</v>
      </c>
      <c r="F264" s="26">
        <f ca="1"/>
        <v>9.8369175734366117</v>
      </c>
      <c r="G264" s="26">
        <f ca="1"/>
        <v>9.5694444444444375</v>
      </c>
      <c r="H264" s="26">
        <f ca="1"/>
        <v>9.3092441094142711</v>
      </c>
      <c r="I264" s="26">
        <f ca="1"/>
        <v>9.0561188156514305</v>
      </c>
      <c r="J264" s="26">
        <f ca="1"/>
        <v>8.8098761875045568</v>
      </c>
      <c r="K264" s="26">
        <f ca="1"/>
        <v>8.5703290801598087</v>
      </c>
      <c r="M264" s="4" t="str">
        <f>'Library data'!$G$138</f>
        <v>% relative to RCP8.5</v>
      </c>
    </row>
    <row r="265" spans="1:13" s="7" customFormat="1" x14ac:dyDescent="0.2">
      <c r="A265" s="4" t="str">
        <v>OT N2O</v>
      </c>
      <c r="B265" s="26">
        <f ca="1"/>
        <v>9.8631093161029799</v>
      </c>
      <c r="C265" s="26">
        <f ca="1"/>
        <v>9.7280925381397392</v>
      </c>
      <c r="D265" s="26">
        <f ca="1"/>
        <v>9.5949240140837944</v>
      </c>
      <c r="E265" s="26">
        <f ca="1"/>
        <v>9.3340308705426374</v>
      </c>
      <c r="F265" s="26">
        <f ca="1"/>
        <v>9.0802316062491801</v>
      </c>
      <c r="G265" s="26">
        <f ca="1"/>
        <v>8.8333333333333286</v>
      </c>
      <c r="H265" s="26">
        <f ca="1"/>
        <v>8.5931484086900962</v>
      </c>
      <c r="I265" s="26">
        <f ca="1"/>
        <v>8.3594942913705523</v>
      </c>
      <c r="J265" s="26">
        <f ca="1"/>
        <v>8.132193403850362</v>
      </c>
      <c r="K265" s="26">
        <f ca="1"/>
        <v>7.9110729970705931</v>
      </c>
      <c r="M265" s="4" t="str">
        <f>'Library data'!$G$138</f>
        <v>% relative to RCP8.5</v>
      </c>
    </row>
    <row r="266" spans="1:13" s="7" customFormat="1" x14ac:dyDescent="0.2">
      <c r="A266" s="4" t="str">
        <v>EE N2O</v>
      </c>
      <c r="B266" s="26">
        <f ca="1"/>
        <v>6.9041765212720874</v>
      </c>
      <c r="C266" s="26">
        <f ca="1"/>
        <v>6.8096647766978187</v>
      </c>
      <c r="D266" s="26">
        <f ca="1"/>
        <v>6.7164468098586569</v>
      </c>
      <c r="E266" s="26">
        <f ca="1"/>
        <v>6.5338216093798467</v>
      </c>
      <c r="F266" s="26">
        <f ca="1"/>
        <v>6.3561621243744275</v>
      </c>
      <c r="G266" s="26">
        <f ca="1"/>
        <v>6.1833333333333309</v>
      </c>
      <c r="H266" s="26">
        <f ca="1"/>
        <v>6.0152038860830688</v>
      </c>
      <c r="I266" s="26">
        <f ca="1"/>
        <v>5.8516460039593881</v>
      </c>
      <c r="J266" s="26">
        <f ca="1"/>
        <v>5.6925353826952536</v>
      </c>
      <c r="K266" s="26">
        <f ca="1"/>
        <v>5.5377510979494158</v>
      </c>
      <c r="M266" s="4" t="str">
        <f>'Library data'!$G$138</f>
        <v>% relative to RCP8.5</v>
      </c>
    </row>
    <row r="267" spans="1:13" s="7" customFormat="1" x14ac:dyDescent="0.2">
      <c r="A267" s="4" t="str">
        <v>CA N2O</v>
      </c>
      <c r="B267" s="26">
        <f ca="1"/>
        <v>6.9041765212720874</v>
      </c>
      <c r="C267" s="26">
        <f ca="1"/>
        <v>6.8096647766978187</v>
      </c>
      <c r="D267" s="26">
        <f ca="1"/>
        <v>6.7164468098586569</v>
      </c>
      <c r="E267" s="26">
        <f ca="1"/>
        <v>6.5338216093798467</v>
      </c>
      <c r="F267" s="26">
        <f ca="1"/>
        <v>6.3561621243744275</v>
      </c>
      <c r="G267" s="26">
        <f ca="1"/>
        <v>6.1833333333333309</v>
      </c>
      <c r="H267" s="26">
        <f ca="1"/>
        <v>6.0152038860830688</v>
      </c>
      <c r="I267" s="26">
        <f ca="1"/>
        <v>5.8516460039593881</v>
      </c>
      <c r="J267" s="26">
        <f ca="1"/>
        <v>5.6925353826952536</v>
      </c>
      <c r="K267" s="26">
        <f ca="1"/>
        <v>5.5377510979494158</v>
      </c>
      <c r="M267" s="4" t="str">
        <f>'Library data'!$G$138</f>
        <v>% relative to RCP8.5</v>
      </c>
    </row>
    <row r="268" spans="1:13" s="7" customFormat="1" x14ac:dyDescent="0.2">
      <c r="A268" s="4" t="str">
        <v>IA N2O</v>
      </c>
      <c r="B268" s="26">
        <f ca="1"/>
        <v>6.9041765212720874</v>
      </c>
      <c r="C268" s="26">
        <f ca="1"/>
        <v>6.8096647766978187</v>
      </c>
      <c r="D268" s="26">
        <f ca="1"/>
        <v>6.7164468098586569</v>
      </c>
      <c r="E268" s="26">
        <f ca="1"/>
        <v>6.5338216093798467</v>
      </c>
      <c r="F268" s="26">
        <f ca="1"/>
        <v>6.3561621243744275</v>
      </c>
      <c r="G268" s="26">
        <f ca="1"/>
        <v>6.1833333333333309</v>
      </c>
      <c r="H268" s="26">
        <f ca="1"/>
        <v>6.0152038860830688</v>
      </c>
      <c r="I268" s="26">
        <f ca="1"/>
        <v>5.8516460039593881</v>
      </c>
      <c r="J268" s="26">
        <f ca="1"/>
        <v>5.6925353826952536</v>
      </c>
      <c r="K268" s="26">
        <f ca="1"/>
        <v>5.5377510979494158</v>
      </c>
      <c r="M268" s="4" t="str">
        <f>'Library data'!$G$138</f>
        <v>% relative to RCP8.5</v>
      </c>
    </row>
    <row r="269" spans="1:13" s="7" customFormat="1" x14ac:dyDescent="0.2">
      <c r="A269" s="4" t="str">
        <v>AF N2O</v>
      </c>
      <c r="B269" s="26">
        <f ca="1"/>
        <v>6.9041765212720874</v>
      </c>
      <c r="C269" s="26">
        <f ca="1"/>
        <v>6.8096647766978187</v>
      </c>
      <c r="D269" s="26">
        <f ca="1"/>
        <v>6.7164468098586569</v>
      </c>
      <c r="E269" s="26">
        <f ca="1"/>
        <v>6.5338216093798467</v>
      </c>
      <c r="F269" s="26">
        <f ca="1"/>
        <v>6.3561621243744275</v>
      </c>
      <c r="G269" s="26">
        <f ca="1"/>
        <v>6.1833333333333309</v>
      </c>
      <c r="H269" s="26">
        <f ca="1"/>
        <v>6.0152038860830688</v>
      </c>
      <c r="I269" s="26">
        <f ca="1"/>
        <v>5.8516460039593881</v>
      </c>
      <c r="J269" s="26">
        <f ca="1"/>
        <v>5.6925353826952536</v>
      </c>
      <c r="K269" s="26">
        <f ca="1"/>
        <v>5.5377510979494158</v>
      </c>
      <c r="M269" s="4" t="str">
        <f>'Library data'!$G$138</f>
        <v>% relative to RCP8.5</v>
      </c>
    </row>
    <row r="270" spans="1:13" s="7" customFormat="1" ht="13.5" thickBot="1" x14ac:dyDescent="0.25">
      <c r="A270" s="4" t="str">
        <v>LA N2O</v>
      </c>
      <c r="B270" s="35">
        <f ca="1"/>
        <v>6.9041765212720874</v>
      </c>
      <c r="C270" s="35">
        <f ca="1"/>
        <v>6.8096647766978187</v>
      </c>
      <c r="D270" s="35">
        <f ca="1"/>
        <v>6.7164468098586569</v>
      </c>
      <c r="E270" s="35">
        <f ca="1"/>
        <v>6.5338216093798467</v>
      </c>
      <c r="F270" s="35">
        <f ca="1"/>
        <v>6.3561621243744275</v>
      </c>
      <c r="G270" s="35">
        <f ca="1"/>
        <v>6.1833333333333309</v>
      </c>
      <c r="H270" s="35">
        <f ca="1"/>
        <v>6.0152038860830688</v>
      </c>
      <c r="I270" s="35">
        <f ca="1"/>
        <v>5.8516460039593881</v>
      </c>
      <c r="J270" s="35">
        <f ca="1"/>
        <v>5.6925353826952536</v>
      </c>
      <c r="K270" s="35">
        <f ca="1"/>
        <v>5.5377510979494158</v>
      </c>
      <c r="M270" s="4" t="str">
        <f>'Library data'!$G$138</f>
        <v>% relative to RCP8.5</v>
      </c>
    </row>
    <row r="271" spans="1:13" s="8" customFormat="1" ht="15" thickTop="1" x14ac:dyDescent="0.25">
      <c r="A271" s="2" t="s">
        <v>299</v>
      </c>
      <c r="B271" s="2" t="s">
        <v>303</v>
      </c>
    </row>
    <row r="272" spans="1:13" s="7" customFormat="1" x14ac:dyDescent="0.2">
      <c r="A272" s="4" t="str">
        <f t="array" ref="A272:A279">R_CODE&amp;" "&amp;GLIN_NAME</f>
        <v>EU Lin</v>
      </c>
      <c r="B272" s="29">
        <f t="array" aca="1" ref="B272:K279" ca="1">Q0_PROP_INIT_GLIN*(1+Q0PROPG/100)^YMINUSY0</f>
        <v>9.8631093161029799</v>
      </c>
      <c r="C272" s="29">
        <f ca="1"/>
        <v>9.7280925381397392</v>
      </c>
      <c r="D272" s="29">
        <f ca="1"/>
        <v>9.5949240140837944</v>
      </c>
      <c r="E272" s="29">
        <f ca="1"/>
        <v>9.3340308705426374</v>
      </c>
      <c r="F272" s="29">
        <f ca="1"/>
        <v>9.0802316062491801</v>
      </c>
      <c r="G272" s="29">
        <f ca="1"/>
        <v>8.8333333333333286</v>
      </c>
      <c r="H272" s="29">
        <f ca="1"/>
        <v>8.5931484086900962</v>
      </c>
      <c r="I272" s="29">
        <f ca="1"/>
        <v>8.3594942913705523</v>
      </c>
      <c r="J272" s="29">
        <f ca="1"/>
        <v>8.132193403850362</v>
      </c>
      <c r="K272" s="29">
        <f ca="1"/>
        <v>7.9110729970705931</v>
      </c>
      <c r="M272" s="4" t="str">
        <f>'Library data'!$G$138</f>
        <v>% relative to RCP8.5</v>
      </c>
    </row>
    <row r="273" spans="1:13" s="7" customFormat="1" x14ac:dyDescent="0.2">
      <c r="A273" s="4" t="str">
        <v>US Lin</v>
      </c>
      <c r="B273" s="26">
        <f ca="1"/>
        <v>10.685035092444894</v>
      </c>
      <c r="C273" s="26">
        <f ca="1"/>
        <v>10.53876691631805</v>
      </c>
      <c r="D273" s="26">
        <f ca="1"/>
        <v>10.394501015257443</v>
      </c>
      <c r="E273" s="26">
        <f ca="1"/>
        <v>10.111866776421188</v>
      </c>
      <c r="F273" s="26">
        <f ca="1"/>
        <v>9.8369175734366117</v>
      </c>
      <c r="G273" s="26">
        <f ca="1"/>
        <v>9.5694444444444375</v>
      </c>
      <c r="H273" s="26">
        <f ca="1"/>
        <v>9.3092441094142711</v>
      </c>
      <c r="I273" s="26">
        <f ca="1"/>
        <v>9.0561188156514305</v>
      </c>
      <c r="J273" s="26">
        <f ca="1"/>
        <v>8.8098761875045568</v>
      </c>
      <c r="K273" s="26">
        <f ca="1"/>
        <v>8.5703290801598087</v>
      </c>
      <c r="M273" s="4" t="str">
        <f>'Library data'!$G$138</f>
        <v>% relative to RCP8.5</v>
      </c>
    </row>
    <row r="274" spans="1:13" s="7" customFormat="1" x14ac:dyDescent="0.2">
      <c r="A274" s="4" t="str">
        <v>OT Lin</v>
      </c>
      <c r="B274" s="26">
        <f ca="1"/>
        <v>9.8631093161029799</v>
      </c>
      <c r="C274" s="26">
        <f ca="1"/>
        <v>9.7280925381397392</v>
      </c>
      <c r="D274" s="26">
        <f ca="1"/>
        <v>9.5949240140837944</v>
      </c>
      <c r="E274" s="26">
        <f ca="1"/>
        <v>9.3340308705426374</v>
      </c>
      <c r="F274" s="26">
        <f ca="1"/>
        <v>9.0802316062491801</v>
      </c>
      <c r="G274" s="26">
        <f ca="1"/>
        <v>8.8333333333333286</v>
      </c>
      <c r="H274" s="26">
        <f ca="1"/>
        <v>8.5931484086900962</v>
      </c>
      <c r="I274" s="26">
        <f ca="1"/>
        <v>8.3594942913705523</v>
      </c>
      <c r="J274" s="26">
        <f ca="1"/>
        <v>8.132193403850362</v>
      </c>
      <c r="K274" s="26">
        <f ca="1"/>
        <v>7.9110729970705931</v>
      </c>
      <c r="M274" s="4" t="str">
        <f>'Library data'!$G$138</f>
        <v>% relative to RCP8.5</v>
      </c>
    </row>
    <row r="275" spans="1:13" s="7" customFormat="1" x14ac:dyDescent="0.2">
      <c r="A275" s="4" t="str">
        <v>EE Lin</v>
      </c>
      <c r="B275" s="26">
        <f ca="1"/>
        <v>6.9041765212720874</v>
      </c>
      <c r="C275" s="26">
        <f ca="1"/>
        <v>6.8096647766978187</v>
      </c>
      <c r="D275" s="26">
        <f ca="1"/>
        <v>6.7164468098586569</v>
      </c>
      <c r="E275" s="26">
        <f ca="1"/>
        <v>6.5338216093798467</v>
      </c>
      <c r="F275" s="26">
        <f ca="1"/>
        <v>6.3561621243744275</v>
      </c>
      <c r="G275" s="26">
        <f ca="1"/>
        <v>6.1833333333333309</v>
      </c>
      <c r="H275" s="26">
        <f ca="1"/>
        <v>6.0152038860830688</v>
      </c>
      <c r="I275" s="26">
        <f ca="1"/>
        <v>5.8516460039593881</v>
      </c>
      <c r="J275" s="26">
        <f ca="1"/>
        <v>5.6925353826952536</v>
      </c>
      <c r="K275" s="26">
        <f ca="1"/>
        <v>5.5377510979494158</v>
      </c>
      <c r="M275" s="4" t="str">
        <f>'Library data'!$G$138</f>
        <v>% relative to RCP8.5</v>
      </c>
    </row>
    <row r="276" spans="1:13" s="7" customFormat="1" x14ac:dyDescent="0.2">
      <c r="A276" s="4" t="str">
        <v>CA Lin</v>
      </c>
      <c r="B276" s="26">
        <f ca="1"/>
        <v>6.9041765212720874</v>
      </c>
      <c r="C276" s="26">
        <f ca="1"/>
        <v>6.8096647766978187</v>
      </c>
      <c r="D276" s="26">
        <f ca="1"/>
        <v>6.7164468098586569</v>
      </c>
      <c r="E276" s="26">
        <f ca="1"/>
        <v>6.5338216093798467</v>
      </c>
      <c r="F276" s="26">
        <f ca="1"/>
        <v>6.3561621243744275</v>
      </c>
      <c r="G276" s="26">
        <f ca="1"/>
        <v>6.1833333333333309</v>
      </c>
      <c r="H276" s="26">
        <f ca="1"/>
        <v>6.0152038860830688</v>
      </c>
      <c r="I276" s="26">
        <f ca="1"/>
        <v>5.8516460039593881</v>
      </c>
      <c r="J276" s="26">
        <f ca="1"/>
        <v>5.6925353826952536</v>
      </c>
      <c r="K276" s="26">
        <f ca="1"/>
        <v>5.5377510979494158</v>
      </c>
      <c r="M276" s="4" t="str">
        <f>'Library data'!$G$138</f>
        <v>% relative to RCP8.5</v>
      </c>
    </row>
    <row r="277" spans="1:13" s="7" customFormat="1" x14ac:dyDescent="0.2">
      <c r="A277" s="4" t="str">
        <v>IA Lin</v>
      </c>
      <c r="B277" s="26">
        <f ca="1"/>
        <v>6.9041765212720874</v>
      </c>
      <c r="C277" s="26">
        <f ca="1"/>
        <v>6.8096647766978187</v>
      </c>
      <c r="D277" s="26">
        <f ca="1"/>
        <v>6.7164468098586569</v>
      </c>
      <c r="E277" s="26">
        <f ca="1"/>
        <v>6.5338216093798467</v>
      </c>
      <c r="F277" s="26">
        <f ca="1"/>
        <v>6.3561621243744275</v>
      </c>
      <c r="G277" s="26">
        <f ca="1"/>
        <v>6.1833333333333309</v>
      </c>
      <c r="H277" s="26">
        <f ca="1"/>
        <v>6.0152038860830688</v>
      </c>
      <c r="I277" s="26">
        <f ca="1"/>
        <v>5.8516460039593881</v>
      </c>
      <c r="J277" s="26">
        <f ca="1"/>
        <v>5.6925353826952536</v>
      </c>
      <c r="K277" s="26">
        <f ca="1"/>
        <v>5.5377510979494158</v>
      </c>
      <c r="M277" s="4" t="str">
        <f>'Library data'!$G$138</f>
        <v>% relative to RCP8.5</v>
      </c>
    </row>
    <row r="278" spans="1:13" s="7" customFormat="1" x14ac:dyDescent="0.2">
      <c r="A278" s="4" t="str">
        <v>AF Lin</v>
      </c>
      <c r="B278" s="26">
        <f ca="1"/>
        <v>6.9041765212720874</v>
      </c>
      <c r="C278" s="26">
        <f ca="1"/>
        <v>6.8096647766978187</v>
      </c>
      <c r="D278" s="26">
        <f ca="1"/>
        <v>6.7164468098586569</v>
      </c>
      <c r="E278" s="26">
        <f ca="1"/>
        <v>6.5338216093798467</v>
      </c>
      <c r="F278" s="26">
        <f ca="1"/>
        <v>6.3561621243744275</v>
      </c>
      <c r="G278" s="26">
        <f ca="1"/>
        <v>6.1833333333333309</v>
      </c>
      <c r="H278" s="26">
        <f ca="1"/>
        <v>6.0152038860830688</v>
      </c>
      <c r="I278" s="26">
        <f ca="1"/>
        <v>5.8516460039593881</v>
      </c>
      <c r="J278" s="26">
        <f ca="1"/>
        <v>5.6925353826952536</v>
      </c>
      <c r="K278" s="26">
        <f ca="1"/>
        <v>5.5377510979494158</v>
      </c>
      <c r="M278" s="4" t="str">
        <f>'Library data'!$G$138</f>
        <v>% relative to RCP8.5</v>
      </c>
    </row>
    <row r="279" spans="1:13" s="7" customFormat="1" ht="13.5" thickBot="1" x14ac:dyDescent="0.25">
      <c r="A279" s="4" t="str">
        <v>LA Lin</v>
      </c>
      <c r="B279" s="35">
        <f ca="1"/>
        <v>6.9041765212720874</v>
      </c>
      <c r="C279" s="35">
        <f ca="1"/>
        <v>6.8096647766978187</v>
      </c>
      <c r="D279" s="35">
        <f ca="1"/>
        <v>6.7164468098586569</v>
      </c>
      <c r="E279" s="35">
        <f ca="1"/>
        <v>6.5338216093798467</v>
      </c>
      <c r="F279" s="35">
        <f ca="1"/>
        <v>6.3561621243744275</v>
      </c>
      <c r="G279" s="35">
        <f ca="1"/>
        <v>6.1833333333333309</v>
      </c>
      <c r="H279" s="35">
        <f ca="1"/>
        <v>6.0152038860830688</v>
      </c>
      <c r="I279" s="35">
        <f ca="1"/>
        <v>5.8516460039593881</v>
      </c>
      <c r="J279" s="35">
        <f ca="1"/>
        <v>5.6925353826952536</v>
      </c>
      <c r="K279" s="35">
        <f ca="1"/>
        <v>5.5377510979494158</v>
      </c>
      <c r="M279" s="4" t="str">
        <f>'Library data'!$G$138</f>
        <v>% relative to RCP8.5</v>
      </c>
    </row>
    <row r="280" spans="1:13" s="2" customFormat="1" ht="15" thickTop="1" x14ac:dyDescent="0.25">
      <c r="A280" s="2" t="s">
        <v>299</v>
      </c>
      <c r="B280" s="2" t="s">
        <v>304</v>
      </c>
    </row>
    <row r="281" spans="1:13" s="6" customFormat="1" x14ac:dyDescent="0.2">
      <c r="A281" s="4" t="str">
        <f t="array" ref="A281:A288">R_CODE&amp;" "&amp;'Base data'!$B$12</f>
        <v>EU CO2</v>
      </c>
      <c r="B281" s="29">
        <f t="array" aca="1" ref="B281:K288" ca="1">(Q0_PROP_CO2/100)*(ZC_CO2/100)*E_CO2_0</f>
        <v>345.84691649592543</v>
      </c>
      <c r="C281" s="29">
        <f ca="1"/>
        <v>361.37160662402772</v>
      </c>
      <c r="D281" s="29">
        <f ca="1"/>
        <v>375.75833495728938</v>
      </c>
      <c r="E281" s="29">
        <f ca="1"/>
        <v>423.48323037482476</v>
      </c>
      <c r="F281" s="29">
        <f ca="1"/>
        <v>480.42535842126568</v>
      </c>
      <c r="G281" s="29">
        <f ca="1"/>
        <v>557.16749175263146</v>
      </c>
      <c r="H281" s="29">
        <f ca="1"/>
        <v>628.03753428477626</v>
      </c>
      <c r="I281" s="29">
        <f ca="1"/>
        <v>661.82750584867631</v>
      </c>
      <c r="J281" s="29">
        <f ca="1"/>
        <v>647.13601890548705</v>
      </c>
      <c r="K281" s="29">
        <f ca="1"/>
        <v>635.47107695538227</v>
      </c>
      <c r="M281" s="4" t="str">
        <f t="shared" ref="M281:M288" si="12">EMIT_NAME</f>
        <v>Mtonne</v>
      </c>
    </row>
    <row r="282" spans="1:13" s="6" customFormat="1" x14ac:dyDescent="0.2">
      <c r="A282" s="4" t="str">
        <v>US CO2</v>
      </c>
      <c r="B282" s="26">
        <f ca="1"/>
        <v>561.19130436800765</v>
      </c>
      <c r="C282" s="26">
        <f ca="1"/>
        <v>627.27461886033143</v>
      </c>
      <c r="D282" s="26">
        <f ca="1"/>
        <v>689.32023175087545</v>
      </c>
      <c r="E282" s="26">
        <f ca="1"/>
        <v>811.9482608763235</v>
      </c>
      <c r="F282" s="26">
        <f ca="1"/>
        <v>935.42195302473817</v>
      </c>
      <c r="G282" s="26">
        <f ca="1"/>
        <v>1080.0085671428985</v>
      </c>
      <c r="H282" s="26">
        <f ca="1"/>
        <v>1130.7393875558269</v>
      </c>
      <c r="I282" s="26">
        <f ca="1"/>
        <v>1170.1380741550258</v>
      </c>
      <c r="J282" s="26">
        <f ca="1"/>
        <v>1076.1291313495394</v>
      </c>
      <c r="K282" s="26">
        <f ca="1"/>
        <v>951.54915922904308</v>
      </c>
      <c r="M282" s="4" t="str">
        <f t="shared" si="12"/>
        <v>Mtonne</v>
      </c>
    </row>
    <row r="283" spans="1:13" s="6" customFormat="1" x14ac:dyDescent="0.2">
      <c r="A283" s="4" t="str">
        <v>OT CO2</v>
      </c>
      <c r="B283" s="26">
        <f ca="1"/>
        <v>324.34619667214457</v>
      </c>
      <c r="C283" s="26">
        <f ca="1"/>
        <v>338.90574298408308</v>
      </c>
      <c r="D283" s="26">
        <f ca="1"/>
        <v>352.39807266776779</v>
      </c>
      <c r="E283" s="26">
        <f ca="1"/>
        <v>397.15599178437736</v>
      </c>
      <c r="F283" s="26">
        <f ca="1"/>
        <v>450.55812371432609</v>
      </c>
      <c r="G283" s="26">
        <f ca="1"/>
        <v>522.52932797639551</v>
      </c>
      <c r="H283" s="26">
        <f ca="1"/>
        <v>588.99349942597701</v>
      </c>
      <c r="I283" s="26">
        <f ca="1"/>
        <v>620.68280541561137</v>
      </c>
      <c r="J283" s="26">
        <f ca="1"/>
        <v>606.9046634510637</v>
      </c>
      <c r="K283" s="26">
        <f ca="1"/>
        <v>595.9649112790579</v>
      </c>
      <c r="M283" s="4" t="str">
        <f t="shared" si="12"/>
        <v>Mtonne</v>
      </c>
    </row>
    <row r="284" spans="1:13" s="6" customFormat="1" x14ac:dyDescent="0.2">
      <c r="A284" s="4" t="str">
        <v>EE CO2</v>
      </c>
      <c r="B284" s="26">
        <f ca="1"/>
        <v>223.19571588003475</v>
      </c>
      <c r="C284" s="26">
        <f ca="1"/>
        <v>234.24212607594504</v>
      </c>
      <c r="D284" s="26">
        <f ca="1"/>
        <v>244.4990888170442</v>
      </c>
      <c r="E284" s="26">
        <f ca="1"/>
        <v>284.98587258976153</v>
      </c>
      <c r="F284" s="26">
        <f ca="1"/>
        <v>331.25752533072597</v>
      </c>
      <c r="G284" s="26">
        <f ca="1"/>
        <v>377.06852594770095</v>
      </c>
      <c r="H284" s="26">
        <f ca="1"/>
        <v>387.00695861333054</v>
      </c>
      <c r="I284" s="26">
        <f ca="1"/>
        <v>352.74562001247421</v>
      </c>
      <c r="J284" s="26">
        <f ca="1"/>
        <v>296.06665953002465</v>
      </c>
      <c r="K284" s="26">
        <f ca="1"/>
        <v>243.00482063517981</v>
      </c>
      <c r="M284" s="4" t="str">
        <f t="shared" si="12"/>
        <v>Mtonne</v>
      </c>
    </row>
    <row r="285" spans="1:13" s="6" customFormat="1" x14ac:dyDescent="0.2">
      <c r="A285" s="4" t="str">
        <v>CA CO2</v>
      </c>
      <c r="B285" s="26">
        <f ca="1"/>
        <v>775.19650732399919</v>
      </c>
      <c r="C285" s="26">
        <f ca="1"/>
        <v>841.74172414231202</v>
      </c>
      <c r="D285" s="26">
        <f ca="1"/>
        <v>904.03509084285872</v>
      </c>
      <c r="E285" s="26">
        <f ca="1"/>
        <v>1012.2827516941982</v>
      </c>
      <c r="F285" s="26">
        <f ca="1"/>
        <v>1029.3247728006681</v>
      </c>
      <c r="G285" s="26">
        <f ca="1"/>
        <v>1033.6189170727926</v>
      </c>
      <c r="H285" s="26">
        <f ca="1"/>
        <v>996.64580714891054</v>
      </c>
      <c r="I285" s="26">
        <f ca="1"/>
        <v>885.68342309678576</v>
      </c>
      <c r="J285" s="26">
        <f ca="1"/>
        <v>705.21832211047661</v>
      </c>
      <c r="K285" s="26">
        <f ca="1"/>
        <v>529.62760977076925</v>
      </c>
      <c r="M285" s="4" t="str">
        <f t="shared" si="12"/>
        <v>Mtonne</v>
      </c>
    </row>
    <row r="286" spans="1:13" s="6" customFormat="1" x14ac:dyDescent="0.2">
      <c r="A286" s="4" t="str">
        <v>IA CO2</v>
      </c>
      <c r="B286" s="26">
        <f ca="1"/>
        <v>467.92769531458407</v>
      </c>
      <c r="C286" s="26">
        <f ca="1"/>
        <v>553.72308698509994</v>
      </c>
      <c r="D286" s="26">
        <f ca="1"/>
        <v>634.50705558141169</v>
      </c>
      <c r="E286" s="26">
        <f ca="1"/>
        <v>855.08115907053411</v>
      </c>
      <c r="F286" s="26">
        <f ca="1"/>
        <v>1111.8764532611265</v>
      </c>
      <c r="G286" s="26">
        <f ca="1"/>
        <v>1364.1576778081342</v>
      </c>
      <c r="H286" s="26">
        <f ca="1"/>
        <v>1583.298939340347</v>
      </c>
      <c r="I286" s="26">
        <f ca="1"/>
        <v>1736.9411857229591</v>
      </c>
      <c r="J286" s="26">
        <f ca="1"/>
        <v>1702.6504322360045</v>
      </c>
      <c r="K286" s="26">
        <f ca="1"/>
        <v>1564.5477024930199</v>
      </c>
      <c r="M286" s="4" t="str">
        <f t="shared" si="12"/>
        <v>Mtonne</v>
      </c>
    </row>
    <row r="287" spans="1:13" s="6" customFormat="1" x14ac:dyDescent="0.2">
      <c r="A287" s="4" t="str">
        <v>AF CO2</v>
      </c>
      <c r="B287" s="26">
        <f ca="1"/>
        <v>454.52451707571691</v>
      </c>
      <c r="C287" s="26">
        <f ca="1"/>
        <v>518.00246735541668</v>
      </c>
      <c r="D287" s="26">
        <f ca="1"/>
        <v>577.67672474592018</v>
      </c>
      <c r="E287" s="26">
        <f ca="1"/>
        <v>821.09172068850853</v>
      </c>
      <c r="F287" s="26">
        <f ca="1"/>
        <v>1173.9021997850134</v>
      </c>
      <c r="G287" s="26">
        <f ca="1"/>
        <v>1632.6735940810104</v>
      </c>
      <c r="H287" s="26">
        <f ca="1"/>
        <v>2060.7663491890848</v>
      </c>
      <c r="I287" s="26">
        <f ca="1"/>
        <v>2393.4275819967656</v>
      </c>
      <c r="J287" s="26">
        <f ca="1"/>
        <v>2455.5527793874749</v>
      </c>
      <c r="K287" s="26">
        <f ca="1"/>
        <v>2392.5921376731299</v>
      </c>
      <c r="M287" s="4" t="str">
        <f t="shared" si="12"/>
        <v>Mtonne</v>
      </c>
    </row>
    <row r="288" spans="1:13" s="6" customFormat="1" ht="13.5" thickBot="1" x14ac:dyDescent="0.25">
      <c r="A288" s="4" t="str">
        <v>LA CO2</v>
      </c>
      <c r="B288" s="35">
        <f ca="1"/>
        <v>242.36626386891072</v>
      </c>
      <c r="C288" s="35">
        <f ca="1"/>
        <v>284.34422399539545</v>
      </c>
      <c r="D288" s="35">
        <f ca="1"/>
        <v>323.85831987056042</v>
      </c>
      <c r="E288" s="35">
        <f ca="1"/>
        <v>408.73241064386116</v>
      </c>
      <c r="F288" s="35">
        <f ca="1"/>
        <v>468.05573896424232</v>
      </c>
      <c r="G288" s="35">
        <f ca="1"/>
        <v>505.95394105945854</v>
      </c>
      <c r="H288" s="35">
        <f ca="1"/>
        <v>525.6722188153127</v>
      </c>
      <c r="I288" s="35">
        <f ca="1"/>
        <v>514.84932018644736</v>
      </c>
      <c r="J288" s="35">
        <f ca="1"/>
        <v>471.08433335629985</v>
      </c>
      <c r="K288" s="35">
        <f ca="1"/>
        <v>426.37306149542087</v>
      </c>
      <c r="M288" s="4" t="str">
        <f t="shared" si="12"/>
        <v>Mtonne</v>
      </c>
    </row>
    <row r="289" spans="1:13" s="8" customFormat="1" ht="15" thickTop="1" x14ac:dyDescent="0.25">
      <c r="A289" s="2" t="s">
        <v>299</v>
      </c>
      <c r="B289" s="2" t="s">
        <v>305</v>
      </c>
    </row>
    <row r="290" spans="1:13" s="7" customFormat="1" x14ac:dyDescent="0.2">
      <c r="A290" s="4" t="str">
        <f t="array" ref="A290:A297">R_CODE&amp;" "&amp;'Base data'!$C$12</f>
        <v>EU CH4</v>
      </c>
      <c r="B290" s="29">
        <f t="array" aca="1" ref="B290:K297" ca="1">(Q0_PROP_CH4/100)*(ZC_CH4/100)*E_CH4_0</f>
        <v>1.9344608108562242</v>
      </c>
      <c r="C290" s="29">
        <f ca="1"/>
        <v>1.9965234182562868</v>
      </c>
      <c r="D290" s="29">
        <f ca="1"/>
        <v>2.0520272934176234</v>
      </c>
      <c r="E290" s="29">
        <f ca="1"/>
        <v>2.2697156327105215</v>
      </c>
      <c r="F290" s="29">
        <f ca="1"/>
        <v>2.4158153873574251</v>
      </c>
      <c r="G290" s="29">
        <f ca="1"/>
        <v>2.3405624682878723</v>
      </c>
      <c r="H290" s="29">
        <f ca="1"/>
        <v>2.2993029691095819</v>
      </c>
      <c r="I290" s="29">
        <f ca="1"/>
        <v>2.1805028279349981</v>
      </c>
      <c r="J290" s="29">
        <f ca="1"/>
        <v>2.3313664079438192</v>
      </c>
      <c r="K290" s="29">
        <f ca="1"/>
        <v>1.9795094494342469</v>
      </c>
      <c r="M290" s="4" t="str">
        <f t="shared" ref="M290:M297" si="13">EMIT_NAME</f>
        <v>Mtonne</v>
      </c>
    </row>
    <row r="291" spans="1:13" s="7" customFormat="1" x14ac:dyDescent="0.2">
      <c r="A291" s="4" t="str">
        <v>US CH4</v>
      </c>
      <c r="B291" s="26">
        <f ca="1"/>
        <v>2.9767314792875226</v>
      </c>
      <c r="C291" s="26">
        <f ca="1"/>
        <v>3.1242598544271698</v>
      </c>
      <c r="D291" s="26">
        <f ca="1"/>
        <v>3.2583723064116388</v>
      </c>
      <c r="E291" s="26">
        <f ca="1"/>
        <v>3.6190521841273458</v>
      </c>
      <c r="F291" s="26">
        <f ca="1"/>
        <v>3.9181900180608338</v>
      </c>
      <c r="G291" s="26">
        <f ca="1"/>
        <v>3.8542652056934532</v>
      </c>
      <c r="H291" s="26">
        <f ca="1"/>
        <v>3.44322355414333</v>
      </c>
      <c r="I291" s="26">
        <f ca="1"/>
        <v>3.3397183236208448</v>
      </c>
      <c r="J291" s="26">
        <f ca="1"/>
        <v>3.1567279607062284</v>
      </c>
      <c r="K291" s="26">
        <f ca="1"/>
        <v>2.8309169969721406</v>
      </c>
      <c r="M291" s="4" t="str">
        <f t="shared" si="13"/>
        <v>Mtonne</v>
      </c>
    </row>
    <row r="292" spans="1:13" s="7" customFormat="1" x14ac:dyDescent="0.2">
      <c r="A292" s="4" t="str">
        <v>OT CH4</v>
      </c>
      <c r="B292" s="26">
        <f ca="1"/>
        <v>1.5141134480902978</v>
      </c>
      <c r="C292" s="26">
        <f ca="1"/>
        <v>1.5232718793969882</v>
      </c>
      <c r="D292" s="26">
        <f ca="1"/>
        <v>1.5298147355825655</v>
      </c>
      <c r="E292" s="26">
        <f ca="1"/>
        <v>1.7540792014369149</v>
      </c>
      <c r="F292" s="26">
        <f ca="1"/>
        <v>1.9203939882050902</v>
      </c>
      <c r="G292" s="26">
        <f ca="1"/>
        <v>1.9023838715832022</v>
      </c>
      <c r="H292" s="26">
        <f ca="1"/>
        <v>1.6331485119431162</v>
      </c>
      <c r="I292" s="26">
        <f ca="1"/>
        <v>1.3783281967497714</v>
      </c>
      <c r="J292" s="26">
        <f ca="1"/>
        <v>1.2689537369454693</v>
      </c>
      <c r="K292" s="26">
        <f ca="1"/>
        <v>1.6352512989589407</v>
      </c>
      <c r="M292" s="4" t="str">
        <f t="shared" si="13"/>
        <v>Mtonne</v>
      </c>
    </row>
    <row r="293" spans="1:13" s="7" customFormat="1" x14ac:dyDescent="0.2">
      <c r="A293" s="4" t="str">
        <v>EE CH4</v>
      </c>
      <c r="B293" s="26">
        <f ca="1"/>
        <v>2.7029310614758373</v>
      </c>
      <c r="C293" s="26">
        <f ca="1"/>
        <v>2.7383198198375256</v>
      </c>
      <c r="D293" s="26">
        <f ca="1"/>
        <v>2.7678231495798795</v>
      </c>
      <c r="E293" s="26">
        <f ca="1"/>
        <v>3.0004764805818991</v>
      </c>
      <c r="F293" s="26">
        <f ca="1"/>
        <v>3.3024238133983244</v>
      </c>
      <c r="G293" s="26">
        <f ca="1"/>
        <v>3.5332641767723008</v>
      </c>
      <c r="H293" s="26">
        <f ca="1"/>
        <v>3.7102607697169989</v>
      </c>
      <c r="I293" s="26">
        <f ca="1"/>
        <v>3.8160491448428262</v>
      </c>
      <c r="J293" s="26">
        <f ca="1"/>
        <v>3.647942955812177</v>
      </c>
      <c r="K293" s="26">
        <f ca="1"/>
        <v>3.335467663092357</v>
      </c>
      <c r="M293" s="4" t="str">
        <f t="shared" si="13"/>
        <v>Mtonne</v>
      </c>
    </row>
    <row r="294" spans="1:13" s="7" customFormat="1" x14ac:dyDescent="0.2">
      <c r="A294" s="4" t="str">
        <v>CA CH4</v>
      </c>
      <c r="B294" s="26">
        <f ca="1"/>
        <v>4.2115247359023957</v>
      </c>
      <c r="C294" s="26">
        <f ca="1"/>
        <v>3.6653831836090376</v>
      </c>
      <c r="D294" s="26">
        <f ca="1"/>
        <v>3.1484803172086426</v>
      </c>
      <c r="E294" s="26">
        <f ca="1"/>
        <v>2.8430496198319544</v>
      </c>
      <c r="F294" s="26">
        <f ca="1"/>
        <v>2.4779744890900766</v>
      </c>
      <c r="G294" s="26">
        <f ca="1"/>
        <v>2.2578382231594798</v>
      </c>
      <c r="H294" s="26">
        <f ca="1"/>
        <v>2.0461858747975543</v>
      </c>
      <c r="I294" s="26">
        <f ca="1"/>
        <v>1.5733213601500893</v>
      </c>
      <c r="J294" s="26">
        <f ca="1"/>
        <v>1.2502472462495009</v>
      </c>
      <c r="K294" s="26">
        <f ca="1"/>
        <v>0.99861454491693213</v>
      </c>
      <c r="M294" s="4" t="str">
        <f t="shared" si="13"/>
        <v>Mtonne</v>
      </c>
    </row>
    <row r="295" spans="1:13" s="7" customFormat="1" x14ac:dyDescent="0.2">
      <c r="A295" s="4" t="str">
        <v>IA CH4</v>
      </c>
      <c r="B295" s="26">
        <f ca="1"/>
        <v>5.5376696077958689</v>
      </c>
      <c r="C295" s="26">
        <f ca="1"/>
        <v>5.4685630381638166</v>
      </c>
      <c r="D295" s="26">
        <f ca="1"/>
        <v>5.3964444268056155</v>
      </c>
      <c r="E295" s="26">
        <f ca="1"/>
        <v>5.3375488021585609</v>
      </c>
      <c r="F295" s="26">
        <f ca="1"/>
        <v>5.2502882600552558</v>
      </c>
      <c r="G295" s="26">
        <f ca="1"/>
        <v>3.8620684992715169</v>
      </c>
      <c r="H295" s="26">
        <f ca="1"/>
        <v>3.0075634061252328</v>
      </c>
      <c r="I295" s="26">
        <f ca="1"/>
        <v>2.1769738819514273</v>
      </c>
      <c r="J295" s="26">
        <f ca="1"/>
        <v>1.7617406022907378</v>
      </c>
      <c r="K295" s="26">
        <f ca="1"/>
        <v>1.4363938844005497</v>
      </c>
      <c r="M295" s="4" t="str">
        <f t="shared" si="13"/>
        <v>Mtonne</v>
      </c>
    </row>
    <row r="296" spans="1:13" s="7" customFormat="1" x14ac:dyDescent="0.2">
      <c r="A296" s="4" t="str">
        <v>AF CH4</v>
      </c>
      <c r="B296" s="26">
        <f ca="1"/>
        <v>5.6185801687302224</v>
      </c>
      <c r="C296" s="26">
        <f ca="1"/>
        <v>6.9467510331844933</v>
      </c>
      <c r="D296" s="26">
        <f ca="1"/>
        <v>8.1825454176351631</v>
      </c>
      <c r="E296" s="26">
        <f ca="1"/>
        <v>11.151083962856653</v>
      </c>
      <c r="F296" s="26">
        <f ca="1"/>
        <v>12.476593671736564</v>
      </c>
      <c r="G296" s="26">
        <f ca="1"/>
        <v>12.71505362713323</v>
      </c>
      <c r="H296" s="26">
        <f ca="1"/>
        <v>12.432639349703356</v>
      </c>
      <c r="I296" s="26">
        <f ca="1"/>
        <v>11.236249696885924</v>
      </c>
      <c r="J296" s="26">
        <f ca="1"/>
        <v>8.7499025572056208</v>
      </c>
      <c r="K296" s="26">
        <f ca="1"/>
        <v>7.1634876613129173</v>
      </c>
      <c r="M296" s="4" t="str">
        <f t="shared" si="13"/>
        <v>Mtonne</v>
      </c>
    </row>
    <row r="297" spans="1:13" s="7" customFormat="1" ht="13.5" thickBot="1" x14ac:dyDescent="0.25">
      <c r="A297" s="4" t="str">
        <v>LA CH4</v>
      </c>
      <c r="B297" s="35">
        <f ca="1"/>
        <v>4.5408044796282514</v>
      </c>
      <c r="C297" s="35">
        <f ca="1"/>
        <v>4.6481571955688041</v>
      </c>
      <c r="D297" s="35">
        <f ca="1"/>
        <v>4.7425627991580681</v>
      </c>
      <c r="E297" s="35">
        <f ca="1"/>
        <v>4.6686876971485916</v>
      </c>
      <c r="F297" s="35">
        <f ca="1"/>
        <v>3.6444627548702995</v>
      </c>
      <c r="G297" s="35">
        <f ca="1"/>
        <v>3.197865791558455</v>
      </c>
      <c r="H297" s="35">
        <f ca="1"/>
        <v>2.8754807170422629</v>
      </c>
      <c r="I297" s="35">
        <f ca="1"/>
        <v>2.4779125718552875</v>
      </c>
      <c r="J297" s="35">
        <f ca="1"/>
        <v>1.8547391556105965</v>
      </c>
      <c r="K297" s="35">
        <f ca="1"/>
        <v>1.5279986121152869</v>
      </c>
      <c r="M297" s="4" t="str">
        <f t="shared" si="13"/>
        <v>Mtonne</v>
      </c>
    </row>
    <row r="298" spans="1:13" s="8" customFormat="1" ht="15" thickTop="1" x14ac:dyDescent="0.25">
      <c r="A298" s="2" t="s">
        <v>299</v>
      </c>
      <c r="B298" s="2" t="s">
        <v>306</v>
      </c>
    </row>
    <row r="299" spans="1:13" s="7" customFormat="1" x14ac:dyDescent="0.2">
      <c r="A299" s="4" t="str">
        <f t="array" ref="A299:A306">R_CODE&amp;" "&amp;'Base data'!$D$12</f>
        <v>EU N2O</v>
      </c>
      <c r="B299" s="29">
        <f t="array" aca="1" ref="B299:K306" ca="1">(Q0_PROP_N2O/100)*(ZC_N2O/100)*E_N2O_0</f>
        <v>0.14373818929528168</v>
      </c>
      <c r="C299" s="29">
        <f ca="1"/>
        <v>0.14668421472080309</v>
      </c>
      <c r="D299" s="29">
        <f ca="1"/>
        <v>0.14947760452561004</v>
      </c>
      <c r="E299" s="29">
        <f ca="1"/>
        <v>0.15255957477832116</v>
      </c>
      <c r="F299" s="29">
        <f ca="1"/>
        <v>0.14486922690536436</v>
      </c>
      <c r="G299" s="29">
        <f ca="1"/>
        <v>0.14254876035281969</v>
      </c>
      <c r="H299" s="29">
        <f ca="1"/>
        <v>0.13746276497983248</v>
      </c>
      <c r="I299" s="29">
        <f ca="1"/>
        <v>0.13310618497475488</v>
      </c>
      <c r="J299" s="29">
        <f ca="1"/>
        <v>0.12584470844446607</v>
      </c>
      <c r="K299" s="29">
        <f ca="1"/>
        <v>0.11676962905639075</v>
      </c>
      <c r="M299" s="4" t="str">
        <f t="shared" ref="M299:M306" si="14">EMIT_NAME</f>
        <v>Mtonne</v>
      </c>
    </row>
    <row r="300" spans="1:13" s="7" customFormat="1" x14ac:dyDescent="0.2">
      <c r="A300" s="4" t="str">
        <v>US N2O</v>
      </c>
      <c r="B300" s="26">
        <f ca="1"/>
        <v>0.13734484569922314</v>
      </c>
      <c r="C300" s="26">
        <f ca="1"/>
        <v>0.14015983460007131</v>
      </c>
      <c r="D300" s="26">
        <f ca="1"/>
        <v>0.14282897697343769</v>
      </c>
      <c r="E300" s="26">
        <f ca="1"/>
        <v>0.14577386399951978</v>
      </c>
      <c r="F300" s="26">
        <f ca="1"/>
        <v>0.13842557578771555</v>
      </c>
      <c r="G300" s="26">
        <f ca="1"/>
        <v>0.13620832147157311</v>
      </c>
      <c r="H300" s="26">
        <f ca="1"/>
        <v>0.13134854653524858</v>
      </c>
      <c r="I300" s="26">
        <f ca="1"/>
        <v>0.12718574323636669</v>
      </c>
      <c r="J300" s="26">
        <f ca="1"/>
        <v>0.12024725056096335</v>
      </c>
      <c r="K300" s="26">
        <f ca="1"/>
        <v>0.11157582242920298</v>
      </c>
      <c r="M300" s="4" t="str">
        <f t="shared" si="14"/>
        <v>Mtonne</v>
      </c>
    </row>
    <row r="301" spans="1:13" s="7" customFormat="1" x14ac:dyDescent="0.2">
      <c r="A301" s="4" t="str">
        <v>OT N2O</v>
      </c>
      <c r="B301" s="26">
        <f ca="1"/>
        <v>6.8146067148791165E-2</v>
      </c>
      <c r="C301" s="26">
        <f ca="1"/>
        <v>6.9542773531791488E-2</v>
      </c>
      <c r="D301" s="26">
        <f ca="1"/>
        <v>7.0867115588306953E-2</v>
      </c>
      <c r="E301" s="26">
        <f ca="1"/>
        <v>7.232827321678087E-2</v>
      </c>
      <c r="F301" s="26">
        <f ca="1"/>
        <v>6.8682290439917831E-2</v>
      </c>
      <c r="G301" s="26">
        <f ca="1"/>
        <v>6.7582160611641046E-2</v>
      </c>
      <c r="H301" s="26">
        <f ca="1"/>
        <v>6.517089757914224E-2</v>
      </c>
      <c r="I301" s="26">
        <f ca="1"/>
        <v>6.3105449315040293E-2</v>
      </c>
      <c r="J301" s="26">
        <f ca="1"/>
        <v>5.9662793819945104E-2</v>
      </c>
      <c r="K301" s="26">
        <f ca="1"/>
        <v>5.5360311839391232E-2</v>
      </c>
      <c r="M301" s="4" t="str">
        <f t="shared" si="14"/>
        <v>Mtonne</v>
      </c>
    </row>
    <row r="302" spans="1:13" s="7" customFormat="1" x14ac:dyDescent="0.2">
      <c r="A302" s="4" t="str">
        <v>EE N2O</v>
      </c>
      <c r="B302" s="26">
        <f ca="1"/>
        <v>3.2699484914850321E-2</v>
      </c>
      <c r="C302" s="26">
        <f ca="1"/>
        <v>3.3369686163613139E-2</v>
      </c>
      <c r="D302" s="26">
        <f ca="1"/>
        <v>3.4005163820813457E-2</v>
      </c>
      <c r="E302" s="26">
        <f ca="1"/>
        <v>3.4706291616291074E-2</v>
      </c>
      <c r="F302" s="26">
        <f ca="1"/>
        <v>3.2956788471061475E-2</v>
      </c>
      <c r="G302" s="26">
        <f ca="1"/>
        <v>3.2428897717724704E-2</v>
      </c>
      <c r="H302" s="26">
        <f ca="1"/>
        <v>3.1271867496380099E-2</v>
      </c>
      <c r="I302" s="26">
        <f ca="1"/>
        <v>3.0280774434370519E-2</v>
      </c>
      <c r="J302" s="26">
        <f ca="1"/>
        <v>2.8628836675686692E-2</v>
      </c>
      <c r="K302" s="26">
        <f ca="1"/>
        <v>2.6564316293133217E-2</v>
      </c>
      <c r="M302" s="4" t="str">
        <f t="shared" si="14"/>
        <v>Mtonne</v>
      </c>
    </row>
    <row r="303" spans="1:13" s="7" customFormat="1" x14ac:dyDescent="0.2">
      <c r="A303" s="4" t="str">
        <v>CA N2O</v>
      </c>
      <c r="B303" s="26">
        <f ca="1"/>
        <v>0.17181929972488602</v>
      </c>
      <c r="C303" s="26">
        <f ca="1"/>
        <v>0.17534086924003378</v>
      </c>
      <c r="D303" s="26">
        <f ca="1"/>
        <v>0.17867998379597538</v>
      </c>
      <c r="E303" s="26">
        <f ca="1"/>
        <v>0.18236405671487044</v>
      </c>
      <c r="F303" s="26">
        <f ca="1"/>
        <v>0.17317130012978674</v>
      </c>
      <c r="G303" s="26">
        <f ca="1"/>
        <v>0.17039750048720048</v>
      </c>
      <c r="H303" s="26">
        <f ca="1"/>
        <v>0.16431789027591925</v>
      </c>
      <c r="I303" s="26">
        <f ca="1"/>
        <v>0.1591101961388369</v>
      </c>
      <c r="J303" s="26">
        <f ca="1"/>
        <v>0.15043009644842098</v>
      </c>
      <c r="K303" s="26">
        <f ca="1"/>
        <v>0.13958208317476248</v>
      </c>
      <c r="M303" s="4" t="str">
        <f t="shared" si="14"/>
        <v>Mtonne</v>
      </c>
    </row>
    <row r="304" spans="1:13" s="7" customFormat="1" x14ac:dyDescent="0.2">
      <c r="A304" s="4" t="str">
        <v>IA N2O</v>
      </c>
      <c r="B304" s="26">
        <f ca="1"/>
        <v>8.2192979152576437E-2</v>
      </c>
      <c r="C304" s="26">
        <f ca="1"/>
        <v>8.3877587867699527E-2</v>
      </c>
      <c r="D304" s="26">
        <f ca="1"/>
        <v>8.5474915836816046E-2</v>
      </c>
      <c r="E304" s="26">
        <f ca="1"/>
        <v>8.7237261097820817E-2</v>
      </c>
      <c r="F304" s="26">
        <f ca="1"/>
        <v>8.2839733860995177E-2</v>
      </c>
      <c r="G304" s="26">
        <f ca="1"/>
        <v>8.1512834865587996E-2</v>
      </c>
      <c r="H304" s="26">
        <f ca="1"/>
        <v>7.8604539486944611E-2</v>
      </c>
      <c r="I304" s="26">
        <f ca="1"/>
        <v>7.6113341488072736E-2</v>
      </c>
      <c r="J304" s="26">
        <f ca="1"/>
        <v>7.1961053275753195E-2</v>
      </c>
      <c r="K304" s="26">
        <f ca="1"/>
        <v>6.677170300906983E-2</v>
      </c>
      <c r="M304" s="4" t="str">
        <f t="shared" si="14"/>
        <v>Mtonne</v>
      </c>
    </row>
    <row r="305" spans="1:13" s="7" customFormat="1" x14ac:dyDescent="0.2">
      <c r="A305" s="4" t="str">
        <v>AF N2O</v>
      </c>
      <c r="B305" s="26">
        <f ca="1"/>
        <v>0.14421519029069729</v>
      </c>
      <c r="C305" s="26">
        <f ca="1"/>
        <v>0.14717099222076066</v>
      </c>
      <c r="D305" s="26">
        <f ca="1"/>
        <v>0.14997365200262805</v>
      </c>
      <c r="E305" s="26">
        <f ca="1"/>
        <v>0.15306584989828914</v>
      </c>
      <c r="F305" s="26">
        <f ca="1"/>
        <v>0.14534998129483978</v>
      </c>
      <c r="G305" s="26">
        <f ca="1"/>
        <v>0.14302181418017712</v>
      </c>
      <c r="H305" s="26">
        <f ca="1"/>
        <v>0.13791894072581512</v>
      </c>
      <c r="I305" s="26">
        <f ca="1"/>
        <v>0.13354790323376611</v>
      </c>
      <c r="J305" s="26">
        <f ca="1"/>
        <v>0.12626232919988331</v>
      </c>
      <c r="K305" s="26">
        <f ca="1"/>
        <v>0.11715713379376982</v>
      </c>
      <c r="M305" s="4" t="str">
        <f t="shared" si="14"/>
        <v>Mtonne</v>
      </c>
    </row>
    <row r="306" spans="1:13" s="7" customFormat="1" ht="13.5" thickBot="1" x14ac:dyDescent="0.25">
      <c r="A306" s="4" t="str">
        <v>LA N2O</v>
      </c>
      <c r="B306" s="35">
        <f ca="1"/>
        <v>0.13871704219795114</v>
      </c>
      <c r="C306" s="35">
        <f ca="1"/>
        <v>0.1415601553279543</v>
      </c>
      <c r="D306" s="35">
        <f ca="1"/>
        <v>0.14425596479465563</v>
      </c>
      <c r="E306" s="35">
        <f ca="1"/>
        <v>0.14723027384706691</v>
      </c>
      <c r="F306" s="35">
        <f ca="1"/>
        <v>0.13980856973600161</v>
      </c>
      <c r="G306" s="35">
        <f ca="1"/>
        <v>0.13756916308793943</v>
      </c>
      <c r="H306" s="35">
        <f ca="1"/>
        <v>0.132660834701223</v>
      </c>
      <c r="I306" s="35">
        <f ca="1"/>
        <v>0.12845644131512282</v>
      </c>
      <c r="J306" s="35">
        <f ca="1"/>
        <v>0.12144862696035712</v>
      </c>
      <c r="K306" s="35">
        <f ca="1"/>
        <v>0.11269056359113443</v>
      </c>
      <c r="M306" s="4" t="str">
        <f t="shared" si="14"/>
        <v>Mtonne</v>
      </c>
    </row>
    <row r="307" spans="1:13" s="8" customFormat="1" ht="15" thickTop="1" x14ac:dyDescent="0.25">
      <c r="A307" s="2" t="s">
        <v>299</v>
      </c>
      <c r="B307" s="2" t="s">
        <v>307</v>
      </c>
    </row>
    <row r="308" spans="1:13" s="7" customFormat="1" x14ac:dyDescent="0.2">
      <c r="A308" s="4" t="str">
        <f t="array" ref="A308:A315">R_CODE&amp;" "&amp;GLIN_NAME</f>
        <v>EU Lin</v>
      </c>
      <c r="B308" s="29">
        <f t="array" aca="1" ref="B308:K315" ca="1">(Q0_PROP_GLIN/100)*(ZC_GLIN/100)*E_GLIN_0</f>
        <v>10.099297366163515</v>
      </c>
      <c r="C308" s="29">
        <f ca="1"/>
        <v>10.345585890897574</v>
      </c>
      <c r="D308" s="29">
        <f ca="1"/>
        <v>10.583238981388122</v>
      </c>
      <c r="E308" s="29">
        <f ca="1"/>
        <v>10.649744568348018</v>
      </c>
      <c r="F308" s="29">
        <f ca="1"/>
        <v>11.385387093960505</v>
      </c>
      <c r="G308" s="29">
        <f ca="1"/>
        <v>12.41732754734408</v>
      </c>
      <c r="H308" s="29">
        <f ca="1"/>
        <v>13.673045035126259</v>
      </c>
      <c r="I308" s="29">
        <f ca="1"/>
        <v>13.973230546195705</v>
      </c>
      <c r="J308" s="29">
        <f ca="1"/>
        <v>13.050972758680302</v>
      </c>
      <c r="K308" s="29">
        <f ca="1"/>
        <v>12.110092810846197</v>
      </c>
      <c r="M308" s="4" t="str">
        <f t="shared" ref="M308:M315" si="15">EMIT_NAME</f>
        <v>Mtonne</v>
      </c>
    </row>
    <row r="309" spans="1:13" s="7" customFormat="1" x14ac:dyDescent="0.2">
      <c r="A309" s="4" t="str">
        <v>US Lin</v>
      </c>
      <c r="B309" s="26">
        <f ca="1"/>
        <v>28.4814929755515</v>
      </c>
      <c r="C309" s="26">
        <f ca="1"/>
        <v>29.176062571122962</v>
      </c>
      <c r="D309" s="26">
        <f ca="1"/>
        <v>29.846278981435077</v>
      </c>
      <c r="E309" s="26">
        <f ca="1"/>
        <v>30.033834445855739</v>
      </c>
      <c r="F309" s="26">
        <f ca="1"/>
        <v>32.108453765012221</v>
      </c>
      <c r="G309" s="26">
        <f ca="1"/>
        <v>35.018676497209746</v>
      </c>
      <c r="H309" s="26">
        <f ca="1"/>
        <v>38.559983135765691</v>
      </c>
      <c r="I309" s="26">
        <f ca="1"/>
        <v>39.406550101258915</v>
      </c>
      <c r="J309" s="26">
        <f ca="1"/>
        <v>36.80564849945312</v>
      </c>
      <c r="K309" s="26">
        <f ca="1"/>
        <v>34.152229686887338</v>
      </c>
      <c r="M309" s="4" t="str">
        <f t="shared" si="15"/>
        <v>Mtonne</v>
      </c>
    </row>
    <row r="310" spans="1:13" s="7" customFormat="1" x14ac:dyDescent="0.2">
      <c r="A310" s="4" t="str">
        <v>OT Lin</v>
      </c>
      <c r="B310" s="26">
        <f ca="1"/>
        <v>9.4689323460088684</v>
      </c>
      <c r="C310" s="26">
        <f ca="1"/>
        <v>9.6998483487516456</v>
      </c>
      <c r="D310" s="26">
        <f ca="1"/>
        <v>9.9226679127358057</v>
      </c>
      <c r="E310" s="26">
        <f ca="1"/>
        <v>9.9850224390679756</v>
      </c>
      <c r="F310" s="26">
        <f ca="1"/>
        <v>10.674748570829342</v>
      </c>
      <c r="G310" s="26">
        <f ca="1"/>
        <v>11.642278685442722</v>
      </c>
      <c r="H310" s="26">
        <f ca="1"/>
        <v>12.819618405861958</v>
      </c>
      <c r="I310" s="26">
        <f ca="1"/>
        <v>13.101067321812479</v>
      </c>
      <c r="J310" s="26">
        <f ca="1"/>
        <v>12.236373840776723</v>
      </c>
      <c r="K310" s="26">
        <f ca="1"/>
        <v>11.354220533596516</v>
      </c>
      <c r="M310" s="4" t="str">
        <f t="shared" si="15"/>
        <v>Mtonne</v>
      </c>
    </row>
    <row r="311" spans="1:13" s="7" customFormat="1" x14ac:dyDescent="0.2">
      <c r="A311" s="4" t="str">
        <v>EE Lin</v>
      </c>
      <c r="B311" s="26">
        <f ca="1"/>
        <v>2.3704478748229385</v>
      </c>
      <c r="C311" s="26">
        <f ca="1"/>
        <v>2.4282552735836807</v>
      </c>
      <c r="D311" s="26">
        <f ca="1"/>
        <v>2.4840358138404559</v>
      </c>
      <c r="E311" s="26">
        <f ca="1"/>
        <v>2.4996456153501252</v>
      </c>
      <c r="F311" s="26">
        <f ca="1"/>
        <v>2.6723113165611716</v>
      </c>
      <c r="G311" s="26">
        <f ca="1"/>
        <v>2.9145223304543242</v>
      </c>
      <c r="H311" s="26">
        <f ca="1"/>
        <v>3.2092569780610036</v>
      </c>
      <c r="I311" s="26">
        <f ca="1"/>
        <v>3.2797147615055491</v>
      </c>
      <c r="J311" s="26">
        <f ca="1"/>
        <v>3.0632478199756084</v>
      </c>
      <c r="K311" s="26">
        <f ca="1"/>
        <v>2.8424099941403917</v>
      </c>
      <c r="M311" s="4" t="str">
        <f t="shared" si="15"/>
        <v>Mtonne</v>
      </c>
    </row>
    <row r="312" spans="1:13" s="7" customFormat="1" x14ac:dyDescent="0.2">
      <c r="A312" s="4" t="str">
        <v>CA Lin</v>
      </c>
      <c r="B312" s="26">
        <f ca="1"/>
        <v>7.3577410559467209</v>
      </c>
      <c r="C312" s="26">
        <f ca="1"/>
        <v>7.5371720722187687</v>
      </c>
      <c r="D312" s="26">
        <f ca="1"/>
        <v>7.7103118301224596</v>
      </c>
      <c r="E312" s="26">
        <f ca="1"/>
        <v>7.758763803550246</v>
      </c>
      <c r="F312" s="26">
        <f ca="1"/>
        <v>8.2947087328810536</v>
      </c>
      <c r="G312" s="26">
        <f ca="1"/>
        <v>9.0465185237870216</v>
      </c>
      <c r="H312" s="26">
        <f ca="1"/>
        <v>9.9613588121302694</v>
      </c>
      <c r="I312" s="26">
        <f ca="1"/>
        <v>10.180055933238515</v>
      </c>
      <c r="J312" s="26">
        <f ca="1"/>
        <v>9.5081543403511244</v>
      </c>
      <c r="K312" s="26">
        <f ca="1"/>
        <v>8.822685760716082</v>
      </c>
      <c r="M312" s="4" t="str">
        <f t="shared" si="15"/>
        <v>Mtonne</v>
      </c>
    </row>
    <row r="313" spans="1:13" s="7" customFormat="1" x14ac:dyDescent="0.2">
      <c r="A313" s="4" t="str">
        <v>IA Lin</v>
      </c>
      <c r="B313" s="26">
        <f ca="1"/>
        <v>5.660357387154467</v>
      </c>
      <c r="C313" s="26">
        <f ca="1"/>
        <v>5.798394818849518</v>
      </c>
      <c r="D313" s="26">
        <f ca="1"/>
        <v>5.9315923451294363</v>
      </c>
      <c r="E313" s="26">
        <f ca="1"/>
        <v>5.9688667590601243</v>
      </c>
      <c r="F313" s="26">
        <f ca="1"/>
        <v>6.3811726307642873</v>
      </c>
      <c r="G313" s="26">
        <f ca="1"/>
        <v>6.9595447250431741</v>
      </c>
      <c r="H313" s="26">
        <f ca="1"/>
        <v>7.6633372266840096</v>
      </c>
      <c r="I313" s="26">
        <f ca="1"/>
        <v>7.8315823246837493</v>
      </c>
      <c r="J313" s="26">
        <f ca="1"/>
        <v>7.3146841196745989</v>
      </c>
      <c r="K313" s="26">
        <f ca="1"/>
        <v>6.7873487447413412</v>
      </c>
      <c r="M313" s="4" t="str">
        <f t="shared" si="15"/>
        <v>Mtonne</v>
      </c>
    </row>
    <row r="314" spans="1:13" s="7" customFormat="1" x14ac:dyDescent="0.2">
      <c r="A314" s="4" t="str">
        <v>AF Lin</v>
      </c>
      <c r="B314" s="26">
        <f ca="1"/>
        <v>3.3254669135824413</v>
      </c>
      <c r="C314" s="26">
        <f ca="1"/>
        <v>3.4065640741574121</v>
      </c>
      <c r="D314" s="26">
        <f ca="1"/>
        <v>3.4848177843595467</v>
      </c>
      <c r="E314" s="26">
        <f ca="1"/>
        <v>3.5067165483017284</v>
      </c>
      <c r="F314" s="26">
        <f ca="1"/>
        <v>3.7489467540727519</v>
      </c>
      <c r="G314" s="26">
        <f ca="1"/>
        <v>4.088741069468572</v>
      </c>
      <c r="H314" s="26">
        <f ca="1"/>
        <v>4.5022200281550617</v>
      </c>
      <c r="I314" s="26">
        <f ca="1"/>
        <v>4.6010642297668332</v>
      </c>
      <c r="J314" s="26">
        <f ca="1"/>
        <v>4.2973858997820518</v>
      </c>
      <c r="K314" s="26">
        <f ca="1"/>
        <v>3.9875757196542359</v>
      </c>
      <c r="M314" s="4" t="str">
        <f t="shared" si="15"/>
        <v>Mtonne</v>
      </c>
    </row>
    <row r="315" spans="1:13" s="7" customFormat="1" ht="13.5" thickBot="1" x14ac:dyDescent="0.25">
      <c r="A315" s="4" t="str">
        <v>LA Lin</v>
      </c>
      <c r="B315" s="35">
        <f ca="1"/>
        <v>2.8428611730486586</v>
      </c>
      <c r="C315" s="35">
        <f ca="1"/>
        <v>2.9121891727053186</v>
      </c>
      <c r="D315" s="35">
        <f ca="1"/>
        <v>2.9790863754626282</v>
      </c>
      <c r="E315" s="35">
        <f ca="1"/>
        <v>2.9978070987074492</v>
      </c>
      <c r="F315" s="35">
        <f ca="1"/>
        <v>3.2048838385521377</v>
      </c>
      <c r="G315" s="35">
        <f ca="1"/>
        <v>3.4953657742213733</v>
      </c>
      <c r="H315" s="35">
        <f ca="1"/>
        <v>3.8488389279374382</v>
      </c>
      <c r="I315" s="35">
        <f ca="1"/>
        <v>3.9333384434176213</v>
      </c>
      <c r="J315" s="35">
        <f ca="1"/>
        <v>3.6737311895057299</v>
      </c>
      <c r="K315" s="35">
        <f ca="1"/>
        <v>3.4088819653251248</v>
      </c>
      <c r="M315" s="4" t="str">
        <f t="shared" si="15"/>
        <v>Mtonne</v>
      </c>
    </row>
    <row r="316" spans="1:13" s="2" customFormat="1" ht="15" thickTop="1" x14ac:dyDescent="0.25">
      <c r="A316" s="2" t="s">
        <v>312</v>
      </c>
      <c r="B316" s="2" t="s">
        <v>313</v>
      </c>
    </row>
    <row r="317" spans="1:13" s="6" customFormat="1" x14ac:dyDescent="0.2">
      <c r="A317" s="4" t="str">
        <f t="array" ref="A317:A324">R_CODE&amp;" "&amp;'Base data'!$B$12</f>
        <v>EU CO2</v>
      </c>
      <c r="B317" s="29">
        <f t="array" aca="1" ref="B317:K324" ca="1">(QMAX_MINUS_Q0_PROP_CO2/100)*(ZC_CO2/100)*E_CO2_0+Q0_CO2</f>
        <v>2475.6828546139322</v>
      </c>
      <c r="C317" s="29">
        <f ca="1"/>
        <v>2645.5354993421565</v>
      </c>
      <c r="D317" s="29">
        <f ca="1"/>
        <v>2813.5290235010048</v>
      </c>
      <c r="E317" s="29">
        <f ca="1"/>
        <v>3317.7758054153169</v>
      </c>
      <c r="F317" s="29">
        <f ca="1"/>
        <v>3939.4537059292402</v>
      </c>
      <c r="G317" s="29">
        <f ca="1"/>
        <v>4783.2303537254065</v>
      </c>
      <c r="H317" s="29">
        <f ca="1"/>
        <v>5646.3508004105806</v>
      </c>
      <c r="I317" s="29">
        <f ca="1"/>
        <v>6232.9020091724269</v>
      </c>
      <c r="J317" s="29">
        <f ca="1"/>
        <v>6385.8121001644649</v>
      </c>
      <c r="K317" s="29">
        <f ca="1"/>
        <v>6572.0181076225545</v>
      </c>
      <c r="M317" s="4" t="str">
        <f t="shared" ref="M317:M324" si="16">EMIT_NAME</f>
        <v>Mtonne</v>
      </c>
    </row>
    <row r="318" spans="1:13" s="6" customFormat="1" x14ac:dyDescent="0.2">
      <c r="A318" s="4" t="str">
        <v>US CO2</v>
      </c>
      <c r="B318" s="26">
        <f ca="1"/>
        <v>3751.341053001669</v>
      </c>
      <c r="C318" s="26">
        <f ca="1"/>
        <v>4287.1714604982189</v>
      </c>
      <c r="D318" s="26">
        <f ca="1"/>
        <v>4817.3531057115342</v>
      </c>
      <c r="E318" s="26">
        <f ca="1"/>
        <v>5934.3361602646783</v>
      </c>
      <c r="F318" s="26">
        <f ca="1"/>
        <v>7152.3186368491397</v>
      </c>
      <c r="G318" s="26">
        <f ca="1"/>
        <v>8641.6360386919914</v>
      </c>
      <c r="H318" s="26">
        <f ca="1"/>
        <v>9470.8648286220432</v>
      </c>
      <c r="I318" s="26">
        <f ca="1"/>
        <v>10262.34179935479</v>
      </c>
      <c r="J318" s="26">
        <f ca="1"/>
        <v>9884.963026697711</v>
      </c>
      <c r="K318" s="26">
        <f ca="1"/>
        <v>9157.0906842823133</v>
      </c>
      <c r="M318" s="4" t="str">
        <f t="shared" si="16"/>
        <v>Mtonne</v>
      </c>
    </row>
    <row r="319" spans="1:13" s="6" customFormat="1" x14ac:dyDescent="0.2">
      <c r="A319" s="4" t="str">
        <v>OT CO2</v>
      </c>
      <c r="B319" s="26">
        <f ca="1"/>
        <v>2321.7738246624699</v>
      </c>
      <c r="C319" s="26">
        <f ca="1"/>
        <v>2481.0670167790281</v>
      </c>
      <c r="D319" s="26">
        <f ca="1"/>
        <v>2638.6166667181924</v>
      </c>
      <c r="E319" s="26">
        <f ca="1"/>
        <v>3111.5152761814411</v>
      </c>
      <c r="F319" s="26">
        <f ca="1"/>
        <v>3694.5445095480204</v>
      </c>
      <c r="G319" s="26">
        <f ca="1"/>
        <v>4485.8649854577206</v>
      </c>
      <c r="H319" s="26">
        <f ca="1"/>
        <v>5295.3266888862581</v>
      </c>
      <c r="I319" s="26">
        <f ca="1"/>
        <v>5845.4129977158909</v>
      </c>
      <c r="J319" s="26">
        <f ca="1"/>
        <v>5988.8169261029288</v>
      </c>
      <c r="K319" s="26">
        <f ca="1"/>
        <v>6163.4468199543817</v>
      </c>
      <c r="M319" s="4" t="str">
        <f t="shared" si="16"/>
        <v>Mtonne</v>
      </c>
    </row>
    <row r="320" spans="1:13" s="6" customFormat="1" x14ac:dyDescent="0.2">
      <c r="A320" s="4" t="str">
        <v>EE CO2</v>
      </c>
      <c r="B320" s="26">
        <f ca="1"/>
        <v>2186.7823047164293</v>
      </c>
      <c r="C320" s="26">
        <f ca="1"/>
        <v>2349.3873779387873</v>
      </c>
      <c r="D320" s="26">
        <f ca="1"/>
        <v>2510.5174942051203</v>
      </c>
      <c r="E320" s="26">
        <f ca="1"/>
        <v>3067.4623704461687</v>
      </c>
      <c r="F320" s="26">
        <f ca="1"/>
        <v>3738.4440658153958</v>
      </c>
      <c r="G320" s="26">
        <f ca="1"/>
        <v>4462.8245213917762</v>
      </c>
      <c r="H320" s="26">
        <f ca="1"/>
        <v>4804.6732114159931</v>
      </c>
      <c r="I320" s="26">
        <f ca="1"/>
        <v>4594.6194195493181</v>
      </c>
      <c r="J320" s="26">
        <f ca="1"/>
        <v>4046.7258450303802</v>
      </c>
      <c r="K320" s="26">
        <f ca="1"/>
        <v>3486.0647414991518</v>
      </c>
      <c r="M320" s="4" t="str">
        <f t="shared" si="16"/>
        <v>Mtonne</v>
      </c>
    </row>
    <row r="321" spans="1:13" s="6" customFormat="1" x14ac:dyDescent="0.2">
      <c r="A321" s="4" t="str">
        <v>CA CO2</v>
      </c>
      <c r="B321" s="26">
        <f ca="1"/>
        <v>7595.0651570984674</v>
      </c>
      <c r="C321" s="26">
        <f ca="1"/>
        <v>8442.4497647499084</v>
      </c>
      <c r="D321" s="26">
        <f ca="1"/>
        <v>9282.6354565052134</v>
      </c>
      <c r="E321" s="26">
        <f ca="1"/>
        <v>10895.765536923711</v>
      </c>
      <c r="F321" s="26">
        <f ca="1"/>
        <v>11616.560513852597</v>
      </c>
      <c r="G321" s="26">
        <f ca="1"/>
        <v>12233.478881042092</v>
      </c>
      <c r="H321" s="26">
        <f ca="1"/>
        <v>12373.310878016597</v>
      </c>
      <c r="I321" s="26">
        <f ca="1"/>
        <v>11536.297049385053</v>
      </c>
      <c r="J321" s="26">
        <f ca="1"/>
        <v>9639.1306437664389</v>
      </c>
      <c r="K321" s="26">
        <f ca="1"/>
        <v>7597.8580660266098</v>
      </c>
      <c r="M321" s="4" t="str">
        <f t="shared" si="16"/>
        <v>Mtonne</v>
      </c>
    </row>
    <row r="322" spans="1:13" s="6" customFormat="1" x14ac:dyDescent="0.2">
      <c r="A322" s="4" t="str">
        <v>IA CO2</v>
      </c>
      <c r="B322" s="26">
        <f ca="1"/>
        <v>4584.5683012601476</v>
      </c>
      <c r="C322" s="26">
        <f ca="1"/>
        <v>5553.698018495269</v>
      </c>
      <c r="D322" s="26">
        <f ca="1"/>
        <v>6515.1206531722246</v>
      </c>
      <c r="E322" s="26">
        <f ca="1"/>
        <v>9203.7168554740147</v>
      </c>
      <c r="F322" s="26">
        <f ca="1"/>
        <v>12548.206790061326</v>
      </c>
      <c r="G322" s="26">
        <f ca="1"/>
        <v>16145.596666456862</v>
      </c>
      <c r="H322" s="26">
        <f ca="1"/>
        <v>19656.581955965608</v>
      </c>
      <c r="I322" s="26">
        <f ca="1"/>
        <v>22624.189358483061</v>
      </c>
      <c r="J322" s="26">
        <f ca="1"/>
        <v>23272.324955869761</v>
      </c>
      <c r="K322" s="26">
        <f ca="1"/>
        <v>22444.470722013441</v>
      </c>
      <c r="M322" s="4" t="str">
        <f t="shared" si="16"/>
        <v>Mtonne</v>
      </c>
    </row>
    <row r="323" spans="1:13" s="6" customFormat="1" x14ac:dyDescent="0.2">
      <c r="A323" s="4" t="str">
        <v>AF CO2</v>
      </c>
      <c r="B323" s="26">
        <f ca="1"/>
        <v>4453.2493246205195</v>
      </c>
      <c r="C323" s="26">
        <f ca="1"/>
        <v>5195.4295281259419</v>
      </c>
      <c r="D323" s="26">
        <f ca="1"/>
        <v>5931.5866185291452</v>
      </c>
      <c r="E323" s="26">
        <f ca="1"/>
        <v>8837.8695161585438</v>
      </c>
      <c r="F323" s="26">
        <f ca="1"/>
        <v>13248.205329833327</v>
      </c>
      <c r="G323" s="26">
        <f ca="1"/>
        <v>19323.638144500514</v>
      </c>
      <c r="H323" s="26">
        <f ca="1"/>
        <v>25584.317420062227</v>
      </c>
      <c r="I323" s="26">
        <f ca="1"/>
        <v>31175.125142981004</v>
      </c>
      <c r="J323" s="26">
        <f ca="1"/>
        <v>33563.214824517432</v>
      </c>
      <c r="K323" s="26">
        <f ca="1"/>
        <v>34323.31535699129</v>
      </c>
      <c r="M323" s="4" t="str">
        <f t="shared" si="16"/>
        <v>Mtonne</v>
      </c>
    </row>
    <row r="324" spans="1:13" s="6" customFormat="1" ht="13.5" thickBot="1" x14ac:dyDescent="0.25">
      <c r="A324" s="4" t="str">
        <v>LA CO2</v>
      </c>
      <c r="B324" s="35">
        <f ca="1"/>
        <v>2374.6076621543993</v>
      </c>
      <c r="C324" s="35">
        <f ca="1"/>
        <v>2851.8983414110317</v>
      </c>
      <c r="D324" s="35">
        <f ca="1"/>
        <v>3325.3783546298487</v>
      </c>
      <c r="E324" s="35">
        <f ca="1"/>
        <v>4399.4155844932175</v>
      </c>
      <c r="F324" s="35">
        <f ca="1"/>
        <v>5282.2956944290372</v>
      </c>
      <c r="G324" s="35">
        <f ca="1"/>
        <v>5988.2581002481793</v>
      </c>
      <c r="H324" s="35">
        <f ca="1"/>
        <v>6526.1959029812178</v>
      </c>
      <c r="I324" s="35">
        <f ca="1"/>
        <v>6706.0696163619632</v>
      </c>
      <c r="J324" s="35">
        <f ca="1"/>
        <v>6438.9186881359055</v>
      </c>
      <c r="K324" s="35">
        <f ca="1"/>
        <v>6116.6033353539788</v>
      </c>
      <c r="M324" s="4" t="str">
        <f t="shared" si="16"/>
        <v>Mtonne</v>
      </c>
    </row>
    <row r="325" spans="1:13" s="2" customFormat="1" ht="15" thickTop="1" x14ac:dyDescent="0.25">
      <c r="A325" s="2" t="s">
        <v>312</v>
      </c>
      <c r="B325" s="2" t="s">
        <v>314</v>
      </c>
    </row>
    <row r="326" spans="1:13" s="7" customFormat="1" x14ac:dyDescent="0.2">
      <c r="A326" s="4" t="str">
        <f t="array" ref="A326:A333">R_CODE&amp;" "&amp;'Base data'!$C$12</f>
        <v>EU CH4</v>
      </c>
      <c r="B326" s="29">
        <f t="array" aca="1" ref="B326:K333" ca="1">(QMAX_MINUS_Q0_PROP_CH4/100)*(ZC_CH4/100)*E_CH4_0+Q0_CH4</f>
        <v>12.192901976835525</v>
      </c>
      <c r="C326" s="29">
        <f ca="1"/>
        <v>12.863452609394567</v>
      </c>
      <c r="D326" s="29">
        <f ca="1"/>
        <v>13.515773270615007</v>
      </c>
      <c r="E326" s="29">
        <f ca="1"/>
        <v>15.627574640045058</v>
      </c>
      <c r="F326" s="29">
        <f ca="1"/>
        <v>17.393722556429832</v>
      </c>
      <c r="G326" s="29">
        <f ca="1"/>
        <v>17.627821105501368</v>
      </c>
      <c r="H326" s="29">
        <f ca="1"/>
        <v>18.120070963221011</v>
      </c>
      <c r="I326" s="29">
        <f ca="1"/>
        <v>17.986066952157341</v>
      </c>
      <c r="J326" s="29">
        <f ca="1"/>
        <v>20.134066123089568</v>
      </c>
      <c r="K326" s="29">
        <f ca="1"/>
        <v>17.903609454464799</v>
      </c>
      <c r="M326" s="4" t="str">
        <f t="shared" ref="M326:M333" si="17">EMIT_NAME</f>
        <v>Mtonne</v>
      </c>
    </row>
    <row r="327" spans="1:13" s="7" customFormat="1" x14ac:dyDescent="0.2">
      <c r="A327" s="4" t="str">
        <v>US CH4</v>
      </c>
      <c r="B327" s="26">
        <f ca="1"/>
        <v>17.548054637968658</v>
      </c>
      <c r="C327" s="26">
        <f ca="1"/>
        <v>18.821289217026237</v>
      </c>
      <c r="D327" s="26">
        <f ca="1"/>
        <v>20.061186339894356</v>
      </c>
      <c r="E327" s="26">
        <f ca="1"/>
        <v>23.279714563985848</v>
      </c>
      <c r="F327" s="26">
        <f ca="1"/>
        <v>26.342070967199916</v>
      </c>
      <c r="G327" s="26">
        <f ca="1"/>
        <v>27.091736416797296</v>
      </c>
      <c r="H327" s="26">
        <f ca="1"/>
        <v>25.312503097542827</v>
      </c>
      <c r="I327" s="26">
        <f ca="1"/>
        <v>25.685784467168112</v>
      </c>
      <c r="J327" s="26">
        <f ca="1"/>
        <v>25.407771459173031</v>
      </c>
      <c r="K327" s="26">
        <f ca="1"/>
        <v>23.852351394162355</v>
      </c>
      <c r="M327" s="4" t="str">
        <f t="shared" si="17"/>
        <v>Mtonne</v>
      </c>
    </row>
    <row r="328" spans="1:13" s="7" customFormat="1" x14ac:dyDescent="0.2">
      <c r="A328" s="4" t="str">
        <v>OT CH4</v>
      </c>
      <c r="B328" s="26">
        <f ca="1"/>
        <v>9.5434535301865875</v>
      </c>
      <c r="C328" s="26">
        <f ca="1"/>
        <v>9.8143279726515456</v>
      </c>
      <c r="D328" s="26">
        <f ca="1"/>
        <v>10.076195954364312</v>
      </c>
      <c r="E328" s="26">
        <f ca="1"/>
        <v>12.07728547574494</v>
      </c>
      <c r="F328" s="26">
        <f ca="1"/>
        <v>13.826718881202783</v>
      </c>
      <c r="G328" s="26">
        <f ca="1"/>
        <v>14.32770242906212</v>
      </c>
      <c r="H328" s="26">
        <f ca="1"/>
        <v>12.870320843950386</v>
      </c>
      <c r="I328" s="26">
        <f ca="1"/>
        <v>11.369259838229711</v>
      </c>
      <c r="J328" s="26">
        <f ca="1"/>
        <v>10.958894474822237</v>
      </c>
      <c r="K328" s="26">
        <f ca="1"/>
        <v>14.789977701210072</v>
      </c>
      <c r="M328" s="4" t="str">
        <f t="shared" si="17"/>
        <v>Mtonne</v>
      </c>
    </row>
    <row r="329" spans="1:13" s="7" customFormat="1" x14ac:dyDescent="0.2">
      <c r="A329" s="4" t="str">
        <v>EE CH4</v>
      </c>
      <c r="B329" s="26">
        <f ca="1"/>
        <v>23.179555506931251</v>
      </c>
      <c r="C329" s="26">
        <f ca="1"/>
        <v>24.030422820172014</v>
      </c>
      <c r="D329" s="26">
        <f ca="1"/>
        <v>24.857212922715529</v>
      </c>
      <c r="E329" s="26">
        <f ca="1"/>
        <v>28.227010969758286</v>
      </c>
      <c r="F329" s="26">
        <f ca="1"/>
        <v>32.552173826149833</v>
      </c>
      <c r="G329" s="26">
        <f ca="1"/>
        <v>36.500872870195657</v>
      </c>
      <c r="H329" s="26">
        <f ca="1"/>
        <v>40.180428110460213</v>
      </c>
      <c r="I329" s="26">
        <f ca="1"/>
        <v>43.331711500521351</v>
      </c>
      <c r="J329" s="26">
        <f ca="1"/>
        <v>43.442651696464381</v>
      </c>
      <c r="K329" s="26">
        <f ca="1"/>
        <v>41.666985061296074</v>
      </c>
      <c r="M329" s="4" t="str">
        <f t="shared" si="17"/>
        <v>Mtonne</v>
      </c>
    </row>
    <row r="330" spans="1:13" s="7" customFormat="1" x14ac:dyDescent="0.2">
      <c r="A330" s="4" t="str">
        <v>CA CH4</v>
      </c>
      <c r="B330" s="26">
        <f ca="1"/>
        <v>36.116818803125902</v>
      </c>
      <c r="C330" s="26">
        <f ca="1"/>
        <v>32.16596800051628</v>
      </c>
      <c r="D330" s="26">
        <f ca="1"/>
        <v>28.275811494572331</v>
      </c>
      <c r="E330" s="26">
        <f ca="1"/>
        <v>26.746016283053891</v>
      </c>
      <c r="F330" s="26">
        <f ca="1"/>
        <v>24.425531325920005</v>
      </c>
      <c r="G330" s="26">
        <f ca="1"/>
        <v>23.324909155334772</v>
      </c>
      <c r="H330" s="26">
        <f ca="1"/>
        <v>22.159257676439104</v>
      </c>
      <c r="I330" s="26">
        <f ca="1"/>
        <v>17.865259247975299</v>
      </c>
      <c r="J330" s="26">
        <f ca="1"/>
        <v>14.888954216442325</v>
      </c>
      <c r="K330" s="26">
        <f ca="1"/>
        <v>12.474789603107796</v>
      </c>
      <c r="M330" s="4" t="str">
        <f t="shared" si="17"/>
        <v>Mtonne</v>
      </c>
    </row>
    <row r="331" spans="1:13" s="7" customFormat="1" x14ac:dyDescent="0.2">
      <c r="A331" s="4" t="str">
        <v>IA CH4</v>
      </c>
      <c r="B331" s="26">
        <f ca="1"/>
        <v>47.489453905222383</v>
      </c>
      <c r="C331" s="26">
        <f ca="1"/>
        <v>47.989968547077197</v>
      </c>
      <c r="D331" s="26">
        <f ca="1"/>
        <v>48.464284346732768</v>
      </c>
      <c r="E331" s="26">
        <f ca="1"/>
        <v>50.213041017049051</v>
      </c>
      <c r="F331" s="26">
        <f ca="1"/>
        <v>51.752381201139983</v>
      </c>
      <c r="G331" s="26">
        <f ca="1"/>
        <v>39.89763127100067</v>
      </c>
      <c r="H331" s="26">
        <f ca="1"/>
        <v>32.570536878108243</v>
      </c>
      <c r="I331" s="26">
        <f ca="1"/>
        <v>24.719808528769505</v>
      </c>
      <c r="J331" s="26">
        <f ca="1"/>
        <v>20.980230308397523</v>
      </c>
      <c r="K331" s="26">
        <f ca="1"/>
        <v>17.943571507440971</v>
      </c>
      <c r="M331" s="4" t="str">
        <f t="shared" si="17"/>
        <v>Mtonne</v>
      </c>
    </row>
    <row r="332" spans="1:13" s="7" customFormat="1" x14ac:dyDescent="0.2">
      <c r="A332" s="4" t="str">
        <v>AF CH4</v>
      </c>
      <c r="B332" s="26">
        <f ca="1"/>
        <v>48.18331948877551</v>
      </c>
      <c r="C332" s="26">
        <f ca="1"/>
        <v>60.961967752837175</v>
      </c>
      <c r="D332" s="26">
        <f ca="1"/>
        <v>73.485646554701432</v>
      </c>
      <c r="E332" s="26">
        <f ca="1"/>
        <v>104.9039282198296</v>
      </c>
      <c r="F332" s="26">
        <f ca="1"/>
        <v>122.98247254421149</v>
      </c>
      <c r="G332" s="26">
        <f ca="1"/>
        <v>131.35461509863194</v>
      </c>
      <c r="H332" s="26">
        <f ca="1"/>
        <v>134.63980097876993</v>
      </c>
      <c r="I332" s="26">
        <f ca="1"/>
        <v>127.58900940027988</v>
      </c>
      <c r="J332" s="26">
        <f ca="1"/>
        <v>104.20090823104913</v>
      </c>
      <c r="K332" s="26">
        <f ca="1"/>
        <v>89.486981592853567</v>
      </c>
      <c r="M332" s="4" t="str">
        <f t="shared" si="17"/>
        <v>Mtonne</v>
      </c>
    </row>
    <row r="333" spans="1:13" s="7" customFormat="1" ht="13.5" thickBot="1" x14ac:dyDescent="0.25">
      <c r="A333" s="4" t="str">
        <v>LA CH4</v>
      </c>
      <c r="B333" s="35">
        <f ca="1"/>
        <v>38.940626707732278</v>
      </c>
      <c r="C333" s="35">
        <f ca="1"/>
        <v>40.790408021357685</v>
      </c>
      <c r="D333" s="35">
        <f ca="1"/>
        <v>42.59191679783283</v>
      </c>
      <c r="E333" s="35">
        <f ca="1"/>
        <v>43.920723823248039</v>
      </c>
      <c r="F333" s="35">
        <f ca="1"/>
        <v>35.923670553170638</v>
      </c>
      <c r="G333" s="35">
        <f ca="1"/>
        <v>33.035993595093423</v>
      </c>
      <c r="H333" s="35">
        <f ca="1"/>
        <v>31.140141732664226</v>
      </c>
      <c r="I333" s="35">
        <f ca="1"/>
        <v>28.137004690376077</v>
      </c>
      <c r="J333" s="35">
        <f ca="1"/>
        <v>22.087732209904154</v>
      </c>
      <c r="K333" s="35">
        <f ca="1"/>
        <v>19.087906637254633</v>
      </c>
      <c r="M333" s="4" t="str">
        <f t="shared" si="17"/>
        <v>Mtonne</v>
      </c>
    </row>
    <row r="334" spans="1:13" s="2" customFormat="1" ht="15" thickTop="1" x14ac:dyDescent="0.25">
      <c r="A334" s="2" t="s">
        <v>312</v>
      </c>
      <c r="B334" s="2" t="s">
        <v>315</v>
      </c>
    </row>
    <row r="335" spans="1:13" s="7" customFormat="1" x14ac:dyDescent="0.2">
      <c r="A335" s="4" t="str">
        <f t="array" ref="A335:A342">R_CODE&amp;" "&amp;'Base data'!$D$12</f>
        <v>EU N2O</v>
      </c>
      <c r="B335" s="29">
        <f t="array" aca="1" ref="B335:K342" ca="1">(QMAX_MINUS_Q0_PROP_N2O/100)*(ZC_N2O/100)*E_N2O_0+Q0_N2O</f>
        <v>0.90598147172052323</v>
      </c>
      <c r="C335" s="29">
        <f ca="1"/>
        <v>0.94507553848541792</v>
      </c>
      <c r="D335" s="29">
        <f ca="1"/>
        <v>0.98454119898084302</v>
      </c>
      <c r="E335" s="29">
        <f ca="1"/>
        <v>1.0504118258438329</v>
      </c>
      <c r="F335" s="29">
        <f ca="1"/>
        <v>1.0430495446561105</v>
      </c>
      <c r="G335" s="29">
        <f ca="1"/>
        <v>1.0735983680660439</v>
      </c>
      <c r="H335" s="29">
        <f ca="1"/>
        <v>1.0833000651496252</v>
      </c>
      <c r="I335" s="29">
        <f ca="1"/>
        <v>1.0979379269915575</v>
      </c>
      <c r="J335" s="29">
        <f ca="1"/>
        <v>1.0868157285051119</v>
      </c>
      <c r="K335" s="29">
        <f ca="1"/>
        <v>1.0561191487950956</v>
      </c>
      <c r="M335" s="4" t="str">
        <f t="shared" ref="M335:M342" si="18">EMIT_NAME</f>
        <v>Mtonne</v>
      </c>
    </row>
    <row r="336" spans="1:13" s="7" customFormat="1" x14ac:dyDescent="0.2">
      <c r="A336" s="4" t="str">
        <v>US N2O</v>
      </c>
      <c r="B336" s="26">
        <f ca="1"/>
        <v>0.8096581345490409</v>
      </c>
      <c r="C336" s="26">
        <f ca="1"/>
        <v>0.84435639368485738</v>
      </c>
      <c r="D336" s="26">
        <f ca="1"/>
        <v>0.87937118670030512</v>
      </c>
      <c r="E336" s="26">
        <f ca="1"/>
        <v>0.93769688087998593</v>
      </c>
      <c r="F336" s="26">
        <f ca="1"/>
        <v>0.9306379538173023</v>
      </c>
      <c r="G336" s="26">
        <f ca="1"/>
        <v>0.95741204773124322</v>
      </c>
      <c r="H336" s="26">
        <f ca="1"/>
        <v>0.96559530299171192</v>
      </c>
      <c r="I336" s="26">
        <f ca="1"/>
        <v>0.97818596405580693</v>
      </c>
      <c r="J336" s="26">
        <f ca="1"/>
        <v>0.96784224009070297</v>
      </c>
      <c r="K336" s="26">
        <f ca="1"/>
        <v>0.94010023131038534</v>
      </c>
      <c r="M336" s="4" t="str">
        <f t="shared" si="18"/>
        <v>Mtonne</v>
      </c>
    </row>
    <row r="337" spans="1:13" s="7" customFormat="1" x14ac:dyDescent="0.2">
      <c r="A337" s="4" t="str">
        <v>OT N2O</v>
      </c>
      <c r="B337" s="26">
        <f ca="1"/>
        <v>0.42952450222255623</v>
      </c>
      <c r="C337" s="26">
        <f ca="1"/>
        <v>0.44805894259599771</v>
      </c>
      <c r="D337" s="26">
        <f ca="1"/>
        <v>0.46676955501833539</v>
      </c>
      <c r="E337" s="26">
        <f ca="1"/>
        <v>0.49799872371279336</v>
      </c>
      <c r="F337" s="26">
        <f ca="1"/>
        <v>0.49450827687575871</v>
      </c>
      <c r="G337" s="26">
        <f ca="1"/>
        <v>0.50899142976377276</v>
      </c>
      <c r="H337" s="26">
        <f ca="1"/>
        <v>0.51359099028527622</v>
      </c>
      <c r="I337" s="26">
        <f ca="1"/>
        <v>0.52053077936210856</v>
      </c>
      <c r="J337" s="26">
        <f ca="1"/>
        <v>0.51525776118499422</v>
      </c>
      <c r="K337" s="26">
        <f ca="1"/>
        <v>0.50070455724933249</v>
      </c>
      <c r="M337" s="4" t="str">
        <f t="shared" si="18"/>
        <v>Mtonne</v>
      </c>
    </row>
    <row r="338" spans="1:13" s="7" customFormat="1" x14ac:dyDescent="0.2">
      <c r="A338" s="4" t="str">
        <v>EE N2O</v>
      </c>
      <c r="B338" s="26">
        <f ca="1"/>
        <v>0.28042133091547594</v>
      </c>
      <c r="C338" s="26">
        <f ca="1"/>
        <v>0.29283930316643808</v>
      </c>
      <c r="D338" s="26">
        <f ca="1"/>
        <v>0.30539292139892849</v>
      </c>
      <c r="E338" s="26">
        <f ca="1"/>
        <v>0.32649976779111034</v>
      </c>
      <c r="F338" s="26">
        <f ca="1"/>
        <v>0.32485688321078177</v>
      </c>
      <c r="G338" s="26">
        <f ca="1"/>
        <v>0.33501120032201015</v>
      </c>
      <c r="H338" s="26">
        <f ca="1"/>
        <v>0.33866003006413453</v>
      </c>
      <c r="I338" s="26">
        <f ca="1"/>
        <v>0.34384195066663609</v>
      </c>
      <c r="J338" s="26">
        <f ca="1"/>
        <v>0.34093531484510897</v>
      </c>
      <c r="K338" s="26">
        <f ca="1"/>
        <v>0.33184401168001293</v>
      </c>
      <c r="M338" s="4" t="str">
        <f t="shared" si="18"/>
        <v>Mtonne</v>
      </c>
    </row>
    <row r="339" spans="1:13" s="7" customFormat="1" x14ac:dyDescent="0.2">
      <c r="A339" s="4" t="str">
        <v>CA N2O</v>
      </c>
      <c r="B339" s="26">
        <f ca="1"/>
        <v>1.4734726504494895</v>
      </c>
      <c r="C339" s="26">
        <f ca="1"/>
        <v>1.5387228310477288</v>
      </c>
      <c r="D339" s="26">
        <f ca="1"/>
        <v>1.6046857628595532</v>
      </c>
      <c r="E339" s="26">
        <f ca="1"/>
        <v>1.7155915944330178</v>
      </c>
      <c r="F339" s="26">
        <f ca="1"/>
        <v>1.7069590646284678</v>
      </c>
      <c r="G339" s="26">
        <f ca="1"/>
        <v>1.7603148792469219</v>
      </c>
      <c r="H339" s="26">
        <f ca="1"/>
        <v>1.7794876390851795</v>
      </c>
      <c r="I339" s="26">
        <f ca="1"/>
        <v>1.8067160181091995</v>
      </c>
      <c r="J339" s="26">
        <f ca="1"/>
        <v>1.7914431129637349</v>
      </c>
      <c r="K339" s="26">
        <f ca="1"/>
        <v>1.7436729004517932</v>
      </c>
      <c r="M339" s="4" t="str">
        <f t="shared" si="18"/>
        <v>Mtonne</v>
      </c>
    </row>
    <row r="340" spans="1:13" s="7" customFormat="1" x14ac:dyDescent="0.2">
      <c r="A340" s="4" t="str">
        <v>IA N2O</v>
      </c>
      <c r="B340" s="26">
        <f ca="1"/>
        <v>0.70486323151243291</v>
      </c>
      <c r="C340" s="26">
        <f ca="1"/>
        <v>0.73607687714013736</v>
      </c>
      <c r="D340" s="26">
        <f ca="1"/>
        <v>0.76763148065635023</v>
      </c>
      <c r="E340" s="26">
        <f ca="1"/>
        <v>0.82068536178037288</v>
      </c>
      <c r="F340" s="26">
        <f ca="1"/>
        <v>0.81655582951365158</v>
      </c>
      <c r="G340" s="26">
        <f ca="1"/>
        <v>0.84207958246588266</v>
      </c>
      <c r="H340" s="26">
        <f ca="1"/>
        <v>0.85125123112355094</v>
      </c>
      <c r="I340" s="26">
        <f ca="1"/>
        <v>0.86427643605142079</v>
      </c>
      <c r="J340" s="26">
        <f ca="1"/>
        <v>0.85697035590657988</v>
      </c>
      <c r="K340" s="26">
        <f ca="1"/>
        <v>0.83411858030631258</v>
      </c>
      <c r="M340" s="4" t="str">
        <f t="shared" si="18"/>
        <v>Mtonne</v>
      </c>
    </row>
    <row r="341" spans="1:13" s="7" customFormat="1" x14ac:dyDescent="0.2">
      <c r="A341" s="4" t="str">
        <v>AF N2O</v>
      </c>
      <c r="B341" s="26">
        <f ca="1"/>
        <v>1.2367477868490782</v>
      </c>
      <c r="C341" s="26">
        <f ca="1"/>
        <v>1.2915150174602186</v>
      </c>
      <c r="D341" s="26">
        <f ca="1"/>
        <v>1.346880490248237</v>
      </c>
      <c r="E341" s="26">
        <f ca="1"/>
        <v>1.4399684357254039</v>
      </c>
      <c r="F341" s="26">
        <f ca="1"/>
        <v>1.4327227891045258</v>
      </c>
      <c r="G341" s="26">
        <f ca="1"/>
        <v>1.4775065763195601</v>
      </c>
      <c r="H341" s="26">
        <f ca="1"/>
        <v>1.4935990828825565</v>
      </c>
      <c r="I341" s="26">
        <f ca="1"/>
        <v>1.5164530106342335</v>
      </c>
      <c r="J341" s="26">
        <f ca="1"/>
        <v>1.5036338167173002</v>
      </c>
      <c r="K341" s="26">
        <f ca="1"/>
        <v>1.4635382611035388</v>
      </c>
      <c r="M341" s="4" t="str">
        <f t="shared" si="18"/>
        <v>Mtonne</v>
      </c>
    </row>
    <row r="342" spans="1:13" s="7" customFormat="1" ht="13.5" thickBot="1" x14ac:dyDescent="0.25">
      <c r="A342" s="4" t="str">
        <v>LA N2O</v>
      </c>
      <c r="B342" s="35">
        <f ca="1"/>
        <v>1.1895972580333152</v>
      </c>
      <c r="C342" s="35">
        <f ca="1"/>
        <v>1.2422765092580765</v>
      </c>
      <c r="D342" s="35">
        <f ca="1"/>
        <v>1.2955311949091795</v>
      </c>
      <c r="E342" s="35">
        <f ca="1"/>
        <v>1.3850701986358189</v>
      </c>
      <c r="F342" s="35">
        <f ca="1"/>
        <v>1.3781007894769515</v>
      </c>
      <c r="G342" s="35">
        <f ca="1"/>
        <v>1.4211772122058595</v>
      </c>
      <c r="H342" s="35">
        <f ca="1"/>
        <v>1.4366561982091388</v>
      </c>
      <c r="I342" s="35">
        <f ca="1"/>
        <v>1.4586388288455374</v>
      </c>
      <c r="J342" s="35">
        <f ca="1"/>
        <v>1.4463083617155872</v>
      </c>
      <c r="K342" s="35">
        <f ca="1"/>
        <v>1.4077414335798399</v>
      </c>
      <c r="M342" s="4" t="str">
        <f t="shared" si="18"/>
        <v>Mtonne</v>
      </c>
    </row>
    <row r="343" spans="1:13" s="2" customFormat="1" ht="15" thickTop="1" x14ac:dyDescent="0.25">
      <c r="A343" s="2" t="s">
        <v>312</v>
      </c>
      <c r="B343" s="2" t="s">
        <v>316</v>
      </c>
    </row>
    <row r="344" spans="1:13" s="7" customFormat="1" x14ac:dyDescent="0.2">
      <c r="A344" s="4" t="str">
        <f t="array" ref="A344:A351">R_CODE&amp;" "&amp;GLIN_NAME</f>
        <v>EU Lin</v>
      </c>
      <c r="B344" s="32">
        <f t="array" aca="1" ref="B344:K351" ca="1">(QMAX_MINUS_Q0_PROP_GLIN/100)*(ZC_GLIN/100)*E_GLIN_0+Q0_GLIN</f>
        <v>82.659784959399474</v>
      </c>
      <c r="C344" s="32">
        <f ca="1"/>
        <v>86.636903542350012</v>
      </c>
      <c r="D344" s="32">
        <f ca="1"/>
        <v>90.686393788451383</v>
      </c>
      <c r="E344" s="32">
        <f ca="1"/>
        <v>95.56626582813891</v>
      </c>
      <c r="F344" s="32">
        <f ca="1"/>
        <v>107.02169219500388</v>
      </c>
      <c r="G344" s="32">
        <f ca="1"/>
        <v>122.29896188138844</v>
      </c>
      <c r="H344" s="32">
        <f ca="1"/>
        <v>141.13606457257981</v>
      </c>
      <c r="I344" s="32">
        <f ca="1"/>
        <v>151.19966144127301</v>
      </c>
      <c r="J344" s="32">
        <f ca="1"/>
        <v>148.07336916783882</v>
      </c>
      <c r="K344" s="32">
        <f ca="1"/>
        <v>144.09746587179825</v>
      </c>
      <c r="M344" s="4" t="str">
        <f t="shared" ref="M344:M351" si="19">EMIT_NAME</f>
        <v>Mtonne</v>
      </c>
    </row>
    <row r="345" spans="1:13" s="7" customFormat="1" x14ac:dyDescent="0.2">
      <c r="A345" s="4" t="str">
        <v>US Lin</v>
      </c>
      <c r="B345" s="33">
        <f ca="1"/>
        <v>217.37180205144747</v>
      </c>
      <c r="C345" s="33">
        <f ca="1"/>
        <v>227.77851204437545</v>
      </c>
      <c r="D345" s="33">
        <f ca="1"/>
        <v>238.37174747444169</v>
      </c>
      <c r="E345" s="33">
        <f ca="1"/>
        <v>251.08951472641414</v>
      </c>
      <c r="F345" s="33">
        <f ca="1"/>
        <v>281.07000058759388</v>
      </c>
      <c r="G345" s="33">
        <f ca="1"/>
        <v>321.0638308169423</v>
      </c>
      <c r="H345" s="33">
        <f ca="1"/>
        <v>370.37320483221094</v>
      </c>
      <c r="I345" s="33">
        <f ca="1"/>
        <v>396.63599831639937</v>
      </c>
      <c r="J345" s="33">
        <f ca="1"/>
        <v>388.29752838962639</v>
      </c>
      <c r="K345" s="33">
        <f ca="1"/>
        <v>377.74330133678183</v>
      </c>
      <c r="M345" s="4" t="str">
        <f t="shared" si="19"/>
        <v>Mtonne</v>
      </c>
    </row>
    <row r="346" spans="1:13" s="7" customFormat="1" x14ac:dyDescent="0.2">
      <c r="A346" s="4" t="str">
        <v>OT Lin</v>
      </c>
      <c r="B346" s="33">
        <f ca="1"/>
        <v>77.500432271510022</v>
      </c>
      <c r="C346" s="33">
        <f ca="1"/>
        <v>81.229312155786474</v>
      </c>
      <c r="D346" s="33">
        <f ca="1"/>
        <v>85.026046501348461</v>
      </c>
      <c r="E346" s="33">
        <f ca="1"/>
        <v>89.601332932243452</v>
      </c>
      <c r="F346" s="33">
        <f ca="1"/>
        <v>100.34174915426186</v>
      </c>
      <c r="G346" s="33">
        <f ca="1"/>
        <v>114.66546176983169</v>
      </c>
      <c r="H346" s="33">
        <f ca="1"/>
        <v>132.32681428880107</v>
      </c>
      <c r="I346" s="33">
        <f ca="1"/>
        <v>141.76227444530912</v>
      </c>
      <c r="J346" s="33">
        <f ca="1"/>
        <v>138.83111508266092</v>
      </c>
      <c r="K346" s="33">
        <f ca="1"/>
        <v>135.10337463107112</v>
      </c>
      <c r="M346" s="4" t="str">
        <f t="shared" si="19"/>
        <v>Mtonne</v>
      </c>
    </row>
    <row r="347" spans="1:13" s="7" customFormat="1" x14ac:dyDescent="0.2">
      <c r="A347" s="4" t="str">
        <v>EE Lin</v>
      </c>
      <c r="B347" s="33">
        <f ca="1"/>
        <v>26.700408291923779</v>
      </c>
      <c r="C347" s="33">
        <f ca="1"/>
        <v>28.00918506327455</v>
      </c>
      <c r="D347" s="33">
        <f ca="1"/>
        <v>29.343097134735245</v>
      </c>
      <c r="E347" s="33">
        <f ca="1"/>
        <v>30.972657161116075</v>
      </c>
      <c r="F347" s="33">
        <f ca="1"/>
        <v>34.739729752198443</v>
      </c>
      <c r="G347" s="33">
        <f ca="1"/>
        <v>39.7584838663862</v>
      </c>
      <c r="H347" s="33">
        <f ca="1"/>
        <v>45.948360901605824</v>
      </c>
      <c r="I347" s="33">
        <f ca="1"/>
        <v>49.29254822775264</v>
      </c>
      <c r="J347" s="33">
        <f ca="1"/>
        <v>48.337055494376621</v>
      </c>
      <c r="K347" s="33">
        <f ca="1"/>
        <v>47.098556398942598</v>
      </c>
      <c r="M347" s="4" t="str">
        <f t="shared" si="19"/>
        <v>Mtonne</v>
      </c>
    </row>
    <row r="348" spans="1:13" s="7" customFormat="1" x14ac:dyDescent="0.2">
      <c r="A348" s="4" t="str">
        <v>CA Lin</v>
      </c>
      <c r="B348" s="33">
        <f ca="1"/>
        <v>82.876612637897423</v>
      </c>
      <c r="C348" s="33">
        <f ca="1"/>
        <v>86.938984430973122</v>
      </c>
      <c r="D348" s="33">
        <f ca="1"/>
        <v>91.079374826160532</v>
      </c>
      <c r="E348" s="33">
        <f ca="1"/>
        <v>96.137440365833058</v>
      </c>
      <c r="F348" s="33">
        <f ca="1"/>
        <v>107.83022844969196</v>
      </c>
      <c r="G348" s="33">
        <f ca="1"/>
        <v>123.4081677867546</v>
      </c>
      <c r="H348" s="33">
        <f ca="1"/>
        <v>142.62120886520441</v>
      </c>
      <c r="I348" s="33">
        <f ca="1"/>
        <v>153.00138412647442</v>
      </c>
      <c r="J348" s="33">
        <f ca="1"/>
        <v>150.03558673953773</v>
      </c>
      <c r="K348" s="33">
        <f ca="1"/>
        <v>146.19135302361667</v>
      </c>
      <c r="M348" s="4" t="str">
        <f t="shared" si="19"/>
        <v>Mtonne</v>
      </c>
    </row>
    <row r="349" spans="1:13" s="7" customFormat="1" x14ac:dyDescent="0.2">
      <c r="A349" s="4" t="str">
        <v>IA Lin</v>
      </c>
      <c r="B349" s="33">
        <f ca="1"/>
        <v>63.757509675896223</v>
      </c>
      <c r="C349" s="33">
        <f ca="1"/>
        <v>66.882718352507538</v>
      </c>
      <c r="D349" s="33">
        <f ca="1"/>
        <v>70.067947240137485</v>
      </c>
      <c r="E349" s="33">
        <f ca="1"/>
        <v>73.959149502421084</v>
      </c>
      <c r="F349" s="33">
        <f ca="1"/>
        <v>82.95448637329531</v>
      </c>
      <c r="G349" s="33">
        <f ca="1"/>
        <v>94.938695022758424</v>
      </c>
      <c r="H349" s="33">
        <f ca="1"/>
        <v>109.71941075754347</v>
      </c>
      <c r="I349" s="33">
        <f ca="1"/>
        <v>117.70494616485439</v>
      </c>
      <c r="J349" s="33">
        <f ca="1"/>
        <v>115.42333921235333</v>
      </c>
      <c r="K349" s="33">
        <f ca="1"/>
        <v>112.46594555764253</v>
      </c>
      <c r="M349" s="4" t="str">
        <f t="shared" si="19"/>
        <v>Mtonne</v>
      </c>
    </row>
    <row r="350" spans="1:13" s="7" customFormat="1" x14ac:dyDescent="0.2">
      <c r="A350" s="4" t="str">
        <v>AF Lin</v>
      </c>
      <c r="B350" s="33">
        <f ca="1"/>
        <v>37.457615203020268</v>
      </c>
      <c r="C350" s="33">
        <f ca="1"/>
        <v>39.293679137021485</v>
      </c>
      <c r="D350" s="33">
        <f ca="1"/>
        <v>41.165005018676702</v>
      </c>
      <c r="E350" s="33">
        <f ca="1"/>
        <v>43.451091124590661</v>
      </c>
      <c r="F350" s="33">
        <f ca="1"/>
        <v>48.735862578864221</v>
      </c>
      <c r="G350" s="33">
        <f ca="1"/>
        <v>55.776599872184278</v>
      </c>
      <c r="H350" s="33">
        <f ca="1"/>
        <v>64.460288511110434</v>
      </c>
      <c r="I350" s="33">
        <f ca="1"/>
        <v>69.151800365912848</v>
      </c>
      <c r="J350" s="33">
        <f ca="1"/>
        <v>67.811353480428068</v>
      </c>
      <c r="K350" s="33">
        <f ca="1"/>
        <v>66.073881077802369</v>
      </c>
      <c r="M350" s="4" t="str">
        <f t="shared" si="19"/>
        <v>Mtonne</v>
      </c>
    </row>
    <row r="351" spans="1:13" s="7" customFormat="1" ht="13.5" thickBot="1" x14ac:dyDescent="0.25">
      <c r="A351" s="4" t="str">
        <v>LA Lin</v>
      </c>
      <c r="B351" s="34">
        <f ca="1"/>
        <v>32.021608592986404</v>
      </c>
      <c r="C351" s="34">
        <f ca="1"/>
        <v>33.591215209094344</v>
      </c>
      <c r="D351" s="34">
        <f ca="1"/>
        <v>35.190966410752708</v>
      </c>
      <c r="E351" s="34">
        <f ca="1"/>
        <v>37.145286089052419</v>
      </c>
      <c r="F351" s="34">
        <f ca="1"/>
        <v>41.663109289886904</v>
      </c>
      <c r="G351" s="34">
        <f ca="1"/>
        <v>47.682065184189504</v>
      </c>
      <c r="H351" s="34">
        <f ca="1"/>
        <v>55.105540416981029</v>
      </c>
      <c r="I351" s="34">
        <f ca="1"/>
        <v>59.116200345799051</v>
      </c>
      <c r="J351" s="34">
        <f ca="1"/>
        <v>57.970284748288726</v>
      </c>
      <c r="K351" s="34">
        <f ca="1"/>
        <v>56.48496164599176</v>
      </c>
      <c r="M351" s="4" t="str">
        <f t="shared" si="19"/>
        <v>Mtonne</v>
      </c>
    </row>
    <row r="352" spans="1:13" s="2" customFormat="1" ht="15" thickTop="1" x14ac:dyDescent="0.25">
      <c r="A352" s="2" t="s">
        <v>317</v>
      </c>
      <c r="B352" s="2" t="s">
        <v>318</v>
      </c>
    </row>
    <row r="353" spans="1:13" s="6" customFormat="1" x14ac:dyDescent="0.2">
      <c r="A353" s="4" t="str">
        <f t="array" ref="A353:A360">R_CODE&amp;" "&amp;'Base data'!$B$12</f>
        <v>EU CO2</v>
      </c>
      <c r="B353" s="271">
        <f t="array" aca="1" ref="B353:K360" ca="1">CMAX_INIT_CO2*learnfac_co2_b*AUTOFAC</f>
        <v>142.98940343220548</v>
      </c>
      <c r="C353" s="271">
        <f ca="1"/>
        <v>136.30646329265343</v>
      </c>
      <c r="D353" s="271">
        <f ca="1"/>
        <v>129.93586580113552</v>
      </c>
      <c r="E353" s="271">
        <f ca="1"/>
        <v>118.07398881481082</v>
      </c>
      <c r="F353" s="271">
        <f ca="1"/>
        <v>107.29498548135456</v>
      </c>
      <c r="G353" s="271">
        <f ca="1"/>
        <v>97.500000000000256</v>
      </c>
      <c r="H353" s="271">
        <f ca="1"/>
        <v>88.599201140224977</v>
      </c>
      <c r="I353" s="271">
        <f ca="1"/>
        <v>80.510958386523299</v>
      </c>
      <c r="J353" s="271">
        <f ca="1"/>
        <v>73.161093293126584</v>
      </c>
      <c r="K353" s="271">
        <f ca="1"/>
        <v>66.482199182733012</v>
      </c>
      <c r="M353" s="4" t="str">
        <f t="shared" ref="M353:M360" si="20">CURRENCY_NAME&amp;" per "&amp;EMIT_NAME</f>
        <v>$M(2015) per Mtonne</v>
      </c>
    </row>
    <row r="354" spans="1:13" s="6" customFormat="1" x14ac:dyDescent="0.2">
      <c r="A354" s="4" t="str">
        <v>US CO2</v>
      </c>
      <c r="B354" s="272">
        <f ca="1"/>
        <v>142.98940343220548</v>
      </c>
      <c r="C354" s="272">
        <f ca="1"/>
        <v>136.30646329265343</v>
      </c>
      <c r="D354" s="272">
        <f ca="1"/>
        <v>129.93586580113552</v>
      </c>
      <c r="E354" s="272">
        <f ca="1"/>
        <v>118.07398881481082</v>
      </c>
      <c r="F354" s="272">
        <f ca="1"/>
        <v>107.29498548135456</v>
      </c>
      <c r="G354" s="272">
        <f ca="1"/>
        <v>97.500000000000256</v>
      </c>
      <c r="H354" s="272">
        <f ca="1"/>
        <v>88.599201140224977</v>
      </c>
      <c r="I354" s="272">
        <f ca="1"/>
        <v>80.510958386523299</v>
      </c>
      <c r="J354" s="272">
        <f ca="1"/>
        <v>73.161093293126584</v>
      </c>
      <c r="K354" s="272">
        <f ca="1"/>
        <v>66.482199182733012</v>
      </c>
      <c r="M354" s="4" t="str">
        <f t="shared" si="20"/>
        <v>$M(2015) per Mtonne</v>
      </c>
    </row>
    <row r="355" spans="1:13" s="6" customFormat="1" x14ac:dyDescent="0.2">
      <c r="A355" s="4" t="str">
        <v>OT CO2</v>
      </c>
      <c r="B355" s="272">
        <f ca="1"/>
        <v>176.35359756638675</v>
      </c>
      <c r="C355" s="272">
        <f ca="1"/>
        <v>168.1113047276059</v>
      </c>
      <c r="D355" s="272">
        <f ca="1"/>
        <v>160.25423448806714</v>
      </c>
      <c r="E355" s="272">
        <f ca="1"/>
        <v>145.62458620493334</v>
      </c>
      <c r="F355" s="272">
        <f ca="1"/>
        <v>132.33048209367061</v>
      </c>
      <c r="G355" s="272">
        <f ca="1"/>
        <v>120.25000000000031</v>
      </c>
      <c r="H355" s="272">
        <f ca="1"/>
        <v>109.27234807294413</v>
      </c>
      <c r="I355" s="272">
        <f ca="1"/>
        <v>99.296848676712074</v>
      </c>
      <c r="J355" s="272">
        <f ca="1"/>
        <v>90.232015061522787</v>
      </c>
      <c r="K355" s="272">
        <f ca="1"/>
        <v>81.994712325370728</v>
      </c>
      <c r="M355" s="4" t="str">
        <f t="shared" si="20"/>
        <v>$M(2015) per Mtonne</v>
      </c>
    </row>
    <row r="356" spans="1:13" s="6" customFormat="1" x14ac:dyDescent="0.2">
      <c r="A356" s="4" t="str">
        <v>EE CO2</v>
      </c>
      <c r="B356" s="272">
        <f ca="1"/>
        <v>100.09258240254384</v>
      </c>
      <c r="C356" s="272">
        <f ca="1"/>
        <v>95.414524304857423</v>
      </c>
      <c r="D356" s="272">
        <f ca="1"/>
        <v>90.955106060794876</v>
      </c>
      <c r="E356" s="272">
        <f ca="1"/>
        <v>82.651792170367585</v>
      </c>
      <c r="F356" s="272">
        <f ca="1"/>
        <v>75.106489836948199</v>
      </c>
      <c r="G356" s="272">
        <f ca="1"/>
        <v>68.250000000000185</v>
      </c>
      <c r="H356" s="272">
        <f ca="1"/>
        <v>62.01944079815749</v>
      </c>
      <c r="I356" s="272">
        <f ca="1"/>
        <v>56.357670870566317</v>
      </c>
      <c r="J356" s="272">
        <f ca="1"/>
        <v>51.212765305188618</v>
      </c>
      <c r="K356" s="272">
        <f ca="1"/>
        <v>46.537539427913117</v>
      </c>
      <c r="M356" s="4" t="str">
        <f t="shared" si="20"/>
        <v>$M(2015) per Mtonne</v>
      </c>
    </row>
    <row r="357" spans="1:13" s="6" customFormat="1" x14ac:dyDescent="0.2">
      <c r="A357" s="4" t="str">
        <v>CA CO2</v>
      </c>
      <c r="B357" s="272">
        <f ca="1"/>
        <v>142.98940343220548</v>
      </c>
      <c r="C357" s="272">
        <f ca="1"/>
        <v>136.30646329265343</v>
      </c>
      <c r="D357" s="272">
        <f ca="1"/>
        <v>129.93586580113552</v>
      </c>
      <c r="E357" s="272">
        <f ca="1"/>
        <v>118.07398881481082</v>
      </c>
      <c r="F357" s="272">
        <f ca="1"/>
        <v>107.29498548135456</v>
      </c>
      <c r="G357" s="272">
        <f ca="1"/>
        <v>97.500000000000256</v>
      </c>
      <c r="H357" s="272">
        <f ca="1"/>
        <v>88.599201140224977</v>
      </c>
      <c r="I357" s="272">
        <f ca="1"/>
        <v>80.510958386523299</v>
      </c>
      <c r="J357" s="272">
        <f ca="1"/>
        <v>73.161093293126584</v>
      </c>
      <c r="K357" s="272">
        <f ca="1"/>
        <v>66.482199182733012</v>
      </c>
      <c r="M357" s="4" t="str">
        <f t="shared" si="20"/>
        <v>$M(2015) per Mtonne</v>
      </c>
    </row>
    <row r="358" spans="1:13" s="6" customFormat="1" x14ac:dyDescent="0.2">
      <c r="A358" s="4" t="str">
        <v>IA CO2</v>
      </c>
      <c r="B358" s="272">
        <f ca="1"/>
        <v>176.35359756638675</v>
      </c>
      <c r="C358" s="272">
        <f ca="1"/>
        <v>168.1113047276059</v>
      </c>
      <c r="D358" s="272">
        <f ca="1"/>
        <v>160.25423448806714</v>
      </c>
      <c r="E358" s="272">
        <f ca="1"/>
        <v>145.62458620493334</v>
      </c>
      <c r="F358" s="272">
        <f ca="1"/>
        <v>132.33048209367061</v>
      </c>
      <c r="G358" s="272">
        <f ca="1"/>
        <v>120.25000000000031</v>
      </c>
      <c r="H358" s="272">
        <f ca="1"/>
        <v>109.27234807294413</v>
      </c>
      <c r="I358" s="272">
        <f ca="1"/>
        <v>99.296848676712074</v>
      </c>
      <c r="J358" s="272">
        <f ca="1"/>
        <v>90.232015061522787</v>
      </c>
      <c r="K358" s="272">
        <f ca="1"/>
        <v>81.994712325370728</v>
      </c>
      <c r="M358" s="4" t="str">
        <f t="shared" si="20"/>
        <v>$M(2015) per Mtonne</v>
      </c>
    </row>
    <row r="359" spans="1:13" s="6" customFormat="1" x14ac:dyDescent="0.2">
      <c r="A359" s="4" t="str">
        <v>AF CO2</v>
      </c>
      <c r="B359" s="272">
        <f ca="1"/>
        <v>176.35359756638675</v>
      </c>
      <c r="C359" s="272">
        <f ca="1"/>
        <v>168.1113047276059</v>
      </c>
      <c r="D359" s="272">
        <f ca="1"/>
        <v>160.25423448806714</v>
      </c>
      <c r="E359" s="272">
        <f ca="1"/>
        <v>145.62458620493334</v>
      </c>
      <c r="F359" s="272">
        <f ca="1"/>
        <v>132.33048209367061</v>
      </c>
      <c r="G359" s="272">
        <f ca="1"/>
        <v>120.25000000000031</v>
      </c>
      <c r="H359" s="272">
        <f ca="1"/>
        <v>109.27234807294413</v>
      </c>
      <c r="I359" s="272">
        <f ca="1"/>
        <v>99.296848676712074</v>
      </c>
      <c r="J359" s="272">
        <f ca="1"/>
        <v>90.232015061522787</v>
      </c>
      <c r="K359" s="272">
        <f ca="1"/>
        <v>81.994712325370728</v>
      </c>
      <c r="M359" s="4" t="str">
        <f t="shared" si="20"/>
        <v>$M(2015) per Mtonne</v>
      </c>
    </row>
    <row r="360" spans="1:13" s="6" customFormat="1" ht="13.5" thickBot="1" x14ac:dyDescent="0.25">
      <c r="A360" s="4" t="str">
        <v>LA CO2</v>
      </c>
      <c r="B360" s="273">
        <f ca="1"/>
        <v>100.09258240254384</v>
      </c>
      <c r="C360" s="273">
        <f ca="1"/>
        <v>95.414524304857423</v>
      </c>
      <c r="D360" s="273">
        <f ca="1"/>
        <v>90.955106060794876</v>
      </c>
      <c r="E360" s="273">
        <f ca="1"/>
        <v>82.651792170367585</v>
      </c>
      <c r="F360" s="273">
        <f ca="1"/>
        <v>75.106489836948199</v>
      </c>
      <c r="G360" s="273">
        <f ca="1"/>
        <v>68.250000000000185</v>
      </c>
      <c r="H360" s="273">
        <f ca="1"/>
        <v>62.01944079815749</v>
      </c>
      <c r="I360" s="273">
        <f ca="1"/>
        <v>56.357670870566317</v>
      </c>
      <c r="J360" s="273">
        <f ca="1"/>
        <v>51.212765305188618</v>
      </c>
      <c r="K360" s="273">
        <f ca="1"/>
        <v>46.537539427913117</v>
      </c>
      <c r="M360" s="4" t="str">
        <f t="shared" si="20"/>
        <v>$M(2015) per Mtonne</v>
      </c>
    </row>
    <row r="361" spans="1:13" s="2" customFormat="1" ht="15" thickTop="1" x14ac:dyDescent="0.25">
      <c r="A361" s="2" t="s">
        <v>317</v>
      </c>
      <c r="B361" s="2" t="s">
        <v>319</v>
      </c>
    </row>
    <row r="362" spans="1:13" s="6" customFormat="1" x14ac:dyDescent="0.2">
      <c r="A362" s="4" t="str">
        <f t="array" ref="A362:A369">R_CODE&amp;" "&amp;'Base data'!$C$12</f>
        <v>EU CH4</v>
      </c>
      <c r="B362" s="271">
        <f t="array" aca="1" ref="B362:K369" ca="1">CMAX_INIT_CH4*learnfac_ch4_b*AUTOFAC</f>
        <v>6942.9299222081991</v>
      </c>
      <c r="C362" s="271">
        <f ca="1"/>
        <v>6618.4360509877279</v>
      </c>
      <c r="D362" s="271">
        <f ca="1"/>
        <v>6309.108150566246</v>
      </c>
      <c r="E362" s="271">
        <f ca="1"/>
        <v>5733.148123563592</v>
      </c>
      <c r="F362" s="271">
        <f ca="1"/>
        <v>5209.7676283724377</v>
      </c>
      <c r="G362" s="271">
        <f ca="1"/>
        <v>4734.1666666666788</v>
      </c>
      <c r="H362" s="271">
        <f ca="1"/>
        <v>4301.9834331420343</v>
      </c>
      <c r="I362" s="271">
        <f ca="1"/>
        <v>3909.2543127678537</v>
      </c>
      <c r="J362" s="271">
        <f ca="1"/>
        <v>3552.3775298995906</v>
      </c>
      <c r="K362" s="271">
        <f ca="1"/>
        <v>3228.0801158727031</v>
      </c>
      <c r="M362" s="4" t="str">
        <f t="shared" ref="M362:M369" si="21">CURRENCY_NAME&amp;" per "&amp;EMIT_NAME</f>
        <v>$M(2015) per Mtonne</v>
      </c>
    </row>
    <row r="363" spans="1:13" s="6" customFormat="1" x14ac:dyDescent="0.2">
      <c r="A363" s="4" t="str">
        <v>US CH4</v>
      </c>
      <c r="B363" s="272">
        <f ca="1"/>
        <v>6942.9299222081991</v>
      </c>
      <c r="C363" s="272">
        <f ca="1"/>
        <v>6618.4360509877279</v>
      </c>
      <c r="D363" s="272">
        <f ca="1"/>
        <v>6309.108150566246</v>
      </c>
      <c r="E363" s="272">
        <f ca="1"/>
        <v>5733.148123563592</v>
      </c>
      <c r="F363" s="272">
        <f ca="1"/>
        <v>5209.7676283724377</v>
      </c>
      <c r="G363" s="272">
        <f ca="1"/>
        <v>4734.1666666666788</v>
      </c>
      <c r="H363" s="272">
        <f ca="1"/>
        <v>4301.9834331420343</v>
      </c>
      <c r="I363" s="272">
        <f ca="1"/>
        <v>3909.2543127678537</v>
      </c>
      <c r="J363" s="272">
        <f ca="1"/>
        <v>3552.3775298995906</v>
      </c>
      <c r="K363" s="272">
        <f ca="1"/>
        <v>3228.0801158727031</v>
      </c>
      <c r="M363" s="4" t="str">
        <f t="shared" si="21"/>
        <v>$M(2015) per Mtonne</v>
      </c>
    </row>
    <row r="364" spans="1:13" s="6" customFormat="1" x14ac:dyDescent="0.2">
      <c r="A364" s="4" t="str">
        <v>OT CH4</v>
      </c>
      <c r="B364" s="272">
        <f ca="1"/>
        <v>8562.9469040567783</v>
      </c>
      <c r="C364" s="272">
        <f ca="1"/>
        <v>8162.7377962181981</v>
      </c>
      <c r="D364" s="272">
        <f ca="1"/>
        <v>7781.2333856983705</v>
      </c>
      <c r="E364" s="272">
        <f ca="1"/>
        <v>7070.8826857284303</v>
      </c>
      <c r="F364" s="272">
        <f ca="1"/>
        <v>6425.3800749926731</v>
      </c>
      <c r="G364" s="272">
        <f ca="1"/>
        <v>5838.8055555555702</v>
      </c>
      <c r="H364" s="272">
        <f ca="1"/>
        <v>5305.7795675418429</v>
      </c>
      <c r="I364" s="272">
        <f ca="1"/>
        <v>4821.4136524136857</v>
      </c>
      <c r="J364" s="272">
        <f ca="1"/>
        <v>4381.265620209495</v>
      </c>
      <c r="K364" s="272">
        <f ca="1"/>
        <v>3981.298809576334</v>
      </c>
      <c r="M364" s="4" t="str">
        <f t="shared" si="21"/>
        <v>$M(2015) per Mtonne</v>
      </c>
    </row>
    <row r="365" spans="1:13" s="6" customFormat="1" x14ac:dyDescent="0.2">
      <c r="A365" s="4" t="str">
        <v>EE CH4</v>
      </c>
      <c r="B365" s="272">
        <f ca="1"/>
        <v>4860.0509455457404</v>
      </c>
      <c r="C365" s="272">
        <f ca="1"/>
        <v>4632.9052356914099</v>
      </c>
      <c r="D365" s="272">
        <f ca="1"/>
        <v>4416.3757053963727</v>
      </c>
      <c r="E365" s="272">
        <f ca="1"/>
        <v>4013.2036864945148</v>
      </c>
      <c r="F365" s="272">
        <f ca="1"/>
        <v>3646.8373398607068</v>
      </c>
      <c r="G365" s="272">
        <f ca="1"/>
        <v>3313.9166666666756</v>
      </c>
      <c r="H365" s="272">
        <f ca="1"/>
        <v>3011.3884031994248</v>
      </c>
      <c r="I365" s="272">
        <f ca="1"/>
        <v>2736.4780189374978</v>
      </c>
      <c r="J365" s="272">
        <f ca="1"/>
        <v>2486.6642709297139</v>
      </c>
      <c r="K365" s="272">
        <f ca="1"/>
        <v>2259.6560811108925</v>
      </c>
      <c r="M365" s="4" t="str">
        <f t="shared" si="21"/>
        <v>$M(2015) per Mtonne</v>
      </c>
    </row>
    <row r="366" spans="1:13" s="6" customFormat="1" x14ac:dyDescent="0.2">
      <c r="A366" s="4" t="str">
        <v>CA CH4</v>
      </c>
      <c r="B366" s="272">
        <f ca="1"/>
        <v>6942.9299222081991</v>
      </c>
      <c r="C366" s="272">
        <f ca="1"/>
        <v>6618.4360509877279</v>
      </c>
      <c r="D366" s="272">
        <f ca="1"/>
        <v>6309.108150566246</v>
      </c>
      <c r="E366" s="272">
        <f ca="1"/>
        <v>5733.148123563592</v>
      </c>
      <c r="F366" s="272">
        <f ca="1"/>
        <v>5209.7676283724377</v>
      </c>
      <c r="G366" s="272">
        <f ca="1"/>
        <v>4734.1666666666788</v>
      </c>
      <c r="H366" s="272">
        <f ca="1"/>
        <v>4301.9834331420343</v>
      </c>
      <c r="I366" s="272">
        <f ca="1"/>
        <v>3909.2543127678537</v>
      </c>
      <c r="J366" s="272">
        <f ca="1"/>
        <v>3552.3775298995906</v>
      </c>
      <c r="K366" s="272">
        <f ca="1"/>
        <v>3228.0801158727031</v>
      </c>
      <c r="M366" s="4" t="str">
        <f t="shared" si="21"/>
        <v>$M(2015) per Mtonne</v>
      </c>
    </row>
    <row r="367" spans="1:13" s="6" customFormat="1" x14ac:dyDescent="0.2">
      <c r="A367" s="4" t="str">
        <v>IA CH4</v>
      </c>
      <c r="B367" s="272">
        <f ca="1"/>
        <v>8562.9469040567783</v>
      </c>
      <c r="C367" s="272">
        <f ca="1"/>
        <v>8162.7377962181981</v>
      </c>
      <c r="D367" s="272">
        <f ca="1"/>
        <v>7781.2333856983705</v>
      </c>
      <c r="E367" s="272">
        <f ca="1"/>
        <v>7070.8826857284303</v>
      </c>
      <c r="F367" s="272">
        <f ca="1"/>
        <v>6425.3800749926731</v>
      </c>
      <c r="G367" s="272">
        <f ca="1"/>
        <v>5838.8055555555702</v>
      </c>
      <c r="H367" s="272">
        <f ca="1"/>
        <v>5305.7795675418429</v>
      </c>
      <c r="I367" s="272">
        <f ca="1"/>
        <v>4821.4136524136857</v>
      </c>
      <c r="J367" s="272">
        <f ca="1"/>
        <v>4381.265620209495</v>
      </c>
      <c r="K367" s="272">
        <f ca="1"/>
        <v>3981.298809576334</v>
      </c>
      <c r="M367" s="4" t="str">
        <f t="shared" si="21"/>
        <v>$M(2015) per Mtonne</v>
      </c>
    </row>
    <row r="368" spans="1:13" s="6" customFormat="1" x14ac:dyDescent="0.2">
      <c r="A368" s="4" t="str">
        <v>AF CH4</v>
      </c>
      <c r="B368" s="272">
        <f ca="1"/>
        <v>8562.9469040567783</v>
      </c>
      <c r="C368" s="272">
        <f ca="1"/>
        <v>8162.7377962181981</v>
      </c>
      <c r="D368" s="272">
        <f ca="1"/>
        <v>7781.2333856983705</v>
      </c>
      <c r="E368" s="272">
        <f ca="1"/>
        <v>7070.8826857284303</v>
      </c>
      <c r="F368" s="272">
        <f ca="1"/>
        <v>6425.3800749926731</v>
      </c>
      <c r="G368" s="272">
        <f ca="1"/>
        <v>5838.8055555555702</v>
      </c>
      <c r="H368" s="272">
        <f ca="1"/>
        <v>5305.7795675418429</v>
      </c>
      <c r="I368" s="272">
        <f ca="1"/>
        <v>4821.4136524136857</v>
      </c>
      <c r="J368" s="272">
        <f ca="1"/>
        <v>4381.265620209495</v>
      </c>
      <c r="K368" s="272">
        <f ca="1"/>
        <v>3981.298809576334</v>
      </c>
      <c r="M368" s="4" t="str">
        <f t="shared" si="21"/>
        <v>$M(2015) per Mtonne</v>
      </c>
    </row>
    <row r="369" spans="1:13" s="6" customFormat="1" ht="13.5" thickBot="1" x14ac:dyDescent="0.25">
      <c r="A369" s="4" t="str">
        <v>LA CH4</v>
      </c>
      <c r="B369" s="273">
        <f ca="1"/>
        <v>4860.0509455457404</v>
      </c>
      <c r="C369" s="273">
        <f ca="1"/>
        <v>4632.9052356914099</v>
      </c>
      <c r="D369" s="273">
        <f ca="1"/>
        <v>4416.3757053963727</v>
      </c>
      <c r="E369" s="273">
        <f ca="1"/>
        <v>4013.2036864945148</v>
      </c>
      <c r="F369" s="273">
        <f ca="1"/>
        <v>3646.8373398607068</v>
      </c>
      <c r="G369" s="273">
        <f ca="1"/>
        <v>3313.9166666666756</v>
      </c>
      <c r="H369" s="273">
        <f ca="1"/>
        <v>3011.3884031994248</v>
      </c>
      <c r="I369" s="273">
        <f ca="1"/>
        <v>2736.4780189374978</v>
      </c>
      <c r="J369" s="273">
        <f ca="1"/>
        <v>2486.6642709297139</v>
      </c>
      <c r="K369" s="273">
        <f ca="1"/>
        <v>2259.6560811108925</v>
      </c>
      <c r="M369" s="4" t="str">
        <f t="shared" si="21"/>
        <v>$M(2015) per Mtonne</v>
      </c>
    </row>
    <row r="370" spans="1:13" s="2" customFormat="1" ht="15" thickTop="1" x14ac:dyDescent="0.25">
      <c r="A370" s="2" t="s">
        <v>317</v>
      </c>
      <c r="B370" s="2" t="s">
        <v>320</v>
      </c>
    </row>
    <row r="371" spans="1:13" s="7" customFormat="1" x14ac:dyDescent="0.2">
      <c r="A371" s="4" t="str">
        <f t="array" ref="A371:A378">R_CODE&amp;" "&amp;'Base data'!$D$12</f>
        <v>EU N2O</v>
      </c>
      <c r="B371" s="271">
        <f t="array" ref="B371:K378" ca="1">CMAX_INIT_N2O*learnfac_n2o_b*AUTOFAC</f>
        <v>29964.223874793279</v>
      </c>
      <c r="C371" s="271">
        <f ca="1"/>
        <v>28563.776641104931</v>
      </c>
      <c r="D371" s="271">
        <f ca="1"/>
        <v>27228.782544549063</v>
      </c>
      <c r="E371" s="271">
        <f ca="1"/>
        <v>24743.060322748133</v>
      </c>
      <c r="F371" s="271">
        <f ca="1"/>
        <v>22484.260290870519</v>
      </c>
      <c r="G371" s="271">
        <f ca="1"/>
        <v>20431.666666666719</v>
      </c>
      <c r="H371" s="271">
        <f ca="1"/>
        <v>18566.454816718255</v>
      </c>
      <c r="I371" s="271">
        <f ca="1"/>
        <v>16871.518612998105</v>
      </c>
      <c r="J371" s="271">
        <f ca="1"/>
        <v>15331.313550092969</v>
      </c>
      <c r="K371" s="271">
        <f ca="1"/>
        <v>13931.714184292718</v>
      </c>
      <c r="M371" s="4" t="str">
        <f t="shared" ref="M371:M378" si="22">CURRENCY_NAME&amp;" per "&amp;EMIT_NAME</f>
        <v>$M(2015) per Mtonne</v>
      </c>
    </row>
    <row r="372" spans="1:13" s="7" customFormat="1" x14ac:dyDescent="0.2">
      <c r="A372" s="4" t="str">
        <v>US N2O</v>
      </c>
      <c r="B372" s="272">
        <f ca="1"/>
        <v>29964.223874793279</v>
      </c>
      <c r="C372" s="272">
        <f ca="1"/>
        <v>28563.776641104931</v>
      </c>
      <c r="D372" s="272">
        <f ca="1"/>
        <v>27228.782544549063</v>
      </c>
      <c r="E372" s="272">
        <f ca="1"/>
        <v>24743.060322748133</v>
      </c>
      <c r="F372" s="272">
        <f ca="1"/>
        <v>22484.260290870519</v>
      </c>
      <c r="G372" s="272">
        <f ca="1"/>
        <v>20431.666666666719</v>
      </c>
      <c r="H372" s="272">
        <f ca="1"/>
        <v>18566.454816718255</v>
      </c>
      <c r="I372" s="272">
        <f ca="1"/>
        <v>16871.518612998105</v>
      </c>
      <c r="J372" s="272">
        <f ca="1"/>
        <v>15331.313550092969</v>
      </c>
      <c r="K372" s="272">
        <f ca="1"/>
        <v>13931.714184292718</v>
      </c>
      <c r="M372" s="4" t="str">
        <f t="shared" si="22"/>
        <v>$M(2015) per Mtonne</v>
      </c>
    </row>
    <row r="373" spans="1:13" s="7" customFormat="1" x14ac:dyDescent="0.2">
      <c r="A373" s="4" t="str">
        <v>OT N2O</v>
      </c>
      <c r="B373" s="272">
        <f ca="1"/>
        <v>36955.876112245052</v>
      </c>
      <c r="C373" s="272">
        <f ca="1"/>
        <v>35228.657857362756</v>
      </c>
      <c r="D373" s="272">
        <f ca="1"/>
        <v>33582.165138277182</v>
      </c>
      <c r="E373" s="272">
        <f ca="1"/>
        <v>30516.441064722701</v>
      </c>
      <c r="F373" s="272">
        <f ca="1"/>
        <v>27730.587692073645</v>
      </c>
      <c r="G373" s="272">
        <f ca="1"/>
        <v>25199.055555555624</v>
      </c>
      <c r="H373" s="272">
        <f ca="1"/>
        <v>22898.627607285849</v>
      </c>
      <c r="I373" s="272">
        <f ca="1"/>
        <v>20808.206289364331</v>
      </c>
      <c r="J373" s="272">
        <f ca="1"/>
        <v>18908.620045114665</v>
      </c>
      <c r="K373" s="272">
        <f ca="1"/>
        <v>17182.447493961023</v>
      </c>
      <c r="M373" s="4" t="str">
        <f t="shared" si="22"/>
        <v>$M(2015) per Mtonne</v>
      </c>
    </row>
    <row r="374" spans="1:13" s="7" customFormat="1" x14ac:dyDescent="0.2">
      <c r="A374" s="4" t="str">
        <v>EE N2O</v>
      </c>
      <c r="B374" s="272">
        <f ca="1"/>
        <v>20974.956712355299</v>
      </c>
      <c r="C374" s="272">
        <f ca="1"/>
        <v>19994.643648773454</v>
      </c>
      <c r="D374" s="272">
        <f ca="1"/>
        <v>19060.147781184347</v>
      </c>
      <c r="E374" s="272">
        <f ca="1"/>
        <v>17320.142225923697</v>
      </c>
      <c r="F374" s="272">
        <f ca="1"/>
        <v>15738.982203609366</v>
      </c>
      <c r="G374" s="272">
        <f ca="1"/>
        <v>14302.166666666706</v>
      </c>
      <c r="H374" s="272">
        <f ca="1"/>
        <v>12996.518371702779</v>
      </c>
      <c r="I374" s="272">
        <f ca="1"/>
        <v>11810.063029098676</v>
      </c>
      <c r="J374" s="272">
        <f ca="1"/>
        <v>10731.91948506508</v>
      </c>
      <c r="K374" s="272">
        <f ca="1"/>
        <v>9752.1999290049043</v>
      </c>
      <c r="M374" s="4" t="str">
        <f t="shared" si="22"/>
        <v>$M(2015) per Mtonne</v>
      </c>
    </row>
    <row r="375" spans="1:13" s="7" customFormat="1" x14ac:dyDescent="0.2">
      <c r="A375" s="4" t="str">
        <v>CA N2O</v>
      </c>
      <c r="B375" s="272">
        <f ca="1"/>
        <v>29964.223874793279</v>
      </c>
      <c r="C375" s="272">
        <f ca="1"/>
        <v>28563.776641104931</v>
      </c>
      <c r="D375" s="272">
        <f ca="1"/>
        <v>27228.782544549063</v>
      </c>
      <c r="E375" s="272">
        <f ca="1"/>
        <v>24743.060322748133</v>
      </c>
      <c r="F375" s="272">
        <f ca="1"/>
        <v>22484.260290870519</v>
      </c>
      <c r="G375" s="272">
        <f ca="1"/>
        <v>20431.666666666719</v>
      </c>
      <c r="H375" s="272">
        <f ca="1"/>
        <v>18566.454816718255</v>
      </c>
      <c r="I375" s="272">
        <f ca="1"/>
        <v>16871.518612998105</v>
      </c>
      <c r="J375" s="272">
        <f ca="1"/>
        <v>15331.313550092969</v>
      </c>
      <c r="K375" s="272">
        <f ca="1"/>
        <v>13931.714184292718</v>
      </c>
      <c r="M375" s="4" t="str">
        <f t="shared" si="22"/>
        <v>$M(2015) per Mtonne</v>
      </c>
    </row>
    <row r="376" spans="1:13" s="7" customFormat="1" x14ac:dyDescent="0.2">
      <c r="A376" s="4" t="str">
        <v>IA N2O</v>
      </c>
      <c r="B376" s="272">
        <f ca="1"/>
        <v>36955.876112245052</v>
      </c>
      <c r="C376" s="272">
        <f ca="1"/>
        <v>35228.657857362756</v>
      </c>
      <c r="D376" s="272">
        <f ca="1"/>
        <v>33582.165138277182</v>
      </c>
      <c r="E376" s="272">
        <f ca="1"/>
        <v>30516.441064722701</v>
      </c>
      <c r="F376" s="272">
        <f ca="1"/>
        <v>27730.587692073645</v>
      </c>
      <c r="G376" s="272">
        <f ca="1"/>
        <v>25199.055555555624</v>
      </c>
      <c r="H376" s="272">
        <f ca="1"/>
        <v>22898.627607285849</v>
      </c>
      <c r="I376" s="272">
        <f ca="1"/>
        <v>20808.206289364331</v>
      </c>
      <c r="J376" s="272">
        <f ca="1"/>
        <v>18908.620045114665</v>
      </c>
      <c r="K376" s="272">
        <f ca="1"/>
        <v>17182.447493961023</v>
      </c>
      <c r="M376" s="4" t="str">
        <f t="shared" si="22"/>
        <v>$M(2015) per Mtonne</v>
      </c>
    </row>
    <row r="377" spans="1:13" s="7" customFormat="1" x14ac:dyDescent="0.2">
      <c r="A377" s="4" t="str">
        <v>AF N2O</v>
      </c>
      <c r="B377" s="272">
        <f ca="1"/>
        <v>36955.876112245052</v>
      </c>
      <c r="C377" s="272">
        <f ca="1"/>
        <v>35228.657857362756</v>
      </c>
      <c r="D377" s="272">
        <f ca="1"/>
        <v>33582.165138277182</v>
      </c>
      <c r="E377" s="272">
        <f ca="1"/>
        <v>30516.441064722701</v>
      </c>
      <c r="F377" s="272">
        <f ca="1"/>
        <v>27730.587692073645</v>
      </c>
      <c r="G377" s="272">
        <f ca="1"/>
        <v>25199.055555555624</v>
      </c>
      <c r="H377" s="272">
        <f ca="1"/>
        <v>22898.627607285849</v>
      </c>
      <c r="I377" s="272">
        <f ca="1"/>
        <v>20808.206289364331</v>
      </c>
      <c r="J377" s="272">
        <f ca="1"/>
        <v>18908.620045114665</v>
      </c>
      <c r="K377" s="272">
        <f ca="1"/>
        <v>17182.447493961023</v>
      </c>
      <c r="M377" s="4" t="str">
        <f t="shared" si="22"/>
        <v>$M(2015) per Mtonne</v>
      </c>
    </row>
    <row r="378" spans="1:13" s="7" customFormat="1" ht="13.5" thickBot="1" x14ac:dyDescent="0.25">
      <c r="A378" s="4" t="str">
        <v>LA N2O</v>
      </c>
      <c r="B378" s="273">
        <f ca="1"/>
        <v>20974.956712355299</v>
      </c>
      <c r="C378" s="273">
        <f ca="1"/>
        <v>19994.643648773454</v>
      </c>
      <c r="D378" s="273">
        <f ca="1"/>
        <v>19060.147781184347</v>
      </c>
      <c r="E378" s="273">
        <f ca="1"/>
        <v>17320.142225923697</v>
      </c>
      <c r="F378" s="273">
        <f ca="1"/>
        <v>15738.982203609366</v>
      </c>
      <c r="G378" s="273">
        <f ca="1"/>
        <v>14302.166666666706</v>
      </c>
      <c r="H378" s="273">
        <f ca="1"/>
        <v>12996.518371702779</v>
      </c>
      <c r="I378" s="273">
        <f ca="1"/>
        <v>11810.063029098676</v>
      </c>
      <c r="J378" s="273">
        <f ca="1"/>
        <v>10731.91948506508</v>
      </c>
      <c r="K378" s="273">
        <f ca="1"/>
        <v>9752.1999290049043</v>
      </c>
      <c r="M378" s="4" t="str">
        <f t="shared" si="22"/>
        <v>$M(2015) per Mtonne</v>
      </c>
    </row>
    <row r="379" spans="1:13" s="2" customFormat="1" ht="15" thickTop="1" x14ac:dyDescent="0.25">
      <c r="A379" s="2" t="s">
        <v>317</v>
      </c>
      <c r="B379" s="2" t="s">
        <v>321</v>
      </c>
    </row>
    <row r="380" spans="1:13" s="7" customFormat="1" x14ac:dyDescent="0.2">
      <c r="A380" s="4" t="str">
        <f t="array" ref="A380:A387">R_CODE&amp;" "&amp;GLIN_NAME</f>
        <v>EU Lin</v>
      </c>
      <c r="B380" s="271">
        <f t="array" ref="B380:K387" ca="1">CMAX_INIT_GLIN*learnfac_glin_b*AUTOFAC</f>
        <v>365.4173643267473</v>
      </c>
      <c r="C380" s="271">
        <f ca="1"/>
        <v>348.33873952566989</v>
      </c>
      <c r="D380" s="271">
        <f ca="1"/>
        <v>332.05832371401294</v>
      </c>
      <c r="E380" s="271">
        <f ca="1"/>
        <v>301.74463808229433</v>
      </c>
      <c r="F380" s="271">
        <f ca="1"/>
        <v>274.19829623012828</v>
      </c>
      <c r="G380" s="271">
        <f ca="1"/>
        <v>249.16666666666731</v>
      </c>
      <c r="H380" s="271">
        <f ca="1"/>
        <v>226.42018069168603</v>
      </c>
      <c r="I380" s="271">
        <f ca="1"/>
        <v>205.75022698778176</v>
      </c>
      <c r="J380" s="271">
        <f ca="1"/>
        <v>186.96723841576792</v>
      </c>
      <c r="K380" s="271">
        <f ca="1"/>
        <v>169.89895346698438</v>
      </c>
      <c r="M380" s="4" t="str">
        <f t="shared" ref="M380:M387" si="23">CURRENCY_NAME&amp;" per "&amp;EMIT_NAME</f>
        <v>$M(2015) per Mtonne</v>
      </c>
    </row>
    <row r="381" spans="1:13" s="7" customFormat="1" x14ac:dyDescent="0.2">
      <c r="A381" s="4" t="str">
        <v>US Lin</v>
      </c>
      <c r="B381" s="272">
        <f ca="1"/>
        <v>365.4173643267473</v>
      </c>
      <c r="C381" s="272">
        <f ca="1"/>
        <v>348.33873952566989</v>
      </c>
      <c r="D381" s="272">
        <f ca="1"/>
        <v>332.05832371401294</v>
      </c>
      <c r="E381" s="272">
        <f ca="1"/>
        <v>301.74463808229433</v>
      </c>
      <c r="F381" s="272">
        <f ca="1"/>
        <v>274.19829623012828</v>
      </c>
      <c r="G381" s="272">
        <f ca="1"/>
        <v>249.16666666666731</v>
      </c>
      <c r="H381" s="272">
        <f ca="1"/>
        <v>226.42018069168603</v>
      </c>
      <c r="I381" s="272">
        <f ca="1"/>
        <v>205.75022698778176</v>
      </c>
      <c r="J381" s="272">
        <f ca="1"/>
        <v>186.96723841576792</v>
      </c>
      <c r="K381" s="272">
        <f ca="1"/>
        <v>169.89895346698438</v>
      </c>
      <c r="M381" s="4" t="str">
        <f t="shared" si="23"/>
        <v>$M(2015) per Mtonne</v>
      </c>
    </row>
    <row r="382" spans="1:13" s="7" customFormat="1" x14ac:dyDescent="0.2">
      <c r="A382" s="4" t="str">
        <v>OT Lin</v>
      </c>
      <c r="B382" s="272">
        <f ca="1"/>
        <v>450.68141600298839</v>
      </c>
      <c r="C382" s="272">
        <f ca="1"/>
        <v>429.6177787483262</v>
      </c>
      <c r="D382" s="272">
        <f ca="1"/>
        <v>409.53859924728266</v>
      </c>
      <c r="E382" s="272">
        <f ca="1"/>
        <v>372.15172030149631</v>
      </c>
      <c r="F382" s="272">
        <f ca="1"/>
        <v>338.17789868382488</v>
      </c>
      <c r="G382" s="272">
        <f ca="1"/>
        <v>307.30555555555634</v>
      </c>
      <c r="H382" s="272">
        <f ca="1"/>
        <v>279.25155618641276</v>
      </c>
      <c r="I382" s="272">
        <f ca="1"/>
        <v>253.75861328493085</v>
      </c>
      <c r="J382" s="272">
        <f ca="1"/>
        <v>230.5929273794471</v>
      </c>
      <c r="K382" s="272">
        <f ca="1"/>
        <v>209.54204260928074</v>
      </c>
      <c r="M382" s="4" t="str">
        <f t="shared" si="23"/>
        <v>$M(2015) per Mtonne</v>
      </c>
    </row>
    <row r="383" spans="1:13" s="7" customFormat="1" x14ac:dyDescent="0.2">
      <c r="A383" s="4" t="str">
        <v>EE Lin</v>
      </c>
      <c r="B383" s="272">
        <f ca="1"/>
        <v>255.79215502872316</v>
      </c>
      <c r="C383" s="272">
        <f ca="1"/>
        <v>243.83711766796895</v>
      </c>
      <c r="D383" s="272">
        <f ca="1"/>
        <v>232.44082659980913</v>
      </c>
      <c r="E383" s="272">
        <f ca="1"/>
        <v>211.22124665760606</v>
      </c>
      <c r="F383" s="272">
        <f ca="1"/>
        <v>191.93880736108983</v>
      </c>
      <c r="G383" s="272">
        <f ca="1"/>
        <v>174.41666666666714</v>
      </c>
      <c r="H383" s="272">
        <f ca="1"/>
        <v>158.49412648418024</v>
      </c>
      <c r="I383" s="272">
        <f ca="1"/>
        <v>144.02515889144726</v>
      </c>
      <c r="J383" s="272">
        <f ca="1"/>
        <v>130.87706689103757</v>
      </c>
      <c r="K383" s="272">
        <f ca="1"/>
        <v>118.92926742688908</v>
      </c>
      <c r="M383" s="4" t="str">
        <f t="shared" si="23"/>
        <v>$M(2015) per Mtonne</v>
      </c>
    </row>
    <row r="384" spans="1:13" s="7" customFormat="1" x14ac:dyDescent="0.2">
      <c r="A384" s="4" t="str">
        <v>CA Lin</v>
      </c>
      <c r="B384" s="272">
        <f ca="1"/>
        <v>365.4173643267473</v>
      </c>
      <c r="C384" s="272">
        <f ca="1"/>
        <v>348.33873952566989</v>
      </c>
      <c r="D384" s="272">
        <f ca="1"/>
        <v>332.05832371401294</v>
      </c>
      <c r="E384" s="272">
        <f ca="1"/>
        <v>301.74463808229433</v>
      </c>
      <c r="F384" s="272">
        <f ca="1"/>
        <v>274.19829623012828</v>
      </c>
      <c r="G384" s="272">
        <f ca="1"/>
        <v>249.16666666666731</v>
      </c>
      <c r="H384" s="272">
        <f ca="1"/>
        <v>226.42018069168603</v>
      </c>
      <c r="I384" s="272">
        <f ca="1"/>
        <v>205.75022698778176</v>
      </c>
      <c r="J384" s="272">
        <f ca="1"/>
        <v>186.96723841576792</v>
      </c>
      <c r="K384" s="272">
        <f ca="1"/>
        <v>169.89895346698438</v>
      </c>
      <c r="M384" s="4" t="str">
        <f t="shared" si="23"/>
        <v>$M(2015) per Mtonne</v>
      </c>
    </row>
    <row r="385" spans="1:13" s="7" customFormat="1" x14ac:dyDescent="0.2">
      <c r="A385" s="4" t="str">
        <v>IA Lin</v>
      </c>
      <c r="B385" s="272">
        <f ca="1"/>
        <v>450.68141600298839</v>
      </c>
      <c r="C385" s="272">
        <f ca="1"/>
        <v>429.6177787483262</v>
      </c>
      <c r="D385" s="272">
        <f ca="1"/>
        <v>409.53859924728266</v>
      </c>
      <c r="E385" s="272">
        <f ca="1"/>
        <v>372.15172030149631</v>
      </c>
      <c r="F385" s="272">
        <f ca="1"/>
        <v>338.17789868382488</v>
      </c>
      <c r="G385" s="272">
        <f ca="1"/>
        <v>307.30555555555634</v>
      </c>
      <c r="H385" s="272">
        <f ca="1"/>
        <v>279.25155618641276</v>
      </c>
      <c r="I385" s="272">
        <f ca="1"/>
        <v>253.75861328493085</v>
      </c>
      <c r="J385" s="272">
        <f ca="1"/>
        <v>230.5929273794471</v>
      </c>
      <c r="K385" s="272">
        <f ca="1"/>
        <v>209.54204260928074</v>
      </c>
      <c r="M385" s="4" t="str">
        <f t="shared" si="23"/>
        <v>$M(2015) per Mtonne</v>
      </c>
    </row>
    <row r="386" spans="1:13" s="7" customFormat="1" x14ac:dyDescent="0.2">
      <c r="A386" s="4" t="str">
        <v>AF Lin</v>
      </c>
      <c r="B386" s="272">
        <f ca="1"/>
        <v>450.68141600298839</v>
      </c>
      <c r="C386" s="272">
        <f ca="1"/>
        <v>429.6177787483262</v>
      </c>
      <c r="D386" s="272">
        <f ca="1"/>
        <v>409.53859924728266</v>
      </c>
      <c r="E386" s="272">
        <f ca="1"/>
        <v>372.15172030149631</v>
      </c>
      <c r="F386" s="272">
        <f ca="1"/>
        <v>338.17789868382488</v>
      </c>
      <c r="G386" s="272">
        <f ca="1"/>
        <v>307.30555555555634</v>
      </c>
      <c r="H386" s="272">
        <f ca="1"/>
        <v>279.25155618641276</v>
      </c>
      <c r="I386" s="272">
        <f ca="1"/>
        <v>253.75861328493085</v>
      </c>
      <c r="J386" s="272">
        <f ca="1"/>
        <v>230.5929273794471</v>
      </c>
      <c r="K386" s="272">
        <f ca="1"/>
        <v>209.54204260928074</v>
      </c>
      <c r="M386" s="4" t="str">
        <f t="shared" si="23"/>
        <v>$M(2015) per Mtonne</v>
      </c>
    </row>
    <row r="387" spans="1:13" s="7" customFormat="1" ht="13.5" thickBot="1" x14ac:dyDescent="0.25">
      <c r="A387" s="4" t="str">
        <v>LA Lin</v>
      </c>
      <c r="B387" s="273">
        <f ca="1"/>
        <v>255.79215502872316</v>
      </c>
      <c r="C387" s="273">
        <f ca="1"/>
        <v>243.83711766796895</v>
      </c>
      <c r="D387" s="273">
        <f ca="1"/>
        <v>232.44082659980913</v>
      </c>
      <c r="E387" s="273">
        <f ca="1"/>
        <v>211.22124665760606</v>
      </c>
      <c r="F387" s="273">
        <f ca="1"/>
        <v>191.93880736108983</v>
      </c>
      <c r="G387" s="273">
        <f ca="1"/>
        <v>174.41666666666714</v>
      </c>
      <c r="H387" s="273">
        <f ca="1"/>
        <v>158.49412648418024</v>
      </c>
      <c r="I387" s="273">
        <f ca="1"/>
        <v>144.02515889144726</v>
      </c>
      <c r="J387" s="273">
        <f ca="1"/>
        <v>130.87706689103757</v>
      </c>
      <c r="K387" s="273">
        <f ca="1"/>
        <v>118.92926742688908</v>
      </c>
      <c r="M387" s="4" t="str">
        <f t="shared" si="23"/>
        <v>$M(2015) per Mtonne</v>
      </c>
    </row>
    <row r="388" spans="1:13" s="2" customFormat="1" ht="15" thickTop="1" x14ac:dyDescent="0.25">
      <c r="A388" s="2" t="s">
        <v>323</v>
      </c>
      <c r="B388" s="2" t="s">
        <v>324</v>
      </c>
    </row>
    <row r="389" spans="1:13" s="6" customFormat="1" x14ac:dyDescent="0.2">
      <c r="A389" s="4" t="str">
        <f t="array" ref="A389:A396">R_CODE&amp;" "&amp;'Base data'!$B$12</f>
        <v>EU CO2</v>
      </c>
      <c r="B389" s="32">
        <f t="array" aca="1" ref="B389:K396" ca="1">IF(Q0_CO2=0,0,-2*LN((1+CURVE_BELOW)/(1-CURVE_BELOW))/Q0_CO2)</f>
        <v>-6.3531709335396258E-3</v>
      </c>
      <c r="C389" s="32">
        <f ca="1"/>
        <v>-6.0802357934618247E-3</v>
      </c>
      <c r="D389" s="32">
        <f ca="1"/>
        <v>-5.8474406897347135E-3</v>
      </c>
      <c r="E389" s="32">
        <f ca="1"/>
        <v>-5.1884571093676066E-3</v>
      </c>
      <c r="F389" s="32">
        <f ca="1"/>
        <v>-4.5734983360506999E-3</v>
      </c>
      <c r="G389" s="32">
        <f ca="1"/>
        <v>-3.9435620524532191E-3</v>
      </c>
      <c r="H389" s="32">
        <f ca="1"/>
        <v>-3.4985561489385662E-3</v>
      </c>
      <c r="I389" s="32">
        <f ca="1"/>
        <v>-3.3199354180945819E-3</v>
      </c>
      <c r="J389" s="32">
        <f ca="1"/>
        <v>-3.3953056438620517E-3</v>
      </c>
      <c r="K389" s="32">
        <f ca="1"/>
        <v>-3.4576311291198091E-3</v>
      </c>
      <c r="M389" s="4" t="str">
        <f t="shared" ref="M389:M396" si="24">"per "&amp;EMIT_NAME</f>
        <v>per Mtonne</v>
      </c>
    </row>
    <row r="390" spans="1:13" s="6" customFormat="1" x14ac:dyDescent="0.2">
      <c r="A390" s="4" t="str">
        <v>US CO2</v>
      </c>
      <c r="B390" s="33">
        <f ca="1"/>
        <v>-3.9152862138707775E-3</v>
      </c>
      <c r="C390" s="33">
        <f ca="1"/>
        <v>-3.5028112269682829E-3</v>
      </c>
      <c r="D390" s="33">
        <f ca="1"/>
        <v>-3.1875237025254031E-3</v>
      </c>
      <c r="E390" s="33">
        <f ca="1"/>
        <v>-2.7061140262370762E-3</v>
      </c>
      <c r="F390" s="33">
        <f ca="1"/>
        <v>-2.3489127769894362E-3</v>
      </c>
      <c r="G390" s="33">
        <f ca="1"/>
        <v>-2.0344510628733741E-3</v>
      </c>
      <c r="H390" s="33">
        <f ca="1"/>
        <v>-1.9431750600690367E-3</v>
      </c>
      <c r="I390" s="33">
        <f ca="1"/>
        <v>-1.8777481272223948E-3</v>
      </c>
      <c r="J390" s="33">
        <f ca="1"/>
        <v>-2.0417852405693634E-3</v>
      </c>
      <c r="K390" s="33">
        <f ca="1"/>
        <v>-2.3091025366639368E-3</v>
      </c>
      <c r="M390" s="4" t="str">
        <f t="shared" si="24"/>
        <v>per Mtonne</v>
      </c>
    </row>
    <row r="391" spans="1:13" s="6" customFormat="1" x14ac:dyDescent="0.2">
      <c r="A391" s="4" t="str">
        <v>OT CO2</v>
      </c>
      <c r="B391" s="33">
        <f ca="1"/>
        <v>-6.7743189218192586E-3</v>
      </c>
      <c r="C391" s="33">
        <f ca="1"/>
        <v>-6.4832910708137919E-3</v>
      </c>
      <c r="D391" s="33">
        <f ca="1"/>
        <v>-6.2350641157101578E-3</v>
      </c>
      <c r="E391" s="33">
        <f ca="1"/>
        <v>-5.5323968989220984E-3</v>
      </c>
      <c r="F391" s="33">
        <f ca="1"/>
        <v>-4.8766728679147239E-3</v>
      </c>
      <c r="G391" s="33">
        <f ca="1"/>
        <v>-4.2049784762233974E-3</v>
      </c>
      <c r="H391" s="33">
        <f ca="1"/>
        <v>-3.730473391434026E-3</v>
      </c>
      <c r="I391" s="33">
        <f ca="1"/>
        <v>-3.5400119967314873E-3</v>
      </c>
      <c r="J391" s="33">
        <f ca="1"/>
        <v>-3.6203784707173987E-3</v>
      </c>
      <c r="K391" s="33">
        <f ca="1"/>
        <v>-3.6868354759687842E-3</v>
      </c>
      <c r="M391" s="4" t="str">
        <f t="shared" si="24"/>
        <v>per Mtonne</v>
      </c>
    </row>
    <row r="392" spans="1:13" s="6" customFormat="1" x14ac:dyDescent="0.2">
      <c r="A392" s="4" t="str">
        <v>EE CO2</v>
      </c>
      <c r="B392" s="33">
        <f ca="1"/>
        <v>-9.8443850889915994E-3</v>
      </c>
      <c r="C392" s="33">
        <f ca="1"/>
        <v>-9.3801427358281581E-3</v>
      </c>
      <c r="D392" s="33">
        <f ca="1"/>
        <v>-8.9866370789642366E-3</v>
      </c>
      <c r="E392" s="33">
        <f ca="1"/>
        <v>-7.7099421012322752E-3</v>
      </c>
      <c r="F392" s="33">
        <f ca="1"/>
        <v>-6.6329801115990374E-3</v>
      </c>
      <c r="G392" s="33">
        <f ca="1"/>
        <v>-5.827122727397758E-3</v>
      </c>
      <c r="H392" s="33">
        <f ca="1"/>
        <v>-5.677480800885361E-3</v>
      </c>
      <c r="I392" s="33">
        <f ca="1"/>
        <v>-6.2289209353145721E-3</v>
      </c>
      <c r="J392" s="33">
        <f ca="1"/>
        <v>-7.4213847004052647E-3</v>
      </c>
      <c r="K392" s="33">
        <f ca="1"/>
        <v>-9.0418970767451815E-3</v>
      </c>
      <c r="M392" s="4" t="str">
        <f t="shared" si="24"/>
        <v>per Mtonne</v>
      </c>
    </row>
    <row r="393" spans="1:13" s="6" customFormat="1" x14ac:dyDescent="0.2">
      <c r="A393" s="4" t="str">
        <v>CA CO2</v>
      </c>
      <c r="B393" s="33">
        <f ca="1"/>
        <v>-2.8344098000661825E-3</v>
      </c>
      <c r="C393" s="33">
        <f ca="1"/>
        <v>-2.6103310722479264E-3</v>
      </c>
      <c r="D393" s="33">
        <f ca="1"/>
        <v>-2.430463816717205E-3</v>
      </c>
      <c r="E393" s="33">
        <f ca="1"/>
        <v>-2.170564077733078E-3</v>
      </c>
      <c r="F393" s="33">
        <f ca="1"/>
        <v>-2.1346271219702963E-3</v>
      </c>
      <c r="G393" s="33">
        <f ca="1"/>
        <v>-2.1257588662935436E-3</v>
      </c>
      <c r="H393" s="33">
        <f ca="1"/>
        <v>-2.204619295616952E-3</v>
      </c>
      <c r="I393" s="33">
        <f ca="1"/>
        <v>-2.4808238700614262E-3</v>
      </c>
      <c r="J393" s="33">
        <f ca="1"/>
        <v>-3.1156657568973531E-3</v>
      </c>
      <c r="K393" s="33">
        <f ca="1"/>
        <v>-4.1486216669995944E-3</v>
      </c>
      <c r="M393" s="4" t="str">
        <f t="shared" si="24"/>
        <v>per Mtonne</v>
      </c>
    </row>
    <row r="394" spans="1:13" s="6" customFormat="1" x14ac:dyDescent="0.2">
      <c r="A394" s="4" t="str">
        <v>IA CO2</v>
      </c>
      <c r="B394" s="33">
        <f ca="1"/>
        <v>-4.6956497752479532E-3</v>
      </c>
      <c r="C394" s="33">
        <f ca="1"/>
        <v>-3.968092768715176E-3</v>
      </c>
      <c r="D394" s="33">
        <f ca="1"/>
        <v>-3.4628843887683143E-3</v>
      </c>
      <c r="E394" s="33">
        <f ca="1"/>
        <v>-2.5696093920775705E-3</v>
      </c>
      <c r="F394" s="33">
        <f ca="1"/>
        <v>-1.9761409380437676E-3</v>
      </c>
      <c r="G394" s="33">
        <f ca="1"/>
        <v>-1.6106822642867934E-3</v>
      </c>
      <c r="H394" s="33">
        <f ca="1"/>
        <v>-1.3877509311360074E-3</v>
      </c>
      <c r="I394" s="33">
        <f ca="1"/>
        <v>-1.2649965326383108E-3</v>
      </c>
      <c r="J394" s="33">
        <f ca="1"/>
        <v>-1.2904730975522179E-3</v>
      </c>
      <c r="K394" s="33">
        <f ca="1"/>
        <v>-1.4043832436908535E-3</v>
      </c>
      <c r="M394" s="4" t="str">
        <f t="shared" si="24"/>
        <v>per Mtonne</v>
      </c>
    </row>
    <row r="395" spans="1:13" s="6" customFormat="1" x14ac:dyDescent="0.2">
      <c r="A395" s="4" t="str">
        <v>AF CO2</v>
      </c>
      <c r="B395" s="33">
        <f ca="1"/>
        <v>-4.8341167413202381E-3</v>
      </c>
      <c r="C395" s="33">
        <f ca="1"/>
        <v>-4.2417260839582825E-3</v>
      </c>
      <c r="D395" s="33">
        <f ca="1"/>
        <v>-3.8035539311413766E-3</v>
      </c>
      <c r="E395" s="33">
        <f ca="1"/>
        <v>-2.6759794575614338E-3</v>
      </c>
      <c r="F395" s="33">
        <f ca="1"/>
        <v>-1.8717271146937247E-3</v>
      </c>
      <c r="G395" s="33">
        <f ca="1"/>
        <v>-1.3457831285456541E-3</v>
      </c>
      <c r="H395" s="33">
        <f ca="1"/>
        <v>-1.0662172245780466E-3</v>
      </c>
      <c r="I395" s="33">
        <f ca="1"/>
        <v>-9.1802425687061747E-4</v>
      </c>
      <c r="J395" s="33">
        <f ca="1"/>
        <v>-8.9479835081545506E-4</v>
      </c>
      <c r="K395" s="33">
        <f ca="1"/>
        <v>-9.1834481219732196E-4</v>
      </c>
      <c r="M395" s="4" t="str">
        <f t="shared" si="24"/>
        <v>per Mtonne</v>
      </c>
    </row>
    <row r="396" spans="1:13" s="6" customFormat="1" ht="13.5" thickBot="1" x14ac:dyDescent="0.25">
      <c r="A396" s="4" t="str">
        <v>LA CO2</v>
      </c>
      <c r="B396" s="34">
        <f ca="1"/>
        <v>-9.0657195529681399E-3</v>
      </c>
      <c r="C396" s="34">
        <f ca="1"/>
        <v>-7.7273402865809596E-3</v>
      </c>
      <c r="D396" s="34">
        <f ca="1"/>
        <v>-6.7845241036710293E-3</v>
      </c>
      <c r="E396" s="34">
        <f ca="1"/>
        <v>-5.3757042997275711E-3</v>
      </c>
      <c r="F396" s="34">
        <f ca="1"/>
        <v>-4.6943652100035014E-3</v>
      </c>
      <c r="G396" s="34">
        <f ca="1"/>
        <v>-4.3427363620002057E-3</v>
      </c>
      <c r="H396" s="34">
        <f ca="1"/>
        <v>-4.1798377366945895E-3</v>
      </c>
      <c r="I396" s="34">
        <f ca="1"/>
        <v>-4.2677041440795094E-3</v>
      </c>
      <c r="J396" s="34">
        <f ca="1"/>
        <v>-4.6641852037018839E-3</v>
      </c>
      <c r="K396" s="34">
        <f ca="1"/>
        <v>-5.153291274148231E-3</v>
      </c>
      <c r="M396" s="4" t="str">
        <f t="shared" si="24"/>
        <v>per Mtonne</v>
      </c>
    </row>
    <row r="397" spans="1:13" s="2" customFormat="1" ht="15" thickTop="1" x14ac:dyDescent="0.25">
      <c r="A397" s="2" t="s">
        <v>323</v>
      </c>
      <c r="B397" s="2" t="s">
        <v>325</v>
      </c>
    </row>
    <row r="398" spans="1:13" s="7" customFormat="1" x14ac:dyDescent="0.2">
      <c r="A398" s="4" t="str">
        <f t="array" ref="A398:A405">R_CODE&amp;" "&amp;'Base data'!$C$12</f>
        <v>EU CH4</v>
      </c>
      <c r="B398" s="29">
        <f t="array" aca="1" ref="B398:K405" ca="1">IF(Q0_CH4=0,0,-2*LN((1+CURVE_BELOW)/(1-CURVE_BELOW))/Q0_CH4)</f>
        <v>-1.1358330781401003</v>
      </c>
      <c r="C398" s="29">
        <f ca="1"/>
        <v>-1.100525321789223</v>
      </c>
      <c r="D398" s="29">
        <f ca="1"/>
        <v>-1.0707579691480478</v>
      </c>
      <c r="E398" s="29">
        <f ca="1"/>
        <v>-0.96806161338910457</v>
      </c>
      <c r="F398" s="29">
        <f ca="1"/>
        <v>-0.9095167572964612</v>
      </c>
      <c r="G398" s="29">
        <f ca="1"/>
        <v>-0.93875921155973041</v>
      </c>
      <c r="H398" s="29">
        <f ca="1"/>
        <v>-0.95560463621160252</v>
      </c>
      <c r="I398" s="29">
        <f ca="1"/>
        <v>-1.0076687584106725</v>
      </c>
      <c r="J398" s="29">
        <f ca="1"/>
        <v>-0.94246214145038321</v>
      </c>
      <c r="K398" s="29">
        <f ca="1"/>
        <v>-1.1099843842443877</v>
      </c>
      <c r="M398" s="4" t="str">
        <f t="shared" ref="M398:M405" si="25">"per "&amp;EMIT_NAME</f>
        <v>per Mtonne</v>
      </c>
    </row>
    <row r="399" spans="1:13" s="7" customFormat="1" x14ac:dyDescent="0.2">
      <c r="A399" s="4" t="str">
        <v>US CH4</v>
      </c>
      <c r="B399" s="26">
        <f ca="1"/>
        <v>-0.73813328230133912</v>
      </c>
      <c r="C399" s="26">
        <f ca="1"/>
        <v>-0.70327843384175825</v>
      </c>
      <c r="D399" s="26">
        <f ca="1"/>
        <v>-0.67433195801862378</v>
      </c>
      <c r="E399" s="26">
        <f ca="1"/>
        <v>-0.60712707790535259</v>
      </c>
      <c r="F399" s="26">
        <f ca="1"/>
        <v>-0.56077540068453757</v>
      </c>
      <c r="G399" s="26">
        <f ca="1"/>
        <v>-0.57007612607729163</v>
      </c>
      <c r="H399" s="26">
        <f ca="1"/>
        <v>-0.63813009605264692</v>
      </c>
      <c r="I399" s="26">
        <f ca="1"/>
        <v>-0.65790715396442179</v>
      </c>
      <c r="J399" s="26">
        <f ca="1"/>
        <v>-0.69604495689411672</v>
      </c>
      <c r="K399" s="26">
        <f ca="1"/>
        <v>-0.77615294962243742</v>
      </c>
      <c r="M399" s="4" t="str">
        <f t="shared" si="25"/>
        <v>per Mtonne</v>
      </c>
    </row>
    <row r="400" spans="1:13" s="7" customFormat="1" x14ac:dyDescent="0.2">
      <c r="A400" s="4" t="str">
        <v>OT CH4</v>
      </c>
      <c r="B400" s="26">
        <f ca="1"/>
        <v>-1.45116244764057</v>
      </c>
      <c r="C400" s="26">
        <f ca="1"/>
        <v>-1.4424375628899724</v>
      </c>
      <c r="D400" s="26">
        <f ca="1"/>
        <v>-1.4362684096512504</v>
      </c>
      <c r="E400" s="26">
        <f ca="1"/>
        <v>-1.2526370391578023</v>
      </c>
      <c r="F400" s="26">
        <f ca="1"/>
        <v>-1.1441530179907879</v>
      </c>
      <c r="G400" s="26">
        <f ca="1"/>
        <v>-1.1549848640735401</v>
      </c>
      <c r="H400" s="26">
        <f ca="1"/>
        <v>-1.3453917762334835</v>
      </c>
      <c r="I400" s="26">
        <f ca="1"/>
        <v>-1.5941229255249103</v>
      </c>
      <c r="J400" s="26">
        <f ca="1"/>
        <v>-1.7315245728541802</v>
      </c>
      <c r="K400" s="26">
        <f ca="1"/>
        <v>-1.3436617226569709</v>
      </c>
      <c r="M400" s="4" t="str">
        <f t="shared" si="25"/>
        <v>per Mtonne</v>
      </c>
    </row>
    <row r="401" spans="1:13" s="7" customFormat="1" x14ac:dyDescent="0.2">
      <c r="A401" s="4" t="str">
        <v>EE CH4</v>
      </c>
      <c r="B401" s="26">
        <f ca="1"/>
        <v>-0.81290440908859318</v>
      </c>
      <c r="C401" s="26">
        <f ca="1"/>
        <v>-0.80239881456454154</v>
      </c>
      <c r="D401" s="26">
        <f ca="1"/>
        <v>-0.79384572589824987</v>
      </c>
      <c r="E401" s="26">
        <f ca="1"/>
        <v>-0.73229188482427288</v>
      </c>
      <c r="F401" s="26">
        <f ca="1"/>
        <v>-0.66533694688786438</v>
      </c>
      <c r="G401" s="26">
        <f ca="1"/>
        <v>-0.62186818403808775</v>
      </c>
      <c r="H401" s="26">
        <f ca="1"/>
        <v>-0.59220219647898587</v>
      </c>
      <c r="I401" s="26">
        <f ca="1"/>
        <v>-0.57578518880073748</v>
      </c>
      <c r="J401" s="26">
        <f ca="1"/>
        <v>-0.60231878731421395</v>
      </c>
      <c r="K401" s="26">
        <f ca="1"/>
        <v>-0.65874557911292808</v>
      </c>
      <c r="M401" s="4" t="str">
        <f t="shared" si="25"/>
        <v>per Mtonne</v>
      </c>
    </row>
    <row r="402" spans="1:13" s="7" customFormat="1" x14ac:dyDescent="0.2">
      <c r="A402" s="4" t="str">
        <v>CA CH4</v>
      </c>
      <c r="B402" s="26">
        <f ca="1"/>
        <v>-0.52171712506050949</v>
      </c>
      <c r="C402" s="26">
        <f ca="1"/>
        <v>-0.59945289953907943</v>
      </c>
      <c r="D402" s="26">
        <f ca="1"/>
        <v>-0.69786829072008283</v>
      </c>
      <c r="E402" s="26">
        <f ca="1"/>
        <v>-0.77284074186017626</v>
      </c>
      <c r="F402" s="26">
        <f ca="1"/>
        <v>-0.88670185549127678</v>
      </c>
      <c r="G402" s="26">
        <f ca="1"/>
        <v>-0.97315412362076092</v>
      </c>
      <c r="H402" s="26">
        <f ca="1"/>
        <v>-1.0738147518263015</v>
      </c>
      <c r="I402" s="26">
        <f ca="1"/>
        <v>-1.3965516727787972</v>
      </c>
      <c r="J402" s="26">
        <f ca="1"/>
        <v>-1.7574320470830604</v>
      </c>
      <c r="K402" s="26">
        <f ca="1"/>
        <v>-2.2002729566881998</v>
      </c>
      <c r="M402" s="4" t="str">
        <f t="shared" si="25"/>
        <v>per Mtonne</v>
      </c>
    </row>
    <row r="403" spans="1:13" s="7" customFormat="1" x14ac:dyDescent="0.2">
      <c r="A403" s="4" t="str">
        <v>IA CH4</v>
      </c>
      <c r="B403" s="26">
        <f ca="1"/>
        <v>-0.3967778385050259</v>
      </c>
      <c r="C403" s="26">
        <f ca="1"/>
        <v>-0.40179194461183049</v>
      </c>
      <c r="D403" s="26">
        <f ca="1"/>
        <v>-0.40716153147468803</v>
      </c>
      <c r="E403" s="26">
        <f ca="1"/>
        <v>-0.41165423657534311</v>
      </c>
      <c r="F403" s="26">
        <f ca="1"/>
        <v>-0.41849598888749306</v>
      </c>
      <c r="G403" s="26">
        <f ca="1"/>
        <v>-0.56892428960042307</v>
      </c>
      <c r="H403" s="26">
        <f ca="1"/>
        <v>-0.7305663358123492</v>
      </c>
      <c r="I403" s="26">
        <f ca="1"/>
        <v>-1.009302222480795</v>
      </c>
      <c r="J403" s="26">
        <f ca="1"/>
        <v>-1.2471896115008276</v>
      </c>
      <c r="K403" s="26">
        <f ca="1"/>
        <v>-1.5296811001483672</v>
      </c>
      <c r="M403" s="4" t="str">
        <f t="shared" si="25"/>
        <v>per Mtonne</v>
      </c>
    </row>
    <row r="404" spans="1:13" s="7" customFormat="1" x14ac:dyDescent="0.2">
      <c r="A404" s="4" t="str">
        <v>AF CH4</v>
      </c>
      <c r="B404" s="26">
        <f ca="1"/>
        <v>-0.39106402531456341</v>
      </c>
      <c r="C404" s="26">
        <f ca="1"/>
        <v>-0.31629528204481794</v>
      </c>
      <c r="D404" s="26">
        <f ca="1"/>
        <v>-0.26852580281445471</v>
      </c>
      <c r="E404" s="26">
        <f ca="1"/>
        <v>-0.19704134455941635</v>
      </c>
      <c r="F404" s="26">
        <f ca="1"/>
        <v>-0.1761077290120964</v>
      </c>
      <c r="G404" s="26">
        <f ca="1"/>
        <v>-0.1728049791821139</v>
      </c>
      <c r="H404" s="26">
        <f ca="1"/>
        <v>-0.17673033983637959</v>
      </c>
      <c r="I404" s="26">
        <f ca="1"/>
        <v>-0.19554785952693543</v>
      </c>
      <c r="J404" s="26">
        <f ca="1"/>
        <v>-0.25111417675466408</v>
      </c>
      <c r="K404" s="26">
        <f ca="1"/>
        <v>-0.30672553387682033</v>
      </c>
      <c r="M404" s="4" t="str">
        <f t="shared" si="25"/>
        <v>per Mtonne</v>
      </c>
    </row>
    <row r="405" spans="1:13" s="7" customFormat="1" ht="13.5" thickBot="1" x14ac:dyDescent="0.25">
      <c r="A405" s="4" t="str">
        <v>LA CH4</v>
      </c>
      <c r="B405" s="35">
        <f ca="1"/>
        <v>-0.48388442779110868</v>
      </c>
      <c r="C405" s="35">
        <f ca="1"/>
        <v>-0.4727087499172542</v>
      </c>
      <c r="D405" s="35">
        <f ca="1"/>
        <v>-0.46329899473893854</v>
      </c>
      <c r="E405" s="35">
        <f ca="1"/>
        <v>-0.47063001851209235</v>
      </c>
      <c r="F405" s="35">
        <f ca="1"/>
        <v>-0.60289395862255568</v>
      </c>
      <c r="G405" s="35">
        <f ca="1"/>
        <v>-0.68709092893652024</v>
      </c>
      <c r="H405" s="35">
        <f ca="1"/>
        <v>-0.76412426079361717</v>
      </c>
      <c r="I405" s="35">
        <f ca="1"/>
        <v>-0.88672401209502383</v>
      </c>
      <c r="J405" s="35">
        <f ca="1"/>
        <v>-1.1846542251990544</v>
      </c>
      <c r="K405" s="35">
        <f ca="1"/>
        <v>-1.4379755059426977</v>
      </c>
      <c r="M405" s="4" t="str">
        <f t="shared" si="25"/>
        <v>per Mtonne</v>
      </c>
    </row>
    <row r="406" spans="1:13" s="2" customFormat="1" ht="15" thickTop="1" x14ac:dyDescent="0.25">
      <c r="A406" s="2" t="s">
        <v>323</v>
      </c>
      <c r="B406" s="2" t="s">
        <v>326</v>
      </c>
    </row>
    <row r="407" spans="1:13" s="7" customFormat="1" x14ac:dyDescent="0.2">
      <c r="A407" s="4" t="str">
        <f t="array" ref="A407:A414">R_CODE&amp;" "&amp;'Base data'!$D$12</f>
        <v>EU N2O</v>
      </c>
      <c r="B407" s="29">
        <f t="array" aca="1" ref="B407:K414" ca="1">IF(Q0_N2O=0,0,-2*LN((1+CURVE_BELOW)/(1-CURVE_BELOW))/Q0_N2O)</f>
        <v>-15.286296481879679</v>
      </c>
      <c r="C407" s="29">
        <f ca="1"/>
        <v>-14.979284454829646</v>
      </c>
      <c r="D407" s="29">
        <f ca="1"/>
        <v>-14.699356363847592</v>
      </c>
      <c r="E407" s="29">
        <f ca="1"/>
        <v>-14.40240365463084</v>
      </c>
      <c r="F407" s="29">
        <f ca="1"/>
        <v>-15.166951769346804</v>
      </c>
      <c r="G407" s="29">
        <f ca="1"/>
        <v>-15.413845563426237</v>
      </c>
      <c r="H407" s="29">
        <f ca="1"/>
        <v>-15.984143616335523</v>
      </c>
      <c r="I407" s="29">
        <f ca="1"/>
        <v>-16.50730638664874</v>
      </c>
      <c r="J407" s="29">
        <f ca="1"/>
        <v>-17.459809033653816</v>
      </c>
      <c r="K407" s="29">
        <f ca="1"/>
        <v>-18.816747086480245</v>
      </c>
      <c r="M407" s="4" t="str">
        <f t="shared" ref="M407:M414" si="26">"per "&amp;EMIT_NAME</f>
        <v>per Mtonne</v>
      </c>
    </row>
    <row r="408" spans="1:13" s="7" customFormat="1" x14ac:dyDescent="0.2">
      <c r="A408" s="4" t="str">
        <v>US N2O</v>
      </c>
      <c r="B408" s="26">
        <f ca="1"/>
        <v>-15.997867019691498</v>
      </c>
      <c r="C408" s="26">
        <f ca="1"/>
        <v>-15.676563714602883</v>
      </c>
      <c r="D408" s="26">
        <f ca="1"/>
        <v>-15.383605091177287</v>
      </c>
      <c r="E408" s="26">
        <f ca="1"/>
        <v>-15.072829360847964</v>
      </c>
      <c r="F408" s="26">
        <f ca="1"/>
        <v>-15.872966862032804</v>
      </c>
      <c r="G408" s="26">
        <f ca="1"/>
        <v>-16.131353456218779</v>
      </c>
      <c r="H408" s="26">
        <f ca="1"/>
        <v>-16.728198638624253</v>
      </c>
      <c r="I408" s="26">
        <f ca="1"/>
        <v>-17.275714411267117</v>
      </c>
      <c r="J408" s="26">
        <f ca="1"/>
        <v>-18.272555647517809</v>
      </c>
      <c r="K408" s="26">
        <f ca="1"/>
        <v>-19.692658584079908</v>
      </c>
      <c r="M408" s="4" t="str">
        <f t="shared" si="26"/>
        <v>per Mtonne</v>
      </c>
    </row>
    <row r="409" spans="1:13" s="7" customFormat="1" x14ac:dyDescent="0.2">
      <c r="A409" s="4" t="str">
        <v>OT N2O</v>
      </c>
      <c r="B409" s="26">
        <f ca="1"/>
        <v>-32.24286696602411</v>
      </c>
      <c r="C409" s="26">
        <f ca="1"/>
        <v>-31.595296905030082</v>
      </c>
      <c r="D409" s="26">
        <f ca="1"/>
        <v>-31.004854072242793</v>
      </c>
      <c r="E409" s="26">
        <f ca="1"/>
        <v>-30.378501789345108</v>
      </c>
      <c r="F409" s="26">
        <f ca="1"/>
        <v>-31.991137209646734</v>
      </c>
      <c r="G409" s="26">
        <f ca="1"/>
        <v>-32.511901919835147</v>
      </c>
      <c r="H409" s="26">
        <f ca="1"/>
        <v>-33.714812269816505</v>
      </c>
      <c r="I409" s="26">
        <f ca="1"/>
        <v>-34.818301766097115</v>
      </c>
      <c r="J409" s="26">
        <f ca="1"/>
        <v>-36.827383309725157</v>
      </c>
      <c r="K409" s="26">
        <f ca="1"/>
        <v>-39.689526744551323</v>
      </c>
      <c r="M409" s="4" t="str">
        <f t="shared" si="26"/>
        <v>per Mtonne</v>
      </c>
    </row>
    <row r="410" spans="1:13" s="7" customFormat="1" x14ac:dyDescent="0.2">
      <c r="A410" s="4" t="str">
        <v>EE N2O</v>
      </c>
      <c r="B410" s="26">
        <f ca="1"/>
        <v>-67.194470587466654</v>
      </c>
      <c r="C410" s="26">
        <f ca="1"/>
        <v>-65.844927835494886</v>
      </c>
      <c r="D410" s="26">
        <f ca="1"/>
        <v>-64.614438822122949</v>
      </c>
      <c r="E410" s="26">
        <f ca="1"/>
        <v>-63.309114140700821</v>
      </c>
      <c r="F410" s="26">
        <f ca="1"/>
        <v>-66.669863153248286</v>
      </c>
      <c r="G410" s="26">
        <f ca="1"/>
        <v>-67.755142233381548</v>
      </c>
      <c r="H410" s="26">
        <f ca="1"/>
        <v>-70.262019931830466</v>
      </c>
      <c r="I410" s="26">
        <f ca="1"/>
        <v>-72.561703535634678</v>
      </c>
      <c r="J410" s="26">
        <f ca="1"/>
        <v>-76.748650398436666</v>
      </c>
      <c r="K410" s="26">
        <f ca="1"/>
        <v>-82.71338712768582</v>
      </c>
      <c r="M410" s="4" t="str">
        <f t="shared" si="26"/>
        <v>per Mtonne</v>
      </c>
    </row>
    <row r="411" spans="1:13" s="7" customFormat="1" x14ac:dyDescent="0.2">
      <c r="A411" s="4" t="str">
        <v>CA N2O</v>
      </c>
      <c r="B411" s="26">
        <f ca="1"/>
        <v>-12.787996347641831</v>
      </c>
      <c r="C411" s="26">
        <f ca="1"/>
        <v>-12.53116051528362</v>
      </c>
      <c r="D411" s="26">
        <f ca="1"/>
        <v>-12.296982183774466</v>
      </c>
      <c r="E411" s="26">
        <f ca="1"/>
        <v>-12.048561634991596</v>
      </c>
      <c r="F411" s="26">
        <f ca="1"/>
        <v>-12.688156615382947</v>
      </c>
      <c r="G411" s="26">
        <f ca="1"/>
        <v>-12.894699576307843</v>
      </c>
      <c r="H411" s="26">
        <f ca="1"/>
        <v>-13.371791553839238</v>
      </c>
      <c r="I411" s="26">
        <f ca="1"/>
        <v>-13.809451755178268</v>
      </c>
      <c r="J411" s="26">
        <f ca="1"/>
        <v>-14.60628311229992</v>
      </c>
      <c r="K411" s="26">
        <f ca="1"/>
        <v>-15.74145139090097</v>
      </c>
      <c r="M411" s="4" t="str">
        <f t="shared" si="26"/>
        <v>per Mtonne</v>
      </c>
    </row>
    <row r="412" spans="1:13" s="7" customFormat="1" x14ac:dyDescent="0.2">
      <c r="A412" s="4" t="str">
        <v>IA N2O</v>
      </c>
      <c r="B412" s="26">
        <f ca="1"/>
        <v>-26.732509272567778</v>
      </c>
      <c r="C412" s="26">
        <f ca="1"/>
        <v>-26.195609973929045</v>
      </c>
      <c r="D412" s="26">
        <f ca="1"/>
        <v>-25.706074768544241</v>
      </c>
      <c r="E412" s="26">
        <f ca="1"/>
        <v>-25.18676709568437</v>
      </c>
      <c r="F412" s="26">
        <f ca="1"/>
        <v>-26.523800535418857</v>
      </c>
      <c r="G412" s="26">
        <f ca="1"/>
        <v>-26.95556572114528</v>
      </c>
      <c r="H412" s="26">
        <f ca="1"/>
        <v>-27.952896762421151</v>
      </c>
      <c r="I412" s="26">
        <f ca="1"/>
        <v>-28.867798133399955</v>
      </c>
      <c r="J412" s="26">
        <f ca="1"/>
        <v>-30.533524417944559</v>
      </c>
      <c r="K412" s="26">
        <f ca="1"/>
        <v>-32.906522947868545</v>
      </c>
      <c r="M412" s="4" t="str">
        <f t="shared" si="26"/>
        <v>per Mtonne</v>
      </c>
    </row>
    <row r="413" spans="1:13" s="7" customFormat="1" x14ac:dyDescent="0.2">
      <c r="A413" s="4" t="str">
        <v>AF N2O</v>
      </c>
      <c r="B413" s="26">
        <f ca="1"/>
        <v>-15.235736075424734</v>
      </c>
      <c r="C413" s="26">
        <f ca="1"/>
        <v>-14.92973951035351</v>
      </c>
      <c r="D413" s="26">
        <f ca="1"/>
        <v>-14.650737299493892</v>
      </c>
      <c r="E413" s="26">
        <f ca="1"/>
        <v>-14.354766780416764</v>
      </c>
      <c r="F413" s="26">
        <f ca="1"/>
        <v>-15.116786103186278</v>
      </c>
      <c r="G413" s="26">
        <f ca="1"/>
        <v>-15.362863280199921</v>
      </c>
      <c r="H413" s="26">
        <f ca="1"/>
        <v>-15.931275035706186</v>
      </c>
      <c r="I413" s="26">
        <f ca="1"/>
        <v>-16.452707411587991</v>
      </c>
      <c r="J413" s="26">
        <f ca="1"/>
        <v>-17.402059594971025</v>
      </c>
      <c r="K413" s="26">
        <f ca="1"/>
        <v>-18.754509488120163</v>
      </c>
      <c r="M413" s="4" t="str">
        <f t="shared" si="26"/>
        <v>per Mtonne</v>
      </c>
    </row>
    <row r="414" spans="1:13" s="7" customFormat="1" ht="13.5" thickBot="1" x14ac:dyDescent="0.25">
      <c r="A414" s="4" t="str">
        <v>LA N2O</v>
      </c>
      <c r="B414" s="35">
        <f ca="1"/>
        <v>-15.839615252181845</v>
      </c>
      <c r="C414" s="35">
        <f ca="1"/>
        <v>-15.521490296799126</v>
      </c>
      <c r="D414" s="35">
        <f ca="1"/>
        <v>-15.23142963595237</v>
      </c>
      <c r="E414" s="35">
        <f ca="1"/>
        <v>-14.923728115988913</v>
      </c>
      <c r="F414" s="35">
        <f ca="1"/>
        <v>-15.715950613651261</v>
      </c>
      <c r="G414" s="35">
        <f ca="1"/>
        <v>-15.971781233645146</v>
      </c>
      <c r="H414" s="35">
        <f ca="1"/>
        <v>-16.562722391162247</v>
      </c>
      <c r="I414" s="35">
        <f ca="1"/>
        <v>-17.104822108111339</v>
      </c>
      <c r="J414" s="35">
        <f ca="1"/>
        <v>-18.091802536832557</v>
      </c>
      <c r="K414" s="35">
        <f ca="1"/>
        <v>-19.497857738188465</v>
      </c>
      <c r="M414" s="4" t="str">
        <f t="shared" si="26"/>
        <v>per Mtonne</v>
      </c>
    </row>
    <row r="415" spans="1:13" s="2" customFormat="1" ht="15" thickTop="1" x14ac:dyDescent="0.25">
      <c r="A415" s="2" t="s">
        <v>323</v>
      </c>
      <c r="B415" s="2" t="s">
        <v>327</v>
      </c>
    </row>
    <row r="416" spans="1:13" s="7" customFormat="1" x14ac:dyDescent="0.2">
      <c r="A416" s="4" t="str">
        <f t="array" ref="A416:A423">R_CODE&amp;" "&amp;GLIN_NAME</f>
        <v>EU Lin</v>
      </c>
      <c r="B416" s="66">
        <f t="array" aca="1" ref="B416:K423" ca="1">IF(Q0_GLIN=0,0,-2*LN((1+CURVE_BELOW)/(1-CURVE_BELOW))/Q0_GLIN)</f>
        <v>-0.21756212315301823</v>
      </c>
      <c r="C416" s="66">
        <f ca="1"/>
        <v>-0.21238280755751285</v>
      </c>
      <c r="D416" s="66">
        <f ca="1"/>
        <v>-0.20761362199231245</v>
      </c>
      <c r="E416" s="66">
        <f ca="1"/>
        <v>-0.20631711523547383</v>
      </c>
      <c r="F416" s="66">
        <f ca="1"/>
        <v>-0.19298637448187947</v>
      </c>
      <c r="G416" s="66">
        <f ca="1"/>
        <v>-0.17694826595809499</v>
      </c>
      <c r="H416" s="66">
        <f ca="1"/>
        <v>-0.16069753092244751</v>
      </c>
      <c r="I416" s="66">
        <f ca="1"/>
        <v>-0.15724528197485635</v>
      </c>
      <c r="J416" s="66">
        <f ca="1"/>
        <v>-0.16835714992009532</v>
      </c>
      <c r="K416" s="66">
        <f ca="1"/>
        <v>-0.18143746804056804</v>
      </c>
      <c r="M416" s="4" t="str">
        <f t="shared" ref="M416:M423" si="27">"per "&amp;EMIT_NAME</f>
        <v>per Mtonne</v>
      </c>
    </row>
    <row r="417" spans="1:13" s="7" customFormat="1" x14ac:dyDescent="0.2">
      <c r="A417" s="4" t="str">
        <v>US Lin</v>
      </c>
      <c r="B417" s="67">
        <f ca="1"/>
        <v>-7.7145695249273491E-2</v>
      </c>
      <c r="C417" s="67">
        <f ca="1"/>
        <v>-7.5309153590550793E-2</v>
      </c>
      <c r="D417" s="67">
        <f ca="1"/>
        <v>-7.3618040583984787E-2</v>
      </c>
      <c r="E417" s="67">
        <f ca="1"/>
        <v>-7.3158310215011749E-2</v>
      </c>
      <c r="F417" s="67">
        <f ca="1"/>
        <v>-6.8431341895712219E-2</v>
      </c>
      <c r="G417" s="67">
        <f ca="1"/>
        <v>-6.2744363782888599E-2</v>
      </c>
      <c r="H417" s="67">
        <f ca="1"/>
        <v>-5.6981990100981643E-2</v>
      </c>
      <c r="I417" s="67">
        <f ca="1"/>
        <v>-5.5757851719834391E-2</v>
      </c>
      <c r="J417" s="67">
        <f ca="1"/>
        <v>-5.969802644202471E-2</v>
      </c>
      <c r="K417" s="67">
        <f ca="1"/>
        <v>-6.433619700618956E-2</v>
      </c>
      <c r="M417" s="4" t="str">
        <f t="shared" si="27"/>
        <v>per Mtonne</v>
      </c>
    </row>
    <row r="418" spans="1:13" s="7" customFormat="1" x14ac:dyDescent="0.2">
      <c r="A418" s="4" t="str">
        <v>OT Lin</v>
      </c>
      <c r="B418" s="67">
        <f ca="1"/>
        <v>-0.23204565172147884</v>
      </c>
      <c r="C418" s="67">
        <f ca="1"/>
        <v>-0.22652153913509368</v>
      </c>
      <c r="D418" s="67">
        <f ca="1"/>
        <v>-0.22143485972316662</v>
      </c>
      <c r="E418" s="67">
        <f ca="1"/>
        <v>-0.22005204202037962</v>
      </c>
      <c r="F418" s="67">
        <f ca="1"/>
        <v>-0.20583384824074716</v>
      </c>
      <c r="G418" s="67">
        <f ca="1"/>
        <v>-0.18872805201644813</v>
      </c>
      <c r="H418" s="67">
        <f ca="1"/>
        <v>-0.1713954743248447</v>
      </c>
      <c r="I418" s="67">
        <f ca="1"/>
        <v>-0.16771340253156125</v>
      </c>
      <c r="J418" s="67">
        <f ca="1"/>
        <v>-0.17956500887657967</v>
      </c>
      <c r="K418" s="67">
        <f ca="1"/>
        <v>-0.19351610890723431</v>
      </c>
      <c r="M418" s="4" t="str">
        <f t="shared" si="27"/>
        <v>per Mtonne</v>
      </c>
    </row>
    <row r="419" spans="1:13" s="7" customFormat="1" x14ac:dyDescent="0.2">
      <c r="A419" s="4" t="str">
        <v>EE Lin</v>
      </c>
      <c r="B419" s="67">
        <f ca="1"/>
        <v>-0.92692381075890229</v>
      </c>
      <c r="C419" s="67">
        <f ca="1"/>
        <v>-0.90485732749732684</v>
      </c>
      <c r="D419" s="67">
        <f ca="1"/>
        <v>-0.88453820395575922</v>
      </c>
      <c r="E419" s="67">
        <f ca="1"/>
        <v>-0.87901443462354745</v>
      </c>
      <c r="F419" s="67">
        <f ca="1"/>
        <v>-0.82221879004864185</v>
      </c>
      <c r="G419" s="67">
        <f ca="1"/>
        <v>-0.75388840029704274</v>
      </c>
      <c r="H419" s="67">
        <f ca="1"/>
        <v>-0.68465211491532152</v>
      </c>
      <c r="I419" s="67">
        <f ca="1"/>
        <v>-0.66994380216393767</v>
      </c>
      <c r="J419" s="67">
        <f ca="1"/>
        <v>-0.7172859352116393</v>
      </c>
      <c r="K419" s="67">
        <f ca="1"/>
        <v>-0.77301465371490485</v>
      </c>
      <c r="M419" s="4" t="str">
        <f t="shared" si="27"/>
        <v>per Mtonne</v>
      </c>
    </row>
    <row r="420" spans="1:13" s="7" customFormat="1" x14ac:dyDescent="0.2">
      <c r="A420" s="4" t="str">
        <v>CA Lin</v>
      </c>
      <c r="B420" s="67">
        <f ca="1"/>
        <v>-0.29862760331316152</v>
      </c>
      <c r="C420" s="67">
        <f ca="1"/>
        <v>-0.29151843108836012</v>
      </c>
      <c r="D420" s="67">
        <f ca="1"/>
        <v>-0.28497220679871282</v>
      </c>
      <c r="E420" s="67">
        <f ca="1"/>
        <v>-0.28319261070053664</v>
      </c>
      <c r="F420" s="67">
        <f ca="1"/>
        <v>-0.26489472362377259</v>
      </c>
      <c r="G420" s="67">
        <f ca="1"/>
        <v>-0.24288068073467287</v>
      </c>
      <c r="H420" s="67">
        <f ca="1"/>
        <v>-0.22057478490390167</v>
      </c>
      <c r="I420" s="67">
        <f ca="1"/>
        <v>-0.21583619891145636</v>
      </c>
      <c r="J420" s="67">
        <f ca="1"/>
        <v>-0.23108844247632174</v>
      </c>
      <c r="K420" s="67">
        <f ca="1"/>
        <v>-0.24904259733692302</v>
      </c>
      <c r="M420" s="4" t="str">
        <f t="shared" si="27"/>
        <v>per Mtonne</v>
      </c>
    </row>
    <row r="421" spans="1:13" s="7" customFormat="1" x14ac:dyDescent="0.2">
      <c r="A421" s="4" t="str">
        <v>IA Lin</v>
      </c>
      <c r="B421" s="67">
        <f ca="1"/>
        <v>-0.38817771159159831</v>
      </c>
      <c r="C421" s="67">
        <f ca="1"/>
        <v>-0.37893669644458244</v>
      </c>
      <c r="D421" s="67">
        <f ca="1"/>
        <v>-0.37042744165323666</v>
      </c>
      <c r="E421" s="67">
        <f ca="1"/>
        <v>-0.36811419420630542</v>
      </c>
      <c r="F421" s="67">
        <f ca="1"/>
        <v>-0.3443292799732724</v>
      </c>
      <c r="G421" s="67">
        <f ca="1"/>
        <v>-0.3157138382098103</v>
      </c>
      <c r="H421" s="67">
        <f ca="1"/>
        <v>-0.28671902492890516</v>
      </c>
      <c r="I421" s="67">
        <f ca="1"/>
        <v>-0.28055946885866984</v>
      </c>
      <c r="J421" s="67">
        <f ca="1"/>
        <v>-0.30038543584216532</v>
      </c>
      <c r="K421" s="67">
        <f ca="1"/>
        <v>-0.32372354213249632</v>
      </c>
      <c r="M421" s="4" t="str">
        <f t="shared" si="27"/>
        <v>per Mtonne</v>
      </c>
    </row>
    <row r="422" spans="1:13" s="7" customFormat="1" x14ac:dyDescent="0.2">
      <c r="A422" s="4" t="str">
        <v>AF Lin</v>
      </c>
      <c r="B422" s="67">
        <f ca="1"/>
        <v>-0.66072663912605434</v>
      </c>
      <c r="C422" s="67">
        <f ca="1"/>
        <v>-0.6449972845086398</v>
      </c>
      <c r="D422" s="67">
        <f ca="1"/>
        <v>-0.63051347683019066</v>
      </c>
      <c r="E422" s="67">
        <f ca="1"/>
        <v>-0.62657604259469324</v>
      </c>
      <c r="F422" s="67">
        <f ca="1"/>
        <v>-0.58609116679217055</v>
      </c>
      <c r="G422" s="67">
        <f ca="1"/>
        <v>-0.53738413365016546</v>
      </c>
      <c r="H422" s="67">
        <f ca="1"/>
        <v>-0.48803136310434997</v>
      </c>
      <c r="I422" s="67">
        <f ca="1"/>
        <v>-0.47754703425376172</v>
      </c>
      <c r="J422" s="67">
        <f ca="1"/>
        <v>-0.51129329052055927</v>
      </c>
      <c r="K422" s="67">
        <f ca="1"/>
        <v>-0.55101764375442175</v>
      </c>
      <c r="M422" s="4" t="str">
        <f t="shared" si="27"/>
        <v>per Mtonne</v>
      </c>
    </row>
    <row r="423" spans="1:13" s="7" customFormat="1" ht="13.5" thickBot="1" x14ac:dyDescent="0.25">
      <c r="A423" s="4" t="str">
        <v>LA Lin</v>
      </c>
      <c r="B423" s="68">
        <f ca="1"/>
        <v>-0.77289197171029489</v>
      </c>
      <c r="C423" s="68">
        <f ca="1"/>
        <v>-0.75449239284653935</v>
      </c>
      <c r="D423" s="68">
        <f ca="1"/>
        <v>-0.7375498056832972</v>
      </c>
      <c r="E423" s="68">
        <f ca="1"/>
        <v>-0.73294395035744186</v>
      </c>
      <c r="F423" s="68">
        <f ca="1"/>
        <v>-0.68558633885740272</v>
      </c>
      <c r="G423" s="68">
        <f ca="1"/>
        <v>-0.6286107718799967</v>
      </c>
      <c r="H423" s="68">
        <f ca="1"/>
        <v>-0.57087984674736558</v>
      </c>
      <c r="I423" s="68">
        <f ca="1"/>
        <v>-0.55861569222786811</v>
      </c>
      <c r="J423" s="68">
        <f ca="1"/>
        <v>-0.59809073228132348</v>
      </c>
      <c r="K423" s="68">
        <f ca="1"/>
        <v>-0.64455871446597812</v>
      </c>
      <c r="M423" s="4" t="str">
        <f t="shared" si="27"/>
        <v>per Mtonne</v>
      </c>
    </row>
    <row r="424" spans="1:13" s="2" customFormat="1" ht="15" thickTop="1" x14ac:dyDescent="0.25">
      <c r="A424" s="2" t="s">
        <v>322</v>
      </c>
      <c r="B424" s="2" t="s">
        <v>328</v>
      </c>
    </row>
    <row r="425" spans="1:13" s="6" customFormat="1" x14ac:dyDescent="0.2">
      <c r="A425" s="4" t="str">
        <f t="array" ref="A425:A432">R_CODE&amp;" "&amp;'Base data'!$B$12</f>
        <v>EU CO2</v>
      </c>
      <c r="B425" s="32">
        <f t="array" aca="1" ref="B425:K432" ca="1">IF(Q0_CO2=0,0,C0_CO2/(EXP(-BLO_CO2*Q0_CO2)-1))</f>
        <v>-12.404542915863903</v>
      </c>
      <c r="C425" s="32">
        <f ca="1"/>
        <v>-12.309814796120751</v>
      </c>
      <c r="D425" s="32">
        <f ca="1"/>
        <v>-12.215810073985311</v>
      </c>
      <c r="E425" s="32">
        <f ca="1"/>
        <v>-12.029948767627628</v>
      </c>
      <c r="F425" s="32">
        <f ca="1"/>
        <v>-11.84691530690538</v>
      </c>
      <c r="G425" s="32">
        <f ca="1"/>
        <v>-11.666666666666664</v>
      </c>
      <c r="H425" s="32">
        <f ca="1"/>
        <v>-11.489160476379372</v>
      </c>
      <c r="I425" s="32">
        <f ca="1"/>
        <v>-11.314355010171246</v>
      </c>
      <c r="J425" s="32">
        <f ca="1"/>
        <v>-11.14220917702152</v>
      </c>
      <c r="K425" s="32">
        <f ca="1"/>
        <v>-10.972682511101759</v>
      </c>
      <c r="M425" s="4" t="str">
        <f t="shared" ref="M425:M432" si="28">CURRENCY_NAME&amp;" per "&amp;EMIT_NAME</f>
        <v>$M(2015) per Mtonne</v>
      </c>
    </row>
    <row r="426" spans="1:13" s="6" customFormat="1" x14ac:dyDescent="0.2">
      <c r="A426" s="4" t="str">
        <v>US CO2</v>
      </c>
      <c r="B426" s="33">
        <f ca="1"/>
        <v>-12.404542915863903</v>
      </c>
      <c r="C426" s="33">
        <f ca="1"/>
        <v>-12.309814796120751</v>
      </c>
      <c r="D426" s="33">
        <f ca="1"/>
        <v>-12.215810073985311</v>
      </c>
      <c r="E426" s="33">
        <f ca="1"/>
        <v>-12.029948767627628</v>
      </c>
      <c r="F426" s="33">
        <f ca="1"/>
        <v>-11.84691530690538</v>
      </c>
      <c r="G426" s="33">
        <f ca="1"/>
        <v>-11.666666666666664</v>
      </c>
      <c r="H426" s="33">
        <f ca="1"/>
        <v>-11.489160476379372</v>
      </c>
      <c r="I426" s="33">
        <f ca="1"/>
        <v>-11.314355010171246</v>
      </c>
      <c r="J426" s="33">
        <f ca="1"/>
        <v>-11.14220917702152</v>
      </c>
      <c r="K426" s="33">
        <f ca="1"/>
        <v>-10.972682511101759</v>
      </c>
      <c r="M426" s="4" t="str">
        <f t="shared" si="28"/>
        <v>$M(2015) per Mtonne</v>
      </c>
    </row>
    <row r="427" spans="1:13" s="6" customFormat="1" x14ac:dyDescent="0.2">
      <c r="A427" s="4" t="str">
        <v>OT CO2</v>
      </c>
      <c r="B427" s="33">
        <f ca="1"/>
        <v>-12.404542915863903</v>
      </c>
      <c r="C427" s="33">
        <f ca="1"/>
        <v>-12.309814796120751</v>
      </c>
      <c r="D427" s="33">
        <f ca="1"/>
        <v>-12.215810073985311</v>
      </c>
      <c r="E427" s="33">
        <f ca="1"/>
        <v>-12.029948767627628</v>
      </c>
      <c r="F427" s="33">
        <f ca="1"/>
        <v>-11.84691530690538</v>
      </c>
      <c r="G427" s="33">
        <f ca="1"/>
        <v>-11.666666666666664</v>
      </c>
      <c r="H427" s="33">
        <f ca="1"/>
        <v>-11.489160476379372</v>
      </c>
      <c r="I427" s="33">
        <f ca="1"/>
        <v>-11.314355010171246</v>
      </c>
      <c r="J427" s="33">
        <f ca="1"/>
        <v>-11.14220917702152</v>
      </c>
      <c r="K427" s="33">
        <f ca="1"/>
        <v>-10.972682511101759</v>
      </c>
      <c r="M427" s="4" t="str">
        <f t="shared" si="28"/>
        <v>$M(2015) per Mtonne</v>
      </c>
    </row>
    <row r="428" spans="1:13" s="6" customFormat="1" x14ac:dyDescent="0.2">
      <c r="A428" s="4" t="str">
        <v>EE CO2</v>
      </c>
      <c r="B428" s="33">
        <f ca="1"/>
        <v>-12.404542915863903</v>
      </c>
      <c r="C428" s="33">
        <f ca="1"/>
        <v>-12.309814796120751</v>
      </c>
      <c r="D428" s="33">
        <f ca="1"/>
        <v>-12.215810073985311</v>
      </c>
      <c r="E428" s="33">
        <f ca="1"/>
        <v>-12.029948767627628</v>
      </c>
      <c r="F428" s="33">
        <f ca="1"/>
        <v>-11.84691530690538</v>
      </c>
      <c r="G428" s="33">
        <f ca="1"/>
        <v>-11.666666666666664</v>
      </c>
      <c r="H428" s="33">
        <f ca="1"/>
        <v>-11.489160476379372</v>
      </c>
      <c r="I428" s="33">
        <f ca="1"/>
        <v>-11.314355010171246</v>
      </c>
      <c r="J428" s="33">
        <f ca="1"/>
        <v>-11.14220917702152</v>
      </c>
      <c r="K428" s="33">
        <f ca="1"/>
        <v>-10.972682511101759</v>
      </c>
      <c r="M428" s="4" t="str">
        <f t="shared" si="28"/>
        <v>$M(2015) per Mtonne</v>
      </c>
    </row>
    <row r="429" spans="1:13" s="6" customFormat="1" x14ac:dyDescent="0.2">
      <c r="A429" s="4" t="str">
        <v>CA CO2</v>
      </c>
      <c r="B429" s="33">
        <f ca="1"/>
        <v>-12.404542915863903</v>
      </c>
      <c r="C429" s="33">
        <f ca="1"/>
        <v>-12.309814796120751</v>
      </c>
      <c r="D429" s="33">
        <f ca="1"/>
        <v>-12.215810073985311</v>
      </c>
      <c r="E429" s="33">
        <f ca="1"/>
        <v>-12.029948767627628</v>
      </c>
      <c r="F429" s="33">
        <f ca="1"/>
        <v>-11.84691530690538</v>
      </c>
      <c r="G429" s="33">
        <f ca="1"/>
        <v>-11.666666666666664</v>
      </c>
      <c r="H429" s="33">
        <f ca="1"/>
        <v>-11.489160476379372</v>
      </c>
      <c r="I429" s="33">
        <f ca="1"/>
        <v>-11.314355010171246</v>
      </c>
      <c r="J429" s="33">
        <f ca="1"/>
        <v>-11.14220917702152</v>
      </c>
      <c r="K429" s="33">
        <f ca="1"/>
        <v>-10.972682511101759</v>
      </c>
      <c r="M429" s="4" t="str">
        <f t="shared" si="28"/>
        <v>$M(2015) per Mtonne</v>
      </c>
    </row>
    <row r="430" spans="1:13" s="6" customFormat="1" x14ac:dyDescent="0.2">
      <c r="A430" s="4" t="str">
        <v>IA CO2</v>
      </c>
      <c r="B430" s="33">
        <f ca="1"/>
        <v>-12.404542915863903</v>
      </c>
      <c r="C430" s="33">
        <f ca="1"/>
        <v>-12.309814796120751</v>
      </c>
      <c r="D430" s="33">
        <f ca="1"/>
        <v>-12.215810073985311</v>
      </c>
      <c r="E430" s="33">
        <f ca="1"/>
        <v>-12.029948767627628</v>
      </c>
      <c r="F430" s="33">
        <f ca="1"/>
        <v>-11.84691530690538</v>
      </c>
      <c r="G430" s="33">
        <f ca="1"/>
        <v>-11.666666666666664</v>
      </c>
      <c r="H430" s="33">
        <f ca="1"/>
        <v>-11.489160476379372</v>
      </c>
      <c r="I430" s="33">
        <f ca="1"/>
        <v>-11.314355010171246</v>
      </c>
      <c r="J430" s="33">
        <f ca="1"/>
        <v>-11.14220917702152</v>
      </c>
      <c r="K430" s="33">
        <f ca="1"/>
        <v>-10.972682511101759</v>
      </c>
      <c r="M430" s="4" t="str">
        <f t="shared" si="28"/>
        <v>$M(2015) per Mtonne</v>
      </c>
    </row>
    <row r="431" spans="1:13" s="6" customFormat="1" x14ac:dyDescent="0.2">
      <c r="A431" s="4" t="str">
        <v>AF CO2</v>
      </c>
      <c r="B431" s="33">
        <f ca="1"/>
        <v>-12.404542915863903</v>
      </c>
      <c r="C431" s="33">
        <f ca="1"/>
        <v>-12.309814796120751</v>
      </c>
      <c r="D431" s="33">
        <f ca="1"/>
        <v>-12.215810073985311</v>
      </c>
      <c r="E431" s="33">
        <f ca="1"/>
        <v>-12.029948767627628</v>
      </c>
      <c r="F431" s="33">
        <f ca="1"/>
        <v>-11.84691530690538</v>
      </c>
      <c r="G431" s="33">
        <f ca="1"/>
        <v>-11.666666666666664</v>
      </c>
      <c r="H431" s="33">
        <f ca="1"/>
        <v>-11.489160476379372</v>
      </c>
      <c r="I431" s="33">
        <f ca="1"/>
        <v>-11.314355010171246</v>
      </c>
      <c r="J431" s="33">
        <f ca="1"/>
        <v>-11.14220917702152</v>
      </c>
      <c r="K431" s="33">
        <f ca="1"/>
        <v>-10.972682511101759</v>
      </c>
      <c r="M431" s="4" t="str">
        <f t="shared" si="28"/>
        <v>$M(2015) per Mtonne</v>
      </c>
    </row>
    <row r="432" spans="1:13" s="6" customFormat="1" ht="13.5" thickBot="1" x14ac:dyDescent="0.25">
      <c r="A432" s="4" t="str">
        <v>LA CO2</v>
      </c>
      <c r="B432" s="34">
        <f ca="1"/>
        <v>-12.404542915863903</v>
      </c>
      <c r="C432" s="34">
        <f ca="1"/>
        <v>-12.309814796120751</v>
      </c>
      <c r="D432" s="34">
        <f ca="1"/>
        <v>-12.215810073985311</v>
      </c>
      <c r="E432" s="34">
        <f ca="1"/>
        <v>-12.029948767627628</v>
      </c>
      <c r="F432" s="34">
        <f ca="1"/>
        <v>-11.84691530690538</v>
      </c>
      <c r="G432" s="34">
        <f ca="1"/>
        <v>-11.666666666666664</v>
      </c>
      <c r="H432" s="34">
        <f ca="1"/>
        <v>-11.489160476379372</v>
      </c>
      <c r="I432" s="34">
        <f ca="1"/>
        <v>-11.314355010171246</v>
      </c>
      <c r="J432" s="34">
        <f ca="1"/>
        <v>-11.14220917702152</v>
      </c>
      <c r="K432" s="34">
        <f ca="1"/>
        <v>-10.972682511101759</v>
      </c>
      <c r="M432" s="4" t="str">
        <f t="shared" si="28"/>
        <v>$M(2015) per Mtonne</v>
      </c>
    </row>
    <row r="433" spans="1:13" s="2" customFormat="1" ht="15" thickTop="1" x14ac:dyDescent="0.25">
      <c r="A433" s="2" t="s">
        <v>322</v>
      </c>
      <c r="B433" s="2" t="s">
        <v>329</v>
      </c>
    </row>
    <row r="434" spans="1:13" s="7" customFormat="1" x14ac:dyDescent="0.2">
      <c r="A434" s="4" t="str">
        <f t="array" ref="A434:A441">R_CODE&amp;" "&amp;'Base data'!$C$12</f>
        <v>EU CH4</v>
      </c>
      <c r="B434" s="29">
        <f t="array" aca="1" ref="B434:K441" ca="1">IF(Q0_CH4=0,0,C0_CH4/(EXP(-BLO_CH4*Q0_CH4)-1))</f>
        <v>-618.15972197388453</v>
      </c>
      <c r="C434" s="29">
        <f ca="1"/>
        <v>-613.43910400668415</v>
      </c>
      <c r="D434" s="29">
        <f ca="1"/>
        <v>-608.75453535360134</v>
      </c>
      <c r="E434" s="29">
        <f ca="1"/>
        <v>-599.49244692011007</v>
      </c>
      <c r="F434" s="29">
        <f ca="1"/>
        <v>-590.37127946078476</v>
      </c>
      <c r="G434" s="29">
        <f ca="1"/>
        <v>-581.3888888888888</v>
      </c>
      <c r="H434" s="29">
        <f ca="1"/>
        <v>-572.54316373957192</v>
      </c>
      <c r="I434" s="29">
        <f ca="1"/>
        <v>-563.83202467353374</v>
      </c>
      <c r="J434" s="29">
        <f ca="1"/>
        <v>-555.25342398823909</v>
      </c>
      <c r="K434" s="29">
        <f ca="1"/>
        <v>-546.80534513657096</v>
      </c>
      <c r="M434" s="4" t="str">
        <f t="shared" ref="M434:M441" si="29">CURRENCY_NAME&amp;" per "&amp;EMIT_NAME</f>
        <v>$M(2015) per Mtonne</v>
      </c>
    </row>
    <row r="435" spans="1:13" s="7" customFormat="1" x14ac:dyDescent="0.2">
      <c r="A435" s="4" t="str">
        <v>US CH4</v>
      </c>
      <c r="B435" s="26">
        <f ca="1"/>
        <v>-618.15972197388453</v>
      </c>
      <c r="C435" s="26">
        <f ca="1"/>
        <v>-613.43910400668415</v>
      </c>
      <c r="D435" s="26">
        <f ca="1"/>
        <v>-608.75453535360134</v>
      </c>
      <c r="E435" s="26">
        <f ca="1"/>
        <v>-599.49244692011007</v>
      </c>
      <c r="F435" s="26">
        <f ca="1"/>
        <v>-590.37127946078476</v>
      </c>
      <c r="G435" s="26">
        <f ca="1"/>
        <v>-581.3888888888888</v>
      </c>
      <c r="H435" s="26">
        <f ca="1"/>
        <v>-572.54316373957192</v>
      </c>
      <c r="I435" s="26">
        <f ca="1"/>
        <v>-563.83202467353374</v>
      </c>
      <c r="J435" s="26">
        <f ca="1"/>
        <v>-555.25342398823909</v>
      </c>
      <c r="K435" s="26">
        <f ca="1"/>
        <v>-546.80534513657096</v>
      </c>
      <c r="M435" s="4" t="str">
        <f t="shared" si="29"/>
        <v>$M(2015) per Mtonne</v>
      </c>
    </row>
    <row r="436" spans="1:13" s="7" customFormat="1" x14ac:dyDescent="0.2">
      <c r="A436" s="4" t="str">
        <v>OT CH4</v>
      </c>
      <c r="B436" s="26">
        <f ca="1"/>
        <v>-618.15972197388453</v>
      </c>
      <c r="C436" s="26">
        <f ca="1"/>
        <v>-613.43910400668415</v>
      </c>
      <c r="D436" s="26">
        <f ca="1"/>
        <v>-608.75453535360134</v>
      </c>
      <c r="E436" s="26">
        <f ca="1"/>
        <v>-599.49244692011007</v>
      </c>
      <c r="F436" s="26">
        <f ca="1"/>
        <v>-590.37127946078476</v>
      </c>
      <c r="G436" s="26">
        <f ca="1"/>
        <v>-581.3888888888888</v>
      </c>
      <c r="H436" s="26">
        <f ca="1"/>
        <v>-572.54316373957192</v>
      </c>
      <c r="I436" s="26">
        <f ca="1"/>
        <v>-563.83202467353374</v>
      </c>
      <c r="J436" s="26">
        <f ca="1"/>
        <v>-555.25342398823909</v>
      </c>
      <c r="K436" s="26">
        <f ca="1"/>
        <v>-546.80534513657096</v>
      </c>
      <c r="M436" s="4" t="str">
        <f t="shared" si="29"/>
        <v>$M(2015) per Mtonne</v>
      </c>
    </row>
    <row r="437" spans="1:13" s="7" customFormat="1" x14ac:dyDescent="0.2">
      <c r="A437" s="4" t="str">
        <v>EE CH4</v>
      </c>
      <c r="B437" s="26">
        <f ca="1"/>
        <v>-618.15972197388453</v>
      </c>
      <c r="C437" s="26">
        <f ca="1"/>
        <v>-613.43910400668415</v>
      </c>
      <c r="D437" s="26">
        <f ca="1"/>
        <v>-608.75453535360134</v>
      </c>
      <c r="E437" s="26">
        <f ca="1"/>
        <v>-599.49244692011007</v>
      </c>
      <c r="F437" s="26">
        <f ca="1"/>
        <v>-590.37127946078476</v>
      </c>
      <c r="G437" s="26">
        <f ca="1"/>
        <v>-581.3888888888888</v>
      </c>
      <c r="H437" s="26">
        <f ca="1"/>
        <v>-572.54316373957192</v>
      </c>
      <c r="I437" s="26">
        <f ca="1"/>
        <v>-563.83202467353374</v>
      </c>
      <c r="J437" s="26">
        <f ca="1"/>
        <v>-555.25342398823909</v>
      </c>
      <c r="K437" s="26">
        <f ca="1"/>
        <v>-546.80534513657096</v>
      </c>
      <c r="M437" s="4" t="str">
        <f t="shared" si="29"/>
        <v>$M(2015) per Mtonne</v>
      </c>
    </row>
    <row r="438" spans="1:13" s="7" customFormat="1" x14ac:dyDescent="0.2">
      <c r="A438" s="4" t="str">
        <v>CA CH4</v>
      </c>
      <c r="B438" s="26">
        <f ca="1"/>
        <v>-618.15972197388453</v>
      </c>
      <c r="C438" s="26">
        <f ca="1"/>
        <v>-613.43910400668415</v>
      </c>
      <c r="D438" s="26">
        <f ca="1"/>
        <v>-608.75453535360134</v>
      </c>
      <c r="E438" s="26">
        <f ca="1"/>
        <v>-599.49244692011007</v>
      </c>
      <c r="F438" s="26">
        <f ca="1"/>
        <v>-590.37127946078476</v>
      </c>
      <c r="G438" s="26">
        <f ca="1"/>
        <v>-581.3888888888888</v>
      </c>
      <c r="H438" s="26">
        <f ca="1"/>
        <v>-572.54316373957192</v>
      </c>
      <c r="I438" s="26">
        <f ca="1"/>
        <v>-563.83202467353374</v>
      </c>
      <c r="J438" s="26">
        <f ca="1"/>
        <v>-555.25342398823909</v>
      </c>
      <c r="K438" s="26">
        <f ca="1"/>
        <v>-546.80534513657096</v>
      </c>
      <c r="M438" s="4" t="str">
        <f t="shared" si="29"/>
        <v>$M(2015) per Mtonne</v>
      </c>
    </row>
    <row r="439" spans="1:13" s="7" customFormat="1" x14ac:dyDescent="0.2">
      <c r="A439" s="4" t="str">
        <v>IA CH4</v>
      </c>
      <c r="B439" s="26">
        <f ca="1"/>
        <v>-618.15972197388453</v>
      </c>
      <c r="C439" s="26">
        <f ca="1"/>
        <v>-613.43910400668415</v>
      </c>
      <c r="D439" s="26">
        <f ca="1"/>
        <v>-608.75453535360134</v>
      </c>
      <c r="E439" s="26">
        <f ca="1"/>
        <v>-599.49244692011007</v>
      </c>
      <c r="F439" s="26">
        <f ca="1"/>
        <v>-590.37127946078476</v>
      </c>
      <c r="G439" s="26">
        <f ca="1"/>
        <v>-581.3888888888888</v>
      </c>
      <c r="H439" s="26">
        <f ca="1"/>
        <v>-572.54316373957192</v>
      </c>
      <c r="I439" s="26">
        <f ca="1"/>
        <v>-563.83202467353374</v>
      </c>
      <c r="J439" s="26">
        <f ca="1"/>
        <v>-555.25342398823909</v>
      </c>
      <c r="K439" s="26">
        <f ca="1"/>
        <v>-546.80534513657096</v>
      </c>
      <c r="M439" s="4" t="str">
        <f t="shared" si="29"/>
        <v>$M(2015) per Mtonne</v>
      </c>
    </row>
    <row r="440" spans="1:13" s="7" customFormat="1" x14ac:dyDescent="0.2">
      <c r="A440" s="4" t="str">
        <v>AF CH4</v>
      </c>
      <c r="B440" s="26">
        <f ca="1"/>
        <v>-618.15972197388453</v>
      </c>
      <c r="C440" s="26">
        <f ca="1"/>
        <v>-613.43910400668415</v>
      </c>
      <c r="D440" s="26">
        <f ca="1"/>
        <v>-608.75453535360134</v>
      </c>
      <c r="E440" s="26">
        <f ca="1"/>
        <v>-599.49244692011007</v>
      </c>
      <c r="F440" s="26">
        <f ca="1"/>
        <v>-590.37127946078476</v>
      </c>
      <c r="G440" s="26">
        <f ca="1"/>
        <v>-581.3888888888888</v>
      </c>
      <c r="H440" s="26">
        <f ca="1"/>
        <v>-572.54316373957192</v>
      </c>
      <c r="I440" s="26">
        <f ca="1"/>
        <v>-563.83202467353374</v>
      </c>
      <c r="J440" s="26">
        <f ca="1"/>
        <v>-555.25342398823909</v>
      </c>
      <c r="K440" s="26">
        <f ca="1"/>
        <v>-546.80534513657096</v>
      </c>
      <c r="M440" s="4" t="str">
        <f t="shared" si="29"/>
        <v>$M(2015) per Mtonne</v>
      </c>
    </row>
    <row r="441" spans="1:13" s="7" customFormat="1" ht="13.5" thickBot="1" x14ac:dyDescent="0.25">
      <c r="A441" s="4" t="str">
        <v>LA CH4</v>
      </c>
      <c r="B441" s="35">
        <f ca="1"/>
        <v>-618.15972197388453</v>
      </c>
      <c r="C441" s="35">
        <f ca="1"/>
        <v>-613.43910400668415</v>
      </c>
      <c r="D441" s="35">
        <f ca="1"/>
        <v>-608.75453535360134</v>
      </c>
      <c r="E441" s="35">
        <f ca="1"/>
        <v>-599.49244692011007</v>
      </c>
      <c r="F441" s="35">
        <f ca="1"/>
        <v>-590.37127946078476</v>
      </c>
      <c r="G441" s="35">
        <f ca="1"/>
        <v>-581.3888888888888</v>
      </c>
      <c r="H441" s="35">
        <f ca="1"/>
        <v>-572.54316373957192</v>
      </c>
      <c r="I441" s="35">
        <f ca="1"/>
        <v>-563.83202467353374</v>
      </c>
      <c r="J441" s="35">
        <f ca="1"/>
        <v>-555.25342398823909</v>
      </c>
      <c r="K441" s="35">
        <f ca="1"/>
        <v>-546.80534513657096</v>
      </c>
      <c r="M441" s="4" t="str">
        <f t="shared" si="29"/>
        <v>$M(2015) per Mtonne</v>
      </c>
    </row>
    <row r="442" spans="1:13" s="2" customFormat="1" ht="15" thickTop="1" x14ac:dyDescent="0.25">
      <c r="A442" s="2" t="s">
        <v>322</v>
      </c>
      <c r="B442" s="2" t="s">
        <v>330</v>
      </c>
    </row>
    <row r="443" spans="1:13" s="7" customFormat="1" x14ac:dyDescent="0.2">
      <c r="A443" s="4" t="str">
        <f t="array" ref="A443:A450">R_CODE&amp;" "&amp;'Base data'!$D$12</f>
        <v>EU N2O</v>
      </c>
      <c r="B443" s="29">
        <f t="array" aca="1" ref="B443:K450" ca="1">IF(Q0_N2O=0,0,C0_N2O/(EXP(-BLO_N2O*Q0_N2O)-1))</f>
        <v>-1046.1164525711893</v>
      </c>
      <c r="C443" s="29">
        <f ca="1"/>
        <v>-1038.1277144728501</v>
      </c>
      <c r="D443" s="29">
        <f ca="1"/>
        <v>-1030.1999829060946</v>
      </c>
      <c r="E443" s="29">
        <f ca="1"/>
        <v>-1014.5256794032634</v>
      </c>
      <c r="F443" s="29">
        <f ca="1"/>
        <v>-999.08985754902039</v>
      </c>
      <c r="G443" s="29">
        <f ca="1"/>
        <v>-983.8888888888888</v>
      </c>
      <c r="H443" s="29">
        <f ca="1"/>
        <v>-968.91920017466032</v>
      </c>
      <c r="I443" s="29">
        <f ca="1"/>
        <v>-954.17727252444172</v>
      </c>
      <c r="J443" s="29">
        <f ca="1"/>
        <v>-939.65964059548162</v>
      </c>
      <c r="K443" s="29">
        <f ca="1"/>
        <v>-925.36289176958167</v>
      </c>
      <c r="M443" s="4" t="str">
        <f t="shared" ref="M443:M450" si="30">CURRENCY_NAME&amp;" per "&amp;EMIT_NAME</f>
        <v>$M(2015) per Mtonne</v>
      </c>
    </row>
    <row r="444" spans="1:13" s="7" customFormat="1" x14ac:dyDescent="0.2">
      <c r="A444" s="4" t="str">
        <v>US N2O</v>
      </c>
      <c r="B444" s="26">
        <f ca="1"/>
        <v>-1046.1164525711893</v>
      </c>
      <c r="C444" s="26">
        <f ca="1"/>
        <v>-1038.1277144728501</v>
      </c>
      <c r="D444" s="26">
        <f ca="1"/>
        <v>-1030.1999829060946</v>
      </c>
      <c r="E444" s="26">
        <f ca="1"/>
        <v>-1014.5256794032634</v>
      </c>
      <c r="F444" s="26">
        <f ca="1"/>
        <v>-999.08985754902039</v>
      </c>
      <c r="G444" s="26">
        <f ca="1"/>
        <v>-983.8888888888888</v>
      </c>
      <c r="H444" s="26">
        <f ca="1"/>
        <v>-968.91920017466032</v>
      </c>
      <c r="I444" s="26">
        <f ca="1"/>
        <v>-954.17727252444172</v>
      </c>
      <c r="J444" s="26">
        <f ca="1"/>
        <v>-939.65964059548162</v>
      </c>
      <c r="K444" s="26">
        <f ca="1"/>
        <v>-925.36289176958167</v>
      </c>
      <c r="M444" s="4" t="str">
        <f t="shared" si="30"/>
        <v>$M(2015) per Mtonne</v>
      </c>
    </row>
    <row r="445" spans="1:13" s="7" customFormat="1" x14ac:dyDescent="0.2">
      <c r="A445" s="4" t="str">
        <v>OT N2O</v>
      </c>
      <c r="B445" s="26">
        <f ca="1"/>
        <v>-1046.1164525711893</v>
      </c>
      <c r="C445" s="26">
        <f ca="1"/>
        <v>-1038.1277144728501</v>
      </c>
      <c r="D445" s="26">
        <f ca="1"/>
        <v>-1030.1999829060946</v>
      </c>
      <c r="E445" s="26">
        <f ca="1"/>
        <v>-1014.5256794032634</v>
      </c>
      <c r="F445" s="26">
        <f ca="1"/>
        <v>-999.08985754902039</v>
      </c>
      <c r="G445" s="26">
        <f ca="1"/>
        <v>-983.8888888888888</v>
      </c>
      <c r="H445" s="26">
        <f ca="1"/>
        <v>-968.91920017466032</v>
      </c>
      <c r="I445" s="26">
        <f ca="1"/>
        <v>-954.17727252444172</v>
      </c>
      <c r="J445" s="26">
        <f ca="1"/>
        <v>-939.65964059548162</v>
      </c>
      <c r="K445" s="26">
        <f ca="1"/>
        <v>-925.36289176958167</v>
      </c>
      <c r="M445" s="4" t="str">
        <f t="shared" si="30"/>
        <v>$M(2015) per Mtonne</v>
      </c>
    </row>
    <row r="446" spans="1:13" s="7" customFormat="1" x14ac:dyDescent="0.2">
      <c r="A446" s="4" t="str">
        <v>EE N2O</v>
      </c>
      <c r="B446" s="26">
        <f ca="1"/>
        <v>-1046.1164525711893</v>
      </c>
      <c r="C446" s="26">
        <f ca="1"/>
        <v>-1038.1277144728501</v>
      </c>
      <c r="D446" s="26">
        <f ca="1"/>
        <v>-1030.1999829060946</v>
      </c>
      <c r="E446" s="26">
        <f ca="1"/>
        <v>-1014.5256794032634</v>
      </c>
      <c r="F446" s="26">
        <f ca="1"/>
        <v>-999.08985754902039</v>
      </c>
      <c r="G446" s="26">
        <f ca="1"/>
        <v>-983.8888888888888</v>
      </c>
      <c r="H446" s="26">
        <f ca="1"/>
        <v>-968.91920017466032</v>
      </c>
      <c r="I446" s="26">
        <f ca="1"/>
        <v>-954.17727252444172</v>
      </c>
      <c r="J446" s="26">
        <f ca="1"/>
        <v>-939.65964059548162</v>
      </c>
      <c r="K446" s="26">
        <f ca="1"/>
        <v>-925.36289176958167</v>
      </c>
      <c r="M446" s="4" t="str">
        <f t="shared" si="30"/>
        <v>$M(2015) per Mtonne</v>
      </c>
    </row>
    <row r="447" spans="1:13" s="7" customFormat="1" x14ac:dyDescent="0.2">
      <c r="A447" s="4" t="str">
        <v>CA N2O</v>
      </c>
      <c r="B447" s="26">
        <f ca="1"/>
        <v>-1046.1164525711893</v>
      </c>
      <c r="C447" s="26">
        <f ca="1"/>
        <v>-1038.1277144728501</v>
      </c>
      <c r="D447" s="26">
        <f ca="1"/>
        <v>-1030.1999829060946</v>
      </c>
      <c r="E447" s="26">
        <f ca="1"/>
        <v>-1014.5256794032634</v>
      </c>
      <c r="F447" s="26">
        <f ca="1"/>
        <v>-999.08985754902039</v>
      </c>
      <c r="G447" s="26">
        <f ca="1"/>
        <v>-983.8888888888888</v>
      </c>
      <c r="H447" s="26">
        <f ca="1"/>
        <v>-968.91920017466032</v>
      </c>
      <c r="I447" s="26">
        <f ca="1"/>
        <v>-954.17727252444172</v>
      </c>
      <c r="J447" s="26">
        <f ca="1"/>
        <v>-939.65964059548162</v>
      </c>
      <c r="K447" s="26">
        <f ca="1"/>
        <v>-925.36289176958167</v>
      </c>
      <c r="M447" s="4" t="str">
        <f t="shared" si="30"/>
        <v>$M(2015) per Mtonne</v>
      </c>
    </row>
    <row r="448" spans="1:13" s="7" customFormat="1" x14ac:dyDescent="0.2">
      <c r="A448" s="4" t="str">
        <v>IA N2O</v>
      </c>
      <c r="B448" s="26">
        <f ca="1"/>
        <v>-1046.1164525711893</v>
      </c>
      <c r="C448" s="26">
        <f ca="1"/>
        <v>-1038.1277144728501</v>
      </c>
      <c r="D448" s="26">
        <f ca="1"/>
        <v>-1030.1999829060946</v>
      </c>
      <c r="E448" s="26">
        <f ca="1"/>
        <v>-1014.5256794032634</v>
      </c>
      <c r="F448" s="26">
        <f ca="1"/>
        <v>-999.08985754902039</v>
      </c>
      <c r="G448" s="26">
        <f ca="1"/>
        <v>-983.8888888888888</v>
      </c>
      <c r="H448" s="26">
        <f ca="1"/>
        <v>-968.91920017466032</v>
      </c>
      <c r="I448" s="26">
        <f ca="1"/>
        <v>-954.17727252444172</v>
      </c>
      <c r="J448" s="26">
        <f ca="1"/>
        <v>-939.65964059548162</v>
      </c>
      <c r="K448" s="26">
        <f ca="1"/>
        <v>-925.36289176958167</v>
      </c>
      <c r="M448" s="4" t="str">
        <f t="shared" si="30"/>
        <v>$M(2015) per Mtonne</v>
      </c>
    </row>
    <row r="449" spans="1:13" s="7" customFormat="1" x14ac:dyDescent="0.2">
      <c r="A449" s="4" t="str">
        <v>AF N2O</v>
      </c>
      <c r="B449" s="26">
        <f ca="1"/>
        <v>-1046.1164525711893</v>
      </c>
      <c r="C449" s="26">
        <f ca="1"/>
        <v>-1038.1277144728501</v>
      </c>
      <c r="D449" s="26">
        <f ca="1"/>
        <v>-1030.1999829060946</v>
      </c>
      <c r="E449" s="26">
        <f ca="1"/>
        <v>-1014.5256794032634</v>
      </c>
      <c r="F449" s="26">
        <f ca="1"/>
        <v>-999.08985754902039</v>
      </c>
      <c r="G449" s="26">
        <f ca="1"/>
        <v>-983.8888888888888</v>
      </c>
      <c r="H449" s="26">
        <f ca="1"/>
        <v>-968.91920017466032</v>
      </c>
      <c r="I449" s="26">
        <f ca="1"/>
        <v>-954.17727252444172</v>
      </c>
      <c r="J449" s="26">
        <f ca="1"/>
        <v>-939.65964059548162</v>
      </c>
      <c r="K449" s="26">
        <f ca="1"/>
        <v>-925.36289176958167</v>
      </c>
      <c r="M449" s="4" t="str">
        <f t="shared" si="30"/>
        <v>$M(2015) per Mtonne</v>
      </c>
    </row>
    <row r="450" spans="1:13" s="7" customFormat="1" ht="13.5" thickBot="1" x14ac:dyDescent="0.25">
      <c r="A450" s="4" t="str">
        <v>LA N2O</v>
      </c>
      <c r="B450" s="35">
        <f ca="1"/>
        <v>-1046.1164525711893</v>
      </c>
      <c r="C450" s="35">
        <f ca="1"/>
        <v>-1038.1277144728501</v>
      </c>
      <c r="D450" s="35">
        <f ca="1"/>
        <v>-1030.1999829060946</v>
      </c>
      <c r="E450" s="35">
        <f ca="1"/>
        <v>-1014.5256794032634</v>
      </c>
      <c r="F450" s="35">
        <f ca="1"/>
        <v>-999.08985754902039</v>
      </c>
      <c r="G450" s="35">
        <f ca="1"/>
        <v>-983.8888888888888</v>
      </c>
      <c r="H450" s="35">
        <f ca="1"/>
        <v>-968.91920017466032</v>
      </c>
      <c r="I450" s="35">
        <f ca="1"/>
        <v>-954.17727252444172</v>
      </c>
      <c r="J450" s="35">
        <f ca="1"/>
        <v>-939.65964059548162</v>
      </c>
      <c r="K450" s="35">
        <f ca="1"/>
        <v>-925.36289176958167</v>
      </c>
      <c r="M450" s="4" t="str">
        <f t="shared" si="30"/>
        <v>$M(2015) per Mtonne</v>
      </c>
    </row>
    <row r="451" spans="1:13" s="2" customFormat="1" ht="15" thickTop="1" x14ac:dyDescent="0.25">
      <c r="A451" s="2" t="s">
        <v>322</v>
      </c>
      <c r="B451" s="2" t="s">
        <v>331</v>
      </c>
    </row>
    <row r="452" spans="1:13" s="7" customFormat="1" x14ac:dyDescent="0.2">
      <c r="A452" s="4" t="str">
        <f t="array" ref="A452:A459">R_CODE&amp;" "&amp;GLIN_NAME</f>
        <v>EU Lin</v>
      </c>
      <c r="B452" s="66">
        <f t="array" aca="1" ref="B452:K459" ca="1">IF(Q0_GLIN=0,0,C0_GLIN/(EXP(-BLO_GLIN*Q0_GLIN)-1))</f>
        <v>-33.285523490901475</v>
      </c>
      <c r="C452" s="66">
        <f ca="1"/>
        <v>-33.031336369590683</v>
      </c>
      <c r="D452" s="66">
        <f ca="1"/>
        <v>-32.779090365193916</v>
      </c>
      <c r="E452" s="66">
        <f ca="1"/>
        <v>-32.280362526467464</v>
      </c>
      <c r="F452" s="66">
        <f ca="1"/>
        <v>-31.789222740196102</v>
      </c>
      <c r="G452" s="66">
        <f ca="1"/>
        <v>-31.305555555555546</v>
      </c>
      <c r="H452" s="66">
        <f ca="1"/>
        <v>-30.82924727828464</v>
      </c>
      <c r="I452" s="66">
        <f ca="1"/>
        <v>-30.360185943959507</v>
      </c>
      <c r="J452" s="66">
        <f ca="1"/>
        <v>-29.898261291674409</v>
      </c>
      <c r="K452" s="66">
        <f ca="1"/>
        <v>-29.443364738123051</v>
      </c>
      <c r="M452" s="4" t="str">
        <f t="shared" ref="M452:M459" si="31">CURRENCY_NAME&amp;" per "&amp;EMIT_NAME</f>
        <v>$M(2015) per Mtonne</v>
      </c>
    </row>
    <row r="453" spans="1:13" s="7" customFormat="1" x14ac:dyDescent="0.2">
      <c r="A453" s="4" t="str">
        <v>US Lin</v>
      </c>
      <c r="B453" s="67">
        <f ca="1"/>
        <v>-33.285523490901475</v>
      </c>
      <c r="C453" s="67">
        <f ca="1"/>
        <v>-33.031336369590683</v>
      </c>
      <c r="D453" s="67">
        <f ca="1"/>
        <v>-32.779090365193916</v>
      </c>
      <c r="E453" s="67">
        <f ca="1"/>
        <v>-32.280362526467464</v>
      </c>
      <c r="F453" s="67">
        <f ca="1"/>
        <v>-31.789222740196102</v>
      </c>
      <c r="G453" s="67">
        <f ca="1"/>
        <v>-31.305555555555546</v>
      </c>
      <c r="H453" s="67">
        <f ca="1"/>
        <v>-30.82924727828464</v>
      </c>
      <c r="I453" s="67">
        <f ca="1"/>
        <v>-30.360185943959507</v>
      </c>
      <c r="J453" s="67">
        <f ca="1"/>
        <v>-29.898261291674409</v>
      </c>
      <c r="K453" s="67">
        <f ca="1"/>
        <v>-29.443364738123051</v>
      </c>
      <c r="M453" s="4" t="str">
        <f t="shared" si="31"/>
        <v>$M(2015) per Mtonne</v>
      </c>
    </row>
    <row r="454" spans="1:13" s="7" customFormat="1" x14ac:dyDescent="0.2">
      <c r="A454" s="4" t="str">
        <v>OT Lin</v>
      </c>
      <c r="B454" s="67">
        <f ca="1"/>
        <v>-33.285523490901475</v>
      </c>
      <c r="C454" s="67">
        <f ca="1"/>
        <v>-33.031336369590683</v>
      </c>
      <c r="D454" s="67">
        <f ca="1"/>
        <v>-32.779090365193916</v>
      </c>
      <c r="E454" s="67">
        <f ca="1"/>
        <v>-32.280362526467464</v>
      </c>
      <c r="F454" s="67">
        <f ca="1"/>
        <v>-31.789222740196102</v>
      </c>
      <c r="G454" s="67">
        <f ca="1"/>
        <v>-31.305555555555546</v>
      </c>
      <c r="H454" s="67">
        <f ca="1"/>
        <v>-30.82924727828464</v>
      </c>
      <c r="I454" s="67">
        <f ca="1"/>
        <v>-30.360185943959507</v>
      </c>
      <c r="J454" s="67">
        <f ca="1"/>
        <v>-29.898261291674409</v>
      </c>
      <c r="K454" s="67">
        <f ca="1"/>
        <v>-29.443364738123051</v>
      </c>
      <c r="M454" s="4" t="str">
        <f t="shared" si="31"/>
        <v>$M(2015) per Mtonne</v>
      </c>
    </row>
    <row r="455" spans="1:13" s="7" customFormat="1" x14ac:dyDescent="0.2">
      <c r="A455" s="4" t="str">
        <v>EE Lin</v>
      </c>
      <c r="B455" s="67">
        <f ca="1"/>
        <v>-33.285523490901475</v>
      </c>
      <c r="C455" s="67">
        <f ca="1"/>
        <v>-33.031336369590683</v>
      </c>
      <c r="D455" s="67">
        <f ca="1"/>
        <v>-32.779090365193916</v>
      </c>
      <c r="E455" s="67">
        <f ca="1"/>
        <v>-32.280362526467464</v>
      </c>
      <c r="F455" s="67">
        <f ca="1"/>
        <v>-31.789222740196102</v>
      </c>
      <c r="G455" s="67">
        <f ca="1"/>
        <v>-31.305555555555546</v>
      </c>
      <c r="H455" s="67">
        <f ca="1"/>
        <v>-30.82924727828464</v>
      </c>
      <c r="I455" s="67">
        <f ca="1"/>
        <v>-30.360185943959507</v>
      </c>
      <c r="J455" s="67">
        <f ca="1"/>
        <v>-29.898261291674409</v>
      </c>
      <c r="K455" s="67">
        <f ca="1"/>
        <v>-29.443364738123051</v>
      </c>
      <c r="M455" s="4" t="str">
        <f t="shared" si="31"/>
        <v>$M(2015) per Mtonne</v>
      </c>
    </row>
    <row r="456" spans="1:13" s="7" customFormat="1" x14ac:dyDescent="0.2">
      <c r="A456" s="4" t="str">
        <v>CA Lin</v>
      </c>
      <c r="B456" s="67">
        <f ca="1"/>
        <v>-33.285523490901475</v>
      </c>
      <c r="C456" s="67">
        <f ca="1"/>
        <v>-33.031336369590683</v>
      </c>
      <c r="D456" s="67">
        <f ca="1"/>
        <v>-32.779090365193916</v>
      </c>
      <c r="E456" s="67">
        <f ca="1"/>
        <v>-32.280362526467464</v>
      </c>
      <c r="F456" s="67">
        <f ca="1"/>
        <v>-31.789222740196102</v>
      </c>
      <c r="G456" s="67">
        <f ca="1"/>
        <v>-31.305555555555546</v>
      </c>
      <c r="H456" s="67">
        <f ca="1"/>
        <v>-30.82924727828464</v>
      </c>
      <c r="I456" s="67">
        <f ca="1"/>
        <v>-30.360185943959507</v>
      </c>
      <c r="J456" s="67">
        <f ca="1"/>
        <v>-29.898261291674409</v>
      </c>
      <c r="K456" s="67">
        <f ca="1"/>
        <v>-29.443364738123051</v>
      </c>
      <c r="M456" s="4" t="str">
        <f t="shared" si="31"/>
        <v>$M(2015) per Mtonne</v>
      </c>
    </row>
    <row r="457" spans="1:13" s="7" customFormat="1" x14ac:dyDescent="0.2">
      <c r="A457" s="4" t="str">
        <v>IA Lin</v>
      </c>
      <c r="B457" s="67">
        <f ca="1"/>
        <v>-33.285523490901475</v>
      </c>
      <c r="C457" s="67">
        <f ca="1"/>
        <v>-33.031336369590683</v>
      </c>
      <c r="D457" s="67">
        <f ca="1"/>
        <v>-32.779090365193916</v>
      </c>
      <c r="E457" s="67">
        <f ca="1"/>
        <v>-32.280362526467464</v>
      </c>
      <c r="F457" s="67">
        <f ca="1"/>
        <v>-31.789222740196102</v>
      </c>
      <c r="G457" s="67">
        <f ca="1"/>
        <v>-31.305555555555546</v>
      </c>
      <c r="H457" s="67">
        <f ca="1"/>
        <v>-30.82924727828464</v>
      </c>
      <c r="I457" s="67">
        <f ca="1"/>
        <v>-30.360185943959507</v>
      </c>
      <c r="J457" s="67">
        <f ca="1"/>
        <v>-29.898261291674409</v>
      </c>
      <c r="K457" s="67">
        <f ca="1"/>
        <v>-29.443364738123051</v>
      </c>
      <c r="M457" s="4" t="str">
        <f t="shared" si="31"/>
        <v>$M(2015) per Mtonne</v>
      </c>
    </row>
    <row r="458" spans="1:13" s="7" customFormat="1" x14ac:dyDescent="0.2">
      <c r="A458" s="4" t="str">
        <v>AF Lin</v>
      </c>
      <c r="B458" s="67">
        <f ca="1"/>
        <v>-33.285523490901475</v>
      </c>
      <c r="C458" s="67">
        <f ca="1"/>
        <v>-33.031336369590683</v>
      </c>
      <c r="D458" s="67">
        <f ca="1"/>
        <v>-32.779090365193916</v>
      </c>
      <c r="E458" s="67">
        <f ca="1"/>
        <v>-32.280362526467464</v>
      </c>
      <c r="F458" s="67">
        <f ca="1"/>
        <v>-31.789222740196102</v>
      </c>
      <c r="G458" s="67">
        <f ca="1"/>
        <v>-31.305555555555546</v>
      </c>
      <c r="H458" s="67">
        <f ca="1"/>
        <v>-30.82924727828464</v>
      </c>
      <c r="I458" s="67">
        <f ca="1"/>
        <v>-30.360185943959507</v>
      </c>
      <c r="J458" s="67">
        <f ca="1"/>
        <v>-29.898261291674409</v>
      </c>
      <c r="K458" s="67">
        <f ca="1"/>
        <v>-29.443364738123051</v>
      </c>
      <c r="M458" s="4" t="str">
        <f t="shared" si="31"/>
        <v>$M(2015) per Mtonne</v>
      </c>
    </row>
    <row r="459" spans="1:13" s="7" customFormat="1" ht="13.5" thickBot="1" x14ac:dyDescent="0.25">
      <c r="A459" s="4" t="str">
        <v>LA Lin</v>
      </c>
      <c r="B459" s="68">
        <f ca="1"/>
        <v>-33.285523490901475</v>
      </c>
      <c r="C459" s="68">
        <f ca="1"/>
        <v>-33.031336369590683</v>
      </c>
      <c r="D459" s="68">
        <f ca="1"/>
        <v>-32.779090365193916</v>
      </c>
      <c r="E459" s="68">
        <f ca="1"/>
        <v>-32.280362526467464</v>
      </c>
      <c r="F459" s="68">
        <f ca="1"/>
        <v>-31.789222740196102</v>
      </c>
      <c r="G459" s="68">
        <f ca="1"/>
        <v>-31.305555555555546</v>
      </c>
      <c r="H459" s="68">
        <f ca="1"/>
        <v>-30.82924727828464</v>
      </c>
      <c r="I459" s="68">
        <f ca="1"/>
        <v>-30.360185943959507</v>
      </c>
      <c r="J459" s="68">
        <f ca="1"/>
        <v>-29.898261291674409</v>
      </c>
      <c r="K459" s="68">
        <f ca="1"/>
        <v>-29.443364738123051</v>
      </c>
      <c r="M459" s="4" t="str">
        <f t="shared" si="31"/>
        <v>$M(2015) per Mtonne</v>
      </c>
    </row>
    <row r="460" spans="1:13" s="2" customFormat="1" ht="15" thickTop="1" x14ac:dyDescent="0.25">
      <c r="A460" s="2" t="s">
        <v>332</v>
      </c>
      <c r="B460" s="2" t="s">
        <v>333</v>
      </c>
    </row>
    <row r="461" spans="1:13" s="6" customFormat="1" x14ac:dyDescent="0.2">
      <c r="A461" s="4" t="str">
        <f t="array" ref="A461:A468">R_CODE&amp;" "&amp;'Base data'!$B$12</f>
        <v>EU CO2</v>
      </c>
      <c r="B461" s="37">
        <f t="array" aca="1" ref="B461:K468" ca="1">2*LN((1+CURVE_ABOVE)/(1-CURVE_ABOVE))/(QMAX_CO2-Q0_CO2)</f>
        <v>7.9564612956611468E-4</v>
      </c>
      <c r="C461" s="37">
        <f ca="1"/>
        <v>7.4188884877164282E-4</v>
      </c>
      <c r="D461" s="37">
        <f ca="1"/>
        <v>6.9514156058161924E-4</v>
      </c>
      <c r="E461" s="37">
        <f ca="1"/>
        <v>5.8549565285420354E-4</v>
      </c>
      <c r="F461" s="37">
        <f ca="1"/>
        <v>4.8990512667965354E-4</v>
      </c>
      <c r="G461" s="37">
        <f ca="1"/>
        <v>4.0098687031440657E-4</v>
      </c>
      <c r="H461" s="37">
        <f ca="1"/>
        <v>3.3768233087661632E-4</v>
      </c>
      <c r="I461" s="37">
        <f ca="1"/>
        <v>3.0417753698382539E-4</v>
      </c>
      <c r="J461" s="37">
        <f ca="1"/>
        <v>2.9529384422105913E-4</v>
      </c>
      <c r="K461" s="37">
        <f ca="1"/>
        <v>2.8545141005712908E-4</v>
      </c>
      <c r="M461" s="4" t="str">
        <f t="shared" ref="M461:M468" si="32">"per "&amp;EMIT_NAME</f>
        <v>per Mtonne</v>
      </c>
    </row>
    <row r="462" spans="1:13" s="6" customFormat="1" x14ac:dyDescent="0.2">
      <c r="A462" s="4" t="str">
        <v>US CO2</v>
      </c>
      <c r="B462" s="38">
        <f ca="1"/>
        <v>5.3119629305809261E-4</v>
      </c>
      <c r="C462" s="38">
        <f ca="1"/>
        <v>4.6301734559710614E-4</v>
      </c>
      <c r="D462" s="38">
        <f ca="1"/>
        <v>4.1050926010395843E-4</v>
      </c>
      <c r="E462" s="38">
        <f ca="1"/>
        <v>3.3082143602923011E-4</v>
      </c>
      <c r="F462" s="38">
        <f ca="1"/>
        <v>2.7257903853920173E-4</v>
      </c>
      <c r="G462" s="38">
        <f ca="1"/>
        <v>2.2410462921512424E-4</v>
      </c>
      <c r="H462" s="38">
        <f ca="1"/>
        <v>2.0318587924713117E-4</v>
      </c>
      <c r="I462" s="38">
        <f ca="1"/>
        <v>1.8637898709613165E-4</v>
      </c>
      <c r="J462" s="38">
        <f ca="1"/>
        <v>1.9237457998490587E-4</v>
      </c>
      <c r="K462" s="38">
        <f ca="1"/>
        <v>2.0651845043991851E-4</v>
      </c>
      <c r="M462" s="4" t="str">
        <f t="shared" si="32"/>
        <v>per Mtonne</v>
      </c>
    </row>
    <row r="463" spans="1:13" s="6" customFormat="1" x14ac:dyDescent="0.2">
      <c r="A463" s="4" t="str">
        <v>OT CO2</v>
      </c>
      <c r="B463" s="38">
        <f ca="1"/>
        <v>8.4838904650547608E-4</v>
      </c>
      <c r="C463" s="38">
        <f ca="1"/>
        <v>7.9106822698383789E-4</v>
      </c>
      <c r="D463" s="38">
        <f ca="1"/>
        <v>7.4122208837963416E-4</v>
      </c>
      <c r="E463" s="38">
        <f ca="1"/>
        <v>6.2430781750796296E-4</v>
      </c>
      <c r="F463" s="38">
        <f ca="1"/>
        <v>5.2238065121808491E-4</v>
      </c>
      <c r="G463" s="38">
        <f ca="1"/>
        <v>4.2756805560377692E-4</v>
      </c>
      <c r="H463" s="38">
        <f ca="1"/>
        <v>3.6006709524294043E-4</v>
      </c>
      <c r="I463" s="38">
        <f ca="1"/>
        <v>3.2434128814378668E-4</v>
      </c>
      <c r="J463" s="38">
        <f ca="1"/>
        <v>3.1486870057956267E-4</v>
      </c>
      <c r="K463" s="38">
        <f ca="1"/>
        <v>3.043738172069972E-4</v>
      </c>
      <c r="M463" s="4" t="str">
        <f t="shared" si="32"/>
        <v>per Mtonne</v>
      </c>
    </row>
    <row r="464" spans="1:13" s="6" customFormat="1" x14ac:dyDescent="0.2">
      <c r="A464" s="4" t="str">
        <v>EE CO2</v>
      </c>
      <c r="B464" s="38">
        <f ca="1"/>
        <v>8.6301043733376208E-4</v>
      </c>
      <c r="C464" s="38">
        <f ca="1"/>
        <v>8.0117226903540046E-4</v>
      </c>
      <c r="D464" s="38">
        <f ca="1"/>
        <v>7.4782963666360518E-4</v>
      </c>
      <c r="E464" s="38">
        <f ca="1"/>
        <v>6.090242710333428E-4</v>
      </c>
      <c r="F464" s="38">
        <f ca="1"/>
        <v>4.9735924365718813E-4</v>
      </c>
      <c r="G464" s="38">
        <f ca="1"/>
        <v>4.1475695628030853E-4</v>
      </c>
      <c r="H464" s="38">
        <f ca="1"/>
        <v>3.8359523418033645E-4</v>
      </c>
      <c r="I464" s="38">
        <f ca="1"/>
        <v>3.9949225291884786E-4</v>
      </c>
      <c r="J464" s="38">
        <f ca="1"/>
        <v>4.5181277129245211E-4</v>
      </c>
      <c r="K464" s="38">
        <f ca="1"/>
        <v>5.2252988292703388E-4</v>
      </c>
      <c r="M464" s="4" t="str">
        <f t="shared" si="32"/>
        <v>per Mtonne</v>
      </c>
    </row>
    <row r="465" spans="1:13" s="6" customFormat="1" x14ac:dyDescent="0.2">
      <c r="A465" s="4" t="str">
        <v>CA CO2</v>
      </c>
      <c r="B465" s="38">
        <f ca="1"/>
        <v>2.4847923146297646E-4</v>
      </c>
      <c r="C465" s="38">
        <f ca="1"/>
        <v>2.2295235019169897E-4</v>
      </c>
      <c r="D465" s="38">
        <f ca="1"/>
        <v>2.0225284019026533E-4</v>
      </c>
      <c r="E465" s="38">
        <f ca="1"/>
        <v>1.7145734531018918E-4</v>
      </c>
      <c r="F465" s="38">
        <f ca="1"/>
        <v>1.6006026145272504E-4</v>
      </c>
      <c r="G465" s="38">
        <f ca="1"/>
        <v>1.5130508115512468E-4</v>
      </c>
      <c r="H465" s="38">
        <f ca="1"/>
        <v>1.4895364416710931E-4</v>
      </c>
      <c r="I465" s="38">
        <f ca="1"/>
        <v>1.5910780169433038E-4</v>
      </c>
      <c r="J465" s="38">
        <f ca="1"/>
        <v>1.896812571874784E-4</v>
      </c>
      <c r="K465" s="38">
        <f ca="1"/>
        <v>2.3974822712162424E-4</v>
      </c>
      <c r="M465" s="4" t="str">
        <f t="shared" si="32"/>
        <v>per Mtonne</v>
      </c>
    </row>
    <row r="466" spans="1:13" s="6" customFormat="1" x14ac:dyDescent="0.2">
      <c r="A466" s="4" t="str">
        <v>IA CO2</v>
      </c>
      <c r="B466" s="38">
        <f ca="1"/>
        <v>4.1164529114514964E-4</v>
      </c>
      <c r="C466" s="38">
        <f ca="1"/>
        <v>3.3892084340162462E-4</v>
      </c>
      <c r="D466" s="38">
        <f ca="1"/>
        <v>2.8816648001981526E-4</v>
      </c>
      <c r="E466" s="38">
        <f ca="1"/>
        <v>2.0297875993132913E-4</v>
      </c>
      <c r="F466" s="38">
        <f ca="1"/>
        <v>1.4817652786064435E-4</v>
      </c>
      <c r="G466" s="38">
        <f ca="1"/>
        <v>1.1464348782792773E-4</v>
      </c>
      <c r="H466" s="38">
        <f ca="1"/>
        <v>9.3762473548141822E-5</v>
      </c>
      <c r="I466" s="38">
        <f ca="1"/>
        <v>8.1130635627932901E-5</v>
      </c>
      <c r="J466" s="38">
        <f ca="1"/>
        <v>7.8563805815319514E-5</v>
      </c>
      <c r="K466" s="38">
        <f ca="1"/>
        <v>8.1159098105397571E-5</v>
      </c>
      <c r="M466" s="4" t="str">
        <f t="shared" si="32"/>
        <v>per Mtonne</v>
      </c>
    </row>
    <row r="467" spans="1:13" s="6" customFormat="1" x14ac:dyDescent="0.2">
      <c r="A467" s="4" t="str">
        <v>AF CO2</v>
      </c>
      <c r="B467" s="38">
        <f ca="1"/>
        <v>4.237840317435799E-4</v>
      </c>
      <c r="C467" s="38">
        <f ca="1"/>
        <v>3.6229228136702393E-4</v>
      </c>
      <c r="D467" s="38">
        <f ca="1"/>
        <v>3.1651554740249043E-4</v>
      </c>
      <c r="E467" s="38">
        <f ca="1"/>
        <v>2.1138115138128889E-4</v>
      </c>
      <c r="F467" s="38">
        <f ca="1"/>
        <v>1.4034728982057835E-4</v>
      </c>
      <c r="G467" s="38">
        <f ca="1"/>
        <v>9.5788769229896128E-5</v>
      </c>
      <c r="H467" s="38">
        <f ca="1"/>
        <v>7.2038261386166947E-5</v>
      </c>
      <c r="I467" s="38">
        <f ca="1"/>
        <v>5.8877545953771651E-5</v>
      </c>
      <c r="J467" s="38">
        <f ca="1"/>
        <v>5.4475187441471621E-5</v>
      </c>
      <c r="K467" s="38">
        <f ca="1"/>
        <v>5.3071009670998391E-5</v>
      </c>
      <c r="M467" s="4" t="str">
        <f t="shared" si="32"/>
        <v>per Mtonne</v>
      </c>
    </row>
    <row r="468" spans="1:13" s="6" customFormat="1" ht="13.5" thickBot="1" x14ac:dyDescent="0.25">
      <c r="A468" s="4" t="str">
        <v>LA CO2</v>
      </c>
      <c r="B468" s="39">
        <f ca="1"/>
        <v>7.9474853182055847E-4</v>
      </c>
      <c r="C468" s="39">
        <f ca="1"/>
        <v>6.6000389603475902E-4</v>
      </c>
      <c r="D468" s="39">
        <f ca="1"/>
        <v>5.6457918026534438E-4</v>
      </c>
      <c r="E468" s="39">
        <f ca="1"/>
        <v>4.246379997988725E-4</v>
      </c>
      <c r="F468" s="39">
        <f ca="1"/>
        <v>3.5199652207838501E-4</v>
      </c>
      <c r="G468" s="39">
        <f ca="1"/>
        <v>3.0910282822125938E-4</v>
      </c>
      <c r="H468" s="39">
        <f ca="1"/>
        <v>2.8240797136524625E-4</v>
      </c>
      <c r="I468" s="39">
        <f ca="1"/>
        <v>2.7370948532088327E-4</v>
      </c>
      <c r="J468" s="39">
        <f ca="1"/>
        <v>2.8395488547989177E-4</v>
      </c>
      <c r="K468" s="39">
        <f ca="1"/>
        <v>2.9780793381236888E-4</v>
      </c>
      <c r="M468" s="4" t="str">
        <f t="shared" si="32"/>
        <v>per Mtonne</v>
      </c>
    </row>
    <row r="469" spans="1:13" s="2" customFormat="1" ht="15" thickTop="1" x14ac:dyDescent="0.25">
      <c r="A469" s="2" t="s">
        <v>332</v>
      </c>
      <c r="B469" s="2" t="s">
        <v>334</v>
      </c>
    </row>
    <row r="470" spans="1:13" s="7" customFormat="1" x14ac:dyDescent="0.2">
      <c r="A470" s="4" t="str">
        <f t="array" ref="A470:A477">R_CODE&amp;" "&amp;'Base data'!$C$12</f>
        <v>EU CH4</v>
      </c>
      <c r="B470" s="29">
        <f t="array" aca="1" ref="B470:K477" ca="1">2*LN((1+CURVE_ABOVE)/(1-CURVE_ABOVE))/(QMAX_CH4-Q0_CH4)</f>
        <v>0.16519037282138915</v>
      </c>
      <c r="C470" s="29">
        <f ca="1"/>
        <v>0.15594062416053184</v>
      </c>
      <c r="D470" s="29">
        <f ca="1"/>
        <v>0.14782216250649124</v>
      </c>
      <c r="E470" s="29">
        <f ca="1"/>
        <v>0.12686132709170966</v>
      </c>
      <c r="F470" s="29">
        <f ca="1"/>
        <v>0.11313968644922202</v>
      </c>
      <c r="G470" s="29">
        <f ca="1"/>
        <v>0.11085020283815199</v>
      </c>
      <c r="H470" s="29">
        <f ca="1"/>
        <v>0.10711210235844076</v>
      </c>
      <c r="I470" s="29">
        <f ca="1"/>
        <v>0.10721513686293582</v>
      </c>
      <c r="J470" s="29">
        <f ca="1"/>
        <v>9.5187569744420275E-2</v>
      </c>
      <c r="K470" s="29">
        <f ca="1"/>
        <v>0.10641704838823357</v>
      </c>
      <c r="M470" s="4" t="str">
        <f t="shared" ref="M470:M477" si="33">"per "&amp;EMIT_NAME</f>
        <v>per Mtonne</v>
      </c>
    </row>
    <row r="471" spans="1:13" s="7" customFormat="1" x14ac:dyDescent="0.2">
      <c r="A471" s="4" t="str">
        <v>US CH4</v>
      </c>
      <c r="B471" s="26">
        <f ca="1"/>
        <v>0.11629662607302894</v>
      </c>
      <c r="C471" s="26">
        <f ca="1"/>
        <v>0.10795645988992536</v>
      </c>
      <c r="D471" s="26">
        <f ca="1"/>
        <v>0.10085190000898725</v>
      </c>
      <c r="E471" s="26">
        <f ca="1"/>
        <v>8.6192198819834615E-2</v>
      </c>
      <c r="F471" s="26">
        <f ca="1"/>
        <v>7.5571027362213467E-2</v>
      </c>
      <c r="G471" s="26">
        <f ca="1"/>
        <v>7.2925134812632172E-2</v>
      </c>
      <c r="H471" s="26">
        <f ca="1"/>
        <v>7.7487496440451484E-2</v>
      </c>
      <c r="I471" s="26">
        <f ca="1"/>
        <v>7.5834185305306834E-2</v>
      </c>
      <c r="J471" s="26">
        <f ca="1"/>
        <v>7.6158033707101072E-2</v>
      </c>
      <c r="K471" s="26">
        <f ca="1"/>
        <v>8.0612754046931814E-2</v>
      </c>
      <c r="M471" s="4" t="str">
        <f t="shared" si="33"/>
        <v>per Mtonne</v>
      </c>
    </row>
    <row r="472" spans="1:13" s="7" customFormat="1" x14ac:dyDescent="0.2">
      <c r="A472" s="4" t="str">
        <v>OT CH4</v>
      </c>
      <c r="B472" s="26">
        <f ca="1"/>
        <v>0.21105043545894794</v>
      </c>
      <c r="C472" s="26">
        <f ca="1"/>
        <v>0.20438840380697668</v>
      </c>
      <c r="D472" s="26">
        <f ca="1"/>
        <v>0.19828225273292513</v>
      </c>
      <c r="E472" s="26">
        <f ca="1"/>
        <v>0.16415401143265415</v>
      </c>
      <c r="F472" s="26">
        <f ca="1"/>
        <v>0.14232735424270396</v>
      </c>
      <c r="G472" s="26">
        <f ca="1"/>
        <v>0.13638247687053573</v>
      </c>
      <c r="H472" s="26">
        <f ca="1"/>
        <v>0.15080268155607301</v>
      </c>
      <c r="I472" s="26">
        <f ca="1"/>
        <v>0.16961338357464623</v>
      </c>
      <c r="J472" s="26">
        <f ca="1"/>
        <v>0.17488194888029027</v>
      </c>
      <c r="K472" s="26">
        <f ca="1"/>
        <v>0.12882029385912699</v>
      </c>
      <c r="M472" s="4" t="str">
        <f t="shared" si="33"/>
        <v>per Mtonne</v>
      </c>
    </row>
    <row r="473" spans="1:13" s="7" customFormat="1" x14ac:dyDescent="0.2">
      <c r="A473" s="4" t="str">
        <v>EE CH4</v>
      </c>
      <c r="B473" s="26">
        <f ca="1"/>
        <v>8.2757571946898978E-2</v>
      </c>
      <c r="C473" s="26">
        <f ca="1"/>
        <v>7.9587991883553519E-2</v>
      </c>
      <c r="D473" s="26">
        <f ca="1"/>
        <v>7.6715370509479422E-2</v>
      </c>
      <c r="E473" s="26">
        <f ca="1"/>
        <v>6.7175129485244373E-2</v>
      </c>
      <c r="F473" s="26">
        <f ca="1"/>
        <v>5.7935391585762039E-2</v>
      </c>
      <c r="G473" s="26">
        <f ca="1"/>
        <v>5.1401839197165018E-2</v>
      </c>
      <c r="H473" s="26">
        <f ca="1"/>
        <v>4.6465257615674903E-2</v>
      </c>
      <c r="I473" s="26">
        <f ca="1"/>
        <v>4.2884153263620751E-2</v>
      </c>
      <c r="J473" s="26">
        <f ca="1"/>
        <v>4.2583443236595325E-2</v>
      </c>
      <c r="K473" s="26">
        <f ca="1"/>
        <v>4.4208939165393403E-2</v>
      </c>
      <c r="M473" s="4" t="str">
        <f t="shared" si="33"/>
        <v>per Mtonne</v>
      </c>
    </row>
    <row r="474" spans="1:13" s="7" customFormat="1" x14ac:dyDescent="0.2">
      <c r="A474" s="4" t="str">
        <v>CA CH4</v>
      </c>
      <c r="B474" s="26">
        <f ca="1"/>
        <v>5.3113308318172653E-2</v>
      </c>
      <c r="C474" s="26">
        <f ca="1"/>
        <v>5.9458278897109904E-2</v>
      </c>
      <c r="D474" s="26">
        <f ca="1"/>
        <v>6.7440338522740034E-2</v>
      </c>
      <c r="E474" s="26">
        <f ca="1"/>
        <v>7.0894786603278831E-2</v>
      </c>
      <c r="F474" s="26">
        <f ca="1"/>
        <v>7.721113258176994E-2</v>
      </c>
      <c r="G474" s="26">
        <f ca="1"/>
        <v>8.0438126696876819E-2</v>
      </c>
      <c r="H474" s="26">
        <f ca="1"/>
        <v>8.4253451560596562E-2</v>
      </c>
      <c r="I474" s="26">
        <f ca="1"/>
        <v>0.10401437400769617</v>
      </c>
      <c r="J474" s="26">
        <f ca="1"/>
        <v>0.12424900135166175</v>
      </c>
      <c r="K474" s="26">
        <f ca="1"/>
        <v>0.1476620661659328</v>
      </c>
      <c r="M474" s="4" t="str">
        <f t="shared" si="33"/>
        <v>per Mtonne</v>
      </c>
    </row>
    <row r="475" spans="1:13" s="7" customFormat="1" x14ac:dyDescent="0.2">
      <c r="A475" s="4" t="str">
        <v>IA CH4</v>
      </c>
      <c r="B475" s="26">
        <f ca="1"/>
        <v>4.0393889059883441E-2</v>
      </c>
      <c r="C475" s="26">
        <f ca="1"/>
        <v>3.9852768282064049E-2</v>
      </c>
      <c r="D475" s="26">
        <f ca="1"/>
        <v>3.9347125927955598E-2</v>
      </c>
      <c r="E475" s="26">
        <f ca="1"/>
        <v>3.7762164538712506E-2</v>
      </c>
      <c r="F475" s="26">
        <f ca="1"/>
        <v>3.6441278523127008E-2</v>
      </c>
      <c r="G475" s="26">
        <f ca="1"/>
        <v>4.7025648843310466E-2</v>
      </c>
      <c r="H475" s="26">
        <f ca="1"/>
        <v>5.7321558752551884E-2</v>
      </c>
      <c r="I475" s="26">
        <f ca="1"/>
        <v>7.5172255278623493E-2</v>
      </c>
      <c r="J475" s="26">
        <f ca="1"/>
        <v>8.8175280507913123E-2</v>
      </c>
      <c r="K475" s="26">
        <f ca="1"/>
        <v>0.10265811391095232</v>
      </c>
      <c r="M475" s="4" t="str">
        <f t="shared" si="33"/>
        <v>per Mtonne</v>
      </c>
    </row>
    <row r="476" spans="1:13" s="7" customFormat="1" x14ac:dyDescent="0.2">
      <c r="A476" s="4" t="str">
        <v>AF CH4</v>
      </c>
      <c r="B476" s="26">
        <f ca="1"/>
        <v>3.9812195442633896E-2</v>
      </c>
      <c r="C476" s="26">
        <f ca="1"/>
        <v>3.1372561727737211E-2</v>
      </c>
      <c r="D476" s="26">
        <f ca="1"/>
        <v>2.5949697506977176E-2</v>
      </c>
      <c r="E476" s="26">
        <f ca="1"/>
        <v>1.8075139311289429E-2</v>
      </c>
      <c r="F476" s="26">
        <f ca="1"/>
        <v>1.5334892026242244E-2</v>
      </c>
      <c r="G476" s="26">
        <f ca="1"/>
        <v>1.4283563591740912E-2</v>
      </c>
      <c r="H476" s="26">
        <f ca="1"/>
        <v>1.3866582761475026E-2</v>
      </c>
      <c r="I476" s="26">
        <f ca="1"/>
        <v>1.4564293318819978E-2</v>
      </c>
      <c r="J476" s="26">
        <f ca="1"/>
        <v>1.7753565913855823E-2</v>
      </c>
      <c r="K476" s="26">
        <f ca="1"/>
        <v>2.0584594261555695E-2</v>
      </c>
      <c r="M476" s="4" t="str">
        <f t="shared" si="33"/>
        <v>per Mtonne</v>
      </c>
    </row>
    <row r="477" spans="1:13" s="7" customFormat="1" ht="13.5" thickBot="1" x14ac:dyDescent="0.25">
      <c r="A477" s="4" t="str">
        <v>LA CH4</v>
      </c>
      <c r="B477" s="35">
        <f ca="1"/>
        <v>4.9261758085190135E-2</v>
      </c>
      <c r="C477" s="35">
        <f ca="1"/>
        <v>4.6886834163777313E-2</v>
      </c>
      <c r="D477" s="35">
        <f ca="1"/>
        <v>4.4772117400834387E-2</v>
      </c>
      <c r="E477" s="35">
        <f ca="1"/>
        <v>4.3172173676046248E-2</v>
      </c>
      <c r="F477" s="35">
        <f ca="1"/>
        <v>5.2498057925189717E-2</v>
      </c>
      <c r="G477" s="35">
        <f ca="1"/>
        <v>5.67929640871652E-2</v>
      </c>
      <c r="H477" s="35">
        <f ca="1"/>
        <v>5.9954574365416895E-2</v>
      </c>
      <c r="I477" s="35">
        <f ca="1"/>
        <v>6.6042699911087036E-2</v>
      </c>
      <c r="J477" s="35">
        <f ca="1"/>
        <v>8.3754080092208791E-2</v>
      </c>
      <c r="K477" s="35">
        <f ca="1"/>
        <v>9.6503678626811001E-2</v>
      </c>
      <c r="M477" s="4" t="str">
        <f t="shared" si="33"/>
        <v>per Mtonne</v>
      </c>
    </row>
    <row r="478" spans="1:13" s="2" customFormat="1" ht="15" thickTop="1" x14ac:dyDescent="0.25">
      <c r="A478" s="2" t="s">
        <v>332</v>
      </c>
      <c r="B478" s="2" t="s">
        <v>335</v>
      </c>
    </row>
    <row r="479" spans="1:13" s="7" customFormat="1" x14ac:dyDescent="0.2">
      <c r="A479" s="4" t="str">
        <f t="array" ref="A479:A486">R_CODE&amp;" "&amp;'Base data'!$D$12</f>
        <v>EU N2O</v>
      </c>
      <c r="B479" s="29">
        <f t="array" aca="1" ref="B479:K486" ca="1">2*LN((1+CURVE_ABOVE)/(1-CURVE_ABOVE))/(QMAX_N2O-Q0_N2O)</f>
        <v>2.2231691112877829</v>
      </c>
      <c r="C479" s="29">
        <f ca="1"/>
        <v>2.1225126956339708</v>
      </c>
      <c r="D479" s="29">
        <f ca="1"/>
        <v>2.0293013993501936</v>
      </c>
      <c r="E479" s="29">
        <f ca="1"/>
        <v>1.8873881741270602</v>
      </c>
      <c r="F479" s="29">
        <f ca="1"/>
        <v>1.8866987923071743</v>
      </c>
      <c r="G479" s="29">
        <f ca="1"/>
        <v>1.8200917617446279</v>
      </c>
      <c r="H479" s="29">
        <f ca="1"/>
        <v>1.7916355386599792</v>
      </c>
      <c r="I479" s="29">
        <f ca="1"/>
        <v>1.7563639824205695</v>
      </c>
      <c r="J479" s="29">
        <f ca="1"/>
        <v>1.7634202128878589</v>
      </c>
      <c r="K479" s="29">
        <f ca="1"/>
        <v>1.8040097803486246</v>
      </c>
      <c r="M479" s="4" t="str">
        <f t="shared" ref="M479:M486" si="34">"per "&amp;EMIT_NAME</f>
        <v>per Mtonne</v>
      </c>
    </row>
    <row r="480" spans="1:13" s="7" customFormat="1" x14ac:dyDescent="0.2">
      <c r="A480" s="4" t="str">
        <v>US N2O</v>
      </c>
      <c r="B480" s="26">
        <f ca="1"/>
        <v>2.5205447354364998</v>
      </c>
      <c r="C480" s="26">
        <f ca="1"/>
        <v>2.4064243128038001</v>
      </c>
      <c r="D480" s="26">
        <f ca="1"/>
        <v>2.3007448838577971</v>
      </c>
      <c r="E480" s="26">
        <f ca="1"/>
        <v>2.1398490568562312</v>
      </c>
      <c r="F480" s="26">
        <f ca="1"/>
        <v>2.1390674619213268</v>
      </c>
      <c r="G480" s="26">
        <f ca="1"/>
        <v>2.0635509394152023</v>
      </c>
      <c r="H480" s="26">
        <f ca="1"/>
        <v>2.0312883540265134</v>
      </c>
      <c r="I480" s="26">
        <f ca="1"/>
        <v>1.9912988026520797</v>
      </c>
      <c r="J480" s="26">
        <f ca="1"/>
        <v>1.9992988888650673</v>
      </c>
      <c r="K480" s="26">
        <f ca="1"/>
        <v>2.0453177994631981</v>
      </c>
      <c r="M480" s="4" t="str">
        <f t="shared" si="34"/>
        <v>per Mtonne</v>
      </c>
    </row>
    <row r="481" spans="1:13" s="7" customFormat="1" x14ac:dyDescent="0.2">
      <c r="A481" s="4" t="str">
        <v>OT N2O</v>
      </c>
      <c r="B481" s="26">
        <f ca="1"/>
        <v>4.6892552413331021</v>
      </c>
      <c r="C481" s="26">
        <f ca="1"/>
        <v>4.4769440760322166</v>
      </c>
      <c r="D481" s="26">
        <f ca="1"/>
        <v>4.2803366486300947</v>
      </c>
      <c r="E481" s="26">
        <f ca="1"/>
        <v>3.9810038935044219</v>
      </c>
      <c r="F481" s="26">
        <f ca="1"/>
        <v>3.9795498038016786</v>
      </c>
      <c r="G481" s="26">
        <f ca="1"/>
        <v>3.8390578522046495</v>
      </c>
      <c r="H481" s="26">
        <f ca="1"/>
        <v>3.7790361055139812</v>
      </c>
      <c r="I481" s="26">
        <f ca="1"/>
        <v>3.7046390076387681</v>
      </c>
      <c r="J481" s="26">
        <f ca="1"/>
        <v>3.7195224753582461</v>
      </c>
      <c r="K481" s="26">
        <f ca="1"/>
        <v>3.805136674022866</v>
      </c>
      <c r="M481" s="4" t="str">
        <f t="shared" si="34"/>
        <v>per Mtonne</v>
      </c>
    </row>
    <row r="482" spans="1:13" s="7" customFormat="1" x14ac:dyDescent="0.2">
      <c r="A482" s="4" t="str">
        <v>EE N2O</v>
      </c>
      <c r="B482" s="26">
        <f ca="1"/>
        <v>6.840719735190925</v>
      </c>
      <c r="C482" s="26">
        <f ca="1"/>
        <v>6.5309986592995095</v>
      </c>
      <c r="D482" s="26">
        <f ca="1"/>
        <v>6.2441863107500062</v>
      </c>
      <c r="E482" s="26">
        <f ca="1"/>
        <v>5.807517505151969</v>
      </c>
      <c r="F482" s="26">
        <f ca="1"/>
        <v>5.8053962684919096</v>
      </c>
      <c r="G482" s="26">
        <f ca="1"/>
        <v>5.6004455851821078</v>
      </c>
      <c r="H482" s="26">
        <f ca="1"/>
        <v>5.5128854234940965</v>
      </c>
      <c r="I482" s="26">
        <f ca="1"/>
        <v>5.4043543946880765</v>
      </c>
      <c r="J482" s="26">
        <f ca="1"/>
        <v>5.426066505911896</v>
      </c>
      <c r="K482" s="26">
        <f ca="1"/>
        <v>5.5509611231328462</v>
      </c>
      <c r="M482" s="4" t="str">
        <f t="shared" si="34"/>
        <v>per Mtonne</v>
      </c>
    </row>
    <row r="483" spans="1:13" s="7" customFormat="1" x14ac:dyDescent="0.2">
      <c r="A483" s="4" t="str">
        <v>CA N2O</v>
      </c>
      <c r="B483" s="26">
        <f ca="1"/>
        <v>1.3018794288287741</v>
      </c>
      <c r="C483" s="26">
        <f ca="1"/>
        <v>1.2429354122652163</v>
      </c>
      <c r="D483" s="26">
        <f ca="1"/>
        <v>1.1883512294650063</v>
      </c>
      <c r="E483" s="26">
        <f ca="1"/>
        <v>1.1052473811528447</v>
      </c>
      <c r="F483" s="26">
        <f ca="1"/>
        <v>1.1048436817647231</v>
      </c>
      <c r="G483" s="26">
        <f ca="1"/>
        <v>1.065838856416768</v>
      </c>
      <c r="H483" s="26">
        <f ca="1"/>
        <v>1.0491749997321962</v>
      </c>
      <c r="I483" s="26">
        <f ca="1"/>
        <v>1.028520109711587</v>
      </c>
      <c r="J483" s="26">
        <f ca="1"/>
        <v>1.0326522116033396</v>
      </c>
      <c r="K483" s="26">
        <f ca="1"/>
        <v>1.0564213088950971</v>
      </c>
      <c r="M483" s="4" t="str">
        <f t="shared" si="34"/>
        <v>per Mtonne</v>
      </c>
    </row>
    <row r="484" spans="1:13" s="7" customFormat="1" x14ac:dyDescent="0.2">
      <c r="A484" s="4" t="str">
        <v>IA N2O</v>
      </c>
      <c r="B484" s="26">
        <f ca="1"/>
        <v>2.7214977981557054</v>
      </c>
      <c r="C484" s="26">
        <f ca="1"/>
        <v>2.5982790055855722</v>
      </c>
      <c r="D484" s="26">
        <f ca="1"/>
        <v>2.4841741737436998</v>
      </c>
      <c r="E484" s="26">
        <f ca="1"/>
        <v>2.3104507588163417</v>
      </c>
      <c r="F484" s="26">
        <f ca="1"/>
        <v>2.3096068504085729</v>
      </c>
      <c r="G484" s="26">
        <f ca="1"/>
        <v>2.2280696942393519</v>
      </c>
      <c r="H484" s="26">
        <f ca="1"/>
        <v>2.1932349405197669</v>
      </c>
      <c r="I484" s="26">
        <f ca="1"/>
        <v>2.1500571803774111</v>
      </c>
      <c r="J484" s="26">
        <f ca="1"/>
        <v>2.1586950818229216</v>
      </c>
      <c r="K484" s="26">
        <f ca="1"/>
        <v>2.2083828981530882</v>
      </c>
      <c r="M484" s="4" t="str">
        <f t="shared" si="34"/>
        <v>per Mtonne</v>
      </c>
    </row>
    <row r="485" spans="1:13" s="7" customFormat="1" x14ac:dyDescent="0.2">
      <c r="A485" s="4" t="str">
        <v>AF N2O</v>
      </c>
      <c r="B485" s="26">
        <f ca="1"/>
        <v>1.5510710857622034</v>
      </c>
      <c r="C485" s="26">
        <f ca="1"/>
        <v>1.480844644091891</v>
      </c>
      <c r="D485" s="26">
        <f ca="1"/>
        <v>1.4158125483335828</v>
      </c>
      <c r="E485" s="26">
        <f ca="1"/>
        <v>1.3168018616461639</v>
      </c>
      <c r="F485" s="26">
        <f ca="1"/>
        <v>1.3163208904944661</v>
      </c>
      <c r="G485" s="26">
        <f ca="1"/>
        <v>1.2698501840198693</v>
      </c>
      <c r="H485" s="26">
        <f ca="1"/>
        <v>1.2499967124092317</v>
      </c>
      <c r="I485" s="26">
        <f ca="1"/>
        <v>1.2253882870964614</v>
      </c>
      <c r="J485" s="26">
        <f ca="1"/>
        <v>1.2303113111690418</v>
      </c>
      <c r="K485" s="26">
        <f ca="1"/>
        <v>1.2586300315724215</v>
      </c>
      <c r="M485" s="4" t="str">
        <f t="shared" si="34"/>
        <v>per Mtonne</v>
      </c>
    </row>
    <row r="486" spans="1:13" s="7" customFormat="1" ht="13.5" thickBot="1" x14ac:dyDescent="0.25">
      <c r="A486" s="4" t="str">
        <v>LA N2O</v>
      </c>
      <c r="B486" s="35">
        <f ca="1"/>
        <v>1.6125488854382337</v>
      </c>
      <c r="C486" s="35">
        <f ca="1"/>
        <v>1.5395389690757573</v>
      </c>
      <c r="D486" s="35">
        <f ca="1"/>
        <v>1.4719292801998665</v>
      </c>
      <c r="E486" s="35">
        <f ca="1"/>
        <v>1.3689942349077198</v>
      </c>
      <c r="F486" s="35">
        <f ca="1"/>
        <v>1.3684942001241964</v>
      </c>
      <c r="G486" s="35">
        <f ca="1"/>
        <v>1.320181594326175</v>
      </c>
      <c r="H486" s="35">
        <f ca="1"/>
        <v>1.2995412163243631</v>
      </c>
      <c r="I486" s="35">
        <f ca="1"/>
        <v>1.2739574186668894</v>
      </c>
      <c r="J486" s="35">
        <f ca="1"/>
        <v>1.2790755702810201</v>
      </c>
      <c r="K486" s="35">
        <f ca="1"/>
        <v>1.308516723199596</v>
      </c>
      <c r="M486" s="4" t="str">
        <f t="shared" si="34"/>
        <v>per Mtonne</v>
      </c>
    </row>
    <row r="487" spans="1:13" s="2" customFormat="1" ht="15" thickTop="1" x14ac:dyDescent="0.25">
      <c r="A487" s="2" t="s">
        <v>332</v>
      </c>
      <c r="B487" s="2" t="s">
        <v>336</v>
      </c>
    </row>
    <row r="488" spans="1:13" s="7" customFormat="1" x14ac:dyDescent="0.2">
      <c r="A488" s="4" t="str">
        <f t="array" ref="A488:A495">R_CODE&amp;" "&amp;GLIN_NAME</f>
        <v>EU Lin</v>
      </c>
      <c r="B488" s="66">
        <f t="array" aca="1" ref="B488:K495" ca="1">2*LN((1+CURVE_ABOVE)/(1-CURVE_ABOVE))/(QMAX_GLIN-Q0_GLIN)</f>
        <v>2.3354249357778238E-2</v>
      </c>
      <c r="C488" s="66">
        <f ca="1"/>
        <v>2.2212170046877481E-2</v>
      </c>
      <c r="D488" s="66">
        <f ca="1"/>
        <v>2.1155168293383899E-2</v>
      </c>
      <c r="E488" s="66">
        <f ca="1"/>
        <v>1.9956019107165435E-2</v>
      </c>
      <c r="F488" s="66">
        <f ca="1"/>
        <v>1.7719167621375612E-2</v>
      </c>
      <c r="G488" s="66">
        <f ca="1"/>
        <v>1.5422010521091918E-2</v>
      </c>
      <c r="H488" s="66">
        <f ca="1"/>
        <v>1.3294802892037791E-2</v>
      </c>
      <c r="I488" s="66">
        <f ca="1"/>
        <v>1.2348901809375827E-2</v>
      </c>
      <c r="J488" s="66">
        <f ca="1"/>
        <v>1.2550478778641076E-2</v>
      </c>
      <c r="K488" s="66">
        <f ca="1"/>
        <v>1.2839074537772934E-2</v>
      </c>
      <c r="M488" s="4" t="str">
        <f t="shared" ref="M488:M495" si="35">"per "&amp;EMIT_NAME</f>
        <v>per Mtonne</v>
      </c>
    </row>
    <row r="489" spans="1:13" s="7" customFormat="1" x14ac:dyDescent="0.2">
      <c r="A489" s="4" t="str">
        <v>US Lin</v>
      </c>
      <c r="B489" s="67">
        <f ca="1"/>
        <v>8.9713216578703337E-3</v>
      </c>
      <c r="C489" s="67">
        <f ca="1"/>
        <v>8.5326023181936279E-3</v>
      </c>
      <c r="D489" s="67">
        <f ca="1"/>
        <v>8.1265647454053756E-3</v>
      </c>
      <c r="E489" s="67">
        <f ca="1"/>
        <v>7.6659225341944078E-3</v>
      </c>
      <c r="F489" s="67">
        <f ca="1"/>
        <v>6.8066564592082672E-3</v>
      </c>
      <c r="G489" s="67">
        <f ca="1"/>
        <v>5.9242245330268367E-3</v>
      </c>
      <c r="H489" s="67">
        <f ca="1"/>
        <v>5.1070771445168167E-3</v>
      </c>
      <c r="I489" s="67">
        <f ca="1"/>
        <v>4.7437178800383813E-3</v>
      </c>
      <c r="J489" s="67">
        <f ca="1"/>
        <v>4.8211518323094636E-3</v>
      </c>
      <c r="K489" s="67">
        <f ca="1"/>
        <v>4.9320132581941239E-3</v>
      </c>
      <c r="M489" s="4" t="str">
        <f t="shared" si="35"/>
        <v>per Mtonne</v>
      </c>
    </row>
    <row r="490" spans="1:13" s="7" customFormat="1" x14ac:dyDescent="0.2">
      <c r="A490" s="4" t="str">
        <v>OT Lin</v>
      </c>
      <c r="B490" s="67">
        <f ca="1"/>
        <v>2.4908986611056609E-2</v>
      </c>
      <c r="C490" s="67">
        <f ca="1"/>
        <v>2.3690876886004918E-2</v>
      </c>
      <c r="D490" s="67">
        <f ca="1"/>
        <v>2.2563508494827491E-2</v>
      </c>
      <c r="E490" s="67">
        <f ca="1"/>
        <v>2.1284529643202491E-2</v>
      </c>
      <c r="F490" s="67">
        <f ca="1"/>
        <v>1.8898766656052415E-2</v>
      </c>
      <c r="G490" s="67">
        <f ca="1"/>
        <v>1.6448683393778654E-2</v>
      </c>
      <c r="H490" s="67">
        <f ca="1"/>
        <v>1.4179863465580049E-2</v>
      </c>
      <c r="I490" s="67">
        <f ca="1"/>
        <v>1.3170991930363545E-2</v>
      </c>
      <c r="J490" s="67">
        <f ca="1"/>
        <v>1.3385988265788608E-2</v>
      </c>
      <c r="K490" s="67">
        <f ca="1"/>
        <v>1.3693796399122127E-2</v>
      </c>
      <c r="M490" s="4" t="str">
        <f t="shared" si="35"/>
        <v>per Mtonne</v>
      </c>
    </row>
    <row r="491" spans="1:13" s="7" customFormat="1" x14ac:dyDescent="0.2">
      <c r="A491" s="4" t="str">
        <v>EE Lin</v>
      </c>
      <c r="B491" s="67">
        <f ca="1"/>
        <v>6.9650574506620391E-2</v>
      </c>
      <c r="C491" s="67">
        <f ca="1"/>
        <v>6.6244492858790846E-2</v>
      </c>
      <c r="D491" s="67">
        <f ca="1"/>
        <v>6.3092142369700385E-2</v>
      </c>
      <c r="E491" s="67">
        <f ca="1"/>
        <v>5.9515858308511103E-2</v>
      </c>
      <c r="F491" s="67">
        <f ca="1"/>
        <v>5.2844781508547101E-2</v>
      </c>
      <c r="G491" s="67">
        <f ca="1"/>
        <v>4.5993852184482431E-2</v>
      </c>
      <c r="H491" s="67">
        <f ca="1"/>
        <v>3.9649771876495994E-2</v>
      </c>
      <c r="I491" s="67">
        <f ca="1"/>
        <v>3.6828762610706965E-2</v>
      </c>
      <c r="J491" s="67">
        <f ca="1"/>
        <v>3.7429935934736397E-2</v>
      </c>
      <c r="K491" s="67">
        <f ca="1"/>
        <v>3.8290629854535352E-2</v>
      </c>
      <c r="M491" s="4" t="str">
        <f t="shared" si="35"/>
        <v>per Mtonne</v>
      </c>
    </row>
    <row r="492" spans="1:13" s="7" customFormat="1" x14ac:dyDescent="0.2">
      <c r="A492" s="4" t="str">
        <v>CA Lin</v>
      </c>
      <c r="B492" s="67">
        <f ca="1"/>
        <v>2.2439367608075089E-2</v>
      </c>
      <c r="C492" s="67">
        <f ca="1"/>
        <v>2.1342028228749508E-2</v>
      </c>
      <c r="D492" s="67">
        <f ca="1"/>
        <v>2.0326433569907567E-2</v>
      </c>
      <c r="E492" s="67">
        <f ca="1"/>
        <v>1.917425997638899E-2</v>
      </c>
      <c r="F492" s="67">
        <f ca="1"/>
        <v>1.7025035139171536E-2</v>
      </c>
      <c r="G492" s="67">
        <f ca="1"/>
        <v>1.4817867105761901E-2</v>
      </c>
      <c r="H492" s="67">
        <f ca="1"/>
        <v>1.2773990925637548E-2</v>
      </c>
      <c r="I492" s="67">
        <f ca="1"/>
        <v>1.1865144668600442E-2</v>
      </c>
      <c r="J492" s="67">
        <f ca="1"/>
        <v>1.2058825041082978E-2</v>
      </c>
      <c r="K492" s="67">
        <f ca="1"/>
        <v>1.2336115320469949E-2</v>
      </c>
      <c r="M492" s="4" t="str">
        <f t="shared" si="35"/>
        <v>per Mtonne</v>
      </c>
    </row>
    <row r="493" spans="1:13" s="7" customFormat="1" x14ac:dyDescent="0.2">
      <c r="A493" s="4" t="str">
        <v>IA Lin</v>
      </c>
      <c r="B493" s="67">
        <f ca="1"/>
        <v>2.91683095300833E-2</v>
      </c>
      <c r="C493" s="67">
        <f ca="1"/>
        <v>2.7741908606725735E-2</v>
      </c>
      <c r="D493" s="67">
        <f ca="1"/>
        <v>2.6421765370802246E-2</v>
      </c>
      <c r="E493" s="67">
        <f ca="1"/>
        <v>2.4924086978295127E-2</v>
      </c>
      <c r="F493" s="67">
        <f ca="1"/>
        <v>2.2130369419198579E-2</v>
      </c>
      <c r="G493" s="67">
        <f ca="1"/>
        <v>1.9261333111765849E-2</v>
      </c>
      <c r="H493" s="67">
        <f ca="1"/>
        <v>1.6604555340471717E-2</v>
      </c>
      <c r="I493" s="67">
        <f ca="1"/>
        <v>1.5423171381550515E-2</v>
      </c>
      <c r="J493" s="67">
        <f ca="1"/>
        <v>1.5674931108167742E-2</v>
      </c>
      <c r="K493" s="67">
        <f ca="1"/>
        <v>1.6035373026144606E-2</v>
      </c>
      <c r="M493" s="4" t="str">
        <f t="shared" si="35"/>
        <v>per Mtonne</v>
      </c>
    </row>
    <row r="494" spans="1:13" s="7" customFormat="1" x14ac:dyDescent="0.2">
      <c r="A494" s="4" t="str">
        <v>AF Lin</v>
      </c>
      <c r="B494" s="67">
        <f ca="1"/>
        <v>4.9648082693312286E-2</v>
      </c>
      <c r="C494" s="67">
        <f ca="1"/>
        <v>4.7220171301202526E-2</v>
      </c>
      <c r="D494" s="67">
        <f ca="1"/>
        <v>4.4973123679997465E-2</v>
      </c>
      <c r="E494" s="67">
        <f ca="1"/>
        <v>4.2423889189651315E-2</v>
      </c>
      <c r="F494" s="67">
        <f ca="1"/>
        <v>3.766863519549269E-2</v>
      </c>
      <c r="G494" s="67">
        <f ca="1"/>
        <v>3.2785179344387391E-2</v>
      </c>
      <c r="H494" s="67">
        <f ca="1"/>
        <v>2.8263013863699421E-2</v>
      </c>
      <c r="I494" s="67">
        <f ca="1"/>
        <v>2.6252151752387161E-2</v>
      </c>
      <c r="J494" s="67">
        <f ca="1"/>
        <v>2.6680678051213168E-2</v>
      </c>
      <c r="K494" s="67">
        <f ca="1"/>
        <v>2.7294194927513275E-2</v>
      </c>
      <c r="M494" s="4" t="str">
        <f t="shared" si="35"/>
        <v>per Mtonne</v>
      </c>
    </row>
    <row r="495" spans="1:13" s="7" customFormat="1" ht="13.5" thickBot="1" x14ac:dyDescent="0.25">
      <c r="A495" s="4" t="str">
        <v>LA Lin</v>
      </c>
      <c r="B495" s="68">
        <f ca="1"/>
        <v>5.8076369639379892E-2</v>
      </c>
      <c r="C495" s="68">
        <f ca="1"/>
        <v>5.5236294619145081E-2</v>
      </c>
      <c r="D495" s="68">
        <f ca="1"/>
        <v>5.2607786907124761E-2</v>
      </c>
      <c r="E495" s="68">
        <f ca="1"/>
        <v>4.962579291002845E-2</v>
      </c>
      <c r="F495" s="68">
        <f ca="1"/>
        <v>4.406328427500527E-2</v>
      </c>
      <c r="G495" s="68">
        <f ca="1"/>
        <v>3.8350810162392918E-2</v>
      </c>
      <c r="H495" s="68">
        <f ca="1"/>
        <v>3.306095928035159E-2</v>
      </c>
      <c r="I495" s="68">
        <f ca="1"/>
        <v>3.0708732065621195E-2</v>
      </c>
      <c r="J495" s="68">
        <f ca="1"/>
        <v>3.121000523430625E-2</v>
      </c>
      <c r="K495" s="68">
        <f ca="1"/>
        <v>3.1927673086821373E-2</v>
      </c>
      <c r="M495" s="4" t="str">
        <f t="shared" si="35"/>
        <v>per Mtonne</v>
      </c>
    </row>
    <row r="496" spans="1:13" s="2" customFormat="1" ht="15" thickTop="1" x14ac:dyDescent="0.25">
      <c r="A496" s="2" t="s">
        <v>337</v>
      </c>
      <c r="B496" s="2" t="s">
        <v>338</v>
      </c>
    </row>
    <row r="497" spans="1:13" s="6" customFormat="1" x14ac:dyDescent="0.2">
      <c r="A497" s="4" t="str">
        <f t="array" ref="A497:A504">R_CODE&amp;" "&amp;'Base data'!$B$12</f>
        <v>EU CO2</v>
      </c>
      <c r="B497" s="267">
        <f t="array" aca="1" ref="B497:K504" ca="1">cmax_co2_b/(EXP(BHI_CO2*(QMAX_CO2-Q0_CO2))-1)</f>
        <v>32.172615772246246</v>
      </c>
      <c r="C497" s="267">
        <f ca="1"/>
        <v>30.668954240847032</v>
      </c>
      <c r="D497" s="267">
        <f ca="1"/>
        <v>29.235569805255501</v>
      </c>
      <c r="E497" s="267">
        <f ca="1"/>
        <v>26.566647483332453</v>
      </c>
      <c r="F497" s="267">
        <f ca="1"/>
        <v>24.141371733304783</v>
      </c>
      <c r="G497" s="267">
        <f ca="1"/>
        <v>21.937500000000064</v>
      </c>
      <c r="H497" s="267">
        <f ca="1"/>
        <v>19.934820256550626</v>
      </c>
      <c r="I497" s="267">
        <f ca="1"/>
        <v>18.114965636967749</v>
      </c>
      <c r="J497" s="267">
        <f ca="1"/>
        <v>16.461245990953493</v>
      </c>
      <c r="K497" s="267">
        <f ca="1"/>
        <v>14.95849481611493</v>
      </c>
      <c r="M497" s="4" t="str">
        <f t="shared" ref="M497:M504" si="36">CURRENCY_NAME&amp;" per "&amp;EMIT_NAME</f>
        <v>$M(2015) per Mtonne</v>
      </c>
    </row>
    <row r="498" spans="1:13" s="6" customFormat="1" x14ac:dyDescent="0.2">
      <c r="A498" s="4" t="str">
        <v>US CO2</v>
      </c>
      <c r="B498" s="259">
        <f ca="1"/>
        <v>32.17261577224626</v>
      </c>
      <c r="C498" s="259">
        <f ca="1"/>
        <v>30.668954240847032</v>
      </c>
      <c r="D498" s="259">
        <f ca="1"/>
        <v>29.235569805255501</v>
      </c>
      <c r="E498" s="259">
        <f ca="1"/>
        <v>26.566647483332442</v>
      </c>
      <c r="F498" s="259">
        <f ca="1"/>
        <v>24.141371733304783</v>
      </c>
      <c r="G498" s="259">
        <f ca="1"/>
        <v>21.937500000000064</v>
      </c>
      <c r="H498" s="259">
        <f ca="1"/>
        <v>19.934820256550626</v>
      </c>
      <c r="I498" s="259">
        <f ca="1"/>
        <v>18.114965636967746</v>
      </c>
      <c r="J498" s="259">
        <f ca="1"/>
        <v>16.461245990953486</v>
      </c>
      <c r="K498" s="259">
        <f ca="1"/>
        <v>14.958494816114934</v>
      </c>
      <c r="M498" s="4" t="str">
        <f t="shared" si="36"/>
        <v>$M(2015) per Mtonne</v>
      </c>
    </row>
    <row r="499" spans="1:13" s="6" customFormat="1" x14ac:dyDescent="0.2">
      <c r="A499" s="4" t="str">
        <v>OT CO2</v>
      </c>
      <c r="B499" s="259">
        <f ca="1"/>
        <v>39.679559452437033</v>
      </c>
      <c r="C499" s="259">
        <f ca="1"/>
        <v>37.82504356371134</v>
      </c>
      <c r="D499" s="259">
        <f ca="1"/>
        <v>36.057202759815134</v>
      </c>
      <c r="E499" s="259">
        <f ca="1"/>
        <v>32.765531896110012</v>
      </c>
      <c r="F499" s="259">
        <f ca="1"/>
        <v>29.7743584710759</v>
      </c>
      <c r="G499" s="259">
        <f ca="1"/>
        <v>27.05625000000008</v>
      </c>
      <c r="H499" s="259">
        <f ca="1"/>
        <v>24.586278316412436</v>
      </c>
      <c r="I499" s="259">
        <f ca="1"/>
        <v>22.341790952260226</v>
      </c>
      <c r="J499" s="259">
        <f ca="1"/>
        <v>20.302203388842635</v>
      </c>
      <c r="K499" s="259">
        <f ca="1"/>
        <v>18.448810273208419</v>
      </c>
      <c r="M499" s="4" t="str">
        <f t="shared" si="36"/>
        <v>$M(2015) per Mtonne</v>
      </c>
    </row>
    <row r="500" spans="1:13" s="6" customFormat="1" x14ac:dyDescent="0.2">
      <c r="A500" s="4" t="str">
        <v>EE CO2</v>
      </c>
      <c r="B500" s="259">
        <f ca="1"/>
        <v>22.520831040572372</v>
      </c>
      <c r="C500" s="259">
        <f ca="1"/>
        <v>21.468267968592929</v>
      </c>
      <c r="D500" s="259">
        <f ca="1"/>
        <v>20.464898863678854</v>
      </c>
      <c r="E500" s="259">
        <f ca="1"/>
        <v>18.596653238332713</v>
      </c>
      <c r="F500" s="259">
        <f ca="1"/>
        <v>16.898960213313352</v>
      </c>
      <c r="G500" s="259">
        <f ca="1"/>
        <v>15.356250000000047</v>
      </c>
      <c r="H500" s="259">
        <f ca="1"/>
        <v>13.954374179585439</v>
      </c>
      <c r="I500" s="259">
        <f ca="1"/>
        <v>12.680475945877426</v>
      </c>
      <c r="J500" s="259">
        <f ca="1"/>
        <v>11.522872193667443</v>
      </c>
      <c r="K500" s="259">
        <f ca="1"/>
        <v>10.470946371280455</v>
      </c>
      <c r="M500" s="4" t="str">
        <f t="shared" si="36"/>
        <v>$M(2015) per Mtonne</v>
      </c>
    </row>
    <row r="501" spans="1:13" s="6" customFormat="1" x14ac:dyDescent="0.2">
      <c r="A501" s="4" t="str">
        <v>CA CO2</v>
      </c>
      <c r="B501" s="259">
        <f ca="1"/>
        <v>32.172615772246246</v>
      </c>
      <c r="C501" s="259">
        <f ca="1"/>
        <v>30.668954240847032</v>
      </c>
      <c r="D501" s="259">
        <f ca="1"/>
        <v>29.235569805255501</v>
      </c>
      <c r="E501" s="259">
        <f ca="1"/>
        <v>26.566647483332442</v>
      </c>
      <c r="F501" s="259">
        <f ca="1"/>
        <v>24.141371733304783</v>
      </c>
      <c r="G501" s="259">
        <f ca="1"/>
        <v>21.937500000000075</v>
      </c>
      <c r="H501" s="259">
        <f ca="1"/>
        <v>19.934820256550633</v>
      </c>
      <c r="I501" s="259">
        <f ca="1"/>
        <v>18.114965636967757</v>
      </c>
      <c r="J501" s="259">
        <f ca="1"/>
        <v>16.461245990953493</v>
      </c>
      <c r="K501" s="259">
        <f ca="1"/>
        <v>14.958494816114934</v>
      </c>
      <c r="M501" s="4" t="str">
        <f t="shared" si="36"/>
        <v>$M(2015) per Mtonne</v>
      </c>
    </row>
    <row r="502" spans="1:13" s="6" customFormat="1" x14ac:dyDescent="0.2">
      <c r="A502" s="4" t="str">
        <v>IA CO2</v>
      </c>
      <c r="B502" s="259">
        <f ca="1"/>
        <v>39.679559452437033</v>
      </c>
      <c r="C502" s="259">
        <f ca="1"/>
        <v>37.825043563711354</v>
      </c>
      <c r="D502" s="259">
        <f ca="1"/>
        <v>36.057202759815119</v>
      </c>
      <c r="E502" s="259">
        <f ca="1"/>
        <v>32.765531896110012</v>
      </c>
      <c r="F502" s="259">
        <f ca="1"/>
        <v>29.774358471075892</v>
      </c>
      <c r="G502" s="259">
        <f ca="1"/>
        <v>27.05625000000008</v>
      </c>
      <c r="H502" s="259">
        <f ca="1"/>
        <v>24.586278316412436</v>
      </c>
      <c r="I502" s="259">
        <f ca="1"/>
        <v>22.341790952260219</v>
      </c>
      <c r="J502" s="259">
        <f ca="1"/>
        <v>20.302203388842635</v>
      </c>
      <c r="K502" s="259">
        <f ca="1"/>
        <v>18.448810273208419</v>
      </c>
      <c r="M502" s="4" t="str">
        <f t="shared" si="36"/>
        <v>$M(2015) per Mtonne</v>
      </c>
    </row>
    <row r="503" spans="1:13" s="6" customFormat="1" x14ac:dyDescent="0.2">
      <c r="A503" s="4" t="str">
        <v>AF CO2</v>
      </c>
      <c r="B503" s="259">
        <f ca="1"/>
        <v>39.679559452437033</v>
      </c>
      <c r="C503" s="259">
        <f ca="1"/>
        <v>37.825043563711333</v>
      </c>
      <c r="D503" s="259">
        <f ca="1"/>
        <v>36.057202759815119</v>
      </c>
      <c r="E503" s="259">
        <f ca="1"/>
        <v>32.765531896110012</v>
      </c>
      <c r="F503" s="259">
        <f ca="1"/>
        <v>29.7743584710759</v>
      </c>
      <c r="G503" s="259">
        <f ca="1"/>
        <v>27.05625000000008</v>
      </c>
      <c r="H503" s="259">
        <f ca="1"/>
        <v>24.586278316412447</v>
      </c>
      <c r="I503" s="259">
        <f ca="1"/>
        <v>22.341790952260226</v>
      </c>
      <c r="J503" s="259">
        <f ca="1"/>
        <v>20.302203388842635</v>
      </c>
      <c r="K503" s="259">
        <f ca="1"/>
        <v>18.448810273208419</v>
      </c>
      <c r="M503" s="4" t="str">
        <f t="shared" si="36"/>
        <v>$M(2015) per Mtonne</v>
      </c>
    </row>
    <row r="504" spans="1:13" s="6" customFormat="1" ht="13.5" thickBot="1" x14ac:dyDescent="0.25">
      <c r="A504" s="4" t="str">
        <v>LA CO2</v>
      </c>
      <c r="B504" s="268">
        <f ca="1"/>
        <v>22.520831040572372</v>
      </c>
      <c r="C504" s="268">
        <f ca="1"/>
        <v>21.468267968592929</v>
      </c>
      <c r="D504" s="268">
        <f ca="1"/>
        <v>20.464898863678854</v>
      </c>
      <c r="E504" s="268">
        <f ca="1"/>
        <v>18.596653238332713</v>
      </c>
      <c r="F504" s="268">
        <f ca="1"/>
        <v>16.898960213313352</v>
      </c>
      <c r="G504" s="268">
        <f ca="1"/>
        <v>15.356250000000047</v>
      </c>
      <c r="H504" s="268">
        <f ca="1"/>
        <v>13.954374179585439</v>
      </c>
      <c r="I504" s="268">
        <f ca="1"/>
        <v>12.680475945877426</v>
      </c>
      <c r="J504" s="268">
        <f ca="1"/>
        <v>11.522872193667448</v>
      </c>
      <c r="K504" s="268">
        <f ca="1"/>
        <v>10.470946371280455</v>
      </c>
      <c r="M504" s="4" t="str">
        <f t="shared" si="36"/>
        <v>$M(2015) per Mtonne</v>
      </c>
    </row>
    <row r="505" spans="1:13" s="2" customFormat="1" ht="15" thickTop="1" x14ac:dyDescent="0.25">
      <c r="A505" s="2" t="s">
        <v>337</v>
      </c>
      <c r="B505" s="2" t="s">
        <v>339</v>
      </c>
    </row>
    <row r="506" spans="1:13" s="7" customFormat="1" x14ac:dyDescent="0.2">
      <c r="A506" s="4" t="str">
        <f t="array" ref="A506:A513">R_CODE&amp;" "&amp;'Base data'!$C$12</f>
        <v>EU CH4</v>
      </c>
      <c r="B506" s="267">
        <f t="array" aca="1" ref="B506:K513" ca="1">cmax_ch4_b/(EXP(BHI_CH4*(QMAX_CH4-Q0_CH4))-1)</f>
        <v>1562.159232496846</v>
      </c>
      <c r="C506" s="267">
        <f ca="1"/>
        <v>1489.1481114722394</v>
      </c>
      <c r="D506" s="267">
        <f ca="1"/>
        <v>1419.5493338774058</v>
      </c>
      <c r="E506" s="267">
        <f ca="1"/>
        <v>1289.9583278018092</v>
      </c>
      <c r="F506" s="267">
        <f ca="1"/>
        <v>1172.1977163837989</v>
      </c>
      <c r="G506" s="267">
        <f ca="1"/>
        <v>1065.1875000000032</v>
      </c>
      <c r="H506" s="267">
        <f ca="1"/>
        <v>967.94627245695801</v>
      </c>
      <c r="I506" s="267">
        <f ca="1"/>
        <v>879.58222037276744</v>
      </c>
      <c r="J506" s="267">
        <f ca="1"/>
        <v>799.28494422740812</v>
      </c>
      <c r="K506" s="267">
        <f ca="1"/>
        <v>726.31802607135842</v>
      </c>
      <c r="M506" s="4" t="str">
        <f t="shared" ref="M506:M513" si="37">CURRENCY_NAME&amp;" per "&amp;EMIT_NAME</f>
        <v>$M(2015) per Mtonne</v>
      </c>
    </row>
    <row r="507" spans="1:13" s="7" customFormat="1" x14ac:dyDescent="0.2">
      <c r="A507" s="4" t="str">
        <v>US CH4</v>
      </c>
      <c r="B507" s="259">
        <f ca="1"/>
        <v>1562.1592324968453</v>
      </c>
      <c r="C507" s="259">
        <f ca="1"/>
        <v>1489.1481114722394</v>
      </c>
      <c r="D507" s="259">
        <f ca="1"/>
        <v>1419.5493338774058</v>
      </c>
      <c r="E507" s="259">
        <f ca="1"/>
        <v>1289.9583278018088</v>
      </c>
      <c r="F507" s="259">
        <f ca="1"/>
        <v>1172.1977163837989</v>
      </c>
      <c r="G507" s="259">
        <f ca="1"/>
        <v>1065.1875000000032</v>
      </c>
      <c r="H507" s="259">
        <f ca="1"/>
        <v>967.94627245695801</v>
      </c>
      <c r="I507" s="259">
        <f ca="1"/>
        <v>879.58222037276744</v>
      </c>
      <c r="J507" s="259">
        <f ca="1"/>
        <v>799.28494422740812</v>
      </c>
      <c r="K507" s="259">
        <f ca="1"/>
        <v>726.31802607135842</v>
      </c>
      <c r="M507" s="4" t="str">
        <f t="shared" si="37"/>
        <v>$M(2015) per Mtonne</v>
      </c>
    </row>
    <row r="508" spans="1:13" s="7" customFormat="1" x14ac:dyDescent="0.2">
      <c r="A508" s="4" t="str">
        <v>OT CH4</v>
      </c>
      <c r="B508" s="259">
        <f ca="1"/>
        <v>1926.6630534127758</v>
      </c>
      <c r="C508" s="259">
        <f ca="1"/>
        <v>1836.6160041490953</v>
      </c>
      <c r="D508" s="259">
        <f ca="1"/>
        <v>1750.7775117821341</v>
      </c>
      <c r="E508" s="259">
        <f ca="1"/>
        <v>1590.948604288898</v>
      </c>
      <c r="F508" s="259">
        <f ca="1"/>
        <v>1445.7105168733519</v>
      </c>
      <c r="G508" s="259">
        <f ca="1"/>
        <v>1313.7312500000044</v>
      </c>
      <c r="H508" s="259">
        <f ca="1"/>
        <v>1193.8004026969152</v>
      </c>
      <c r="I508" s="259">
        <f ca="1"/>
        <v>1084.8180717930802</v>
      </c>
      <c r="J508" s="259">
        <f ca="1"/>
        <v>985.78476454713655</v>
      </c>
      <c r="K508" s="259">
        <f ca="1"/>
        <v>895.79223215467528</v>
      </c>
      <c r="M508" s="4" t="str">
        <f t="shared" si="37"/>
        <v>$M(2015) per Mtonne</v>
      </c>
    </row>
    <row r="509" spans="1:13" s="7" customFormat="1" x14ac:dyDescent="0.2">
      <c r="A509" s="4" t="str">
        <v>EE CH4</v>
      </c>
      <c r="B509" s="259">
        <f ca="1"/>
        <v>1093.5114627477919</v>
      </c>
      <c r="C509" s="259">
        <f ca="1"/>
        <v>1042.4036780305676</v>
      </c>
      <c r="D509" s="259">
        <f ca="1"/>
        <v>993.68453371418423</v>
      </c>
      <c r="E509" s="259">
        <f ca="1"/>
        <v>902.97082946126613</v>
      </c>
      <c r="F509" s="259">
        <f ca="1"/>
        <v>820.53840146865934</v>
      </c>
      <c r="G509" s="259">
        <f ca="1"/>
        <v>745.6312500000023</v>
      </c>
      <c r="H509" s="259">
        <f ca="1"/>
        <v>677.56239071987079</v>
      </c>
      <c r="I509" s="259">
        <f ca="1"/>
        <v>615.70755426093751</v>
      </c>
      <c r="J509" s="259">
        <f ca="1"/>
        <v>559.49946095918585</v>
      </c>
      <c r="K509" s="259">
        <f ca="1"/>
        <v>508.42261824995097</v>
      </c>
      <c r="M509" s="4" t="str">
        <f t="shared" si="37"/>
        <v>$M(2015) per Mtonne</v>
      </c>
    </row>
    <row r="510" spans="1:13" s="7" customFormat="1" x14ac:dyDescent="0.2">
      <c r="A510" s="4" t="str">
        <v>CA CH4</v>
      </c>
      <c r="B510" s="259">
        <f ca="1"/>
        <v>1562.1592324968453</v>
      </c>
      <c r="C510" s="259">
        <f ca="1"/>
        <v>1489.1481114722394</v>
      </c>
      <c r="D510" s="259">
        <f ca="1"/>
        <v>1419.5493338774058</v>
      </c>
      <c r="E510" s="259">
        <f ca="1"/>
        <v>1289.9583278018088</v>
      </c>
      <c r="F510" s="259">
        <f ca="1"/>
        <v>1172.1977163837989</v>
      </c>
      <c r="G510" s="259">
        <f ca="1"/>
        <v>1065.1875000000032</v>
      </c>
      <c r="H510" s="259">
        <f ca="1"/>
        <v>967.94627245695801</v>
      </c>
      <c r="I510" s="259">
        <f ca="1"/>
        <v>879.58222037276744</v>
      </c>
      <c r="J510" s="259">
        <f ca="1"/>
        <v>799.28494422740812</v>
      </c>
      <c r="K510" s="259">
        <f ca="1"/>
        <v>726.31802607135842</v>
      </c>
      <c r="M510" s="4" t="str">
        <f t="shared" si="37"/>
        <v>$M(2015) per Mtonne</v>
      </c>
    </row>
    <row r="511" spans="1:13" s="7" customFormat="1" x14ac:dyDescent="0.2">
      <c r="A511" s="4" t="str">
        <v>IA CH4</v>
      </c>
      <c r="B511" s="259">
        <f ca="1"/>
        <v>1926.6630534127767</v>
      </c>
      <c r="C511" s="259">
        <f ca="1"/>
        <v>1836.6160041490959</v>
      </c>
      <c r="D511" s="259">
        <f ca="1"/>
        <v>1750.7775117821341</v>
      </c>
      <c r="E511" s="259">
        <f ca="1"/>
        <v>1590.9486042888973</v>
      </c>
      <c r="F511" s="259">
        <f ca="1"/>
        <v>1445.7105168733519</v>
      </c>
      <c r="G511" s="259">
        <f ca="1"/>
        <v>1313.7312500000037</v>
      </c>
      <c r="H511" s="259">
        <f ca="1"/>
        <v>1193.8004026969152</v>
      </c>
      <c r="I511" s="259">
        <f ca="1"/>
        <v>1084.8180717930798</v>
      </c>
      <c r="J511" s="259">
        <f ca="1"/>
        <v>985.78476454713666</v>
      </c>
      <c r="K511" s="259">
        <f ca="1"/>
        <v>895.7922321546755</v>
      </c>
      <c r="M511" s="4" t="str">
        <f t="shared" si="37"/>
        <v>$M(2015) per Mtonne</v>
      </c>
    </row>
    <row r="512" spans="1:13" s="7" customFormat="1" x14ac:dyDescent="0.2">
      <c r="A512" s="4" t="str">
        <v>AF CH4</v>
      </c>
      <c r="B512" s="259">
        <f ca="1"/>
        <v>1926.6630534127758</v>
      </c>
      <c r="C512" s="259">
        <f ca="1"/>
        <v>1836.6160041490953</v>
      </c>
      <c r="D512" s="259">
        <f ca="1"/>
        <v>1750.7775117821341</v>
      </c>
      <c r="E512" s="259">
        <f ca="1"/>
        <v>1590.9486042888973</v>
      </c>
      <c r="F512" s="259">
        <f ca="1"/>
        <v>1445.7105168733519</v>
      </c>
      <c r="G512" s="259">
        <f ca="1"/>
        <v>1313.7312500000037</v>
      </c>
      <c r="H512" s="259">
        <f ca="1"/>
        <v>1193.8004026969152</v>
      </c>
      <c r="I512" s="259">
        <f ca="1"/>
        <v>1084.8180717930798</v>
      </c>
      <c r="J512" s="259">
        <f ca="1"/>
        <v>985.78476454713666</v>
      </c>
      <c r="K512" s="259">
        <f ca="1"/>
        <v>895.7922321546755</v>
      </c>
      <c r="M512" s="4" t="str">
        <f t="shared" si="37"/>
        <v>$M(2015) per Mtonne</v>
      </c>
    </row>
    <row r="513" spans="1:13" s="7" customFormat="1" ht="13.5" thickBot="1" x14ac:dyDescent="0.25">
      <c r="A513" s="4" t="str">
        <v>LA CH4</v>
      </c>
      <c r="B513" s="268">
        <f ca="1"/>
        <v>1093.5114627477919</v>
      </c>
      <c r="C513" s="268">
        <f ca="1"/>
        <v>1042.403678030568</v>
      </c>
      <c r="D513" s="268">
        <f ca="1"/>
        <v>993.684533714184</v>
      </c>
      <c r="E513" s="268">
        <f ca="1"/>
        <v>902.97082946126613</v>
      </c>
      <c r="F513" s="268">
        <f ca="1"/>
        <v>820.53840146865934</v>
      </c>
      <c r="G513" s="268">
        <f ca="1"/>
        <v>745.6312500000023</v>
      </c>
      <c r="H513" s="268">
        <f ca="1"/>
        <v>677.56239071987079</v>
      </c>
      <c r="I513" s="268">
        <f ca="1"/>
        <v>615.70755426093729</v>
      </c>
      <c r="J513" s="268">
        <f ca="1"/>
        <v>559.49946095918585</v>
      </c>
      <c r="K513" s="268">
        <f ca="1"/>
        <v>508.42261824995097</v>
      </c>
      <c r="M513" s="4" t="str">
        <f t="shared" si="37"/>
        <v>$M(2015) per Mtonne</v>
      </c>
    </row>
    <row r="514" spans="1:13" s="2" customFormat="1" ht="15" thickTop="1" x14ac:dyDescent="0.25">
      <c r="A514" s="2" t="s">
        <v>337</v>
      </c>
      <c r="B514" s="2" t="s">
        <v>340</v>
      </c>
    </row>
    <row r="515" spans="1:13" s="7" customFormat="1" x14ac:dyDescent="0.2">
      <c r="A515" s="4" t="str">
        <f t="array" ref="A515:A522">R_CODE&amp;" "&amp;'Base data'!$D$12</f>
        <v>EU N2O</v>
      </c>
      <c r="B515" s="267">
        <f t="array" aca="1" ref="B515:K522" ca="1">cmax_n2o_b/(EXP(BHI_N2O*(QMAX_N2O-Q0_N2O))-1)</f>
        <v>6741.9503718284932</v>
      </c>
      <c r="C515" s="267">
        <f ca="1"/>
        <v>6426.8497442486105</v>
      </c>
      <c r="D515" s="267">
        <f ca="1"/>
        <v>6126.4760725235437</v>
      </c>
      <c r="E515" s="267">
        <f ca="1"/>
        <v>5567.1885726183318</v>
      </c>
      <c r="F515" s="267">
        <f ca="1"/>
        <v>5058.9585654458688</v>
      </c>
      <c r="G515" s="267">
        <f ca="1"/>
        <v>4597.1250000000136</v>
      </c>
      <c r="H515" s="267">
        <f ca="1"/>
        <v>4177.4523337616092</v>
      </c>
      <c r="I515" s="267">
        <f ca="1"/>
        <v>3796.0916879245751</v>
      </c>
      <c r="J515" s="267">
        <f ca="1"/>
        <v>3449.5455487709191</v>
      </c>
      <c r="K515" s="267">
        <f ca="1"/>
        <v>3134.6356914658627</v>
      </c>
      <c r="M515" s="4" t="str">
        <f t="shared" ref="M515:M522" si="38">CURRENCY_NAME&amp;" per "&amp;EMIT_NAME</f>
        <v>$M(2015) per Mtonne</v>
      </c>
    </row>
    <row r="516" spans="1:13" s="7" customFormat="1" x14ac:dyDescent="0.2">
      <c r="A516" s="4" t="str">
        <v>US N2O</v>
      </c>
      <c r="B516" s="259">
        <f ca="1"/>
        <v>6741.9503718284886</v>
      </c>
      <c r="C516" s="259">
        <f ca="1"/>
        <v>6426.8497442486114</v>
      </c>
      <c r="D516" s="259">
        <f ca="1"/>
        <v>6126.476072523541</v>
      </c>
      <c r="E516" s="259">
        <f ca="1"/>
        <v>5567.1885726183318</v>
      </c>
      <c r="F516" s="259">
        <f ca="1"/>
        <v>5058.9585654458688</v>
      </c>
      <c r="G516" s="259">
        <f ca="1"/>
        <v>4597.1250000000136</v>
      </c>
      <c r="H516" s="259">
        <f ca="1"/>
        <v>4177.4523337616092</v>
      </c>
      <c r="I516" s="259">
        <f ca="1"/>
        <v>3796.0916879245751</v>
      </c>
      <c r="J516" s="259">
        <f ca="1"/>
        <v>3449.5455487709191</v>
      </c>
      <c r="K516" s="259">
        <f ca="1"/>
        <v>3134.6356914658627</v>
      </c>
      <c r="M516" s="4" t="str">
        <f t="shared" si="38"/>
        <v>$M(2015) per Mtonne</v>
      </c>
    </row>
    <row r="517" spans="1:13" s="7" customFormat="1" x14ac:dyDescent="0.2">
      <c r="A517" s="4" t="str">
        <v>OT N2O</v>
      </c>
      <c r="B517" s="259">
        <f ca="1"/>
        <v>8315.0721252551393</v>
      </c>
      <c r="C517" s="259">
        <f ca="1"/>
        <v>7926.4480179066231</v>
      </c>
      <c r="D517" s="259">
        <f ca="1"/>
        <v>7555.9871561123673</v>
      </c>
      <c r="E517" s="259">
        <f ca="1"/>
        <v>6866.1992395626103</v>
      </c>
      <c r="F517" s="259">
        <f ca="1"/>
        <v>6239.3822307165719</v>
      </c>
      <c r="G517" s="259">
        <f ca="1"/>
        <v>5669.7875000000176</v>
      </c>
      <c r="H517" s="259">
        <f ca="1"/>
        <v>5152.1912116393178</v>
      </c>
      <c r="I517" s="259">
        <f ca="1"/>
        <v>4681.8464151069757</v>
      </c>
      <c r="J517" s="259">
        <f ca="1"/>
        <v>4254.4395101508007</v>
      </c>
      <c r="K517" s="259">
        <f ca="1"/>
        <v>3866.0506861412314</v>
      </c>
      <c r="M517" s="4" t="str">
        <f t="shared" si="38"/>
        <v>$M(2015) per Mtonne</v>
      </c>
    </row>
    <row r="518" spans="1:13" s="7" customFormat="1" x14ac:dyDescent="0.2">
      <c r="A518" s="4" t="str">
        <v>EE N2O</v>
      </c>
      <c r="B518" s="259">
        <f ca="1"/>
        <v>4719.3652602799439</v>
      </c>
      <c r="C518" s="259">
        <f ca="1"/>
        <v>4498.7948209740289</v>
      </c>
      <c r="D518" s="259">
        <f ca="1"/>
        <v>4288.5332507664798</v>
      </c>
      <c r="E518" s="259">
        <f ca="1"/>
        <v>3897.0320008328331</v>
      </c>
      <c r="F518" s="259">
        <f ca="1"/>
        <v>3541.2709958121081</v>
      </c>
      <c r="G518" s="259">
        <f ca="1"/>
        <v>3217.9875000000102</v>
      </c>
      <c r="H518" s="259">
        <f ca="1"/>
        <v>2924.2166336331265</v>
      </c>
      <c r="I518" s="259">
        <f ca="1"/>
        <v>2657.2641815472025</v>
      </c>
      <c r="J518" s="259">
        <f ca="1"/>
        <v>2414.6818841396439</v>
      </c>
      <c r="K518" s="259">
        <f ca="1"/>
        <v>2194.2449840261042</v>
      </c>
      <c r="M518" s="4" t="str">
        <f t="shared" si="38"/>
        <v>$M(2015) per Mtonne</v>
      </c>
    </row>
    <row r="519" spans="1:13" s="7" customFormat="1" x14ac:dyDescent="0.2">
      <c r="A519" s="4" t="str">
        <v>CA N2O</v>
      </c>
      <c r="B519" s="259">
        <f ca="1"/>
        <v>6741.9503718284932</v>
      </c>
      <c r="C519" s="259">
        <f ca="1"/>
        <v>6426.8497442486141</v>
      </c>
      <c r="D519" s="259">
        <f ca="1"/>
        <v>6126.476072523541</v>
      </c>
      <c r="E519" s="259">
        <f ca="1"/>
        <v>5567.1885726183318</v>
      </c>
      <c r="F519" s="259">
        <f ca="1"/>
        <v>5058.9585654458688</v>
      </c>
      <c r="G519" s="259">
        <f ca="1"/>
        <v>4597.1250000000136</v>
      </c>
      <c r="H519" s="259">
        <f ca="1"/>
        <v>4177.4523337616092</v>
      </c>
      <c r="I519" s="259">
        <f ca="1"/>
        <v>3796.0916879245751</v>
      </c>
      <c r="J519" s="259">
        <f ca="1"/>
        <v>3449.5455487709205</v>
      </c>
      <c r="K519" s="259">
        <f ca="1"/>
        <v>3134.6356914658627</v>
      </c>
      <c r="M519" s="4" t="str">
        <f t="shared" si="38"/>
        <v>$M(2015) per Mtonne</v>
      </c>
    </row>
    <row r="520" spans="1:13" s="7" customFormat="1" x14ac:dyDescent="0.2">
      <c r="A520" s="4" t="str">
        <v>IA N2O</v>
      </c>
      <c r="B520" s="259">
        <f ca="1"/>
        <v>8315.0721252551393</v>
      </c>
      <c r="C520" s="259">
        <f ca="1"/>
        <v>7926.4480179066231</v>
      </c>
      <c r="D520" s="259">
        <f ca="1"/>
        <v>7555.9871561123673</v>
      </c>
      <c r="E520" s="259">
        <f ca="1"/>
        <v>6866.1992395626103</v>
      </c>
      <c r="F520" s="259">
        <f ca="1"/>
        <v>6239.3822307165719</v>
      </c>
      <c r="G520" s="259">
        <f ca="1"/>
        <v>5669.7875000000195</v>
      </c>
      <c r="H520" s="259">
        <f ca="1"/>
        <v>5152.1912116393169</v>
      </c>
      <c r="I520" s="259">
        <f ca="1"/>
        <v>4681.8464151069747</v>
      </c>
      <c r="J520" s="259">
        <f ca="1"/>
        <v>4254.4395101508007</v>
      </c>
      <c r="K520" s="259">
        <f ca="1"/>
        <v>3866.0506861412309</v>
      </c>
      <c r="M520" s="4" t="str">
        <f t="shared" si="38"/>
        <v>$M(2015) per Mtonne</v>
      </c>
    </row>
    <row r="521" spans="1:13" s="7" customFormat="1" x14ac:dyDescent="0.2">
      <c r="A521" s="4" t="str">
        <v>AF N2O</v>
      </c>
      <c r="B521" s="259">
        <f ca="1"/>
        <v>8315.0721252551393</v>
      </c>
      <c r="C521" s="259">
        <f ca="1"/>
        <v>7926.4480179066231</v>
      </c>
      <c r="D521" s="259">
        <f ca="1"/>
        <v>7555.9871561123673</v>
      </c>
      <c r="E521" s="259">
        <f ca="1"/>
        <v>6866.1992395626103</v>
      </c>
      <c r="F521" s="259">
        <f ca="1"/>
        <v>6239.382230716571</v>
      </c>
      <c r="G521" s="259">
        <f ca="1"/>
        <v>5669.7875000000176</v>
      </c>
      <c r="H521" s="259">
        <f ca="1"/>
        <v>5152.1912116393196</v>
      </c>
      <c r="I521" s="259">
        <f ca="1"/>
        <v>4681.8464151069757</v>
      </c>
      <c r="J521" s="259">
        <f ca="1"/>
        <v>4254.4395101508007</v>
      </c>
      <c r="K521" s="259">
        <f ca="1"/>
        <v>3866.0506861412314</v>
      </c>
      <c r="M521" s="4" t="str">
        <f t="shared" si="38"/>
        <v>$M(2015) per Mtonne</v>
      </c>
    </row>
    <row r="522" spans="1:13" s="7" customFormat="1" ht="13.5" thickBot="1" x14ac:dyDescent="0.25">
      <c r="A522" s="4" t="str">
        <v>LA N2O</v>
      </c>
      <c r="B522" s="268">
        <f ca="1"/>
        <v>4719.3652602799439</v>
      </c>
      <c r="C522" s="268">
        <f ca="1"/>
        <v>4498.7948209740289</v>
      </c>
      <c r="D522" s="268">
        <f ca="1"/>
        <v>4288.5332507664798</v>
      </c>
      <c r="E522" s="268">
        <f ca="1"/>
        <v>3897.0320008328331</v>
      </c>
      <c r="F522" s="268">
        <f ca="1"/>
        <v>3541.2709958121086</v>
      </c>
      <c r="G522" s="268">
        <f ca="1"/>
        <v>3217.9875000000102</v>
      </c>
      <c r="H522" s="268">
        <f ca="1"/>
        <v>2924.2166336331265</v>
      </c>
      <c r="I522" s="268">
        <f ca="1"/>
        <v>2657.264181547203</v>
      </c>
      <c r="J522" s="268">
        <f ca="1"/>
        <v>2414.6818841396439</v>
      </c>
      <c r="K522" s="268">
        <f ca="1"/>
        <v>2194.2449840261038</v>
      </c>
      <c r="M522" s="4" t="str">
        <f t="shared" si="38"/>
        <v>$M(2015) per Mtonne</v>
      </c>
    </row>
    <row r="523" spans="1:13" s="2" customFormat="1" ht="15" thickTop="1" x14ac:dyDescent="0.25">
      <c r="A523" s="2" t="s">
        <v>337</v>
      </c>
      <c r="B523" s="2" t="s">
        <v>341</v>
      </c>
    </row>
    <row r="524" spans="1:13" s="7" customFormat="1" x14ac:dyDescent="0.2">
      <c r="A524" s="4" t="str">
        <f t="array" ref="A524:A531">R_CODE&amp;" "&amp;GLIN_NAME</f>
        <v>EU Lin</v>
      </c>
      <c r="B524" s="267">
        <f t="array" aca="1" ref="B524:K531" ca="1">cmax_glin_b/(EXP(BHI_GLIN*(QMAX_GLIN-Q0_GLIN))-1)</f>
        <v>82.218906973518202</v>
      </c>
      <c r="C524" s="267">
        <f ca="1"/>
        <v>78.376216393275755</v>
      </c>
      <c r="D524" s="267">
        <f ca="1"/>
        <v>74.713122835652968</v>
      </c>
      <c r="E524" s="267">
        <f ca="1"/>
        <v>67.892543568516246</v>
      </c>
      <c r="F524" s="267">
        <f ca="1"/>
        <v>61.694616651778873</v>
      </c>
      <c r="G524" s="267">
        <f ca="1"/>
        <v>56.062500000000163</v>
      </c>
      <c r="H524" s="267">
        <f ca="1"/>
        <v>50.944540655629375</v>
      </c>
      <c r="I524" s="267">
        <f ca="1"/>
        <v>46.293801072250901</v>
      </c>
      <c r="J524" s="267">
        <f ca="1"/>
        <v>42.067628643547799</v>
      </c>
      <c r="K524" s="267">
        <f ca="1"/>
        <v>38.227264530071501</v>
      </c>
      <c r="M524" s="4" t="str">
        <f t="shared" ref="M524:M531" si="39">CURRENCY_NAME&amp;" per "&amp;EMIT_NAME</f>
        <v>$M(2015) per Mtonne</v>
      </c>
    </row>
    <row r="525" spans="1:13" s="7" customFormat="1" x14ac:dyDescent="0.2">
      <c r="A525" s="4" t="str">
        <v>US Lin</v>
      </c>
      <c r="B525" s="259">
        <f ca="1"/>
        <v>82.218906973518202</v>
      </c>
      <c r="C525" s="259">
        <f ca="1"/>
        <v>78.376216393275755</v>
      </c>
      <c r="D525" s="259">
        <f ca="1"/>
        <v>74.713122835652939</v>
      </c>
      <c r="E525" s="259">
        <f ca="1"/>
        <v>67.892543568516246</v>
      </c>
      <c r="F525" s="259">
        <f ca="1"/>
        <v>61.694616651778887</v>
      </c>
      <c r="G525" s="259">
        <f ca="1"/>
        <v>56.062500000000163</v>
      </c>
      <c r="H525" s="259">
        <f ca="1"/>
        <v>50.944540655629375</v>
      </c>
      <c r="I525" s="259">
        <f ca="1"/>
        <v>46.293801072250929</v>
      </c>
      <c r="J525" s="259">
        <f ca="1"/>
        <v>42.067628643547813</v>
      </c>
      <c r="K525" s="259">
        <f ca="1"/>
        <v>38.227264530071501</v>
      </c>
      <c r="M525" s="4" t="str">
        <f t="shared" si="39"/>
        <v>$M(2015) per Mtonne</v>
      </c>
    </row>
    <row r="526" spans="1:13" s="7" customFormat="1" x14ac:dyDescent="0.2">
      <c r="A526" s="4" t="str">
        <v>OT Lin</v>
      </c>
      <c r="B526" s="259">
        <f ca="1"/>
        <v>101.40331860067242</v>
      </c>
      <c r="C526" s="259">
        <f ca="1"/>
        <v>96.664000218373431</v>
      </c>
      <c r="D526" s="259">
        <f ca="1"/>
        <v>92.146184830638674</v>
      </c>
      <c r="E526" s="259">
        <f ca="1"/>
        <v>83.734137067836699</v>
      </c>
      <c r="F526" s="259">
        <f ca="1"/>
        <v>76.090027203860615</v>
      </c>
      <c r="G526" s="259">
        <f ca="1"/>
        <v>69.143750000000196</v>
      </c>
      <c r="H526" s="259">
        <f ca="1"/>
        <v>62.831600141942893</v>
      </c>
      <c r="I526" s="259">
        <f ca="1"/>
        <v>57.095687989109457</v>
      </c>
      <c r="J526" s="259">
        <f ca="1"/>
        <v>51.883408660375615</v>
      </c>
      <c r="K526" s="259">
        <f ca="1"/>
        <v>47.146959587088183</v>
      </c>
      <c r="M526" s="4" t="str">
        <f t="shared" si="39"/>
        <v>$M(2015) per Mtonne</v>
      </c>
    </row>
    <row r="527" spans="1:13" s="7" customFormat="1" x14ac:dyDescent="0.2">
      <c r="A527" s="4" t="str">
        <v>EE Lin</v>
      </c>
      <c r="B527" s="259">
        <f ca="1"/>
        <v>57.553234881462728</v>
      </c>
      <c r="C527" s="259">
        <f ca="1"/>
        <v>54.863351475293037</v>
      </c>
      <c r="D527" s="259">
        <f ca="1"/>
        <v>52.29918598495707</v>
      </c>
      <c r="E527" s="259">
        <f ca="1"/>
        <v>47.52478049796138</v>
      </c>
      <c r="F527" s="259">
        <f ca="1"/>
        <v>43.186231656245226</v>
      </c>
      <c r="G527" s="259">
        <f ca="1"/>
        <v>39.243750000000119</v>
      </c>
      <c r="H527" s="259">
        <f ca="1"/>
        <v>35.661178458940569</v>
      </c>
      <c r="I527" s="259">
        <f ca="1"/>
        <v>32.405660750575649</v>
      </c>
      <c r="J527" s="259">
        <f ca="1"/>
        <v>29.447340050483465</v>
      </c>
      <c r="K527" s="259">
        <f ca="1"/>
        <v>26.759085171050053</v>
      </c>
      <c r="M527" s="4" t="str">
        <f t="shared" si="39"/>
        <v>$M(2015) per Mtonne</v>
      </c>
    </row>
    <row r="528" spans="1:13" s="7" customFormat="1" x14ac:dyDescent="0.2">
      <c r="A528" s="4" t="str">
        <v>CA Lin</v>
      </c>
      <c r="B528" s="259">
        <f ca="1"/>
        <v>82.218906973518173</v>
      </c>
      <c r="C528" s="259">
        <f ca="1"/>
        <v>78.376216393275755</v>
      </c>
      <c r="D528" s="259">
        <f ca="1"/>
        <v>74.713122835652939</v>
      </c>
      <c r="E528" s="259">
        <f ca="1"/>
        <v>67.892543568516246</v>
      </c>
      <c r="F528" s="259">
        <f ca="1"/>
        <v>61.694616651778873</v>
      </c>
      <c r="G528" s="259">
        <f ca="1"/>
        <v>56.062500000000163</v>
      </c>
      <c r="H528" s="259">
        <f ca="1"/>
        <v>50.944540655629375</v>
      </c>
      <c r="I528" s="259">
        <f ca="1"/>
        <v>46.293801072250915</v>
      </c>
      <c r="J528" s="259">
        <f ca="1"/>
        <v>42.067628643547799</v>
      </c>
      <c r="K528" s="259">
        <f ca="1"/>
        <v>38.227264530071501</v>
      </c>
      <c r="M528" s="4" t="str">
        <f t="shared" si="39"/>
        <v>$M(2015) per Mtonne</v>
      </c>
    </row>
    <row r="529" spans="1:13" s="7" customFormat="1" x14ac:dyDescent="0.2">
      <c r="A529" s="4" t="str">
        <v>IA Lin</v>
      </c>
      <c r="B529" s="259">
        <f ca="1"/>
        <v>101.40331860067242</v>
      </c>
      <c r="C529" s="259">
        <f ca="1"/>
        <v>96.664000218373431</v>
      </c>
      <c r="D529" s="259">
        <f ca="1"/>
        <v>92.146184830638632</v>
      </c>
      <c r="E529" s="259">
        <f ca="1"/>
        <v>83.734137067836699</v>
      </c>
      <c r="F529" s="259">
        <f ca="1"/>
        <v>76.090027203860629</v>
      </c>
      <c r="G529" s="259">
        <f ca="1"/>
        <v>69.143750000000196</v>
      </c>
      <c r="H529" s="259">
        <f ca="1"/>
        <v>62.831600141942914</v>
      </c>
      <c r="I529" s="259">
        <f ca="1"/>
        <v>57.095687989109457</v>
      </c>
      <c r="J529" s="259">
        <f ca="1"/>
        <v>51.883408660375615</v>
      </c>
      <c r="K529" s="259">
        <f ca="1"/>
        <v>47.146959587088176</v>
      </c>
      <c r="M529" s="4" t="str">
        <f t="shared" si="39"/>
        <v>$M(2015) per Mtonne</v>
      </c>
    </row>
    <row r="530" spans="1:13" s="7" customFormat="1" x14ac:dyDescent="0.2">
      <c r="A530" s="4" t="str">
        <v>AF Lin</v>
      </c>
      <c r="B530" s="259">
        <f ca="1"/>
        <v>101.40331860067242</v>
      </c>
      <c r="C530" s="259">
        <f ca="1"/>
        <v>96.664000218373431</v>
      </c>
      <c r="D530" s="259">
        <f ca="1"/>
        <v>92.146184830638632</v>
      </c>
      <c r="E530" s="259">
        <f ca="1"/>
        <v>83.734137067836684</v>
      </c>
      <c r="F530" s="259">
        <f ca="1"/>
        <v>76.090027203860629</v>
      </c>
      <c r="G530" s="259">
        <f ca="1"/>
        <v>69.143750000000182</v>
      </c>
      <c r="H530" s="259">
        <f ca="1"/>
        <v>62.831600141942893</v>
      </c>
      <c r="I530" s="259">
        <f ca="1"/>
        <v>57.095687989109457</v>
      </c>
      <c r="J530" s="259">
        <f ca="1"/>
        <v>51.883408660375615</v>
      </c>
      <c r="K530" s="259">
        <f ca="1"/>
        <v>47.146959587088183</v>
      </c>
      <c r="M530" s="4" t="str">
        <f t="shared" si="39"/>
        <v>$M(2015) per Mtonne</v>
      </c>
    </row>
    <row r="531" spans="1:13" s="7" customFormat="1" ht="13.5" thickBot="1" x14ac:dyDescent="0.25">
      <c r="A531" s="4" t="str">
        <v>LA Lin</v>
      </c>
      <c r="B531" s="268">
        <f ca="1"/>
        <v>57.553234881462728</v>
      </c>
      <c r="C531" s="268">
        <f ca="1"/>
        <v>54.863351475293037</v>
      </c>
      <c r="D531" s="268">
        <f ca="1"/>
        <v>52.29918598495707</v>
      </c>
      <c r="E531" s="268">
        <f ca="1"/>
        <v>47.52478049796138</v>
      </c>
      <c r="F531" s="268">
        <f ca="1"/>
        <v>43.186231656245241</v>
      </c>
      <c r="G531" s="268">
        <f ca="1"/>
        <v>39.243750000000119</v>
      </c>
      <c r="H531" s="268">
        <f ca="1"/>
        <v>35.661178458940569</v>
      </c>
      <c r="I531" s="268">
        <f ca="1"/>
        <v>32.405660750575649</v>
      </c>
      <c r="J531" s="268">
        <f ca="1"/>
        <v>29.447340050483465</v>
      </c>
      <c r="K531" s="268">
        <f ca="1"/>
        <v>26.759085171050053</v>
      </c>
      <c r="M531" s="4" t="str">
        <f t="shared" si="39"/>
        <v>$M(2015) per Mtonne</v>
      </c>
    </row>
    <row r="532" spans="1:13" s="2" customFormat="1" ht="15" thickTop="1" x14ac:dyDescent="0.25">
      <c r="A532" s="2" t="s">
        <v>342</v>
      </c>
      <c r="B532" s="2" t="s">
        <v>343</v>
      </c>
    </row>
    <row r="533" spans="1:13" s="6" customFormat="1" x14ac:dyDescent="0.2">
      <c r="A533" s="4" t="str">
        <f t="array" ref="A533:A540">R_CODE&amp;" "&amp;'Base data'!$B$12</f>
        <v>EU CO2</v>
      </c>
      <c r="B533" s="29">
        <f t="array" aca="1" ref="B533:K540" ca="1">IF(Q0_CO2=0,0,(ALO_CO2/BLO_CO2)*(1-EXP(-BLO_CO2*Q0_CO2))-ALO_CO2*Q0_CO2)</f>
        <v>-11329.897702193506</v>
      </c>
      <c r="C533" s="29">
        <f ca="1"/>
        <v>-11748.079052013652</v>
      </c>
      <c r="D533" s="29">
        <f ca="1"/>
        <v>-12122.500462414529</v>
      </c>
      <c r="E533" s="29">
        <f ca="1"/>
        <v>-13454.306275108145</v>
      </c>
      <c r="F533" s="29">
        <f ca="1"/>
        <v>-15031.160815213603</v>
      </c>
      <c r="G533" s="29">
        <f ca="1"/>
        <v>-17166.978913297371</v>
      </c>
      <c r="H533" s="29">
        <f ca="1"/>
        <v>-19056.152081366818</v>
      </c>
      <c r="I533" s="29">
        <f ca="1"/>
        <v>-19775.885042365033</v>
      </c>
      <c r="J533" s="29">
        <f ca="1"/>
        <v>-19042.685504170251</v>
      </c>
      <c r="K533" s="29">
        <f ca="1"/>
        <v>-18414.92340228978</v>
      </c>
      <c r="M533" s="4" t="str">
        <f t="shared" ref="M533:M540" si="40">CURRENCY_NAME</f>
        <v>$M(2015)</v>
      </c>
    </row>
    <row r="534" spans="1:13" s="6" customFormat="1" x14ac:dyDescent="0.2">
      <c r="A534" s="4" t="str">
        <v>US CO2</v>
      </c>
      <c r="B534" s="26">
        <f ca="1"/>
        <v>-18384.550408229465</v>
      </c>
      <c r="C534" s="26">
        <f ca="1"/>
        <v>-20392.503657211575</v>
      </c>
      <c r="D534" s="26">
        <f ca="1"/>
        <v>-22238.455014182182</v>
      </c>
      <c r="E534" s="26">
        <f ca="1"/>
        <v>-25796.064159854592</v>
      </c>
      <c r="F534" s="26">
        <f ca="1"/>
        <v>-29266.726994179509</v>
      </c>
      <c r="G534" s="26">
        <f ca="1"/>
        <v>-33276.320985636674</v>
      </c>
      <c r="H534" s="26">
        <f ca="1"/>
        <v>-34309.321588866893</v>
      </c>
      <c r="I534" s="26">
        <f ca="1"/>
        <v>-34964.572843660513</v>
      </c>
      <c r="J534" s="26">
        <f ca="1"/>
        <v>-31666.277276335735</v>
      </c>
      <c r="K534" s="26">
        <f ca="1"/>
        <v>-27574.354704968533</v>
      </c>
      <c r="M534" s="4" t="str">
        <f t="shared" si="40"/>
        <v>$M(2015)</v>
      </c>
    </row>
    <row r="535" spans="1:13" s="6" customFormat="1" x14ac:dyDescent="0.2">
      <c r="A535" s="4" t="str">
        <v>OT CO2</v>
      </c>
      <c r="B535" s="26">
        <f ca="1"/>
        <v>-10625.537060221926</v>
      </c>
      <c r="C535" s="26">
        <f ca="1"/>
        <v>-11017.720780428626</v>
      </c>
      <c r="D535" s="26">
        <f ca="1"/>
        <v>-11368.865042886078</v>
      </c>
      <c r="E535" s="26">
        <f ca="1"/>
        <v>-12617.874733154969</v>
      </c>
      <c r="F535" s="26">
        <f ca="1"/>
        <v>-14096.698884517427</v>
      </c>
      <c r="G535" s="26">
        <f ca="1"/>
        <v>-16099.736771672235</v>
      </c>
      <c r="H535" s="26">
        <f ca="1"/>
        <v>-17871.463228356173</v>
      </c>
      <c r="I535" s="26">
        <f ca="1"/>
        <v>-18546.451604382655</v>
      </c>
      <c r="J535" s="26">
        <f ca="1"/>
        <v>-17858.833845564059</v>
      </c>
      <c r="K535" s="26">
        <f ca="1"/>
        <v>-17270.098655374091</v>
      </c>
      <c r="M535" s="4" t="str">
        <f t="shared" si="40"/>
        <v>$M(2015)</v>
      </c>
    </row>
    <row r="536" spans="1:13" s="6" customFormat="1" x14ac:dyDescent="0.2">
      <c r="A536" s="4" t="str">
        <v>EE CO2</v>
      </c>
      <c r="B536" s="26">
        <f ca="1"/>
        <v>-7311.8611381878054</v>
      </c>
      <c r="C536" s="26">
        <f ca="1"/>
        <v>-7615.1389982197234</v>
      </c>
      <c r="D536" s="26">
        <f ca="1"/>
        <v>-7887.8897458959791</v>
      </c>
      <c r="E536" s="26">
        <f ca="1"/>
        <v>-9054.1654046321346</v>
      </c>
      <c r="F536" s="26">
        <f ca="1"/>
        <v>-10364.11806166524</v>
      </c>
      <c r="G536" s="26">
        <f ca="1"/>
        <v>-11617.920157994809</v>
      </c>
      <c r="H536" s="26">
        <f ca="1"/>
        <v>-11742.711314669315</v>
      </c>
      <c r="I536" s="26">
        <f ca="1"/>
        <v>-10540.294516195983</v>
      </c>
      <c r="J536" s="26">
        <f ca="1"/>
        <v>-8712.0854364373008</v>
      </c>
      <c r="K536" s="26">
        <f ca="1"/>
        <v>-7041.8864377334921</v>
      </c>
      <c r="M536" s="4" t="str">
        <f t="shared" si="40"/>
        <v>$M(2015)</v>
      </c>
    </row>
    <row r="537" spans="1:13" s="6" customFormat="1" x14ac:dyDescent="0.2">
      <c r="A537" s="4" t="str">
        <v>CA CO2</v>
      </c>
      <c r="B537" s="26">
        <f ca="1"/>
        <v>-25395.331599499994</v>
      </c>
      <c r="C537" s="26">
        <f ca="1"/>
        <v>-27364.762851693944</v>
      </c>
      <c r="D537" s="26">
        <f ca="1"/>
        <v>-29165.462977759875</v>
      </c>
      <c r="E537" s="26">
        <f ca="1"/>
        <v>-32160.806382458926</v>
      </c>
      <c r="F537" s="26">
        <f ca="1"/>
        <v>-32204.682621027103</v>
      </c>
      <c r="G537" s="26">
        <f ca="1"/>
        <v>-31847.001873633781</v>
      </c>
      <c r="H537" s="26">
        <f ca="1"/>
        <v>-30240.603523665217</v>
      </c>
      <c r="I537" s="26">
        <f ca="1"/>
        <v>-26464.861922942109</v>
      </c>
      <c r="J537" s="26">
        <f ca="1"/>
        <v>-20751.820834268467</v>
      </c>
      <c r="K537" s="26">
        <f ca="1"/>
        <v>-15347.751013932169</v>
      </c>
      <c r="M537" s="4" t="str">
        <f t="shared" si="40"/>
        <v>$M(2015)</v>
      </c>
    </row>
    <row r="538" spans="1:13" s="6" customFormat="1" x14ac:dyDescent="0.2">
      <c r="A538" s="4" t="str">
        <v>IA CO2</v>
      </c>
      <c r="B538" s="26">
        <f ca="1"/>
        <v>-15329.247326106695</v>
      </c>
      <c r="C538" s="26">
        <f ca="1"/>
        <v>-18001.366127234236</v>
      </c>
      <c r="D538" s="26">
        <f ca="1"/>
        <v>-20470.103678645577</v>
      </c>
      <c r="E538" s="26">
        <f ca="1"/>
        <v>-27166.421192231828</v>
      </c>
      <c r="F538" s="26">
        <f ca="1"/>
        <v>-34787.492963605269</v>
      </c>
      <c r="G538" s="26">
        <f ca="1"/>
        <v>-42031.28580901157</v>
      </c>
      <c r="H538" s="26">
        <f ca="1"/>
        <v>-48041.0544454107</v>
      </c>
      <c r="I538" s="26">
        <f ca="1"/>
        <v>-51901.06018661047</v>
      </c>
      <c r="J538" s="26">
        <f ca="1"/>
        <v>-50102.352144526652</v>
      </c>
      <c r="K538" s="26">
        <f ca="1"/>
        <v>-45338.060449067925</v>
      </c>
      <c r="M538" s="4" t="str">
        <f t="shared" si="40"/>
        <v>$M(2015)</v>
      </c>
    </row>
    <row r="539" spans="1:13" s="6" customFormat="1" x14ac:dyDescent="0.2">
      <c r="A539" s="4" t="str">
        <v>AF CO2</v>
      </c>
      <c r="B539" s="26">
        <f ca="1"/>
        <v>-14890.1610394073</v>
      </c>
      <c r="C539" s="26">
        <f ca="1"/>
        <v>-16840.099842046988</v>
      </c>
      <c r="D539" s="26">
        <f ca="1"/>
        <v>-18636.676053119387</v>
      </c>
      <c r="E539" s="26">
        <f ca="1"/>
        <v>-26086.557147306303</v>
      </c>
      <c r="F539" s="26">
        <f ca="1"/>
        <v>-36728.104453698004</v>
      </c>
      <c r="G539" s="26">
        <f ca="1"/>
        <v>-50304.573717538246</v>
      </c>
      <c r="H539" s="26">
        <f ca="1"/>
        <v>-62528.550939287677</v>
      </c>
      <c r="I539" s="26">
        <f ca="1"/>
        <v>-71517.349007878816</v>
      </c>
      <c r="J539" s="26">
        <f ca="1"/>
        <v>-72257.327595291979</v>
      </c>
      <c r="K539" s="26">
        <f ca="1"/>
        <v>-69333.448123658571</v>
      </c>
      <c r="M539" s="4" t="str">
        <f t="shared" si="40"/>
        <v>$M(2015)</v>
      </c>
    </row>
    <row r="540" spans="1:13" s="6" customFormat="1" ht="13.5" thickBot="1" x14ac:dyDescent="0.25">
      <c r="A540" s="4" t="str">
        <v>LA CO2</v>
      </c>
      <c r="B540" s="35">
        <f ca="1"/>
        <v>-7939.8856694156711</v>
      </c>
      <c r="C540" s="35">
        <f ca="1"/>
        <v>-9243.9426901539882</v>
      </c>
      <c r="D540" s="35">
        <f ca="1"/>
        <v>-10448.131863352835</v>
      </c>
      <c r="E540" s="35">
        <f ca="1"/>
        <v>-12985.664231611798</v>
      </c>
      <c r="F540" s="35">
        <f ca="1"/>
        <v>-14644.150146391918</v>
      </c>
      <c r="G540" s="35">
        <f ca="1"/>
        <v>-15589.02980851521</v>
      </c>
      <c r="H540" s="35">
        <f ca="1"/>
        <v>-15950.14501498235</v>
      </c>
      <c r="I540" s="35">
        <f ca="1"/>
        <v>-15384.070441573551</v>
      </c>
      <c r="J540" s="35">
        <f ca="1"/>
        <v>-13862.172007081361</v>
      </c>
      <c r="K540" s="35">
        <f ca="1"/>
        <v>-12355.601305815599</v>
      </c>
      <c r="M540" s="4" t="str">
        <f t="shared" si="40"/>
        <v>$M(2015)</v>
      </c>
    </row>
    <row r="541" spans="1:13" s="2" customFormat="1" ht="15" thickTop="1" x14ac:dyDescent="0.25">
      <c r="A541" s="2" t="s">
        <v>342</v>
      </c>
      <c r="B541" s="2" t="s">
        <v>344</v>
      </c>
    </row>
    <row r="542" spans="1:13" s="6" customFormat="1" x14ac:dyDescent="0.2">
      <c r="A542" s="4" t="str">
        <f t="array" ref="A542:A549">R_CODE&amp;" "&amp;'Base data'!$C$12</f>
        <v>EU CH4</v>
      </c>
      <c r="B542" s="29">
        <f t="array" aca="1" ref="B542:K549" ca="1">IF(Q0_CH4=0,0,(ALO_CH4/BLO_CH4)*(1-EXP(-BLO_CH4*Q0_CH4))-ALO_CH4*Q0_CH4)</f>
        <v>-3158.0714728122116</v>
      </c>
      <c r="C542" s="29">
        <f ca="1"/>
        <v>-3234.5001841880712</v>
      </c>
      <c r="D542" s="29">
        <f ca="1"/>
        <v>-3299.0329822112899</v>
      </c>
      <c r="E542" s="29">
        <f ca="1"/>
        <v>-3593.490320189303</v>
      </c>
      <c r="F542" s="29">
        <f ca="1"/>
        <v>-3766.6067427770995</v>
      </c>
      <c r="G542" s="29">
        <f ca="1"/>
        <v>-3593.7534502047247</v>
      </c>
      <c r="H542" s="29">
        <f ca="1"/>
        <v>-3476.6882380701186</v>
      </c>
      <c r="I542" s="29">
        <f ca="1"/>
        <v>-3246.8909926777069</v>
      </c>
      <c r="J542" s="29">
        <f ca="1"/>
        <v>-3418.7165514260523</v>
      </c>
      <c r="K542" s="29">
        <f ca="1"/>
        <v>-2858.5885196030622</v>
      </c>
      <c r="M542" s="4" t="str">
        <f t="shared" ref="M542:M549" si="41">CURRENCY_NAME</f>
        <v>$M(2015)</v>
      </c>
    </row>
    <row r="543" spans="1:13" s="6" customFormat="1" x14ac:dyDescent="0.2">
      <c r="A543" s="4" t="str">
        <v>US CH4</v>
      </c>
      <c r="B543" s="26">
        <f ca="1"/>
        <v>-4859.6129289375986</v>
      </c>
      <c r="C543" s="26">
        <f ca="1"/>
        <v>-5061.5079102963373</v>
      </c>
      <c r="D543" s="26">
        <f ca="1"/>
        <v>-5238.4672180810812</v>
      </c>
      <c r="E543" s="26">
        <f ca="1"/>
        <v>-5729.805445447284</v>
      </c>
      <c r="F543" s="26">
        <f ca="1"/>
        <v>-6109.0267984646889</v>
      </c>
      <c r="G543" s="26">
        <f ca="1"/>
        <v>-5917.9274506170823</v>
      </c>
      <c r="H543" s="26">
        <f ca="1"/>
        <v>-5206.366882730531</v>
      </c>
      <c r="I543" s="26">
        <f ca="1"/>
        <v>-4973.0278741782349</v>
      </c>
      <c r="J543" s="26">
        <f ca="1"/>
        <v>-4629.0270336072608</v>
      </c>
      <c r="K543" s="26">
        <f ca="1"/>
        <v>-4088.0970938565561</v>
      </c>
      <c r="M543" s="4" t="str">
        <f t="shared" si="41"/>
        <v>$M(2015)</v>
      </c>
    </row>
    <row r="544" spans="1:13" s="6" customFormat="1" x14ac:dyDescent="0.2">
      <c r="A544" s="4" t="str">
        <v>OT CH4</v>
      </c>
      <c r="B544" s="26">
        <f ca="1"/>
        <v>-2471.8404529988138</v>
      </c>
      <c r="C544" s="26">
        <f ca="1"/>
        <v>-2467.8013437884974</v>
      </c>
      <c r="D544" s="26">
        <f ca="1"/>
        <v>-2459.4747280160045</v>
      </c>
      <c r="E544" s="26">
        <f ca="1"/>
        <v>-2777.1173359199634</v>
      </c>
      <c r="F544" s="26">
        <f ca="1"/>
        <v>-2994.1728919419725</v>
      </c>
      <c r="G544" s="26">
        <f ca="1"/>
        <v>-2920.9639540691337</v>
      </c>
      <c r="H544" s="26">
        <f ca="1"/>
        <v>-2469.4215154661274</v>
      </c>
      <c r="I544" s="26">
        <f ca="1"/>
        <v>-2052.4079811530282</v>
      </c>
      <c r="J544" s="26">
        <f ca="1"/>
        <v>-1860.7942229533737</v>
      </c>
      <c r="K544" s="26">
        <f ca="1"/>
        <v>-2361.4489899030386</v>
      </c>
      <c r="M544" s="4" t="str">
        <f t="shared" si="41"/>
        <v>$M(2015)</v>
      </c>
    </row>
    <row r="545" spans="1:13" s="6" customFormat="1" x14ac:dyDescent="0.2">
      <c r="A545" s="4" t="str">
        <v>EE CH4</v>
      </c>
      <c r="B545" s="26">
        <f ca="1"/>
        <v>-4412.6246602259544</v>
      </c>
      <c r="C545" s="26">
        <f ca="1"/>
        <v>-4436.2594901921493</v>
      </c>
      <c r="D545" s="26">
        <f ca="1"/>
        <v>-4449.8140393562535</v>
      </c>
      <c r="E545" s="26">
        <f ca="1"/>
        <v>-4750.455534401246</v>
      </c>
      <c r="F545" s="26">
        <f ca="1"/>
        <v>-5148.9579328577329</v>
      </c>
      <c r="G545" s="26">
        <f ca="1"/>
        <v>-5425.0550873135198</v>
      </c>
      <c r="H545" s="26">
        <f ca="1"/>
        <v>-5610.1436615999546</v>
      </c>
      <c r="I545" s="26">
        <f ca="1"/>
        <v>-5682.311179453789</v>
      </c>
      <c r="J545" s="26">
        <f ca="1"/>
        <v>-5349.3448816963892</v>
      </c>
      <c r="K545" s="26">
        <f ca="1"/>
        <v>-4816.7133387254789</v>
      </c>
      <c r="M545" s="4" t="str">
        <f t="shared" si="41"/>
        <v>$M(2015)</v>
      </c>
    </row>
    <row r="546" spans="1:13" s="6" customFormat="1" x14ac:dyDescent="0.2">
      <c r="A546" s="4" t="str">
        <v>CA CH4</v>
      </c>
      <c r="B546" s="26">
        <f ca="1"/>
        <v>-6875.4538995335897</v>
      </c>
      <c r="C546" s="26">
        <f ca="1"/>
        <v>-5938.1635467405358</v>
      </c>
      <c r="D546" s="26">
        <f ca="1"/>
        <v>-5061.7944720486976</v>
      </c>
      <c r="E546" s="26">
        <f ca="1"/>
        <v>-4501.2120203284567</v>
      </c>
      <c r="F546" s="26">
        <f ca="1"/>
        <v>-3863.5218021547435</v>
      </c>
      <c r="G546" s="26">
        <f ca="1"/>
        <v>-3466.736741454708</v>
      </c>
      <c r="H546" s="26">
        <f ca="1"/>
        <v>-3093.9595431257117</v>
      </c>
      <c r="I546" s="26">
        <f ca="1"/>
        <v>-2342.7637366086683</v>
      </c>
      <c r="J546" s="26">
        <f ca="1"/>
        <v>-1833.3630181699914</v>
      </c>
      <c r="K546" s="26">
        <f ca="1"/>
        <v>-1442.0886318193859</v>
      </c>
      <c r="M546" s="4" t="str">
        <f t="shared" si="41"/>
        <v>$M(2015)</v>
      </c>
    </row>
    <row r="547" spans="1:13" s="6" customFormat="1" x14ac:dyDescent="0.2">
      <c r="A547" s="4" t="str">
        <v>IA CH4</v>
      </c>
      <c r="B547" s="26">
        <f ca="1"/>
        <v>-9040.4294137644938</v>
      </c>
      <c r="C547" s="26">
        <f ca="1"/>
        <v>-8859.434350954547</v>
      </c>
      <c r="D547" s="26">
        <f ca="1"/>
        <v>-8675.8339949032998</v>
      </c>
      <c r="E547" s="26">
        <f ca="1"/>
        <v>-8450.5872355424981</v>
      </c>
      <c r="F547" s="26">
        <f ca="1"/>
        <v>-8185.9612557065393</v>
      </c>
      <c r="G547" s="26">
        <f ca="1"/>
        <v>-5929.9088070641228</v>
      </c>
      <c r="H547" s="26">
        <f ca="1"/>
        <v>-4547.6218053051907</v>
      </c>
      <c r="I547" s="26">
        <f ca="1"/>
        <v>-3241.6361942060385</v>
      </c>
      <c r="J547" s="26">
        <f ca="1"/>
        <v>-2583.417062135085</v>
      </c>
      <c r="K547" s="26">
        <f ca="1"/>
        <v>-2074.2811148231649</v>
      </c>
      <c r="M547" s="4" t="str">
        <f t="shared" si="41"/>
        <v>$M(2015)</v>
      </c>
    </row>
    <row r="548" spans="1:13" s="6" customFormat="1" x14ac:dyDescent="0.2">
      <c r="A548" s="4" t="str">
        <v>AF CH4</v>
      </c>
      <c r="B548" s="26">
        <f ca="1"/>
        <v>-9172.5185896744024</v>
      </c>
      <c r="C548" s="26">
        <f ca="1"/>
        <v>-11254.196815766883</v>
      </c>
      <c r="D548" s="26">
        <f ca="1"/>
        <v>-13155.033219008168</v>
      </c>
      <c r="E548" s="26">
        <f ca="1"/>
        <v>-17654.772123276922</v>
      </c>
      <c r="F548" s="26">
        <f ca="1"/>
        <v>-19452.819986488525</v>
      </c>
      <c r="G548" s="26">
        <f ca="1"/>
        <v>-19522.985804123397</v>
      </c>
      <c r="H548" s="26">
        <f ca="1"/>
        <v>-18798.919314239087</v>
      </c>
      <c r="I548" s="26">
        <f ca="1"/>
        <v>-16731.405923856066</v>
      </c>
      <c r="J548" s="26">
        <f ca="1"/>
        <v>-12830.860303107209</v>
      </c>
      <c r="K548" s="26">
        <f ca="1"/>
        <v>-10344.7162602835</v>
      </c>
      <c r="M548" s="4" t="str">
        <f t="shared" si="41"/>
        <v>$M(2015)</v>
      </c>
    </row>
    <row r="549" spans="1:13" s="6" customFormat="1" ht="13.5" thickBot="1" x14ac:dyDescent="0.25">
      <c r="A549" s="4" t="str">
        <v>LA CH4</v>
      </c>
      <c r="B549" s="35">
        <f ca="1"/>
        <v>-7413.014008996478</v>
      </c>
      <c r="C549" s="35">
        <f ca="1"/>
        <v>-7530.3225435407749</v>
      </c>
      <c r="D549" s="35">
        <f ca="1"/>
        <v>-7624.5921020732512</v>
      </c>
      <c r="E549" s="35">
        <f ca="1"/>
        <v>-7391.6237813700036</v>
      </c>
      <c r="F549" s="35">
        <f ca="1"/>
        <v>-5682.2462751635312</v>
      </c>
      <c r="G549" s="35">
        <f ca="1"/>
        <v>-4910.0766919976886</v>
      </c>
      <c r="H549" s="35">
        <f ca="1"/>
        <v>-4347.9046137228806</v>
      </c>
      <c r="I549" s="35">
        <f ca="1"/>
        <v>-3689.7507800157855</v>
      </c>
      <c r="J549" s="35">
        <f ca="1"/>
        <v>-2719.7901746625521</v>
      </c>
      <c r="K549" s="35">
        <f ca="1"/>
        <v>-2206.5665267779059</v>
      </c>
      <c r="M549" s="4" t="str">
        <f t="shared" si="41"/>
        <v>$M(2015)</v>
      </c>
    </row>
    <row r="550" spans="1:13" s="2" customFormat="1" ht="15" thickTop="1" x14ac:dyDescent="0.25">
      <c r="A550" s="2" t="s">
        <v>342</v>
      </c>
      <c r="B550" s="2" t="s">
        <v>345</v>
      </c>
    </row>
    <row r="551" spans="1:13" s="7" customFormat="1" x14ac:dyDescent="0.2">
      <c r="A551" s="4" t="str">
        <f t="array" ref="A551:A558">R_CODE&amp;" "&amp;'Base data'!$D$12</f>
        <v>EU N2O</v>
      </c>
      <c r="B551" s="29">
        <f t="array" aca="1" ref="B551:K558" ca="1">IF(Q0_N2O=0,0,(ALO_N2O/BLO_N2O)*(1-EXP(-BLO_N2O*Q0_N2O))-ALO_N2O*Q0_N2O)</f>
        <v>-397.11246261775204</v>
      </c>
      <c r="C551" s="29">
        <f ca="1"/>
        <v>-402.15685904722272</v>
      </c>
      <c r="D551" s="29">
        <f ca="1"/>
        <v>-406.68577543563777</v>
      </c>
      <c r="E551" s="29">
        <f ca="1"/>
        <v>-408.75570628862704</v>
      </c>
      <c r="F551" s="29">
        <f ca="1"/>
        <v>-382.24517085464402</v>
      </c>
      <c r="G551" s="29">
        <f ca="1"/>
        <v>-370.39986157791395</v>
      </c>
      <c r="H551" s="29">
        <f ca="1"/>
        <v>-351.74987514342342</v>
      </c>
      <c r="I551" s="29">
        <f ca="1"/>
        <v>-335.41974057908493</v>
      </c>
      <c r="J551" s="29">
        <f ca="1"/>
        <v>-312.2963061970828</v>
      </c>
      <c r="K551" s="29">
        <f ca="1"/>
        <v>-285.36670130745938</v>
      </c>
      <c r="M551" s="4" t="str">
        <f t="shared" ref="M551:M558" si="42">CURRENCY_NAME</f>
        <v>$M(2015)</v>
      </c>
    </row>
    <row r="552" spans="1:13" s="7" customFormat="1" x14ac:dyDescent="0.2">
      <c r="A552" s="4" t="str">
        <v>US N2O</v>
      </c>
      <c r="B552" s="26">
        <f ca="1"/>
        <v>-379.44926237681528</v>
      </c>
      <c r="C552" s="26">
        <f ca="1"/>
        <v>-384.26928865270008</v>
      </c>
      <c r="D552" s="26">
        <f ca="1"/>
        <v>-388.59676296972884</v>
      </c>
      <c r="E552" s="26">
        <f ca="1"/>
        <v>-390.57462518578791</v>
      </c>
      <c r="F552" s="26">
        <f ca="1"/>
        <v>-365.24325419499093</v>
      </c>
      <c r="G552" s="26">
        <f ca="1"/>
        <v>-353.92481347406351</v>
      </c>
      <c r="H552" s="26">
        <f ca="1"/>
        <v>-336.1043614306916</v>
      </c>
      <c r="I552" s="26">
        <f ca="1"/>
        <v>-320.50057636158164</v>
      </c>
      <c r="J552" s="26">
        <f ca="1"/>
        <v>-298.40565125641001</v>
      </c>
      <c r="K552" s="26">
        <f ca="1"/>
        <v>-272.67385063724237</v>
      </c>
      <c r="M552" s="4" t="str">
        <f t="shared" si="42"/>
        <v>$M(2015)</v>
      </c>
    </row>
    <row r="553" spans="1:13" s="7" customFormat="1" x14ac:dyDescent="0.2">
      <c r="A553" s="4" t="str">
        <v>OT N2O</v>
      </c>
      <c r="B553" s="26">
        <f ca="1"/>
        <v>-188.27044278106456</v>
      </c>
      <c r="C553" s="26">
        <f ca="1"/>
        <v>-190.66198381475357</v>
      </c>
      <c r="D553" s="26">
        <f ca="1"/>
        <v>-192.80913650833716</v>
      </c>
      <c r="E553" s="26">
        <f ca="1"/>
        <v>-193.79048772468923</v>
      </c>
      <c r="F553" s="26">
        <f ca="1"/>
        <v>-181.22188131123752</v>
      </c>
      <c r="G553" s="26">
        <f ca="1"/>
        <v>-175.60603735683793</v>
      </c>
      <c r="H553" s="26">
        <f ca="1"/>
        <v>-166.76410582757691</v>
      </c>
      <c r="I553" s="26">
        <f ca="1"/>
        <v>-159.02201270656161</v>
      </c>
      <c r="J553" s="26">
        <f ca="1"/>
        <v>-148.05922599112941</v>
      </c>
      <c r="K553" s="26">
        <f ca="1"/>
        <v>-135.2919393563385</v>
      </c>
      <c r="M553" s="4" t="str">
        <f t="shared" si="42"/>
        <v>$M(2015)</v>
      </c>
    </row>
    <row r="554" spans="1:13" s="7" customFormat="1" x14ac:dyDescent="0.2">
      <c r="A554" s="4" t="str">
        <v>EE N2O</v>
      </c>
      <c r="B554" s="26">
        <f ca="1"/>
        <v>-90.340451932314011</v>
      </c>
      <c r="C554" s="26">
        <f ca="1"/>
        <v>-91.488018669857553</v>
      </c>
      <c r="D554" s="26">
        <f ca="1"/>
        <v>-92.518317116287591</v>
      </c>
      <c r="E554" s="26">
        <f ca="1"/>
        <v>-92.989212659315925</v>
      </c>
      <c r="F554" s="26">
        <f ca="1"/>
        <v>-86.958241643483106</v>
      </c>
      <c r="G554" s="26">
        <f ca="1"/>
        <v>-84.263512331076981</v>
      </c>
      <c r="H554" s="26">
        <f ca="1"/>
        <v>-80.020764088131074</v>
      </c>
      <c r="I554" s="26">
        <f ca="1"/>
        <v>-76.30576676235367</v>
      </c>
      <c r="J554" s="26">
        <f ca="1"/>
        <v>-71.045338775463478</v>
      </c>
      <c r="K554" s="26">
        <f ca="1"/>
        <v>-64.919032237385863</v>
      </c>
      <c r="M554" s="4" t="str">
        <f t="shared" si="42"/>
        <v>$M(2015)</v>
      </c>
    </row>
    <row r="555" spans="1:13" s="7" customFormat="1" x14ac:dyDescent="0.2">
      <c r="A555" s="4" t="str">
        <v>CA N2O</v>
      </c>
      <c r="B555" s="26">
        <f ca="1"/>
        <v>-474.69350750508511</v>
      </c>
      <c r="C555" s="26">
        <f ca="1"/>
        <v>-480.72339188233889</v>
      </c>
      <c r="D555" s="26">
        <f ca="1"/>
        <v>-486.13709053949572</v>
      </c>
      <c r="E555" s="26">
        <f ca="1"/>
        <v>-488.61140910009038</v>
      </c>
      <c r="F555" s="26">
        <f ca="1"/>
        <v>-456.92169841199086</v>
      </c>
      <c r="G555" s="26">
        <f ca="1"/>
        <v>-442.76225508707574</v>
      </c>
      <c r="H555" s="26">
        <f ca="1"/>
        <v>-420.46875309735799</v>
      </c>
      <c r="I555" s="26">
        <f ca="1"/>
        <v>-400.94831598169526</v>
      </c>
      <c r="J555" s="26">
        <f ca="1"/>
        <v>-373.30742025155541</v>
      </c>
      <c r="K555" s="26">
        <f ca="1"/>
        <v>-341.1167694809543</v>
      </c>
      <c r="M555" s="4" t="str">
        <f t="shared" si="42"/>
        <v>$M(2015)</v>
      </c>
    </row>
    <row r="556" spans="1:13" s="7" customFormat="1" x14ac:dyDescent="0.2">
      <c r="A556" s="4" t="str">
        <v>IA N2O</v>
      </c>
      <c r="B556" s="26">
        <f ca="1"/>
        <v>-227.07852743377094</v>
      </c>
      <c r="C556" s="26">
        <f ca="1"/>
        <v>-229.96303552864526</v>
      </c>
      <c r="D556" s="26">
        <f ca="1"/>
        <v>-232.55277964690504</v>
      </c>
      <c r="E556" s="26">
        <f ca="1"/>
        <v>-233.73641625928451</v>
      </c>
      <c r="F556" s="26">
        <f ca="1"/>
        <v>-218.5770497963278</v>
      </c>
      <c r="G556" s="26">
        <f ca="1"/>
        <v>-211.80361496170616</v>
      </c>
      <c r="H556" s="26">
        <f ca="1"/>
        <v>-201.13910086339041</v>
      </c>
      <c r="I556" s="26">
        <f ca="1"/>
        <v>-191.8011342701972</v>
      </c>
      <c r="J556" s="26">
        <f ca="1"/>
        <v>-178.57859425202906</v>
      </c>
      <c r="K556" s="26">
        <f ca="1"/>
        <v>-163.17959372105051</v>
      </c>
      <c r="M556" s="4" t="str">
        <f t="shared" si="42"/>
        <v>$M(2015)</v>
      </c>
    </row>
    <row r="557" spans="1:13" s="7" customFormat="1" x14ac:dyDescent="0.2">
      <c r="A557" s="4" t="str">
        <v>AF N2O</v>
      </c>
      <c r="B557" s="26">
        <f ca="1"/>
        <v>-398.43029638822958</v>
      </c>
      <c r="C557" s="26">
        <f ca="1"/>
        <v>-403.49143285129833</v>
      </c>
      <c r="D557" s="26">
        <f ca="1"/>
        <v>-408.0353786319439</v>
      </c>
      <c r="E557" s="26">
        <f ca="1"/>
        <v>-410.11217863419807</v>
      </c>
      <c r="F557" s="26">
        <f ca="1"/>
        <v>-383.51366691602078</v>
      </c>
      <c r="G557" s="26">
        <f ca="1"/>
        <v>-371.62904850131059</v>
      </c>
      <c r="H557" s="26">
        <f ca="1"/>
        <v>-352.91717133244151</v>
      </c>
      <c r="I557" s="26">
        <f ca="1"/>
        <v>-336.53284455599407</v>
      </c>
      <c r="J557" s="26">
        <f ca="1"/>
        <v>-313.33267412164741</v>
      </c>
      <c r="K557" s="26">
        <f ca="1"/>
        <v>-286.31370224888974</v>
      </c>
      <c r="M557" s="4" t="str">
        <f t="shared" si="42"/>
        <v>$M(2015)</v>
      </c>
    </row>
    <row r="558" spans="1:13" s="7" customFormat="1" ht="13.5" thickBot="1" x14ac:dyDescent="0.25">
      <c r="A558" s="4" t="str">
        <v>LA N2O</v>
      </c>
      <c r="B558" s="35">
        <f ca="1"/>
        <v>-383.2402961548039</v>
      </c>
      <c r="C558" s="35">
        <f ca="1"/>
        <v>-388.10847875680241</v>
      </c>
      <c r="D558" s="35">
        <f ca="1"/>
        <v>-392.47918837018278</v>
      </c>
      <c r="E558" s="35">
        <f ca="1"/>
        <v>-394.47681117932439</v>
      </c>
      <c r="F558" s="35">
        <f ca="1"/>
        <v>-368.89235738513133</v>
      </c>
      <c r="G558" s="35">
        <f ca="1"/>
        <v>-357.46083542952613</v>
      </c>
      <c r="H558" s="35">
        <f ca="1"/>
        <v>-339.46234130692505</v>
      </c>
      <c r="I558" s="35">
        <f ca="1"/>
        <v>-323.7026606224411</v>
      </c>
      <c r="J558" s="35">
        <f ca="1"/>
        <v>-301.38698767111185</v>
      </c>
      <c r="K558" s="35">
        <f ca="1"/>
        <v>-275.39810360235538</v>
      </c>
      <c r="M558" s="4" t="str">
        <f t="shared" si="42"/>
        <v>$M(2015)</v>
      </c>
    </row>
    <row r="559" spans="1:13" s="2" customFormat="1" ht="15" thickTop="1" x14ac:dyDescent="0.25">
      <c r="A559" s="2" t="s">
        <v>342</v>
      </c>
      <c r="B559" s="2" t="s">
        <v>346</v>
      </c>
    </row>
    <row r="560" spans="1:13" s="7" customFormat="1" x14ac:dyDescent="0.2">
      <c r="A560" s="4" t="str">
        <f t="array" ref="A560:A567">R_CODE&amp;" "&amp;GLIN_NAME</f>
        <v>EU Lin</v>
      </c>
      <c r="B560" s="32">
        <f t="array" aca="1" ref="B560:K567" ca="1">IF(Q0_GLIN=0,0,(ALO_GLIN/BLO_GLIN)*(1-EXP(-BLO_GLIN*Q0_GLIN))-ALO_GLIN*Q0_GLIN)</f>
        <v>-887.78512934282105</v>
      </c>
      <c r="C560" s="32">
        <f ca="1"/>
        <v>-902.49031485891965</v>
      </c>
      <c r="D560" s="32">
        <f ca="1"/>
        <v>-916.17157931701399</v>
      </c>
      <c r="E560" s="32">
        <f ca="1"/>
        <v>-907.90186790599137</v>
      </c>
      <c r="F560" s="32">
        <f ca="1"/>
        <v>-955.84841633322173</v>
      </c>
      <c r="G560" s="32">
        <f ca="1"/>
        <v>-1026.6227102425178</v>
      </c>
      <c r="H560" s="32">
        <f ca="1"/>
        <v>-1113.2417366884688</v>
      </c>
      <c r="I560" s="32">
        <f ca="1"/>
        <v>-1120.3728252481428</v>
      </c>
      <c r="J560" s="32">
        <f ca="1"/>
        <v>-1030.5050654875681</v>
      </c>
      <c r="K560" s="32">
        <f ca="1"/>
        <v>-941.66455863848591</v>
      </c>
      <c r="M560" s="4" t="str">
        <f t="shared" ref="M560:M567" si="43">CURRENCY_NAME</f>
        <v>$M(2015)</v>
      </c>
    </row>
    <row r="561" spans="1:13" s="7" customFormat="1" x14ac:dyDescent="0.2">
      <c r="A561" s="4" t="str">
        <v>US Lin</v>
      </c>
      <c r="B561" s="33">
        <f ca="1"/>
        <v>-2503.6836730733853</v>
      </c>
      <c r="C561" s="33">
        <f ca="1"/>
        <v>-2545.1544430483527</v>
      </c>
      <c r="D561" s="33">
        <f ca="1"/>
        <v>-2583.7376061568466</v>
      </c>
      <c r="E561" s="33">
        <f ca="1"/>
        <v>-2560.4158126772318</v>
      </c>
      <c r="F561" s="33">
        <f ca="1"/>
        <v>-2695.6320789897127</v>
      </c>
      <c r="G561" s="33">
        <f ca="1"/>
        <v>-2895.2259201989827</v>
      </c>
      <c r="H561" s="33">
        <f ca="1"/>
        <v>-3139.5042203443954</v>
      </c>
      <c r="I561" s="33">
        <f ca="1"/>
        <v>-3159.6149311549179</v>
      </c>
      <c r="J561" s="33">
        <f ca="1"/>
        <v>-2906.1747287775834</v>
      </c>
      <c r="K561" s="33">
        <f ca="1"/>
        <v>-2655.6315295799768</v>
      </c>
      <c r="M561" s="4" t="str">
        <f t="shared" si="43"/>
        <v>$M(2015)</v>
      </c>
    </row>
    <row r="562" spans="1:13" s="7" customFormat="1" x14ac:dyDescent="0.2">
      <c r="A562" s="4" t="str">
        <v>OT Lin</v>
      </c>
      <c r="B562" s="33">
        <f ca="1"/>
        <v>-832.3724931305087</v>
      </c>
      <c r="C562" s="33">
        <f ca="1"/>
        <v>-846.15982919350688</v>
      </c>
      <c r="D562" s="33">
        <f ca="1"/>
        <v>-858.9871539929112</v>
      </c>
      <c r="E562" s="33">
        <f ca="1"/>
        <v>-851.23361084699468</v>
      </c>
      <c r="F562" s="33">
        <f ca="1"/>
        <v>-896.18749296587976</v>
      </c>
      <c r="G562" s="33">
        <f ca="1"/>
        <v>-962.54428755922993</v>
      </c>
      <c r="H562" s="33">
        <f ca="1"/>
        <v>-1043.756838448345</v>
      </c>
      <c r="I562" s="33">
        <f ca="1"/>
        <v>-1050.4428278470909</v>
      </c>
      <c r="J562" s="33">
        <f ca="1"/>
        <v>-966.18431892237379</v>
      </c>
      <c r="K562" s="33">
        <f ca="1"/>
        <v>-882.88894515137076</v>
      </c>
      <c r="M562" s="4" t="str">
        <f t="shared" si="43"/>
        <v>$M(2015)</v>
      </c>
    </row>
    <row r="563" spans="1:13" s="7" customFormat="1" x14ac:dyDescent="0.2">
      <c r="A563" s="4" t="str">
        <v>EE Lin</v>
      </c>
      <c r="B563" s="33">
        <f ca="1"/>
        <v>-208.37572128540344</v>
      </c>
      <c r="C563" s="33">
        <f ca="1"/>
        <v>-211.82723622666072</v>
      </c>
      <c r="D563" s="33">
        <f ca="1"/>
        <v>-215.03842241949781</v>
      </c>
      <c r="E563" s="33">
        <f ca="1"/>
        <v>-213.0974042348729</v>
      </c>
      <c r="F563" s="33">
        <f ca="1"/>
        <v>-224.35113701485915</v>
      </c>
      <c r="G563" s="33">
        <f ca="1"/>
        <v>-240.96286439615875</v>
      </c>
      <c r="H563" s="33">
        <f ca="1"/>
        <v>-261.2935745152563</v>
      </c>
      <c r="I563" s="33">
        <f ca="1"/>
        <v>-262.96734181891929</v>
      </c>
      <c r="J563" s="33">
        <f ca="1"/>
        <v>-241.87410806057153</v>
      </c>
      <c r="K563" s="33">
        <f ca="1"/>
        <v>-221.02198508376296</v>
      </c>
      <c r="M563" s="4" t="str">
        <f t="shared" si="43"/>
        <v>$M(2015)</v>
      </c>
    </row>
    <row r="564" spans="1:13" s="7" customFormat="1" x14ac:dyDescent="0.2">
      <c r="A564" s="4" t="str">
        <v>CA Lin</v>
      </c>
      <c r="B564" s="33">
        <f ca="1"/>
        <v>-646.78688607681158</v>
      </c>
      <c r="C564" s="33">
        <f ca="1"/>
        <v>-657.50020040792674</v>
      </c>
      <c r="D564" s="33">
        <f ca="1"/>
        <v>-667.46754739761377</v>
      </c>
      <c r="E564" s="33">
        <f ca="1"/>
        <v>-661.44273270371525</v>
      </c>
      <c r="F564" s="33">
        <f ca="1"/>
        <v>-696.37370612330278</v>
      </c>
      <c r="G564" s="33">
        <f ca="1"/>
        <v>-747.93560286938157</v>
      </c>
      <c r="H564" s="33">
        <f ca="1"/>
        <v>-811.04101941477165</v>
      </c>
      <c r="I564" s="33">
        <f ca="1"/>
        <v>-816.23630193461281</v>
      </c>
      <c r="J564" s="33">
        <f ca="1"/>
        <v>-750.76405355704878</v>
      </c>
      <c r="K564" s="33">
        <f ca="1"/>
        <v>-686.04019990910695</v>
      </c>
      <c r="M564" s="4" t="str">
        <f t="shared" si="43"/>
        <v>$M(2015)</v>
      </c>
    </row>
    <row r="565" spans="1:13" s="7" customFormat="1" x14ac:dyDescent="0.2">
      <c r="A565" s="4" t="str">
        <v>IA Lin</v>
      </c>
      <c r="B565" s="33">
        <f ca="1"/>
        <v>-497.57729997314334</v>
      </c>
      <c r="C565" s="33">
        <f ca="1"/>
        <v>-505.81912140365216</v>
      </c>
      <c r="D565" s="33">
        <f ca="1"/>
        <v>-513.48706537373891</v>
      </c>
      <c r="E565" s="33">
        <f ca="1"/>
        <v>-508.85213678634568</v>
      </c>
      <c r="F565" s="33">
        <f ca="1"/>
        <v>-535.72475868654908</v>
      </c>
      <c r="G565" s="33">
        <f ca="1"/>
        <v>-575.39165657315993</v>
      </c>
      <c r="H565" s="33">
        <f ca="1"/>
        <v>-623.93905828193056</v>
      </c>
      <c r="I565" s="33">
        <f ca="1"/>
        <v>-627.93582244717231</v>
      </c>
      <c r="J565" s="33">
        <f ca="1"/>
        <v>-577.56760182896619</v>
      </c>
      <c r="K565" s="33">
        <f ca="1"/>
        <v>-527.77512607648907</v>
      </c>
      <c r="M565" s="4" t="str">
        <f t="shared" si="43"/>
        <v>$M(2015)</v>
      </c>
    </row>
    <row r="566" spans="1:13" s="7" customFormat="1" x14ac:dyDescent="0.2">
      <c r="A566" s="4" t="str">
        <v>AF Lin</v>
      </c>
      <c r="B566" s="33">
        <f ca="1"/>
        <v>-292.32727455787045</v>
      </c>
      <c r="C566" s="33">
        <f ca="1"/>
        <v>-297.16935476591715</v>
      </c>
      <c r="D566" s="33">
        <f ca="1"/>
        <v>-301.67428126147661</v>
      </c>
      <c r="E566" s="33">
        <f ca="1"/>
        <v>-298.9512550265656</v>
      </c>
      <c r="F566" s="33">
        <f ca="1"/>
        <v>-314.73895338164442</v>
      </c>
      <c r="G566" s="33">
        <f ca="1"/>
        <v>-338.04330458493325</v>
      </c>
      <c r="H566" s="33">
        <f ca="1"/>
        <v>-366.56496268540707</v>
      </c>
      <c r="I566" s="33">
        <f ca="1"/>
        <v>-368.91306653889643</v>
      </c>
      <c r="J566" s="33">
        <f ca="1"/>
        <v>-339.3216750938999</v>
      </c>
      <c r="K566" s="33">
        <f ca="1"/>
        <v>-310.06853446430108</v>
      </c>
      <c r="M566" s="4" t="str">
        <f t="shared" si="43"/>
        <v>$M(2015)</v>
      </c>
    </row>
    <row r="567" spans="1:13" s="7" customFormat="1" ht="13.5" thickBot="1" x14ac:dyDescent="0.25">
      <c r="A567" s="4" t="str">
        <v>LA Lin</v>
      </c>
      <c r="B567" s="34">
        <f ca="1"/>
        <v>-249.90351137441934</v>
      </c>
      <c r="C567" s="34">
        <f ca="1"/>
        <v>-254.04288854398919</v>
      </c>
      <c r="D567" s="34">
        <f ca="1"/>
        <v>-257.89404116540192</v>
      </c>
      <c r="E567" s="34">
        <f ca="1"/>
        <v>-255.56619194675432</v>
      </c>
      <c r="F567" s="34">
        <f ca="1"/>
        <v>-269.06271313664865</v>
      </c>
      <c r="G567" s="34">
        <f ca="1"/>
        <v>-288.98503890940719</v>
      </c>
      <c r="H567" s="34">
        <f ca="1"/>
        <v>-313.36751406609358</v>
      </c>
      <c r="I567" s="34">
        <f ca="1"/>
        <v>-315.37485121568477</v>
      </c>
      <c r="J567" s="34">
        <f ca="1"/>
        <v>-290.07788691516203</v>
      </c>
      <c r="K567" s="34">
        <f ca="1"/>
        <v>-265.07008504951966</v>
      </c>
      <c r="M567" s="4" t="str">
        <f t="shared" si="43"/>
        <v>$M(2015)</v>
      </c>
    </row>
    <row r="568" spans="1:13" s="2" customFormat="1" ht="15" thickTop="1" x14ac:dyDescent="0.25">
      <c r="A568" s="2" t="s">
        <v>347</v>
      </c>
      <c r="B568" s="2" t="s">
        <v>348</v>
      </c>
    </row>
    <row r="569" spans="1:13" s="6" customFormat="1" x14ac:dyDescent="0.2">
      <c r="A569" s="4" t="str">
        <f t="array" ref="A569:A576">R_CODE&amp;" "&amp;'Base data'!$B$12</f>
        <v>EU CO2</v>
      </c>
      <c r="B569" s="265">
        <f t="array" aca="1" ref="B569:K576" ca="1">IF(cbe_co2_b&lt;Q0_CO2,ALO_CO2*(EXP(BLO_CO2*(cbe_co2_b-Q0_CO2))-1),ahi_co2_b*(EXP(BHI_CO2*(cbe_co2_b-Q0_CO2))-1))</f>
        <v>-99.236343326911253</v>
      </c>
      <c r="C569" s="265">
        <f ca="1"/>
        <v>-98.478518368966036</v>
      </c>
      <c r="D569" s="265">
        <f ca="1"/>
        <v>-97.72648059188252</v>
      </c>
      <c r="E569" s="265">
        <f ca="1"/>
        <v>-96.239590141021054</v>
      </c>
      <c r="F569" s="265">
        <f ca="1"/>
        <v>-94.775322455243057</v>
      </c>
      <c r="G569" s="265">
        <f ca="1"/>
        <v>-93.333333333333329</v>
      </c>
      <c r="H569" s="265">
        <f ca="1"/>
        <v>-91.913283811034987</v>
      </c>
      <c r="I569" s="265">
        <f ca="1"/>
        <v>-90.514840081369982</v>
      </c>
      <c r="J569" s="265">
        <f ca="1"/>
        <v>-89.137673416172177</v>
      </c>
      <c r="K569" s="265">
        <f ca="1"/>
        <v>-87.781460088814086</v>
      </c>
      <c r="M569" s="4" t="str">
        <f t="shared" ref="M569:M576" si="44">CURRENCY_NAME&amp;" per "&amp;EMIT_NAME</f>
        <v>$M(2015) per Mtonne</v>
      </c>
    </row>
    <row r="570" spans="1:13" s="6" customFormat="1" x14ac:dyDescent="0.2">
      <c r="A570" s="4" t="str">
        <v>US CO2</v>
      </c>
      <c r="B570" s="264">
        <f ca="1"/>
        <v>-99.236343326911253</v>
      </c>
      <c r="C570" s="264">
        <f ca="1"/>
        <v>-98.478518368966036</v>
      </c>
      <c r="D570" s="264">
        <f ca="1"/>
        <v>-97.72648059188252</v>
      </c>
      <c r="E570" s="264">
        <f ca="1"/>
        <v>-96.239590141021054</v>
      </c>
      <c r="F570" s="264">
        <f ca="1"/>
        <v>-94.775322455243057</v>
      </c>
      <c r="G570" s="264">
        <f ca="1"/>
        <v>-93.333333333333329</v>
      </c>
      <c r="H570" s="264">
        <f ca="1"/>
        <v>-91.913283811034987</v>
      </c>
      <c r="I570" s="264">
        <f ca="1"/>
        <v>-90.514840081369982</v>
      </c>
      <c r="J570" s="264">
        <f ca="1"/>
        <v>-89.137673416172177</v>
      </c>
      <c r="K570" s="264">
        <f ca="1"/>
        <v>-87.781460088814086</v>
      </c>
      <c r="M570" s="4" t="str">
        <f t="shared" si="44"/>
        <v>$M(2015) per Mtonne</v>
      </c>
    </row>
    <row r="571" spans="1:13" s="6" customFormat="1" x14ac:dyDescent="0.2">
      <c r="A571" s="4" t="str">
        <v>OT CO2</v>
      </c>
      <c r="B571" s="264">
        <f ca="1"/>
        <v>-99.236343326911253</v>
      </c>
      <c r="C571" s="264">
        <f ca="1"/>
        <v>-98.478518368966036</v>
      </c>
      <c r="D571" s="264">
        <f ca="1"/>
        <v>-97.72648059188252</v>
      </c>
      <c r="E571" s="264">
        <f ca="1"/>
        <v>-96.239590141021054</v>
      </c>
      <c r="F571" s="264">
        <f ca="1"/>
        <v>-94.775322455243057</v>
      </c>
      <c r="G571" s="264">
        <f ca="1"/>
        <v>-93.333333333333329</v>
      </c>
      <c r="H571" s="264">
        <f ca="1"/>
        <v>-91.913283811034987</v>
      </c>
      <c r="I571" s="264">
        <f ca="1"/>
        <v>-90.514840081369982</v>
      </c>
      <c r="J571" s="264">
        <f ca="1"/>
        <v>-89.137673416172177</v>
      </c>
      <c r="K571" s="264">
        <f ca="1"/>
        <v>-87.781460088814086</v>
      </c>
      <c r="M571" s="4" t="str">
        <f t="shared" si="44"/>
        <v>$M(2015) per Mtonne</v>
      </c>
    </row>
    <row r="572" spans="1:13" s="6" customFormat="1" x14ac:dyDescent="0.2">
      <c r="A572" s="4" t="str">
        <v>EE CO2</v>
      </c>
      <c r="B572" s="264">
        <f ca="1"/>
        <v>-99.236343326911253</v>
      </c>
      <c r="C572" s="264">
        <f ca="1"/>
        <v>-98.478518368966036</v>
      </c>
      <c r="D572" s="264">
        <f ca="1"/>
        <v>-97.72648059188252</v>
      </c>
      <c r="E572" s="264">
        <f ca="1"/>
        <v>-96.239590141021054</v>
      </c>
      <c r="F572" s="264">
        <f ca="1"/>
        <v>-94.775322455243057</v>
      </c>
      <c r="G572" s="264">
        <f ca="1"/>
        <v>-93.333333333333329</v>
      </c>
      <c r="H572" s="264">
        <f ca="1"/>
        <v>-91.913283811034987</v>
      </c>
      <c r="I572" s="264">
        <f ca="1"/>
        <v>-90.514840081369982</v>
      </c>
      <c r="J572" s="264">
        <f ca="1"/>
        <v>-89.137673416172177</v>
      </c>
      <c r="K572" s="264">
        <f ca="1"/>
        <v>-87.781460088814086</v>
      </c>
      <c r="M572" s="4" t="str">
        <f t="shared" si="44"/>
        <v>$M(2015) per Mtonne</v>
      </c>
    </row>
    <row r="573" spans="1:13" s="6" customFormat="1" x14ac:dyDescent="0.2">
      <c r="A573" s="4" t="str">
        <v>CA CO2</v>
      </c>
      <c r="B573" s="264">
        <f ca="1"/>
        <v>-99.236343326911253</v>
      </c>
      <c r="C573" s="264">
        <f ca="1"/>
        <v>-98.478518368966036</v>
      </c>
      <c r="D573" s="264">
        <f ca="1"/>
        <v>-97.72648059188252</v>
      </c>
      <c r="E573" s="264">
        <f ca="1"/>
        <v>-96.239590141021054</v>
      </c>
      <c r="F573" s="264">
        <f ca="1"/>
        <v>-94.775322455243057</v>
      </c>
      <c r="G573" s="264">
        <f ca="1"/>
        <v>-93.333333333333329</v>
      </c>
      <c r="H573" s="264">
        <f ca="1"/>
        <v>-91.913283811034987</v>
      </c>
      <c r="I573" s="264">
        <f ca="1"/>
        <v>-90.514840081369982</v>
      </c>
      <c r="J573" s="264">
        <f ca="1"/>
        <v>-89.137673416172177</v>
      </c>
      <c r="K573" s="264">
        <f ca="1"/>
        <v>-87.781460088814086</v>
      </c>
      <c r="M573" s="4" t="str">
        <f t="shared" si="44"/>
        <v>$M(2015) per Mtonne</v>
      </c>
    </row>
    <row r="574" spans="1:13" s="6" customFormat="1" x14ac:dyDescent="0.2">
      <c r="A574" s="4" t="str">
        <v>IA CO2</v>
      </c>
      <c r="B574" s="264">
        <f ca="1"/>
        <v>-99.236343326911253</v>
      </c>
      <c r="C574" s="264">
        <f ca="1"/>
        <v>-98.478518368966036</v>
      </c>
      <c r="D574" s="264">
        <f ca="1"/>
        <v>-97.72648059188252</v>
      </c>
      <c r="E574" s="264">
        <f ca="1"/>
        <v>-96.239590141021054</v>
      </c>
      <c r="F574" s="264">
        <f ca="1"/>
        <v>-94.775322455243057</v>
      </c>
      <c r="G574" s="264">
        <f ca="1"/>
        <v>-93.333333333333329</v>
      </c>
      <c r="H574" s="264">
        <f ca="1"/>
        <v>-91.913283811034987</v>
      </c>
      <c r="I574" s="264">
        <f ca="1"/>
        <v>-90.514840081369982</v>
      </c>
      <c r="J574" s="264">
        <f ca="1"/>
        <v>-89.137673416172177</v>
      </c>
      <c r="K574" s="264">
        <f ca="1"/>
        <v>-87.781460088814086</v>
      </c>
      <c r="M574" s="4" t="str">
        <f t="shared" si="44"/>
        <v>$M(2015) per Mtonne</v>
      </c>
    </row>
    <row r="575" spans="1:13" s="6" customFormat="1" x14ac:dyDescent="0.2">
      <c r="A575" s="4" t="str">
        <v>AF CO2</v>
      </c>
      <c r="B575" s="264">
        <f ca="1"/>
        <v>-99.236343326911253</v>
      </c>
      <c r="C575" s="264">
        <f ca="1"/>
        <v>-98.478518368966036</v>
      </c>
      <c r="D575" s="264">
        <f ca="1"/>
        <v>-97.72648059188252</v>
      </c>
      <c r="E575" s="264">
        <f ca="1"/>
        <v>-96.239590141021054</v>
      </c>
      <c r="F575" s="264">
        <f ca="1"/>
        <v>-94.775322455243057</v>
      </c>
      <c r="G575" s="264">
        <f ca="1"/>
        <v>-93.333333333333329</v>
      </c>
      <c r="H575" s="264">
        <f ca="1"/>
        <v>-91.913283811034987</v>
      </c>
      <c r="I575" s="264">
        <f ca="1"/>
        <v>-90.514840081369982</v>
      </c>
      <c r="J575" s="264">
        <f ca="1"/>
        <v>-89.137673416172177</v>
      </c>
      <c r="K575" s="264">
        <f ca="1"/>
        <v>-87.781460088814086</v>
      </c>
      <c r="M575" s="4" t="str">
        <f t="shared" si="44"/>
        <v>$M(2015) per Mtonne</v>
      </c>
    </row>
    <row r="576" spans="1:13" s="6" customFormat="1" ht="13.5" thickBot="1" x14ac:dyDescent="0.25">
      <c r="A576" s="4" t="str">
        <v>LA CO2</v>
      </c>
      <c r="B576" s="266">
        <f ca="1"/>
        <v>-99.236343326911253</v>
      </c>
      <c r="C576" s="266">
        <f ca="1"/>
        <v>-98.478518368966036</v>
      </c>
      <c r="D576" s="266">
        <f ca="1"/>
        <v>-97.72648059188252</v>
      </c>
      <c r="E576" s="266">
        <f ca="1"/>
        <v>-96.239590141021054</v>
      </c>
      <c r="F576" s="266">
        <f ca="1"/>
        <v>-94.775322455243057</v>
      </c>
      <c r="G576" s="266">
        <f ca="1"/>
        <v>-93.333333333333329</v>
      </c>
      <c r="H576" s="266">
        <f ca="1"/>
        <v>-91.913283811034987</v>
      </c>
      <c r="I576" s="266">
        <f ca="1"/>
        <v>-90.514840081369982</v>
      </c>
      <c r="J576" s="266">
        <f ca="1"/>
        <v>-89.137673416172177</v>
      </c>
      <c r="K576" s="266">
        <f ca="1"/>
        <v>-87.781460088814086</v>
      </c>
      <c r="M576" s="4" t="str">
        <f t="shared" si="44"/>
        <v>$M(2015) per Mtonne</v>
      </c>
    </row>
    <row r="577" spans="1:13" s="2" customFormat="1" ht="15" thickTop="1" x14ac:dyDescent="0.25">
      <c r="A577" s="2" t="s">
        <v>347</v>
      </c>
      <c r="B577" s="2" t="s">
        <v>349</v>
      </c>
    </row>
    <row r="578" spans="1:13" s="6" customFormat="1" x14ac:dyDescent="0.2">
      <c r="A578" s="4" t="str">
        <f t="array" ref="A578:A585">R_CODE&amp;" "&amp;'Base data'!$C$12</f>
        <v>EU CH4</v>
      </c>
      <c r="B578" s="265">
        <f t="array" aca="1" ref="B578:K585" ca="1">IF(cbe_ch4_b&lt;Q0_CH4,ALO_CH4*(EXP(BLO_CH4*(cbe_ch4_b-Q0_CH4))-1),ahi_ch4_b*(EXP(BHI_CH4*(cbe_ch4_b-Q0_CH4))-1))</f>
        <v>-4945.2777757910771</v>
      </c>
      <c r="C578" s="265">
        <f ca="1"/>
        <v>-4907.5128320534741</v>
      </c>
      <c r="D578" s="265">
        <f ca="1"/>
        <v>-4870.0362828288116</v>
      </c>
      <c r="E578" s="265">
        <f ca="1"/>
        <v>-4795.9395753608815</v>
      </c>
      <c r="F578" s="265">
        <f ca="1"/>
        <v>-4722.970235686279</v>
      </c>
      <c r="G578" s="265">
        <f ca="1"/>
        <v>-4651.1111111111113</v>
      </c>
      <c r="H578" s="265">
        <f ca="1"/>
        <v>-4580.3453099165763</v>
      </c>
      <c r="I578" s="265">
        <f ca="1"/>
        <v>-4510.6561973882708</v>
      </c>
      <c r="J578" s="265">
        <f ca="1"/>
        <v>-4442.0273919059136</v>
      </c>
      <c r="K578" s="265">
        <f ca="1"/>
        <v>-4374.4427610925686</v>
      </c>
      <c r="M578" s="4" t="str">
        <f t="shared" ref="M578:M585" si="45">CURRENCY_NAME&amp;" per "&amp;EMIT_NAME</f>
        <v>$M(2015) per Mtonne</v>
      </c>
    </row>
    <row r="579" spans="1:13" s="6" customFormat="1" x14ac:dyDescent="0.2">
      <c r="A579" s="4" t="str">
        <v>US CH4</v>
      </c>
      <c r="B579" s="264">
        <f ca="1"/>
        <v>-4945.2777757910771</v>
      </c>
      <c r="C579" s="264">
        <f ca="1"/>
        <v>-4907.5128320534741</v>
      </c>
      <c r="D579" s="264">
        <f ca="1"/>
        <v>-4870.0362828288116</v>
      </c>
      <c r="E579" s="264">
        <f ca="1"/>
        <v>-4795.9395753608815</v>
      </c>
      <c r="F579" s="264">
        <f ca="1"/>
        <v>-4722.970235686279</v>
      </c>
      <c r="G579" s="264">
        <f ca="1"/>
        <v>-4651.1111111111113</v>
      </c>
      <c r="H579" s="264">
        <f ca="1"/>
        <v>-4580.3453099165763</v>
      </c>
      <c r="I579" s="264">
        <f ca="1"/>
        <v>-4510.6561973882708</v>
      </c>
      <c r="J579" s="264">
        <f ca="1"/>
        <v>-4442.0273919059136</v>
      </c>
      <c r="K579" s="264">
        <f ca="1"/>
        <v>-4374.4427610925686</v>
      </c>
      <c r="M579" s="4" t="str">
        <f t="shared" si="45"/>
        <v>$M(2015) per Mtonne</v>
      </c>
    </row>
    <row r="580" spans="1:13" s="6" customFormat="1" x14ac:dyDescent="0.2">
      <c r="A580" s="4" t="str">
        <v>OT CH4</v>
      </c>
      <c r="B580" s="264">
        <f ca="1"/>
        <v>-4945.2777757910771</v>
      </c>
      <c r="C580" s="264">
        <f ca="1"/>
        <v>-4907.5128320534741</v>
      </c>
      <c r="D580" s="264">
        <f ca="1"/>
        <v>-4870.0362828288116</v>
      </c>
      <c r="E580" s="264">
        <f ca="1"/>
        <v>-4795.9395753608815</v>
      </c>
      <c r="F580" s="264">
        <f ca="1"/>
        <v>-4722.970235686279</v>
      </c>
      <c r="G580" s="264">
        <f ca="1"/>
        <v>-4651.1111111111113</v>
      </c>
      <c r="H580" s="264">
        <f ca="1"/>
        <v>-4580.3453099165763</v>
      </c>
      <c r="I580" s="264">
        <f ca="1"/>
        <v>-4510.6561973882708</v>
      </c>
      <c r="J580" s="264">
        <f ca="1"/>
        <v>-4442.0273919059136</v>
      </c>
      <c r="K580" s="264">
        <f ca="1"/>
        <v>-4374.4427610925686</v>
      </c>
      <c r="M580" s="4" t="str">
        <f t="shared" si="45"/>
        <v>$M(2015) per Mtonne</v>
      </c>
    </row>
    <row r="581" spans="1:13" s="6" customFormat="1" x14ac:dyDescent="0.2">
      <c r="A581" s="4" t="str">
        <v>EE CH4</v>
      </c>
      <c r="B581" s="264">
        <f ca="1"/>
        <v>-4945.2777757910771</v>
      </c>
      <c r="C581" s="264">
        <f ca="1"/>
        <v>-4907.5128320534741</v>
      </c>
      <c r="D581" s="264">
        <f ca="1"/>
        <v>-4870.0362828288116</v>
      </c>
      <c r="E581" s="264">
        <f ca="1"/>
        <v>-4795.9395753608815</v>
      </c>
      <c r="F581" s="264">
        <f ca="1"/>
        <v>-4722.970235686279</v>
      </c>
      <c r="G581" s="264">
        <f ca="1"/>
        <v>-4651.1111111111113</v>
      </c>
      <c r="H581" s="264">
        <f ca="1"/>
        <v>-4580.3453099165763</v>
      </c>
      <c r="I581" s="264">
        <f ca="1"/>
        <v>-4510.6561973882708</v>
      </c>
      <c r="J581" s="264">
        <f ca="1"/>
        <v>-4442.0273919059136</v>
      </c>
      <c r="K581" s="264">
        <f ca="1"/>
        <v>-4374.4427610925686</v>
      </c>
      <c r="M581" s="4" t="str">
        <f t="shared" si="45"/>
        <v>$M(2015) per Mtonne</v>
      </c>
    </row>
    <row r="582" spans="1:13" s="6" customFormat="1" x14ac:dyDescent="0.2">
      <c r="A582" s="4" t="str">
        <v>CA CH4</v>
      </c>
      <c r="B582" s="264">
        <f ca="1"/>
        <v>-4945.2777757910771</v>
      </c>
      <c r="C582" s="264">
        <f ca="1"/>
        <v>-4907.5128320534741</v>
      </c>
      <c r="D582" s="264">
        <f ca="1"/>
        <v>-4870.0362828288116</v>
      </c>
      <c r="E582" s="264">
        <f ca="1"/>
        <v>-4795.9395753608815</v>
      </c>
      <c r="F582" s="264">
        <f ca="1"/>
        <v>-4722.970235686279</v>
      </c>
      <c r="G582" s="264">
        <f ca="1"/>
        <v>-4651.1111111111113</v>
      </c>
      <c r="H582" s="264">
        <f ca="1"/>
        <v>-4580.3453099165763</v>
      </c>
      <c r="I582" s="264">
        <f ca="1"/>
        <v>-4510.6561973882708</v>
      </c>
      <c r="J582" s="264">
        <f ca="1"/>
        <v>-4442.0273919059136</v>
      </c>
      <c r="K582" s="264">
        <f ca="1"/>
        <v>-4374.4427610925686</v>
      </c>
      <c r="M582" s="4" t="str">
        <f t="shared" si="45"/>
        <v>$M(2015) per Mtonne</v>
      </c>
    </row>
    <row r="583" spans="1:13" s="6" customFormat="1" x14ac:dyDescent="0.2">
      <c r="A583" s="4" t="str">
        <v>IA CH4</v>
      </c>
      <c r="B583" s="264">
        <f ca="1"/>
        <v>-4945.2777757910771</v>
      </c>
      <c r="C583" s="264">
        <f ca="1"/>
        <v>-4907.5128320534741</v>
      </c>
      <c r="D583" s="264">
        <f ca="1"/>
        <v>-4870.0362828288116</v>
      </c>
      <c r="E583" s="264">
        <f ca="1"/>
        <v>-4795.9395753608815</v>
      </c>
      <c r="F583" s="264">
        <f ca="1"/>
        <v>-4722.970235686279</v>
      </c>
      <c r="G583" s="264">
        <f ca="1"/>
        <v>-4651.1111111111113</v>
      </c>
      <c r="H583" s="264">
        <f ca="1"/>
        <v>-4580.3453099165763</v>
      </c>
      <c r="I583" s="264">
        <f ca="1"/>
        <v>-4510.6561973882708</v>
      </c>
      <c r="J583" s="264">
        <f ca="1"/>
        <v>-4442.0273919059136</v>
      </c>
      <c r="K583" s="264">
        <f ca="1"/>
        <v>-4374.4427610925686</v>
      </c>
      <c r="M583" s="4" t="str">
        <f t="shared" si="45"/>
        <v>$M(2015) per Mtonne</v>
      </c>
    </row>
    <row r="584" spans="1:13" s="6" customFormat="1" x14ac:dyDescent="0.2">
      <c r="A584" s="4" t="str">
        <v>AF CH4</v>
      </c>
      <c r="B584" s="264">
        <f ca="1"/>
        <v>-4945.2777757910771</v>
      </c>
      <c r="C584" s="264">
        <f ca="1"/>
        <v>-4907.5128320534741</v>
      </c>
      <c r="D584" s="264">
        <f ca="1"/>
        <v>-4870.0362828288116</v>
      </c>
      <c r="E584" s="264">
        <f ca="1"/>
        <v>-4795.9395753608815</v>
      </c>
      <c r="F584" s="264">
        <f ca="1"/>
        <v>-4722.970235686279</v>
      </c>
      <c r="G584" s="264">
        <f ca="1"/>
        <v>-4651.1111111111113</v>
      </c>
      <c r="H584" s="264">
        <f ca="1"/>
        <v>-4580.3453099165763</v>
      </c>
      <c r="I584" s="264">
        <f ca="1"/>
        <v>-4510.6561973882708</v>
      </c>
      <c r="J584" s="264">
        <f ca="1"/>
        <v>-4442.0273919059136</v>
      </c>
      <c r="K584" s="264">
        <f ca="1"/>
        <v>-4374.4427610925686</v>
      </c>
      <c r="M584" s="4" t="str">
        <f t="shared" si="45"/>
        <v>$M(2015) per Mtonne</v>
      </c>
    </row>
    <row r="585" spans="1:13" s="6" customFormat="1" ht="13.5" thickBot="1" x14ac:dyDescent="0.25">
      <c r="A585" s="4" t="str">
        <v>LA CH4</v>
      </c>
      <c r="B585" s="266">
        <f ca="1"/>
        <v>-4945.2777757910771</v>
      </c>
      <c r="C585" s="266">
        <f ca="1"/>
        <v>-4907.5128320534741</v>
      </c>
      <c r="D585" s="266">
        <f ca="1"/>
        <v>-4870.0362828288116</v>
      </c>
      <c r="E585" s="266">
        <f ca="1"/>
        <v>-4795.9395753608815</v>
      </c>
      <c r="F585" s="266">
        <f ca="1"/>
        <v>-4722.970235686279</v>
      </c>
      <c r="G585" s="266">
        <f ca="1"/>
        <v>-4651.1111111111113</v>
      </c>
      <c r="H585" s="266">
        <f ca="1"/>
        <v>-4580.3453099165763</v>
      </c>
      <c r="I585" s="266">
        <f ca="1"/>
        <v>-4510.6561973882708</v>
      </c>
      <c r="J585" s="266">
        <f ca="1"/>
        <v>-4442.0273919059136</v>
      </c>
      <c r="K585" s="266">
        <f ca="1"/>
        <v>-4374.4427610925686</v>
      </c>
      <c r="M585" s="4" t="str">
        <f t="shared" si="45"/>
        <v>$M(2015) per Mtonne</v>
      </c>
    </row>
    <row r="586" spans="1:13" s="2" customFormat="1" ht="15" thickTop="1" x14ac:dyDescent="0.25">
      <c r="A586" s="2" t="s">
        <v>347</v>
      </c>
      <c r="B586" s="2" t="s">
        <v>350</v>
      </c>
    </row>
    <row r="587" spans="1:13" s="7" customFormat="1" x14ac:dyDescent="0.2">
      <c r="A587" s="4" t="str">
        <f t="array" ref="A587:A594">R_CODE&amp;" "&amp;'Base data'!$D$12</f>
        <v>EU N2O</v>
      </c>
      <c r="B587" s="265">
        <f t="array" aca="1" ref="B587:K594" ca="1">IF(cbe_n2o_b&lt;Q0_N2O,ALO_N2O*(EXP(BLO_N2O*(cbe_n2o_b-Q0_N2O))-1),ahi_n2o_b*(EXP(BHI_N2O*(cbe_n2o_b-Q0_N2O))-1))</f>
        <v>-8368.9316205695159</v>
      </c>
      <c r="C587" s="265">
        <f ca="1"/>
        <v>-8305.0217157828029</v>
      </c>
      <c r="D587" s="265">
        <f ca="1"/>
        <v>-8241.599863248759</v>
      </c>
      <c r="E587" s="265">
        <f ca="1"/>
        <v>-8116.2054352261093</v>
      </c>
      <c r="F587" s="265">
        <f ca="1"/>
        <v>-7992.718860392165</v>
      </c>
      <c r="G587" s="265">
        <f ca="1"/>
        <v>-7871.1111111111122</v>
      </c>
      <c r="H587" s="265">
        <f ca="1"/>
        <v>-7751.3536013972844</v>
      </c>
      <c r="I587" s="265">
        <f ca="1"/>
        <v>-7633.4181801955356</v>
      </c>
      <c r="J587" s="265">
        <f ca="1"/>
        <v>-7517.2771247638548</v>
      </c>
      <c r="K587" s="265">
        <f ca="1"/>
        <v>-7402.9031341566551</v>
      </c>
      <c r="M587" s="4" t="str">
        <f t="shared" ref="M587:M594" si="46">CURRENCY_NAME&amp;" per "&amp;EMIT_NAME</f>
        <v>$M(2015) per Mtonne</v>
      </c>
    </row>
    <row r="588" spans="1:13" s="7" customFormat="1" x14ac:dyDescent="0.2">
      <c r="A588" s="4" t="str">
        <v>US N2O</v>
      </c>
      <c r="B588" s="264">
        <f ca="1"/>
        <v>-8368.9316205695159</v>
      </c>
      <c r="C588" s="264">
        <f ca="1"/>
        <v>-8305.0217157828029</v>
      </c>
      <c r="D588" s="264">
        <f ca="1"/>
        <v>-8241.599863248759</v>
      </c>
      <c r="E588" s="264">
        <f ca="1"/>
        <v>-8116.2054352261093</v>
      </c>
      <c r="F588" s="264">
        <f ca="1"/>
        <v>-7992.718860392165</v>
      </c>
      <c r="G588" s="264">
        <f ca="1"/>
        <v>-7871.1111111111122</v>
      </c>
      <c r="H588" s="264">
        <f ca="1"/>
        <v>-7751.3536013972844</v>
      </c>
      <c r="I588" s="264">
        <f ca="1"/>
        <v>-7633.4181801955356</v>
      </c>
      <c r="J588" s="264">
        <f ca="1"/>
        <v>-7517.2771247638548</v>
      </c>
      <c r="K588" s="264">
        <f ca="1"/>
        <v>-7402.9031341566551</v>
      </c>
      <c r="M588" s="4" t="str">
        <f t="shared" si="46"/>
        <v>$M(2015) per Mtonne</v>
      </c>
    </row>
    <row r="589" spans="1:13" s="7" customFormat="1" x14ac:dyDescent="0.2">
      <c r="A589" s="4" t="str">
        <v>OT N2O</v>
      </c>
      <c r="B589" s="264">
        <f ca="1"/>
        <v>-8368.9316205695159</v>
      </c>
      <c r="C589" s="264">
        <f ca="1"/>
        <v>-8305.0217157828029</v>
      </c>
      <c r="D589" s="264">
        <f ca="1"/>
        <v>-8241.599863248759</v>
      </c>
      <c r="E589" s="264">
        <f ca="1"/>
        <v>-8116.2054352261093</v>
      </c>
      <c r="F589" s="264">
        <f ca="1"/>
        <v>-7992.718860392165</v>
      </c>
      <c r="G589" s="264">
        <f ca="1"/>
        <v>-7871.1111111111122</v>
      </c>
      <c r="H589" s="264">
        <f ca="1"/>
        <v>-7751.3536013972844</v>
      </c>
      <c r="I589" s="264">
        <f ca="1"/>
        <v>-7633.4181801955356</v>
      </c>
      <c r="J589" s="264">
        <f ca="1"/>
        <v>-7517.2771247638548</v>
      </c>
      <c r="K589" s="264">
        <f ca="1"/>
        <v>-7402.9031341566551</v>
      </c>
      <c r="M589" s="4" t="str">
        <f t="shared" si="46"/>
        <v>$M(2015) per Mtonne</v>
      </c>
    </row>
    <row r="590" spans="1:13" s="7" customFormat="1" x14ac:dyDescent="0.2">
      <c r="A590" s="4" t="str">
        <v>EE N2O</v>
      </c>
      <c r="B590" s="264">
        <f ca="1"/>
        <v>-8368.9316205695159</v>
      </c>
      <c r="C590" s="264">
        <f ca="1"/>
        <v>-8305.0217157828029</v>
      </c>
      <c r="D590" s="264">
        <f ca="1"/>
        <v>-8241.599863248759</v>
      </c>
      <c r="E590" s="264">
        <f ca="1"/>
        <v>-8116.2054352261093</v>
      </c>
      <c r="F590" s="264">
        <f ca="1"/>
        <v>-7992.718860392165</v>
      </c>
      <c r="G590" s="264">
        <f ca="1"/>
        <v>-7871.1111111111122</v>
      </c>
      <c r="H590" s="264">
        <f ca="1"/>
        <v>-7751.3536013972844</v>
      </c>
      <c r="I590" s="264">
        <f ca="1"/>
        <v>-7633.4181801955356</v>
      </c>
      <c r="J590" s="264">
        <f ca="1"/>
        <v>-7517.2771247638548</v>
      </c>
      <c r="K590" s="264">
        <f ca="1"/>
        <v>-7402.9031341566551</v>
      </c>
      <c r="M590" s="4" t="str">
        <f t="shared" si="46"/>
        <v>$M(2015) per Mtonne</v>
      </c>
    </row>
    <row r="591" spans="1:13" s="7" customFormat="1" x14ac:dyDescent="0.2">
      <c r="A591" s="4" t="str">
        <v>CA N2O</v>
      </c>
      <c r="B591" s="264">
        <f ca="1"/>
        <v>-8368.9316205695159</v>
      </c>
      <c r="C591" s="264">
        <f ca="1"/>
        <v>-8305.0217157828029</v>
      </c>
      <c r="D591" s="264">
        <f ca="1"/>
        <v>-8241.599863248759</v>
      </c>
      <c r="E591" s="264">
        <f ca="1"/>
        <v>-8116.2054352261093</v>
      </c>
      <c r="F591" s="264">
        <f ca="1"/>
        <v>-7992.718860392165</v>
      </c>
      <c r="G591" s="264">
        <f ca="1"/>
        <v>-7871.1111111111122</v>
      </c>
      <c r="H591" s="264">
        <f ca="1"/>
        <v>-7751.3536013972844</v>
      </c>
      <c r="I591" s="264">
        <f ca="1"/>
        <v>-7633.4181801955356</v>
      </c>
      <c r="J591" s="264">
        <f ca="1"/>
        <v>-7517.2771247638548</v>
      </c>
      <c r="K591" s="264">
        <f ca="1"/>
        <v>-7402.9031341566551</v>
      </c>
      <c r="M591" s="4" t="str">
        <f t="shared" si="46"/>
        <v>$M(2015) per Mtonne</v>
      </c>
    </row>
    <row r="592" spans="1:13" s="7" customFormat="1" x14ac:dyDescent="0.2">
      <c r="A592" s="4" t="str">
        <v>IA N2O</v>
      </c>
      <c r="B592" s="264">
        <f ca="1"/>
        <v>-8368.9316205695159</v>
      </c>
      <c r="C592" s="264">
        <f ca="1"/>
        <v>-8305.0217157828029</v>
      </c>
      <c r="D592" s="264">
        <f ca="1"/>
        <v>-8241.599863248759</v>
      </c>
      <c r="E592" s="264">
        <f ca="1"/>
        <v>-8116.2054352261093</v>
      </c>
      <c r="F592" s="264">
        <f ca="1"/>
        <v>-7992.718860392165</v>
      </c>
      <c r="G592" s="264">
        <f ca="1"/>
        <v>-7871.1111111111122</v>
      </c>
      <c r="H592" s="264">
        <f ca="1"/>
        <v>-7751.3536013972844</v>
      </c>
      <c r="I592" s="264">
        <f ca="1"/>
        <v>-7633.4181801955356</v>
      </c>
      <c r="J592" s="264">
        <f ca="1"/>
        <v>-7517.2771247638548</v>
      </c>
      <c r="K592" s="264">
        <f ca="1"/>
        <v>-7402.9031341566551</v>
      </c>
      <c r="M592" s="4" t="str">
        <f t="shared" si="46"/>
        <v>$M(2015) per Mtonne</v>
      </c>
    </row>
    <row r="593" spans="1:13" s="7" customFormat="1" x14ac:dyDescent="0.2">
      <c r="A593" s="4" t="str">
        <v>AF N2O</v>
      </c>
      <c r="B593" s="264">
        <f ca="1"/>
        <v>-8368.9316205695159</v>
      </c>
      <c r="C593" s="264">
        <f ca="1"/>
        <v>-8305.0217157828029</v>
      </c>
      <c r="D593" s="264">
        <f ca="1"/>
        <v>-8241.599863248759</v>
      </c>
      <c r="E593" s="264">
        <f ca="1"/>
        <v>-8116.2054352261093</v>
      </c>
      <c r="F593" s="264">
        <f ca="1"/>
        <v>-7992.718860392165</v>
      </c>
      <c r="G593" s="264">
        <f ca="1"/>
        <v>-7871.1111111111122</v>
      </c>
      <c r="H593" s="264">
        <f ca="1"/>
        <v>-7751.3536013972844</v>
      </c>
      <c r="I593" s="264">
        <f ca="1"/>
        <v>-7633.4181801955356</v>
      </c>
      <c r="J593" s="264">
        <f ca="1"/>
        <v>-7517.2771247638548</v>
      </c>
      <c r="K593" s="264">
        <f ca="1"/>
        <v>-7402.9031341566551</v>
      </c>
      <c r="M593" s="4" t="str">
        <f t="shared" si="46"/>
        <v>$M(2015) per Mtonne</v>
      </c>
    </row>
    <row r="594" spans="1:13" s="7" customFormat="1" ht="13.5" thickBot="1" x14ac:dyDescent="0.25">
      <c r="A594" s="4" t="str">
        <v>LA N2O</v>
      </c>
      <c r="B594" s="266">
        <f ca="1"/>
        <v>-8368.9316205695159</v>
      </c>
      <c r="C594" s="266">
        <f ca="1"/>
        <v>-8305.0217157828029</v>
      </c>
      <c r="D594" s="266">
        <f ca="1"/>
        <v>-8241.599863248759</v>
      </c>
      <c r="E594" s="266">
        <f ca="1"/>
        <v>-8116.2054352261093</v>
      </c>
      <c r="F594" s="266">
        <f ca="1"/>
        <v>-7992.718860392165</v>
      </c>
      <c r="G594" s="266">
        <f ca="1"/>
        <v>-7871.1111111111122</v>
      </c>
      <c r="H594" s="266">
        <f ca="1"/>
        <v>-7751.3536013972844</v>
      </c>
      <c r="I594" s="266">
        <f ca="1"/>
        <v>-7633.4181801955356</v>
      </c>
      <c r="J594" s="266">
        <f ca="1"/>
        <v>-7517.2771247638548</v>
      </c>
      <c r="K594" s="266">
        <f ca="1"/>
        <v>-7402.9031341566551</v>
      </c>
      <c r="M594" s="4" t="str">
        <f t="shared" si="46"/>
        <v>$M(2015) per Mtonne</v>
      </c>
    </row>
    <row r="595" spans="1:13" s="2" customFormat="1" ht="15" thickTop="1" x14ac:dyDescent="0.25">
      <c r="A595" s="2" t="s">
        <v>347</v>
      </c>
      <c r="B595" s="2" t="s">
        <v>351</v>
      </c>
    </row>
    <row r="596" spans="1:13" s="7" customFormat="1" x14ac:dyDescent="0.2">
      <c r="A596" s="4" t="str">
        <f t="array" ref="A596:A603">R_CODE&amp;" "&amp;GLIN_NAME</f>
        <v>EU Lin</v>
      </c>
      <c r="B596" s="265">
        <f t="array" aca="1" ref="B596:K603" ca="1">IF(cbe_glin_b&lt;Q0_GLIN,ALO_GLIN*(EXP(BLO_GLIN*(cbe_glin_b-Q0_GLIN))-1),ahi_glin_b*(EXP(BHI_GLIN*(cbe_glin_b-Q0_GLIN))-1))</f>
        <v>-266.28418792721186</v>
      </c>
      <c r="C596" s="265">
        <f ca="1"/>
        <v>-264.25069095672552</v>
      </c>
      <c r="D596" s="265">
        <f ca="1"/>
        <v>-262.23272292155139</v>
      </c>
      <c r="E596" s="265">
        <f ca="1"/>
        <v>-258.24290021173977</v>
      </c>
      <c r="F596" s="265">
        <f ca="1"/>
        <v>-254.31378192156888</v>
      </c>
      <c r="G596" s="265">
        <f ca="1"/>
        <v>-250.44444444444443</v>
      </c>
      <c r="H596" s="265">
        <f ca="1"/>
        <v>-246.63397822627718</v>
      </c>
      <c r="I596" s="265">
        <f ca="1"/>
        <v>-242.88148755167612</v>
      </c>
      <c r="J596" s="265">
        <f ca="1"/>
        <v>-239.18609033339533</v>
      </c>
      <c r="K596" s="265">
        <f ca="1"/>
        <v>-235.54691790498447</v>
      </c>
      <c r="M596" s="4" t="str">
        <f t="shared" ref="M596:M603" si="47">CURRENCY_NAME&amp;" per "&amp;EMIT_NAME</f>
        <v>$M(2015) per Mtonne</v>
      </c>
    </row>
    <row r="597" spans="1:13" s="7" customFormat="1" x14ac:dyDescent="0.2">
      <c r="A597" s="4" t="str">
        <v>US Lin</v>
      </c>
      <c r="B597" s="264">
        <f ca="1"/>
        <v>-266.28418792721186</v>
      </c>
      <c r="C597" s="264">
        <f ca="1"/>
        <v>-264.25069095672552</v>
      </c>
      <c r="D597" s="264">
        <f ca="1"/>
        <v>-262.23272292155139</v>
      </c>
      <c r="E597" s="264">
        <f ca="1"/>
        <v>-258.24290021173977</v>
      </c>
      <c r="F597" s="264">
        <f ca="1"/>
        <v>-254.31378192156888</v>
      </c>
      <c r="G597" s="264">
        <f ca="1"/>
        <v>-250.44444444444443</v>
      </c>
      <c r="H597" s="264">
        <f ca="1"/>
        <v>-246.63397822627718</v>
      </c>
      <c r="I597" s="264">
        <f ca="1"/>
        <v>-242.88148755167612</v>
      </c>
      <c r="J597" s="264">
        <f ca="1"/>
        <v>-239.18609033339533</v>
      </c>
      <c r="K597" s="264">
        <f ca="1"/>
        <v>-235.54691790498447</v>
      </c>
      <c r="M597" s="4" t="str">
        <f t="shared" si="47"/>
        <v>$M(2015) per Mtonne</v>
      </c>
    </row>
    <row r="598" spans="1:13" s="7" customFormat="1" x14ac:dyDescent="0.2">
      <c r="A598" s="4" t="str">
        <v>OT Lin</v>
      </c>
      <c r="B598" s="264">
        <f ca="1"/>
        <v>-266.28418792721186</v>
      </c>
      <c r="C598" s="264">
        <f ca="1"/>
        <v>-264.25069095672552</v>
      </c>
      <c r="D598" s="264">
        <f ca="1"/>
        <v>-262.23272292155139</v>
      </c>
      <c r="E598" s="264">
        <f ca="1"/>
        <v>-258.24290021173977</v>
      </c>
      <c r="F598" s="264">
        <f ca="1"/>
        <v>-254.31378192156888</v>
      </c>
      <c r="G598" s="264">
        <f ca="1"/>
        <v>-250.44444444444443</v>
      </c>
      <c r="H598" s="264">
        <f ca="1"/>
        <v>-246.63397822627718</v>
      </c>
      <c r="I598" s="264">
        <f ca="1"/>
        <v>-242.88148755167612</v>
      </c>
      <c r="J598" s="264">
        <f ca="1"/>
        <v>-239.18609033339533</v>
      </c>
      <c r="K598" s="264">
        <f ca="1"/>
        <v>-235.54691790498447</v>
      </c>
      <c r="M598" s="4" t="str">
        <f t="shared" si="47"/>
        <v>$M(2015) per Mtonne</v>
      </c>
    </row>
    <row r="599" spans="1:13" s="7" customFormat="1" x14ac:dyDescent="0.2">
      <c r="A599" s="4" t="str">
        <v>EE Lin</v>
      </c>
      <c r="B599" s="264">
        <f ca="1"/>
        <v>-266.28418792721186</v>
      </c>
      <c r="C599" s="264">
        <f ca="1"/>
        <v>-264.25069095672552</v>
      </c>
      <c r="D599" s="264">
        <f ca="1"/>
        <v>-262.23272292155139</v>
      </c>
      <c r="E599" s="264">
        <f ca="1"/>
        <v>-258.24290021173977</v>
      </c>
      <c r="F599" s="264">
        <f ca="1"/>
        <v>-254.31378192156888</v>
      </c>
      <c r="G599" s="264">
        <f ca="1"/>
        <v>-250.44444444444443</v>
      </c>
      <c r="H599" s="264">
        <f ca="1"/>
        <v>-246.63397822627718</v>
      </c>
      <c r="I599" s="264">
        <f ca="1"/>
        <v>-242.88148755167612</v>
      </c>
      <c r="J599" s="264">
        <f ca="1"/>
        <v>-239.18609033339533</v>
      </c>
      <c r="K599" s="264">
        <f ca="1"/>
        <v>-235.54691790498447</v>
      </c>
      <c r="M599" s="4" t="str">
        <f t="shared" si="47"/>
        <v>$M(2015) per Mtonne</v>
      </c>
    </row>
    <row r="600" spans="1:13" s="7" customFormat="1" x14ac:dyDescent="0.2">
      <c r="A600" s="4" t="str">
        <v>CA Lin</v>
      </c>
      <c r="B600" s="264">
        <f ca="1"/>
        <v>-266.28418792721186</v>
      </c>
      <c r="C600" s="264">
        <f ca="1"/>
        <v>-264.25069095672552</v>
      </c>
      <c r="D600" s="264">
        <f ca="1"/>
        <v>-262.23272292155139</v>
      </c>
      <c r="E600" s="264">
        <f ca="1"/>
        <v>-258.24290021173977</v>
      </c>
      <c r="F600" s="264">
        <f ca="1"/>
        <v>-254.31378192156888</v>
      </c>
      <c r="G600" s="264">
        <f ca="1"/>
        <v>-250.44444444444443</v>
      </c>
      <c r="H600" s="264">
        <f ca="1"/>
        <v>-246.63397822627718</v>
      </c>
      <c r="I600" s="264">
        <f ca="1"/>
        <v>-242.88148755167612</v>
      </c>
      <c r="J600" s="264">
        <f ca="1"/>
        <v>-239.18609033339533</v>
      </c>
      <c r="K600" s="264">
        <f ca="1"/>
        <v>-235.54691790498447</v>
      </c>
      <c r="M600" s="4" t="str">
        <f t="shared" si="47"/>
        <v>$M(2015) per Mtonne</v>
      </c>
    </row>
    <row r="601" spans="1:13" s="7" customFormat="1" x14ac:dyDescent="0.2">
      <c r="A601" s="4" t="str">
        <v>IA Lin</v>
      </c>
      <c r="B601" s="264">
        <f ca="1"/>
        <v>-266.28418792721186</v>
      </c>
      <c r="C601" s="264">
        <f ca="1"/>
        <v>-264.25069095672552</v>
      </c>
      <c r="D601" s="264">
        <f ca="1"/>
        <v>-262.23272292155139</v>
      </c>
      <c r="E601" s="264">
        <f ca="1"/>
        <v>-258.24290021173977</v>
      </c>
      <c r="F601" s="264">
        <f ca="1"/>
        <v>-254.31378192156888</v>
      </c>
      <c r="G601" s="264">
        <f ca="1"/>
        <v>-250.44444444444443</v>
      </c>
      <c r="H601" s="264">
        <f ca="1"/>
        <v>-246.63397822627718</v>
      </c>
      <c r="I601" s="264">
        <f ca="1"/>
        <v>-242.88148755167612</v>
      </c>
      <c r="J601" s="264">
        <f ca="1"/>
        <v>-239.18609033339533</v>
      </c>
      <c r="K601" s="264">
        <f ca="1"/>
        <v>-235.54691790498447</v>
      </c>
      <c r="M601" s="4" t="str">
        <f t="shared" si="47"/>
        <v>$M(2015) per Mtonne</v>
      </c>
    </row>
    <row r="602" spans="1:13" s="7" customFormat="1" x14ac:dyDescent="0.2">
      <c r="A602" s="4" t="str">
        <v>AF Lin</v>
      </c>
      <c r="B602" s="264">
        <f ca="1"/>
        <v>-266.28418792721186</v>
      </c>
      <c r="C602" s="264">
        <f ca="1"/>
        <v>-264.25069095672552</v>
      </c>
      <c r="D602" s="264">
        <f ca="1"/>
        <v>-262.23272292155139</v>
      </c>
      <c r="E602" s="264">
        <f ca="1"/>
        <v>-258.24290021173977</v>
      </c>
      <c r="F602" s="264">
        <f ca="1"/>
        <v>-254.31378192156888</v>
      </c>
      <c r="G602" s="264">
        <f ca="1"/>
        <v>-250.44444444444443</v>
      </c>
      <c r="H602" s="264">
        <f ca="1"/>
        <v>-246.63397822627718</v>
      </c>
      <c r="I602" s="264">
        <f ca="1"/>
        <v>-242.88148755167612</v>
      </c>
      <c r="J602" s="264">
        <f ca="1"/>
        <v>-239.18609033339533</v>
      </c>
      <c r="K602" s="264">
        <f ca="1"/>
        <v>-235.54691790498447</v>
      </c>
      <c r="M602" s="4" t="str">
        <f t="shared" si="47"/>
        <v>$M(2015) per Mtonne</v>
      </c>
    </row>
    <row r="603" spans="1:13" s="7" customFormat="1" ht="13.5" thickBot="1" x14ac:dyDescent="0.25">
      <c r="A603" s="4" t="str">
        <v>LA Lin</v>
      </c>
      <c r="B603" s="266">
        <f ca="1"/>
        <v>-266.28418792721186</v>
      </c>
      <c r="C603" s="266">
        <f ca="1"/>
        <v>-264.25069095672552</v>
      </c>
      <c r="D603" s="266">
        <f ca="1"/>
        <v>-262.23272292155139</v>
      </c>
      <c r="E603" s="266">
        <f ca="1"/>
        <v>-258.24290021173977</v>
      </c>
      <c r="F603" s="266">
        <f ca="1"/>
        <v>-254.31378192156888</v>
      </c>
      <c r="G603" s="266">
        <f ca="1"/>
        <v>-250.44444444444443</v>
      </c>
      <c r="H603" s="266">
        <f ca="1"/>
        <v>-246.63397822627718</v>
      </c>
      <c r="I603" s="266">
        <f ca="1"/>
        <v>-242.88148755167612</v>
      </c>
      <c r="J603" s="266">
        <f ca="1"/>
        <v>-239.18609033339533</v>
      </c>
      <c r="K603" s="266">
        <f ca="1"/>
        <v>-235.54691790498447</v>
      </c>
      <c r="M603" s="4" t="str">
        <f t="shared" si="47"/>
        <v>$M(2015) per Mtonne</v>
      </c>
    </row>
    <row r="604" spans="1:13" s="2" customFormat="1" ht="15" thickTop="1" x14ac:dyDescent="0.25">
      <c r="A604" s="2" t="s">
        <v>352</v>
      </c>
      <c r="B604" s="2" t="s">
        <v>353</v>
      </c>
    </row>
    <row r="605" spans="1:13" s="6" customFormat="1" x14ac:dyDescent="0.2">
      <c r="A605" s="4" t="str">
        <f t="array" ref="A605:A612">R_CODE&amp;" "&amp;'Base data'!$B$12</f>
        <v>EU CO2</v>
      </c>
      <c r="B605" s="274">
        <f t="array" aca="1" ref="B605:K612" ca="1">IF(cbe_co2_b&lt;Q0_CO2,(ALO_CO2/BLO_CO2)*(EXP(BLO_CO2*(cbe_co2_b-Q0_CO2))-EXP(-BLO_CO2*Q0_CO2))-ALO_CO2*cbe_co2_b,(ahi_co2_b/BHI_CO2)*(EXP(BHI_CO2*(cbe_co2_b-Q0_CO2))-1)-ahi_co2_b*(cbe_co2_b-Q0_CO2)+TCQ0_CO2)</f>
        <v>0</v>
      </c>
      <c r="C605" s="274">
        <f ca="1"/>
        <v>0</v>
      </c>
      <c r="D605" s="274">
        <f ca="1"/>
        <v>0</v>
      </c>
      <c r="E605" s="274">
        <f ca="1"/>
        <v>0</v>
      </c>
      <c r="F605" s="274">
        <f ca="1"/>
        <v>0</v>
      </c>
      <c r="G605" s="274">
        <f ca="1"/>
        <v>0</v>
      </c>
      <c r="H605" s="274">
        <f ca="1"/>
        <v>0</v>
      </c>
      <c r="I605" s="274">
        <f ca="1"/>
        <v>0</v>
      </c>
      <c r="J605" s="274">
        <f ca="1"/>
        <v>0</v>
      </c>
      <c r="K605" s="274">
        <f ca="1"/>
        <v>0</v>
      </c>
      <c r="M605" s="4" t="str">
        <f t="shared" ref="M605:M612" si="48">CURRENCY_NAME</f>
        <v>$M(2015)</v>
      </c>
    </row>
    <row r="606" spans="1:13" s="6" customFormat="1" x14ac:dyDescent="0.2">
      <c r="A606" s="4" t="str">
        <v>US CO2</v>
      </c>
      <c r="B606" s="228">
        <f ca="1"/>
        <v>0</v>
      </c>
      <c r="C606" s="228">
        <f ca="1"/>
        <v>0</v>
      </c>
      <c r="D606" s="228">
        <f ca="1"/>
        <v>0</v>
      </c>
      <c r="E606" s="228">
        <f ca="1"/>
        <v>0</v>
      </c>
      <c r="F606" s="228">
        <f ca="1"/>
        <v>0</v>
      </c>
      <c r="G606" s="228">
        <f ca="1"/>
        <v>0</v>
      </c>
      <c r="H606" s="228">
        <f ca="1"/>
        <v>0</v>
      </c>
      <c r="I606" s="228">
        <f ca="1"/>
        <v>0</v>
      </c>
      <c r="J606" s="228">
        <f ca="1"/>
        <v>0</v>
      </c>
      <c r="K606" s="228">
        <f ca="1"/>
        <v>0</v>
      </c>
      <c r="M606" s="4" t="str">
        <f t="shared" si="48"/>
        <v>$M(2015)</v>
      </c>
    </row>
    <row r="607" spans="1:13" s="6" customFormat="1" x14ac:dyDescent="0.2">
      <c r="A607" s="4" t="str">
        <v>OT CO2</v>
      </c>
      <c r="B607" s="228">
        <f ca="1"/>
        <v>0</v>
      </c>
      <c r="C607" s="228">
        <f ca="1"/>
        <v>0</v>
      </c>
      <c r="D607" s="228">
        <f ca="1"/>
        <v>0</v>
      </c>
      <c r="E607" s="228">
        <f ca="1"/>
        <v>0</v>
      </c>
      <c r="F607" s="228">
        <f ca="1"/>
        <v>0</v>
      </c>
      <c r="G607" s="228">
        <f ca="1"/>
        <v>0</v>
      </c>
      <c r="H607" s="228">
        <f ca="1"/>
        <v>0</v>
      </c>
      <c r="I607" s="228">
        <f ca="1"/>
        <v>0</v>
      </c>
      <c r="J607" s="228">
        <f ca="1"/>
        <v>0</v>
      </c>
      <c r="K607" s="228">
        <f ca="1"/>
        <v>0</v>
      </c>
      <c r="M607" s="4" t="str">
        <f t="shared" si="48"/>
        <v>$M(2015)</v>
      </c>
    </row>
    <row r="608" spans="1:13" s="6" customFormat="1" x14ac:dyDescent="0.2">
      <c r="A608" s="4" t="str">
        <v>EE CO2</v>
      </c>
      <c r="B608" s="228">
        <f ca="1"/>
        <v>0</v>
      </c>
      <c r="C608" s="228">
        <f ca="1"/>
        <v>0</v>
      </c>
      <c r="D608" s="228">
        <f ca="1"/>
        <v>0</v>
      </c>
      <c r="E608" s="228">
        <f ca="1"/>
        <v>0</v>
      </c>
      <c r="F608" s="228">
        <f ca="1"/>
        <v>0</v>
      </c>
      <c r="G608" s="228">
        <f ca="1"/>
        <v>0</v>
      </c>
      <c r="H608" s="228">
        <f ca="1"/>
        <v>0</v>
      </c>
      <c r="I608" s="228">
        <f ca="1"/>
        <v>0</v>
      </c>
      <c r="J608" s="228">
        <f ca="1"/>
        <v>0</v>
      </c>
      <c r="K608" s="228">
        <f ca="1"/>
        <v>0</v>
      </c>
      <c r="M608" s="4" t="str">
        <f t="shared" si="48"/>
        <v>$M(2015)</v>
      </c>
    </row>
    <row r="609" spans="1:13" s="6" customFormat="1" x14ac:dyDescent="0.2">
      <c r="A609" s="4" t="str">
        <v>CA CO2</v>
      </c>
      <c r="B609" s="228">
        <f ca="1"/>
        <v>0</v>
      </c>
      <c r="C609" s="228">
        <f ca="1"/>
        <v>0</v>
      </c>
      <c r="D609" s="228">
        <f ca="1"/>
        <v>0</v>
      </c>
      <c r="E609" s="228">
        <f ca="1"/>
        <v>0</v>
      </c>
      <c r="F609" s="228">
        <f ca="1"/>
        <v>0</v>
      </c>
      <c r="G609" s="228">
        <f ca="1"/>
        <v>0</v>
      </c>
      <c r="H609" s="228">
        <f ca="1"/>
        <v>0</v>
      </c>
      <c r="I609" s="228">
        <f ca="1"/>
        <v>0</v>
      </c>
      <c r="J609" s="228">
        <f ca="1"/>
        <v>0</v>
      </c>
      <c r="K609" s="228">
        <f ca="1"/>
        <v>0</v>
      </c>
      <c r="M609" s="4" t="str">
        <f t="shared" si="48"/>
        <v>$M(2015)</v>
      </c>
    </row>
    <row r="610" spans="1:13" s="6" customFormat="1" x14ac:dyDescent="0.2">
      <c r="A610" s="4" t="str">
        <v>IA CO2</v>
      </c>
      <c r="B610" s="228">
        <f ca="1"/>
        <v>0</v>
      </c>
      <c r="C610" s="228">
        <f ca="1"/>
        <v>0</v>
      </c>
      <c r="D610" s="228">
        <f ca="1"/>
        <v>0</v>
      </c>
      <c r="E610" s="228">
        <f ca="1"/>
        <v>0</v>
      </c>
      <c r="F610" s="228">
        <f ca="1"/>
        <v>0</v>
      </c>
      <c r="G610" s="228">
        <f ca="1"/>
        <v>0</v>
      </c>
      <c r="H610" s="228">
        <f ca="1"/>
        <v>0</v>
      </c>
      <c r="I610" s="228">
        <f ca="1"/>
        <v>0</v>
      </c>
      <c r="J610" s="228">
        <f ca="1"/>
        <v>0</v>
      </c>
      <c r="K610" s="228">
        <f ca="1"/>
        <v>0</v>
      </c>
      <c r="M610" s="4" t="str">
        <f t="shared" si="48"/>
        <v>$M(2015)</v>
      </c>
    </row>
    <row r="611" spans="1:13" s="6" customFormat="1" x14ac:dyDescent="0.2">
      <c r="A611" s="4" t="str">
        <v>AF CO2</v>
      </c>
      <c r="B611" s="228">
        <f ca="1"/>
        <v>0</v>
      </c>
      <c r="C611" s="228">
        <f ca="1"/>
        <v>0</v>
      </c>
      <c r="D611" s="228">
        <f ca="1"/>
        <v>0</v>
      </c>
      <c r="E611" s="228">
        <f ca="1"/>
        <v>0</v>
      </c>
      <c r="F611" s="228">
        <f ca="1"/>
        <v>0</v>
      </c>
      <c r="G611" s="228">
        <f ca="1"/>
        <v>0</v>
      </c>
      <c r="H611" s="228">
        <f ca="1"/>
        <v>0</v>
      </c>
      <c r="I611" s="228">
        <f ca="1"/>
        <v>0</v>
      </c>
      <c r="J611" s="228">
        <f ca="1"/>
        <v>0</v>
      </c>
      <c r="K611" s="228">
        <f ca="1"/>
        <v>0</v>
      </c>
      <c r="M611" s="4" t="str">
        <f t="shared" si="48"/>
        <v>$M(2015)</v>
      </c>
    </row>
    <row r="612" spans="1:13" s="6" customFormat="1" ht="13.5" thickBot="1" x14ac:dyDescent="0.25">
      <c r="A612" s="4" t="str">
        <v>LA CO2</v>
      </c>
      <c r="B612" s="275">
        <f ca="1"/>
        <v>0</v>
      </c>
      <c r="C612" s="275">
        <f ca="1"/>
        <v>0</v>
      </c>
      <c r="D612" s="275">
        <f ca="1"/>
        <v>0</v>
      </c>
      <c r="E612" s="275">
        <f ca="1"/>
        <v>0</v>
      </c>
      <c r="F612" s="275">
        <f ca="1"/>
        <v>0</v>
      </c>
      <c r="G612" s="275">
        <f ca="1"/>
        <v>0</v>
      </c>
      <c r="H612" s="275">
        <f ca="1"/>
        <v>0</v>
      </c>
      <c r="I612" s="275">
        <f ca="1"/>
        <v>0</v>
      </c>
      <c r="J612" s="275">
        <f ca="1"/>
        <v>0</v>
      </c>
      <c r="K612" s="275">
        <f ca="1"/>
        <v>0</v>
      </c>
      <c r="M612" s="4" t="str">
        <f t="shared" si="48"/>
        <v>$M(2015)</v>
      </c>
    </row>
    <row r="613" spans="1:13" s="2" customFormat="1" ht="15" thickTop="1" x14ac:dyDescent="0.25">
      <c r="A613" s="2" t="s">
        <v>352</v>
      </c>
      <c r="B613" s="2" t="s">
        <v>354</v>
      </c>
    </row>
    <row r="614" spans="1:13" s="6" customFormat="1" x14ac:dyDescent="0.2">
      <c r="A614" s="4" t="str">
        <f t="array" ref="A614:A621">R_CODE&amp;" "&amp;'Base data'!$C$12</f>
        <v>EU CH4</v>
      </c>
      <c r="B614" s="274">
        <f t="array" aca="1" ref="B614:K621" ca="1">IF(cbe_ch4_b&lt;Q0_CH4,(ALO_CH4/BLO_CH4)*(EXP(BLO_CH4*(cbe_ch4_b-Q0_CH4))-EXP(-BLO_CH4*Q0_CH4))-ALO_CH4*cbe_ch4_b,(ahi_ch4_b/BHI_CH4)*(EXP(BHI_CH4*(cbe_ch4_b-Q0_CH4))-1)-ahi_ch4_b*(cbe_ch4_b-Q0_CH4)+TCQ0_CH4)</f>
        <v>0</v>
      </c>
      <c r="C614" s="274">
        <f ca="1"/>
        <v>0</v>
      </c>
      <c r="D614" s="274">
        <f ca="1"/>
        <v>0</v>
      </c>
      <c r="E614" s="274">
        <f ca="1"/>
        <v>0</v>
      </c>
      <c r="F614" s="274">
        <f ca="1"/>
        <v>0</v>
      </c>
      <c r="G614" s="274">
        <f ca="1"/>
        <v>0</v>
      </c>
      <c r="H614" s="274">
        <f ca="1"/>
        <v>0</v>
      </c>
      <c r="I614" s="274">
        <f ca="1"/>
        <v>0</v>
      </c>
      <c r="J614" s="274">
        <f ca="1"/>
        <v>0</v>
      </c>
      <c r="K614" s="274">
        <f ca="1"/>
        <v>0</v>
      </c>
      <c r="M614" s="4" t="str">
        <f t="shared" ref="M614:M621" si="49">CURRENCY_NAME</f>
        <v>$M(2015)</v>
      </c>
    </row>
    <row r="615" spans="1:13" s="6" customFormat="1" x14ac:dyDescent="0.2">
      <c r="A615" s="4" t="str">
        <v>US CH4</v>
      </c>
      <c r="B615" s="228">
        <f ca="1"/>
        <v>0</v>
      </c>
      <c r="C615" s="228">
        <f ca="1"/>
        <v>0</v>
      </c>
      <c r="D615" s="228">
        <f ca="1"/>
        <v>0</v>
      </c>
      <c r="E615" s="228">
        <f ca="1"/>
        <v>0</v>
      </c>
      <c r="F615" s="228">
        <f ca="1"/>
        <v>0</v>
      </c>
      <c r="G615" s="228">
        <f ca="1"/>
        <v>0</v>
      </c>
      <c r="H615" s="228">
        <f ca="1"/>
        <v>0</v>
      </c>
      <c r="I615" s="228">
        <f ca="1"/>
        <v>0</v>
      </c>
      <c r="J615" s="228">
        <f ca="1"/>
        <v>0</v>
      </c>
      <c r="K615" s="228">
        <f ca="1"/>
        <v>0</v>
      </c>
      <c r="M615" s="4" t="str">
        <f t="shared" si="49"/>
        <v>$M(2015)</v>
      </c>
    </row>
    <row r="616" spans="1:13" s="6" customFormat="1" x14ac:dyDescent="0.2">
      <c r="A616" s="4" t="str">
        <v>OT CH4</v>
      </c>
      <c r="B616" s="228">
        <f ca="1"/>
        <v>0</v>
      </c>
      <c r="C616" s="228">
        <f ca="1"/>
        <v>0</v>
      </c>
      <c r="D616" s="228">
        <f ca="1"/>
        <v>0</v>
      </c>
      <c r="E616" s="228">
        <f ca="1"/>
        <v>0</v>
      </c>
      <c r="F616" s="228">
        <f ca="1"/>
        <v>0</v>
      </c>
      <c r="G616" s="228">
        <f ca="1"/>
        <v>0</v>
      </c>
      <c r="H616" s="228">
        <f ca="1"/>
        <v>0</v>
      </c>
      <c r="I616" s="228">
        <f ca="1"/>
        <v>0</v>
      </c>
      <c r="J616" s="228">
        <f ca="1"/>
        <v>0</v>
      </c>
      <c r="K616" s="228">
        <f ca="1"/>
        <v>0</v>
      </c>
      <c r="M616" s="4" t="str">
        <f t="shared" si="49"/>
        <v>$M(2015)</v>
      </c>
    </row>
    <row r="617" spans="1:13" s="6" customFormat="1" x14ac:dyDescent="0.2">
      <c r="A617" s="4" t="str">
        <v>EE CH4</v>
      </c>
      <c r="B617" s="228">
        <f ca="1"/>
        <v>0</v>
      </c>
      <c r="C617" s="228">
        <f ca="1"/>
        <v>0</v>
      </c>
      <c r="D617" s="228">
        <f ca="1"/>
        <v>0</v>
      </c>
      <c r="E617" s="228">
        <f ca="1"/>
        <v>0</v>
      </c>
      <c r="F617" s="228">
        <f ca="1"/>
        <v>0</v>
      </c>
      <c r="G617" s="228">
        <f ca="1"/>
        <v>0</v>
      </c>
      <c r="H617" s="228">
        <f ca="1"/>
        <v>0</v>
      </c>
      <c r="I617" s="228">
        <f ca="1"/>
        <v>0</v>
      </c>
      <c r="J617" s="228">
        <f ca="1"/>
        <v>0</v>
      </c>
      <c r="K617" s="228">
        <f ca="1"/>
        <v>0</v>
      </c>
      <c r="M617" s="4" t="str">
        <f t="shared" si="49"/>
        <v>$M(2015)</v>
      </c>
    </row>
    <row r="618" spans="1:13" s="6" customFormat="1" x14ac:dyDescent="0.2">
      <c r="A618" s="4" t="str">
        <v>CA CH4</v>
      </c>
      <c r="B618" s="228">
        <f ca="1"/>
        <v>0</v>
      </c>
      <c r="C618" s="228">
        <f ca="1"/>
        <v>0</v>
      </c>
      <c r="D618" s="228">
        <f ca="1"/>
        <v>0</v>
      </c>
      <c r="E618" s="228">
        <f ca="1"/>
        <v>0</v>
      </c>
      <c r="F618" s="228">
        <f ca="1"/>
        <v>0</v>
      </c>
      <c r="G618" s="228">
        <f ca="1"/>
        <v>0</v>
      </c>
      <c r="H618" s="228">
        <f ca="1"/>
        <v>0</v>
      </c>
      <c r="I618" s="228">
        <f ca="1"/>
        <v>0</v>
      </c>
      <c r="J618" s="228">
        <f ca="1"/>
        <v>0</v>
      </c>
      <c r="K618" s="228">
        <f ca="1"/>
        <v>0</v>
      </c>
      <c r="M618" s="4" t="str">
        <f t="shared" si="49"/>
        <v>$M(2015)</v>
      </c>
    </row>
    <row r="619" spans="1:13" s="6" customFormat="1" x14ac:dyDescent="0.2">
      <c r="A619" s="4" t="str">
        <v>IA CH4</v>
      </c>
      <c r="B619" s="228">
        <f ca="1"/>
        <v>0</v>
      </c>
      <c r="C619" s="228">
        <f ca="1"/>
        <v>0</v>
      </c>
      <c r="D619" s="228">
        <f ca="1"/>
        <v>0</v>
      </c>
      <c r="E619" s="228">
        <f ca="1"/>
        <v>0</v>
      </c>
      <c r="F619" s="228">
        <f ca="1"/>
        <v>0</v>
      </c>
      <c r="G619" s="228">
        <f ca="1"/>
        <v>0</v>
      </c>
      <c r="H619" s="228">
        <f ca="1"/>
        <v>0</v>
      </c>
      <c r="I619" s="228">
        <f ca="1"/>
        <v>0</v>
      </c>
      <c r="J619" s="228">
        <f ca="1"/>
        <v>0</v>
      </c>
      <c r="K619" s="228">
        <f ca="1"/>
        <v>0</v>
      </c>
      <c r="M619" s="4" t="str">
        <f t="shared" si="49"/>
        <v>$M(2015)</v>
      </c>
    </row>
    <row r="620" spans="1:13" s="6" customFormat="1" x14ac:dyDescent="0.2">
      <c r="A620" s="4" t="str">
        <v>AF CH4</v>
      </c>
      <c r="B620" s="228">
        <f ca="1"/>
        <v>0</v>
      </c>
      <c r="C620" s="228">
        <f ca="1"/>
        <v>0</v>
      </c>
      <c r="D620" s="228">
        <f ca="1"/>
        <v>0</v>
      </c>
      <c r="E620" s="228">
        <f ca="1"/>
        <v>0</v>
      </c>
      <c r="F620" s="228">
        <f ca="1"/>
        <v>0</v>
      </c>
      <c r="G620" s="228">
        <f ca="1"/>
        <v>0</v>
      </c>
      <c r="H620" s="228">
        <f ca="1"/>
        <v>0</v>
      </c>
      <c r="I620" s="228">
        <f ca="1"/>
        <v>0</v>
      </c>
      <c r="J620" s="228">
        <f ca="1"/>
        <v>0</v>
      </c>
      <c r="K620" s="228">
        <f ca="1"/>
        <v>0</v>
      </c>
      <c r="M620" s="4" t="str">
        <f t="shared" si="49"/>
        <v>$M(2015)</v>
      </c>
    </row>
    <row r="621" spans="1:13" s="6" customFormat="1" ht="13.5" thickBot="1" x14ac:dyDescent="0.25">
      <c r="A621" s="4" t="str">
        <v>LA CH4</v>
      </c>
      <c r="B621" s="275">
        <f ca="1"/>
        <v>0</v>
      </c>
      <c r="C621" s="275">
        <f ca="1"/>
        <v>0</v>
      </c>
      <c r="D621" s="275">
        <f ca="1"/>
        <v>0</v>
      </c>
      <c r="E621" s="275">
        <f ca="1"/>
        <v>0</v>
      </c>
      <c r="F621" s="275">
        <f ca="1"/>
        <v>0</v>
      </c>
      <c r="G621" s="275">
        <f ca="1"/>
        <v>0</v>
      </c>
      <c r="H621" s="275">
        <f ca="1"/>
        <v>0</v>
      </c>
      <c r="I621" s="275">
        <f ca="1"/>
        <v>0</v>
      </c>
      <c r="J621" s="275">
        <f ca="1"/>
        <v>0</v>
      </c>
      <c r="K621" s="275">
        <f ca="1"/>
        <v>0</v>
      </c>
      <c r="M621" s="4" t="str">
        <f t="shared" si="49"/>
        <v>$M(2015)</v>
      </c>
    </row>
    <row r="622" spans="1:13" s="2" customFormat="1" ht="15" thickTop="1" x14ac:dyDescent="0.25">
      <c r="A622" s="2" t="s">
        <v>352</v>
      </c>
      <c r="B622" s="2" t="s">
        <v>355</v>
      </c>
    </row>
    <row r="623" spans="1:13" s="7" customFormat="1" x14ac:dyDescent="0.2">
      <c r="A623" s="4" t="str">
        <f t="array" ref="A623:A630">R_CODE&amp;" "&amp;'Base data'!$D$12</f>
        <v>EU N2O</v>
      </c>
      <c r="B623" s="274">
        <f t="array" aca="1" ref="B623:K630" ca="1">IF(cbe_n2o_b&lt;Q0_N2O,(ALO_N2O/BLO_N2O)*(EXP(BLO_N2O*(cbe_n2o_b-Q0_N2O))-EXP(-BLO_N2O*Q0_N2O))-ALO_N2O*cbe_n2o_b,(ahi_n2o_b/BHI_N2O)*(EXP(BHI_N2O*(cbe_n2o_b-Q0_N2O))-1)-ahi_n2o_b*(cbe_n2o_b-Q0_N2O)+TCQ0_N2O)</f>
        <v>0</v>
      </c>
      <c r="C623" s="274">
        <f ca="1"/>
        <v>0</v>
      </c>
      <c r="D623" s="274">
        <f ca="1"/>
        <v>0</v>
      </c>
      <c r="E623" s="274">
        <f ca="1"/>
        <v>0</v>
      </c>
      <c r="F623" s="274">
        <f ca="1"/>
        <v>0</v>
      </c>
      <c r="G623" s="274">
        <f ca="1"/>
        <v>0</v>
      </c>
      <c r="H623" s="274">
        <f ca="1"/>
        <v>0</v>
      </c>
      <c r="I623" s="274">
        <f ca="1"/>
        <v>0</v>
      </c>
      <c r="J623" s="274">
        <f ca="1"/>
        <v>0</v>
      </c>
      <c r="K623" s="274">
        <f ca="1"/>
        <v>0</v>
      </c>
      <c r="M623" s="4" t="str">
        <f t="shared" ref="M623:M630" si="50">CURRENCY_NAME</f>
        <v>$M(2015)</v>
      </c>
    </row>
    <row r="624" spans="1:13" s="7" customFormat="1" x14ac:dyDescent="0.2">
      <c r="A624" s="4" t="str">
        <v>US N2O</v>
      </c>
      <c r="B624" s="228">
        <f ca="1"/>
        <v>0</v>
      </c>
      <c r="C624" s="228">
        <f ca="1"/>
        <v>0</v>
      </c>
      <c r="D624" s="228">
        <f ca="1"/>
        <v>0</v>
      </c>
      <c r="E624" s="228">
        <f ca="1"/>
        <v>0</v>
      </c>
      <c r="F624" s="228">
        <f ca="1"/>
        <v>0</v>
      </c>
      <c r="G624" s="228">
        <f ca="1"/>
        <v>0</v>
      </c>
      <c r="H624" s="228">
        <f ca="1"/>
        <v>0</v>
      </c>
      <c r="I624" s="228">
        <f ca="1"/>
        <v>0</v>
      </c>
      <c r="J624" s="228">
        <f ca="1"/>
        <v>0</v>
      </c>
      <c r="K624" s="228">
        <f ca="1"/>
        <v>0</v>
      </c>
      <c r="M624" s="4" t="str">
        <f t="shared" si="50"/>
        <v>$M(2015)</v>
      </c>
    </row>
    <row r="625" spans="1:13" s="7" customFormat="1" x14ac:dyDescent="0.2">
      <c r="A625" s="4" t="str">
        <v>OT N2O</v>
      </c>
      <c r="B625" s="228">
        <f ca="1"/>
        <v>0</v>
      </c>
      <c r="C625" s="228">
        <f ca="1"/>
        <v>0</v>
      </c>
      <c r="D625" s="228">
        <f ca="1"/>
        <v>0</v>
      </c>
      <c r="E625" s="228">
        <f ca="1"/>
        <v>0</v>
      </c>
      <c r="F625" s="228">
        <f ca="1"/>
        <v>0</v>
      </c>
      <c r="G625" s="228">
        <f ca="1"/>
        <v>0</v>
      </c>
      <c r="H625" s="228">
        <f ca="1"/>
        <v>0</v>
      </c>
      <c r="I625" s="228">
        <f ca="1"/>
        <v>0</v>
      </c>
      <c r="J625" s="228">
        <f ca="1"/>
        <v>0</v>
      </c>
      <c r="K625" s="228">
        <f ca="1"/>
        <v>0</v>
      </c>
      <c r="M625" s="4" t="str">
        <f t="shared" si="50"/>
        <v>$M(2015)</v>
      </c>
    </row>
    <row r="626" spans="1:13" s="7" customFormat="1" x14ac:dyDescent="0.2">
      <c r="A626" s="4" t="str">
        <v>EE N2O</v>
      </c>
      <c r="B626" s="228">
        <f ca="1"/>
        <v>0</v>
      </c>
      <c r="C626" s="228">
        <f ca="1"/>
        <v>0</v>
      </c>
      <c r="D626" s="228">
        <f ca="1"/>
        <v>0</v>
      </c>
      <c r="E626" s="228">
        <f ca="1"/>
        <v>0</v>
      </c>
      <c r="F626" s="228">
        <f ca="1"/>
        <v>0</v>
      </c>
      <c r="G626" s="228">
        <f ca="1"/>
        <v>0</v>
      </c>
      <c r="H626" s="228">
        <f ca="1"/>
        <v>0</v>
      </c>
      <c r="I626" s="228">
        <f ca="1"/>
        <v>0</v>
      </c>
      <c r="J626" s="228">
        <f ca="1"/>
        <v>0</v>
      </c>
      <c r="K626" s="228">
        <f ca="1"/>
        <v>0</v>
      </c>
      <c r="M626" s="4" t="str">
        <f t="shared" si="50"/>
        <v>$M(2015)</v>
      </c>
    </row>
    <row r="627" spans="1:13" s="7" customFormat="1" x14ac:dyDescent="0.2">
      <c r="A627" s="4" t="str">
        <v>CA N2O</v>
      </c>
      <c r="B627" s="228">
        <f ca="1"/>
        <v>0</v>
      </c>
      <c r="C627" s="228">
        <f ca="1"/>
        <v>0</v>
      </c>
      <c r="D627" s="228">
        <f ca="1"/>
        <v>0</v>
      </c>
      <c r="E627" s="228">
        <f ca="1"/>
        <v>0</v>
      </c>
      <c r="F627" s="228">
        <f ca="1"/>
        <v>0</v>
      </c>
      <c r="G627" s="228">
        <f ca="1"/>
        <v>0</v>
      </c>
      <c r="H627" s="228">
        <f ca="1"/>
        <v>0</v>
      </c>
      <c r="I627" s="228">
        <f ca="1"/>
        <v>0</v>
      </c>
      <c r="J627" s="228">
        <f ca="1"/>
        <v>0</v>
      </c>
      <c r="K627" s="228">
        <f ca="1"/>
        <v>0</v>
      </c>
      <c r="M627" s="4" t="str">
        <f t="shared" si="50"/>
        <v>$M(2015)</v>
      </c>
    </row>
    <row r="628" spans="1:13" s="7" customFormat="1" x14ac:dyDescent="0.2">
      <c r="A628" s="4" t="str">
        <v>IA N2O</v>
      </c>
      <c r="B628" s="228">
        <f ca="1"/>
        <v>0</v>
      </c>
      <c r="C628" s="228">
        <f ca="1"/>
        <v>0</v>
      </c>
      <c r="D628" s="228">
        <f ca="1"/>
        <v>0</v>
      </c>
      <c r="E628" s="228">
        <f ca="1"/>
        <v>0</v>
      </c>
      <c r="F628" s="228">
        <f ca="1"/>
        <v>0</v>
      </c>
      <c r="G628" s="228">
        <f ca="1"/>
        <v>0</v>
      </c>
      <c r="H628" s="228">
        <f ca="1"/>
        <v>0</v>
      </c>
      <c r="I628" s="228">
        <f ca="1"/>
        <v>0</v>
      </c>
      <c r="J628" s="228">
        <f ca="1"/>
        <v>0</v>
      </c>
      <c r="K628" s="228">
        <f ca="1"/>
        <v>0</v>
      </c>
      <c r="M628" s="4" t="str">
        <f t="shared" si="50"/>
        <v>$M(2015)</v>
      </c>
    </row>
    <row r="629" spans="1:13" s="7" customFormat="1" x14ac:dyDescent="0.2">
      <c r="A629" s="4" t="str">
        <v>AF N2O</v>
      </c>
      <c r="B629" s="228">
        <f ca="1"/>
        <v>0</v>
      </c>
      <c r="C629" s="228">
        <f ca="1"/>
        <v>0</v>
      </c>
      <c r="D629" s="228">
        <f ca="1"/>
        <v>0</v>
      </c>
      <c r="E629" s="228">
        <f ca="1"/>
        <v>0</v>
      </c>
      <c r="F629" s="228">
        <f ca="1"/>
        <v>0</v>
      </c>
      <c r="G629" s="228">
        <f ca="1"/>
        <v>0</v>
      </c>
      <c r="H629" s="228">
        <f ca="1"/>
        <v>0</v>
      </c>
      <c r="I629" s="228">
        <f ca="1"/>
        <v>0</v>
      </c>
      <c r="J629" s="228">
        <f ca="1"/>
        <v>0</v>
      </c>
      <c r="K629" s="228">
        <f ca="1"/>
        <v>0</v>
      </c>
      <c r="M629" s="4" t="str">
        <f t="shared" si="50"/>
        <v>$M(2015)</v>
      </c>
    </row>
    <row r="630" spans="1:13" s="7" customFormat="1" ht="13.5" thickBot="1" x14ac:dyDescent="0.25">
      <c r="A630" s="4" t="str">
        <v>LA N2O</v>
      </c>
      <c r="B630" s="275">
        <f ca="1"/>
        <v>0</v>
      </c>
      <c r="C630" s="275">
        <f ca="1"/>
        <v>0</v>
      </c>
      <c r="D630" s="275">
        <f ca="1"/>
        <v>0</v>
      </c>
      <c r="E630" s="275">
        <f ca="1"/>
        <v>0</v>
      </c>
      <c r="F630" s="275">
        <f ca="1"/>
        <v>0</v>
      </c>
      <c r="G630" s="275">
        <f ca="1"/>
        <v>0</v>
      </c>
      <c r="H630" s="275">
        <f ca="1"/>
        <v>0</v>
      </c>
      <c r="I630" s="275">
        <f ca="1"/>
        <v>0</v>
      </c>
      <c r="J630" s="275">
        <f ca="1"/>
        <v>0</v>
      </c>
      <c r="K630" s="275">
        <f ca="1"/>
        <v>0</v>
      </c>
      <c r="M630" s="4" t="str">
        <f t="shared" si="50"/>
        <v>$M(2015)</v>
      </c>
    </row>
    <row r="631" spans="1:13" s="2" customFormat="1" ht="15" thickTop="1" x14ac:dyDescent="0.25">
      <c r="A631" s="2" t="s">
        <v>352</v>
      </c>
      <c r="B631" s="2" t="s">
        <v>356</v>
      </c>
    </row>
    <row r="632" spans="1:13" s="7" customFormat="1" x14ac:dyDescent="0.2">
      <c r="A632" s="4" t="str">
        <f t="array" ref="A632:A639">R_CODE&amp;" "&amp;GLIN_NAME</f>
        <v>EU Lin</v>
      </c>
      <c r="B632" s="274">
        <f t="array" aca="1" ref="B632:K639" ca="1">IF(cbe_glin_b&lt;Q0_GLIN,(ALO_GLIN/BLO_GLIN)*(EXP(BLO_GLIN*(cbe_glin_b-Q0_GLIN))-EXP(-BLO_GLIN*Q0_GLIN))-ALO_GLIN*cbe_glin_b,(ahi_glin_b/BHI_GLIN)*(EXP(BHI_GLIN*(cbe_glin_b-Q0_GLIN))-1)-ahi_glin_b*(cbe_glin_b-Q0_GLIN)+TCQ0_GLIN)</f>
        <v>0</v>
      </c>
      <c r="C632" s="274">
        <f ca="1"/>
        <v>0</v>
      </c>
      <c r="D632" s="274">
        <f ca="1"/>
        <v>0</v>
      </c>
      <c r="E632" s="274">
        <f ca="1"/>
        <v>0</v>
      </c>
      <c r="F632" s="274">
        <f ca="1"/>
        <v>0</v>
      </c>
      <c r="G632" s="274">
        <f ca="1"/>
        <v>0</v>
      </c>
      <c r="H632" s="274">
        <f ca="1"/>
        <v>0</v>
      </c>
      <c r="I632" s="274">
        <f ca="1"/>
        <v>0</v>
      </c>
      <c r="J632" s="274">
        <f ca="1"/>
        <v>0</v>
      </c>
      <c r="K632" s="274">
        <f ca="1"/>
        <v>0</v>
      </c>
      <c r="M632" s="4" t="str">
        <f t="shared" ref="M632:M639" si="51">CURRENCY_NAME</f>
        <v>$M(2015)</v>
      </c>
    </row>
    <row r="633" spans="1:13" s="7" customFormat="1" x14ac:dyDescent="0.2">
      <c r="A633" s="4" t="str">
        <v>US Lin</v>
      </c>
      <c r="B633" s="228">
        <f ca="1"/>
        <v>0</v>
      </c>
      <c r="C633" s="228">
        <f ca="1"/>
        <v>0</v>
      </c>
      <c r="D633" s="228">
        <f ca="1"/>
        <v>0</v>
      </c>
      <c r="E633" s="228">
        <f ca="1"/>
        <v>0</v>
      </c>
      <c r="F633" s="228">
        <f ca="1"/>
        <v>0</v>
      </c>
      <c r="G633" s="228">
        <f ca="1"/>
        <v>0</v>
      </c>
      <c r="H633" s="228">
        <f ca="1"/>
        <v>0</v>
      </c>
      <c r="I633" s="228">
        <f ca="1"/>
        <v>0</v>
      </c>
      <c r="J633" s="228">
        <f ca="1"/>
        <v>0</v>
      </c>
      <c r="K633" s="228">
        <f ca="1"/>
        <v>0</v>
      </c>
      <c r="M633" s="4" t="str">
        <f t="shared" si="51"/>
        <v>$M(2015)</v>
      </c>
    </row>
    <row r="634" spans="1:13" s="7" customFormat="1" x14ac:dyDescent="0.2">
      <c r="A634" s="4" t="str">
        <v>OT Lin</v>
      </c>
      <c r="B634" s="228">
        <f ca="1"/>
        <v>0</v>
      </c>
      <c r="C634" s="228">
        <f ca="1"/>
        <v>0</v>
      </c>
      <c r="D634" s="228">
        <f ca="1"/>
        <v>0</v>
      </c>
      <c r="E634" s="228">
        <f ca="1"/>
        <v>0</v>
      </c>
      <c r="F634" s="228">
        <f ca="1"/>
        <v>0</v>
      </c>
      <c r="G634" s="228">
        <f ca="1"/>
        <v>0</v>
      </c>
      <c r="H634" s="228">
        <f ca="1"/>
        <v>0</v>
      </c>
      <c r="I634" s="228">
        <f ca="1"/>
        <v>0</v>
      </c>
      <c r="J634" s="228">
        <f ca="1"/>
        <v>0</v>
      </c>
      <c r="K634" s="228">
        <f ca="1"/>
        <v>0</v>
      </c>
      <c r="M634" s="4" t="str">
        <f t="shared" si="51"/>
        <v>$M(2015)</v>
      </c>
    </row>
    <row r="635" spans="1:13" s="7" customFormat="1" x14ac:dyDescent="0.2">
      <c r="A635" s="4" t="str">
        <v>EE Lin</v>
      </c>
      <c r="B635" s="228">
        <f ca="1"/>
        <v>0</v>
      </c>
      <c r="C635" s="228">
        <f ca="1"/>
        <v>0</v>
      </c>
      <c r="D635" s="228">
        <f ca="1"/>
        <v>0</v>
      </c>
      <c r="E635" s="228">
        <f ca="1"/>
        <v>0</v>
      </c>
      <c r="F635" s="228">
        <f ca="1"/>
        <v>0</v>
      </c>
      <c r="G635" s="228">
        <f ca="1"/>
        <v>0</v>
      </c>
      <c r="H635" s="228">
        <f ca="1"/>
        <v>0</v>
      </c>
      <c r="I635" s="228">
        <f ca="1"/>
        <v>0</v>
      </c>
      <c r="J635" s="228">
        <f ca="1"/>
        <v>0</v>
      </c>
      <c r="K635" s="228">
        <f ca="1"/>
        <v>0</v>
      </c>
      <c r="M635" s="4" t="str">
        <f t="shared" si="51"/>
        <v>$M(2015)</v>
      </c>
    </row>
    <row r="636" spans="1:13" s="7" customFormat="1" x14ac:dyDescent="0.2">
      <c r="A636" s="4" t="str">
        <v>CA Lin</v>
      </c>
      <c r="B636" s="228">
        <f ca="1"/>
        <v>0</v>
      </c>
      <c r="C636" s="228">
        <f ca="1"/>
        <v>0</v>
      </c>
      <c r="D636" s="228">
        <f ca="1"/>
        <v>0</v>
      </c>
      <c r="E636" s="228">
        <f ca="1"/>
        <v>0</v>
      </c>
      <c r="F636" s="228">
        <f ca="1"/>
        <v>0</v>
      </c>
      <c r="G636" s="228">
        <f ca="1"/>
        <v>0</v>
      </c>
      <c r="H636" s="228">
        <f ca="1"/>
        <v>0</v>
      </c>
      <c r="I636" s="228">
        <f ca="1"/>
        <v>0</v>
      </c>
      <c r="J636" s="228">
        <f ca="1"/>
        <v>0</v>
      </c>
      <c r="K636" s="228">
        <f ca="1"/>
        <v>0</v>
      </c>
      <c r="M636" s="4" t="str">
        <f t="shared" si="51"/>
        <v>$M(2015)</v>
      </c>
    </row>
    <row r="637" spans="1:13" s="7" customFormat="1" x14ac:dyDescent="0.2">
      <c r="A637" s="4" t="str">
        <v>IA Lin</v>
      </c>
      <c r="B637" s="228">
        <f ca="1"/>
        <v>0</v>
      </c>
      <c r="C637" s="228">
        <f ca="1"/>
        <v>0</v>
      </c>
      <c r="D637" s="228">
        <f ca="1"/>
        <v>0</v>
      </c>
      <c r="E637" s="228">
        <f ca="1"/>
        <v>0</v>
      </c>
      <c r="F637" s="228">
        <f ca="1"/>
        <v>0</v>
      </c>
      <c r="G637" s="228">
        <f ca="1"/>
        <v>0</v>
      </c>
      <c r="H637" s="228">
        <f ca="1"/>
        <v>0</v>
      </c>
      <c r="I637" s="228">
        <f ca="1"/>
        <v>0</v>
      </c>
      <c r="J637" s="228">
        <f ca="1"/>
        <v>0</v>
      </c>
      <c r="K637" s="228">
        <f ca="1"/>
        <v>0</v>
      </c>
      <c r="M637" s="4" t="str">
        <f t="shared" si="51"/>
        <v>$M(2015)</v>
      </c>
    </row>
    <row r="638" spans="1:13" s="7" customFormat="1" x14ac:dyDescent="0.2">
      <c r="A638" s="4" t="str">
        <v>AF Lin</v>
      </c>
      <c r="B638" s="228">
        <f ca="1"/>
        <v>0</v>
      </c>
      <c r="C638" s="228">
        <f ca="1"/>
        <v>0</v>
      </c>
      <c r="D638" s="228">
        <f ca="1"/>
        <v>0</v>
      </c>
      <c r="E638" s="228">
        <f ca="1"/>
        <v>0</v>
      </c>
      <c r="F638" s="228">
        <f ca="1"/>
        <v>0</v>
      </c>
      <c r="G638" s="228">
        <f ca="1"/>
        <v>0</v>
      </c>
      <c r="H638" s="228">
        <f ca="1"/>
        <v>0</v>
      </c>
      <c r="I638" s="228">
        <f ca="1"/>
        <v>0</v>
      </c>
      <c r="J638" s="228">
        <f ca="1"/>
        <v>0</v>
      </c>
      <c r="K638" s="228">
        <f ca="1"/>
        <v>0</v>
      </c>
      <c r="M638" s="4" t="str">
        <f t="shared" si="51"/>
        <v>$M(2015)</v>
      </c>
    </row>
    <row r="639" spans="1:13" s="7" customFormat="1" ht="13.5" thickBot="1" x14ac:dyDescent="0.25">
      <c r="A639" s="4" t="str">
        <v>LA Lin</v>
      </c>
      <c r="B639" s="275">
        <f ca="1"/>
        <v>0</v>
      </c>
      <c r="C639" s="275">
        <f ca="1"/>
        <v>0</v>
      </c>
      <c r="D639" s="275">
        <f ca="1"/>
        <v>0</v>
      </c>
      <c r="E639" s="275">
        <f ca="1"/>
        <v>0</v>
      </c>
      <c r="F639" s="275">
        <f ca="1"/>
        <v>0</v>
      </c>
      <c r="G639" s="275">
        <f ca="1"/>
        <v>0</v>
      </c>
      <c r="H639" s="275">
        <f ca="1"/>
        <v>0</v>
      </c>
      <c r="I639" s="275">
        <f ca="1"/>
        <v>0</v>
      </c>
      <c r="J639" s="275">
        <f ca="1"/>
        <v>0</v>
      </c>
      <c r="K639" s="275">
        <f ca="1"/>
        <v>0</v>
      </c>
      <c r="M639" s="4" t="str">
        <f t="shared" si="51"/>
        <v>$M(2015)</v>
      </c>
    </row>
    <row r="640" spans="1:13" s="2" customFormat="1" ht="15" thickTop="1" x14ac:dyDescent="0.25">
      <c r="A640" s="2" t="s">
        <v>352</v>
      </c>
      <c r="B640" s="2" t="s">
        <v>392</v>
      </c>
    </row>
    <row r="641" spans="1:15" s="7" customFormat="1" x14ac:dyDescent="0.2">
      <c r="A641" s="4" t="str">
        <f t="array" ref="A641:A648">R_CODE</f>
        <v>EU</v>
      </c>
      <c r="B641" s="274">
        <f t="array" aca="1" ref="B641:K648" ca="1">tc_co2_b+tc_ch4_b+tc_n2o_b+tc_glin_b</f>
        <v>0</v>
      </c>
      <c r="C641" s="274">
        <f ca="1"/>
        <v>0</v>
      </c>
      <c r="D641" s="274">
        <f ca="1"/>
        <v>0</v>
      </c>
      <c r="E641" s="274">
        <f ca="1"/>
        <v>0</v>
      </c>
      <c r="F641" s="274">
        <f ca="1"/>
        <v>0</v>
      </c>
      <c r="G641" s="274">
        <f ca="1"/>
        <v>0</v>
      </c>
      <c r="H641" s="274">
        <f ca="1"/>
        <v>0</v>
      </c>
      <c r="I641" s="274">
        <f ca="1"/>
        <v>0</v>
      </c>
      <c r="J641" s="274">
        <f ca="1"/>
        <v>0</v>
      </c>
      <c r="K641" s="274">
        <f ca="1"/>
        <v>0</v>
      </c>
      <c r="M641" s="4" t="str">
        <f t="shared" ref="M641:M648" si="52">CURRENCY_NAME</f>
        <v>$M(2015)</v>
      </c>
    </row>
    <row r="642" spans="1:15" s="7" customFormat="1" x14ac:dyDescent="0.2">
      <c r="A642" s="4" t="str">
        <v>US</v>
      </c>
      <c r="B642" s="228">
        <f ca="1"/>
        <v>0</v>
      </c>
      <c r="C642" s="228">
        <f ca="1"/>
        <v>0</v>
      </c>
      <c r="D642" s="228">
        <f ca="1"/>
        <v>0</v>
      </c>
      <c r="E642" s="228">
        <f ca="1"/>
        <v>0</v>
      </c>
      <c r="F642" s="228">
        <f ca="1"/>
        <v>0</v>
      </c>
      <c r="G642" s="228">
        <f ca="1"/>
        <v>0</v>
      </c>
      <c r="H642" s="228">
        <f ca="1"/>
        <v>0</v>
      </c>
      <c r="I642" s="228">
        <f ca="1"/>
        <v>0</v>
      </c>
      <c r="J642" s="228">
        <f ca="1"/>
        <v>0</v>
      </c>
      <c r="K642" s="228">
        <f ca="1"/>
        <v>0</v>
      </c>
      <c r="M642" s="4" t="str">
        <f t="shared" si="52"/>
        <v>$M(2015)</v>
      </c>
    </row>
    <row r="643" spans="1:15" s="7" customFormat="1" x14ac:dyDescent="0.2">
      <c r="A643" s="4" t="str">
        <v>OT</v>
      </c>
      <c r="B643" s="228">
        <f ca="1"/>
        <v>0</v>
      </c>
      <c r="C643" s="228">
        <f ca="1"/>
        <v>0</v>
      </c>
      <c r="D643" s="228">
        <f ca="1"/>
        <v>0</v>
      </c>
      <c r="E643" s="228">
        <f ca="1"/>
        <v>0</v>
      </c>
      <c r="F643" s="228">
        <f ca="1"/>
        <v>0</v>
      </c>
      <c r="G643" s="228">
        <f ca="1"/>
        <v>0</v>
      </c>
      <c r="H643" s="228">
        <f ca="1"/>
        <v>0</v>
      </c>
      <c r="I643" s="228">
        <f ca="1"/>
        <v>0</v>
      </c>
      <c r="J643" s="228">
        <f ca="1"/>
        <v>0</v>
      </c>
      <c r="K643" s="228">
        <f ca="1"/>
        <v>0</v>
      </c>
      <c r="M643" s="4" t="str">
        <f t="shared" si="52"/>
        <v>$M(2015)</v>
      </c>
    </row>
    <row r="644" spans="1:15" s="7" customFormat="1" x14ac:dyDescent="0.2">
      <c r="A644" s="4" t="str">
        <v>EE</v>
      </c>
      <c r="B644" s="228">
        <f ca="1"/>
        <v>0</v>
      </c>
      <c r="C644" s="228">
        <f ca="1"/>
        <v>0</v>
      </c>
      <c r="D644" s="228">
        <f ca="1"/>
        <v>0</v>
      </c>
      <c r="E644" s="228">
        <f ca="1"/>
        <v>0</v>
      </c>
      <c r="F644" s="228">
        <f ca="1"/>
        <v>0</v>
      </c>
      <c r="G644" s="228">
        <f ca="1"/>
        <v>0</v>
      </c>
      <c r="H644" s="228">
        <f ca="1"/>
        <v>0</v>
      </c>
      <c r="I644" s="228">
        <f ca="1"/>
        <v>0</v>
      </c>
      <c r="J644" s="228">
        <f ca="1"/>
        <v>0</v>
      </c>
      <c r="K644" s="228">
        <f ca="1"/>
        <v>0</v>
      </c>
      <c r="M644" s="4" t="str">
        <f t="shared" si="52"/>
        <v>$M(2015)</v>
      </c>
    </row>
    <row r="645" spans="1:15" s="7" customFormat="1" x14ac:dyDescent="0.2">
      <c r="A645" s="4" t="str">
        <v>CA</v>
      </c>
      <c r="B645" s="228">
        <f ca="1"/>
        <v>0</v>
      </c>
      <c r="C645" s="228">
        <f ca="1"/>
        <v>0</v>
      </c>
      <c r="D645" s="228">
        <f ca="1"/>
        <v>0</v>
      </c>
      <c r="E645" s="228">
        <f ca="1"/>
        <v>0</v>
      </c>
      <c r="F645" s="228">
        <f ca="1"/>
        <v>0</v>
      </c>
      <c r="G645" s="228">
        <f ca="1"/>
        <v>0</v>
      </c>
      <c r="H645" s="228">
        <f ca="1"/>
        <v>0</v>
      </c>
      <c r="I645" s="228">
        <f ca="1"/>
        <v>0</v>
      </c>
      <c r="J645" s="228">
        <f ca="1"/>
        <v>0</v>
      </c>
      <c r="K645" s="228">
        <f ca="1"/>
        <v>0</v>
      </c>
      <c r="M645" s="4" t="str">
        <f t="shared" si="52"/>
        <v>$M(2015)</v>
      </c>
    </row>
    <row r="646" spans="1:15" s="7" customFormat="1" x14ac:dyDescent="0.2">
      <c r="A646" s="4" t="str">
        <v>IA</v>
      </c>
      <c r="B646" s="228">
        <f ca="1"/>
        <v>0</v>
      </c>
      <c r="C646" s="228">
        <f ca="1"/>
        <v>0</v>
      </c>
      <c r="D646" s="228">
        <f ca="1"/>
        <v>0</v>
      </c>
      <c r="E646" s="228">
        <f ca="1"/>
        <v>0</v>
      </c>
      <c r="F646" s="228">
        <f ca="1"/>
        <v>0</v>
      </c>
      <c r="G646" s="228">
        <f ca="1"/>
        <v>0</v>
      </c>
      <c r="H646" s="228">
        <f ca="1"/>
        <v>0</v>
      </c>
      <c r="I646" s="228">
        <f ca="1"/>
        <v>0</v>
      </c>
      <c r="J646" s="228">
        <f ca="1"/>
        <v>0</v>
      </c>
      <c r="K646" s="228">
        <f ca="1"/>
        <v>0</v>
      </c>
      <c r="M646" s="4" t="str">
        <f t="shared" si="52"/>
        <v>$M(2015)</v>
      </c>
    </row>
    <row r="647" spans="1:15" s="7" customFormat="1" x14ac:dyDescent="0.2">
      <c r="A647" s="4" t="str">
        <v>AF</v>
      </c>
      <c r="B647" s="228">
        <f ca="1"/>
        <v>0</v>
      </c>
      <c r="C647" s="228">
        <f ca="1"/>
        <v>0</v>
      </c>
      <c r="D647" s="228">
        <f ca="1"/>
        <v>0</v>
      </c>
      <c r="E647" s="228">
        <f ca="1"/>
        <v>0</v>
      </c>
      <c r="F647" s="228">
        <f ca="1"/>
        <v>0</v>
      </c>
      <c r="G647" s="228">
        <f ca="1"/>
        <v>0</v>
      </c>
      <c r="H647" s="228">
        <f ca="1"/>
        <v>0</v>
      </c>
      <c r="I647" s="228">
        <f ca="1"/>
        <v>0</v>
      </c>
      <c r="J647" s="228">
        <f ca="1"/>
        <v>0</v>
      </c>
      <c r="K647" s="228">
        <f ca="1"/>
        <v>0</v>
      </c>
      <c r="M647" s="4" t="str">
        <f t="shared" si="52"/>
        <v>$M(2015)</v>
      </c>
    </row>
    <row r="648" spans="1:15" s="7" customFormat="1" ht="13.5" thickBot="1" x14ac:dyDescent="0.25">
      <c r="A648" s="4" t="str">
        <v>LA</v>
      </c>
      <c r="B648" s="275">
        <f ca="1"/>
        <v>0</v>
      </c>
      <c r="C648" s="275">
        <f ca="1"/>
        <v>0</v>
      </c>
      <c r="D648" s="275">
        <f ca="1"/>
        <v>0</v>
      </c>
      <c r="E648" s="275">
        <f ca="1"/>
        <v>0</v>
      </c>
      <c r="F648" s="275">
        <f ca="1"/>
        <v>0</v>
      </c>
      <c r="G648" s="275">
        <f ca="1"/>
        <v>0</v>
      </c>
      <c r="H648" s="275">
        <f ca="1"/>
        <v>0</v>
      </c>
      <c r="I648" s="275">
        <f ca="1"/>
        <v>0</v>
      </c>
      <c r="J648" s="275">
        <f ca="1"/>
        <v>0</v>
      </c>
      <c r="K648" s="275">
        <f ca="1"/>
        <v>0</v>
      </c>
      <c r="M648" s="4" t="str">
        <f t="shared" si="52"/>
        <v>$M(2015)</v>
      </c>
    </row>
    <row r="649" spans="1:15" s="2" customFormat="1" ht="15" thickTop="1" x14ac:dyDescent="0.25">
      <c r="A649" s="2" t="s">
        <v>357</v>
      </c>
      <c r="B649" s="2" t="s">
        <v>395</v>
      </c>
    </row>
    <row r="650" spans="1:15" s="7" customFormat="1" x14ac:dyDescent="0.2">
      <c r="A650" s="4" t="str">
        <f t="array" ref="A650:A657">R_CODE</f>
        <v>EU</v>
      </c>
      <c r="B650" s="269">
        <f t="array" aca="1" ref="B650:K657" ca="1">tct_b/POP_B</f>
        <v>0</v>
      </c>
      <c r="C650" s="269">
        <f ca="1"/>
        <v>0</v>
      </c>
      <c r="D650" s="269">
        <f ca="1"/>
        <v>0</v>
      </c>
      <c r="E650" s="269">
        <f ca="1"/>
        <v>0</v>
      </c>
      <c r="F650" s="269">
        <f ca="1"/>
        <v>0</v>
      </c>
      <c r="G650" s="269">
        <f ca="1"/>
        <v>0</v>
      </c>
      <c r="H650" s="269">
        <f ca="1"/>
        <v>0</v>
      </c>
      <c r="I650" s="269">
        <f ca="1"/>
        <v>0</v>
      </c>
      <c r="J650" s="269">
        <f ca="1"/>
        <v>0</v>
      </c>
      <c r="K650" s="269">
        <f ca="1"/>
        <v>0</v>
      </c>
      <c r="M650" s="1" t="str">
        <f t="shared" ref="M650:M657" si="53">CURRENCY_NAME&amp;"/"&amp;POP_UNIT_NAME</f>
        <v>$M(2015)/million</v>
      </c>
      <c r="O650" s="292" t="s">
        <v>1034</v>
      </c>
    </row>
    <row r="651" spans="1:15" s="7" customFormat="1" x14ac:dyDescent="0.2">
      <c r="A651" s="4" t="str">
        <v>US</v>
      </c>
      <c r="B651" s="260">
        <f ca="1"/>
        <v>0</v>
      </c>
      <c r="C651" s="260">
        <f ca="1"/>
        <v>0</v>
      </c>
      <c r="D651" s="260">
        <f ca="1"/>
        <v>0</v>
      </c>
      <c r="E651" s="260">
        <f ca="1"/>
        <v>0</v>
      </c>
      <c r="F651" s="260">
        <f ca="1"/>
        <v>0</v>
      </c>
      <c r="G651" s="260">
        <f ca="1"/>
        <v>0</v>
      </c>
      <c r="H651" s="260">
        <f ca="1"/>
        <v>0</v>
      </c>
      <c r="I651" s="260">
        <f ca="1"/>
        <v>0</v>
      </c>
      <c r="J651" s="260">
        <f ca="1"/>
        <v>0</v>
      </c>
      <c r="K651" s="260">
        <f ca="1"/>
        <v>0</v>
      </c>
      <c r="M651" s="1" t="str">
        <f t="shared" si="53"/>
        <v>$M(2015)/million</v>
      </c>
    </row>
    <row r="652" spans="1:15" s="7" customFormat="1" x14ac:dyDescent="0.2">
      <c r="A652" s="4" t="str">
        <v>OT</v>
      </c>
      <c r="B652" s="260">
        <f ca="1"/>
        <v>0</v>
      </c>
      <c r="C652" s="260">
        <f ca="1"/>
        <v>0</v>
      </c>
      <c r="D652" s="260">
        <f ca="1"/>
        <v>0</v>
      </c>
      <c r="E652" s="260">
        <f ca="1"/>
        <v>0</v>
      </c>
      <c r="F652" s="260">
        <f ca="1"/>
        <v>0</v>
      </c>
      <c r="G652" s="260">
        <f ca="1"/>
        <v>0</v>
      </c>
      <c r="H652" s="260">
        <f ca="1"/>
        <v>0</v>
      </c>
      <c r="I652" s="260">
        <f ca="1"/>
        <v>0</v>
      </c>
      <c r="J652" s="260">
        <f ca="1"/>
        <v>0</v>
      </c>
      <c r="K652" s="260">
        <f ca="1"/>
        <v>0</v>
      </c>
      <c r="M652" s="1" t="str">
        <f t="shared" si="53"/>
        <v>$M(2015)/million</v>
      </c>
    </row>
    <row r="653" spans="1:15" s="7" customFormat="1" x14ac:dyDescent="0.2">
      <c r="A653" s="4" t="str">
        <v>EE</v>
      </c>
      <c r="B653" s="260">
        <f ca="1"/>
        <v>0</v>
      </c>
      <c r="C653" s="260">
        <f ca="1"/>
        <v>0</v>
      </c>
      <c r="D653" s="260">
        <f ca="1"/>
        <v>0</v>
      </c>
      <c r="E653" s="260">
        <f ca="1"/>
        <v>0</v>
      </c>
      <c r="F653" s="260">
        <f ca="1"/>
        <v>0</v>
      </c>
      <c r="G653" s="260">
        <f ca="1"/>
        <v>0</v>
      </c>
      <c r="H653" s="260">
        <f ca="1"/>
        <v>0</v>
      </c>
      <c r="I653" s="260">
        <f ca="1"/>
        <v>0</v>
      </c>
      <c r="J653" s="260">
        <f ca="1"/>
        <v>0</v>
      </c>
      <c r="K653" s="260">
        <f ca="1"/>
        <v>0</v>
      </c>
      <c r="M653" s="1" t="str">
        <f t="shared" si="53"/>
        <v>$M(2015)/million</v>
      </c>
    </row>
    <row r="654" spans="1:15" s="7" customFormat="1" x14ac:dyDescent="0.2">
      <c r="A654" s="4" t="str">
        <v>CA</v>
      </c>
      <c r="B654" s="260">
        <f ca="1"/>
        <v>0</v>
      </c>
      <c r="C654" s="260">
        <f ca="1"/>
        <v>0</v>
      </c>
      <c r="D654" s="260">
        <f ca="1"/>
        <v>0</v>
      </c>
      <c r="E654" s="260">
        <f ca="1"/>
        <v>0</v>
      </c>
      <c r="F654" s="260">
        <f ca="1"/>
        <v>0</v>
      </c>
      <c r="G654" s="260">
        <f ca="1"/>
        <v>0</v>
      </c>
      <c r="H654" s="260">
        <f ca="1"/>
        <v>0</v>
      </c>
      <c r="I654" s="260">
        <f ca="1"/>
        <v>0</v>
      </c>
      <c r="J654" s="260">
        <f ca="1"/>
        <v>0</v>
      </c>
      <c r="K654" s="260">
        <f ca="1"/>
        <v>0</v>
      </c>
      <c r="M654" s="1" t="str">
        <f t="shared" si="53"/>
        <v>$M(2015)/million</v>
      </c>
    </row>
    <row r="655" spans="1:15" s="7" customFormat="1" x14ac:dyDescent="0.2">
      <c r="A655" s="4" t="str">
        <v>IA</v>
      </c>
      <c r="B655" s="260">
        <f ca="1"/>
        <v>0</v>
      </c>
      <c r="C655" s="260">
        <f ca="1"/>
        <v>0</v>
      </c>
      <c r="D655" s="260">
        <f ca="1"/>
        <v>0</v>
      </c>
      <c r="E655" s="260">
        <f ca="1"/>
        <v>0</v>
      </c>
      <c r="F655" s="260">
        <f ca="1"/>
        <v>0</v>
      </c>
      <c r="G655" s="260">
        <f ca="1"/>
        <v>0</v>
      </c>
      <c r="H655" s="260">
        <f ca="1"/>
        <v>0</v>
      </c>
      <c r="I655" s="260">
        <f ca="1"/>
        <v>0</v>
      </c>
      <c r="J655" s="260">
        <f ca="1"/>
        <v>0</v>
      </c>
      <c r="K655" s="260">
        <f ca="1"/>
        <v>0</v>
      </c>
      <c r="M655" s="1" t="str">
        <f t="shared" si="53"/>
        <v>$M(2015)/million</v>
      </c>
    </row>
    <row r="656" spans="1:15" s="7" customFormat="1" x14ac:dyDescent="0.2">
      <c r="A656" s="4" t="str">
        <v>AF</v>
      </c>
      <c r="B656" s="260">
        <f ca="1"/>
        <v>0</v>
      </c>
      <c r="C656" s="260">
        <f ca="1"/>
        <v>0</v>
      </c>
      <c r="D656" s="260">
        <f ca="1"/>
        <v>0</v>
      </c>
      <c r="E656" s="260">
        <f ca="1"/>
        <v>0</v>
      </c>
      <c r="F656" s="260">
        <f ca="1"/>
        <v>0</v>
      </c>
      <c r="G656" s="260">
        <f ca="1"/>
        <v>0</v>
      </c>
      <c r="H656" s="260">
        <f ca="1"/>
        <v>0</v>
      </c>
      <c r="I656" s="260">
        <f ca="1"/>
        <v>0</v>
      </c>
      <c r="J656" s="260">
        <f ca="1"/>
        <v>0</v>
      </c>
      <c r="K656" s="260">
        <f ca="1"/>
        <v>0</v>
      </c>
      <c r="M656" s="1" t="str">
        <f t="shared" si="53"/>
        <v>$M(2015)/million</v>
      </c>
    </row>
    <row r="657" spans="1:15" s="7" customFormat="1" ht="13.5" thickBot="1" x14ac:dyDescent="0.25">
      <c r="A657" s="4" t="str">
        <v>LA</v>
      </c>
      <c r="B657" s="270">
        <f ca="1"/>
        <v>0</v>
      </c>
      <c r="C657" s="270">
        <f ca="1"/>
        <v>0</v>
      </c>
      <c r="D657" s="270">
        <f ca="1"/>
        <v>0</v>
      </c>
      <c r="E657" s="270">
        <f ca="1"/>
        <v>0</v>
      </c>
      <c r="F657" s="270">
        <f ca="1"/>
        <v>0</v>
      </c>
      <c r="G657" s="270">
        <f ca="1"/>
        <v>0</v>
      </c>
      <c r="H657" s="270">
        <f ca="1"/>
        <v>0</v>
      </c>
      <c r="I657" s="270">
        <f ca="1"/>
        <v>0</v>
      </c>
      <c r="J657" s="270">
        <f ca="1"/>
        <v>0</v>
      </c>
      <c r="K657" s="270">
        <f ca="1"/>
        <v>0</v>
      </c>
      <c r="M657" s="1" t="str">
        <f t="shared" si="53"/>
        <v>$M(2015)/million</v>
      </c>
    </row>
    <row r="658" spans="1:15" s="2" customFormat="1" ht="15" thickTop="1" x14ac:dyDescent="0.25">
      <c r="A658" s="2" t="s">
        <v>358</v>
      </c>
      <c r="B658" s="2" t="s">
        <v>396</v>
      </c>
    </row>
    <row r="659" spans="1:15" s="7" customFormat="1" x14ac:dyDescent="0.2">
      <c r="A659" s="4" t="str">
        <f t="array" ref="A659:A666">R_CODE</f>
        <v>EU</v>
      </c>
      <c r="B659" s="242">
        <f t="array" aca="1" ref="B659:K666" ca="1" xml:space="preserve"> (((CONS_PER_CAP_FOCUS_0)^EMUC)/(1-EMUC))*( (CONS_PER_CAP_B)^(1-EMUC) - IF((CONS_PER_CAP_B - tct_per_cap_b) &lt; 0.01*CONS_PER_CAP_FOCUS_0, 0.01*CONS_PER_CAP_FOCUS_0, (CONS_PER_CAP_B - tct_per_cap_b)) ^(1-EMUC) )</f>
        <v>0</v>
      </c>
      <c r="C659" s="242">
        <f ca="1"/>
        <v>0</v>
      </c>
      <c r="D659" s="242">
        <f ca="1"/>
        <v>0</v>
      </c>
      <c r="E659" s="242">
        <f ca="1"/>
        <v>0</v>
      </c>
      <c r="F659" s="242">
        <f ca="1"/>
        <v>0</v>
      </c>
      <c r="G659" s="242">
        <f ca="1"/>
        <v>0</v>
      </c>
      <c r="H659" s="242">
        <f ca="1"/>
        <v>0</v>
      </c>
      <c r="I659" s="242">
        <f ca="1"/>
        <v>0</v>
      </c>
      <c r="J659" s="242">
        <f ca="1"/>
        <v>0</v>
      </c>
      <c r="K659" s="242">
        <f ca="1"/>
        <v>0</v>
      </c>
      <c r="M659" s="1" t="str">
        <f t="shared" ref="M659:M666" si="54">CURRENCY_NAME&amp;"/"&amp;POP_UNIT_NAME</f>
        <v>$M(2015)/million</v>
      </c>
      <c r="O659" s="240" t="s">
        <v>872</v>
      </c>
    </row>
    <row r="660" spans="1:15" s="7" customFormat="1" x14ac:dyDescent="0.2">
      <c r="A660" s="4" t="str">
        <v>US</v>
      </c>
      <c r="B660" s="108">
        <f ca="1"/>
        <v>0</v>
      </c>
      <c r="C660" s="108">
        <f ca="1"/>
        <v>0</v>
      </c>
      <c r="D660" s="108">
        <f ca="1"/>
        <v>0</v>
      </c>
      <c r="E660" s="108">
        <f ca="1"/>
        <v>0</v>
      </c>
      <c r="F660" s="108">
        <f ca="1"/>
        <v>0</v>
      </c>
      <c r="G660" s="108">
        <f ca="1"/>
        <v>0</v>
      </c>
      <c r="H660" s="108">
        <f ca="1"/>
        <v>0</v>
      </c>
      <c r="I660" s="108">
        <f ca="1"/>
        <v>0</v>
      </c>
      <c r="J660" s="108">
        <f ca="1"/>
        <v>0</v>
      </c>
      <c r="K660" s="108">
        <f ca="1"/>
        <v>0</v>
      </c>
      <c r="M660" s="1" t="str">
        <f t="shared" si="54"/>
        <v>$M(2015)/million</v>
      </c>
      <c r="O660" s="292" t="s">
        <v>1058</v>
      </c>
    </row>
    <row r="661" spans="1:15" s="7" customFormat="1" x14ac:dyDescent="0.2">
      <c r="A661" s="4" t="str">
        <v>OT</v>
      </c>
      <c r="B661" s="108">
        <f ca="1"/>
        <v>0</v>
      </c>
      <c r="C661" s="108">
        <f ca="1"/>
        <v>0</v>
      </c>
      <c r="D661" s="108">
        <f ca="1"/>
        <v>0</v>
      </c>
      <c r="E661" s="108">
        <f ca="1"/>
        <v>0</v>
      </c>
      <c r="F661" s="108">
        <f ca="1"/>
        <v>0</v>
      </c>
      <c r="G661" s="108">
        <f ca="1"/>
        <v>0</v>
      </c>
      <c r="H661" s="108">
        <f ca="1"/>
        <v>0</v>
      </c>
      <c r="I661" s="108">
        <f ca="1"/>
        <v>0</v>
      </c>
      <c r="J661" s="108">
        <f ca="1"/>
        <v>0</v>
      </c>
      <c r="K661" s="108">
        <f ca="1"/>
        <v>0</v>
      </c>
      <c r="M661" s="1" t="str">
        <f t="shared" si="54"/>
        <v>$M(2015)/million</v>
      </c>
      <c r="O661" s="292"/>
    </row>
    <row r="662" spans="1:15" s="7" customFormat="1" x14ac:dyDescent="0.2">
      <c r="A662" s="4" t="str">
        <v>EE</v>
      </c>
      <c r="B662" s="108">
        <f ca="1"/>
        <v>0</v>
      </c>
      <c r="C662" s="108">
        <f ca="1"/>
        <v>0</v>
      </c>
      <c r="D662" s="108">
        <f ca="1"/>
        <v>0</v>
      </c>
      <c r="E662" s="108">
        <f ca="1"/>
        <v>0</v>
      </c>
      <c r="F662" s="108">
        <f ca="1"/>
        <v>0</v>
      </c>
      <c r="G662" s="108">
        <f ca="1"/>
        <v>0</v>
      </c>
      <c r="H662" s="108">
        <f ca="1"/>
        <v>0</v>
      </c>
      <c r="I662" s="108">
        <f ca="1"/>
        <v>0</v>
      </c>
      <c r="J662" s="108">
        <f ca="1"/>
        <v>0</v>
      </c>
      <c r="K662" s="108">
        <f ca="1"/>
        <v>0</v>
      </c>
      <c r="M662" s="1" t="str">
        <f t="shared" si="54"/>
        <v>$M(2015)/million</v>
      </c>
    </row>
    <row r="663" spans="1:15" s="7" customFormat="1" x14ac:dyDescent="0.2">
      <c r="A663" s="4" t="str">
        <v>CA</v>
      </c>
      <c r="B663" s="108">
        <f ca="1"/>
        <v>0</v>
      </c>
      <c r="C663" s="108">
        <f ca="1"/>
        <v>0</v>
      </c>
      <c r="D663" s="108">
        <f ca="1"/>
        <v>0</v>
      </c>
      <c r="E663" s="108">
        <f ca="1"/>
        <v>0</v>
      </c>
      <c r="F663" s="108">
        <f ca="1"/>
        <v>0</v>
      </c>
      <c r="G663" s="108">
        <f ca="1"/>
        <v>0</v>
      </c>
      <c r="H663" s="108">
        <f ca="1"/>
        <v>0</v>
      </c>
      <c r="I663" s="108">
        <f ca="1"/>
        <v>0</v>
      </c>
      <c r="J663" s="108">
        <f ca="1"/>
        <v>0</v>
      </c>
      <c r="K663" s="108">
        <f ca="1"/>
        <v>0</v>
      </c>
      <c r="M663" s="1" t="str">
        <f t="shared" si="54"/>
        <v>$M(2015)/million</v>
      </c>
    </row>
    <row r="664" spans="1:15" s="7" customFormat="1" x14ac:dyDescent="0.2">
      <c r="A664" s="4" t="str">
        <v>IA</v>
      </c>
      <c r="B664" s="108">
        <f ca="1"/>
        <v>0</v>
      </c>
      <c r="C664" s="108">
        <f ca="1"/>
        <v>0</v>
      </c>
      <c r="D664" s="108">
        <f ca="1"/>
        <v>0</v>
      </c>
      <c r="E664" s="108">
        <f ca="1"/>
        <v>0</v>
      </c>
      <c r="F664" s="108">
        <f ca="1"/>
        <v>0</v>
      </c>
      <c r="G664" s="108">
        <f ca="1"/>
        <v>0</v>
      </c>
      <c r="H664" s="108">
        <f ca="1"/>
        <v>0</v>
      </c>
      <c r="I664" s="108">
        <f ca="1"/>
        <v>0</v>
      </c>
      <c r="J664" s="108">
        <f ca="1"/>
        <v>0</v>
      </c>
      <c r="K664" s="108">
        <f ca="1"/>
        <v>0</v>
      </c>
      <c r="M664" s="1" t="str">
        <f t="shared" si="54"/>
        <v>$M(2015)/million</v>
      </c>
    </row>
    <row r="665" spans="1:15" s="7" customFormat="1" x14ac:dyDescent="0.2">
      <c r="A665" s="4" t="str">
        <v>AF</v>
      </c>
      <c r="B665" s="108">
        <f ca="1"/>
        <v>0</v>
      </c>
      <c r="C665" s="108">
        <f ca="1"/>
        <v>0</v>
      </c>
      <c r="D665" s="108">
        <f ca="1"/>
        <v>0</v>
      </c>
      <c r="E665" s="108">
        <f ca="1"/>
        <v>0</v>
      </c>
      <c r="F665" s="108">
        <f ca="1"/>
        <v>0</v>
      </c>
      <c r="G665" s="108">
        <f ca="1"/>
        <v>0</v>
      </c>
      <c r="H665" s="108">
        <f ca="1"/>
        <v>0</v>
      </c>
      <c r="I665" s="108">
        <f ca="1"/>
        <v>0</v>
      </c>
      <c r="J665" s="108">
        <f ca="1"/>
        <v>0</v>
      </c>
      <c r="K665" s="108">
        <f ca="1"/>
        <v>0</v>
      </c>
      <c r="M665" s="1" t="str">
        <f t="shared" si="54"/>
        <v>$M(2015)/million</v>
      </c>
    </row>
    <row r="666" spans="1:15" s="7" customFormat="1" x14ac:dyDescent="0.2">
      <c r="A666" s="4" t="str">
        <v>LA</v>
      </c>
      <c r="B666" s="108">
        <f ca="1"/>
        <v>0</v>
      </c>
      <c r="C666" s="108">
        <f ca="1"/>
        <v>0</v>
      </c>
      <c r="D666" s="108">
        <f ca="1"/>
        <v>0</v>
      </c>
      <c r="E666" s="108">
        <f ca="1"/>
        <v>0</v>
      </c>
      <c r="F666" s="108">
        <f ca="1"/>
        <v>0</v>
      </c>
      <c r="G666" s="108">
        <f ca="1"/>
        <v>0</v>
      </c>
      <c r="H666" s="108">
        <f ca="1"/>
        <v>0</v>
      </c>
      <c r="I666" s="108">
        <f ca="1"/>
        <v>0</v>
      </c>
      <c r="J666" s="108">
        <f ca="1"/>
        <v>0</v>
      </c>
      <c r="K666" s="108">
        <f ca="1"/>
        <v>0</v>
      </c>
      <c r="M666" s="1" t="str">
        <f t="shared" si="54"/>
        <v>$M(2015)/million</v>
      </c>
    </row>
    <row r="667" spans="1:15" s="2" customFormat="1" ht="14.25" x14ac:dyDescent="0.25">
      <c r="A667" s="2" t="s">
        <v>359</v>
      </c>
      <c r="B667" s="2" t="s">
        <v>397</v>
      </c>
    </row>
    <row r="668" spans="1:15" s="7" customFormat="1" x14ac:dyDescent="0.2">
      <c r="A668" s="4" t="str">
        <f t="array" ref="A668:A675">R_CODE</f>
        <v>EU</v>
      </c>
      <c r="B668" s="265">
        <f t="array" aca="1" ref="B668:K675" ca="1">IF(EQUITY_SWITCH=0,tct_per_cap_b,(1-EQUITY_PROP)*tct_per_cap_b+EQUITY_PROP*wtct_per_cap_b)</f>
        <v>0</v>
      </c>
      <c r="C668" s="265">
        <f ca="1"/>
        <v>0</v>
      </c>
      <c r="D668" s="265">
        <f ca="1"/>
        <v>0</v>
      </c>
      <c r="E668" s="265">
        <f ca="1"/>
        <v>0</v>
      </c>
      <c r="F668" s="265">
        <f ca="1"/>
        <v>0</v>
      </c>
      <c r="G668" s="265">
        <f ca="1"/>
        <v>0</v>
      </c>
      <c r="H668" s="265">
        <f ca="1"/>
        <v>0</v>
      </c>
      <c r="I668" s="265">
        <f ca="1"/>
        <v>0</v>
      </c>
      <c r="J668" s="265">
        <f ca="1"/>
        <v>0</v>
      </c>
      <c r="K668" s="265">
        <f ca="1"/>
        <v>0</v>
      </c>
      <c r="M668" s="1" t="str">
        <f t="shared" ref="M668:M675" si="55">CURRENCY_NAME&amp;"/"&amp;POP_UNIT_NAME</f>
        <v>$M(2015)/million</v>
      </c>
    </row>
    <row r="669" spans="1:15" s="7" customFormat="1" x14ac:dyDescent="0.2">
      <c r="A669" s="4" t="str">
        <v>US</v>
      </c>
      <c r="B669" s="264">
        <f ca="1"/>
        <v>0</v>
      </c>
      <c r="C669" s="264">
        <f ca="1"/>
        <v>0</v>
      </c>
      <c r="D669" s="264">
        <f ca="1"/>
        <v>0</v>
      </c>
      <c r="E669" s="264">
        <f ca="1"/>
        <v>0</v>
      </c>
      <c r="F669" s="264">
        <f ca="1"/>
        <v>0</v>
      </c>
      <c r="G669" s="264">
        <f ca="1"/>
        <v>0</v>
      </c>
      <c r="H669" s="264">
        <f ca="1"/>
        <v>0</v>
      </c>
      <c r="I669" s="264">
        <f ca="1"/>
        <v>0</v>
      </c>
      <c r="J669" s="264">
        <f ca="1"/>
        <v>0</v>
      </c>
      <c r="K669" s="264">
        <f ca="1"/>
        <v>0</v>
      </c>
      <c r="M669" s="1" t="str">
        <f t="shared" si="55"/>
        <v>$M(2015)/million</v>
      </c>
    </row>
    <row r="670" spans="1:15" s="7" customFormat="1" x14ac:dyDescent="0.2">
      <c r="A670" s="4" t="str">
        <v>OT</v>
      </c>
      <c r="B670" s="264">
        <f ca="1"/>
        <v>0</v>
      </c>
      <c r="C670" s="264">
        <f ca="1"/>
        <v>0</v>
      </c>
      <c r="D670" s="264">
        <f ca="1"/>
        <v>0</v>
      </c>
      <c r="E670" s="264">
        <f ca="1"/>
        <v>0</v>
      </c>
      <c r="F670" s="264">
        <f ca="1"/>
        <v>0</v>
      </c>
      <c r="G670" s="264">
        <f ca="1"/>
        <v>0</v>
      </c>
      <c r="H670" s="264">
        <f ca="1"/>
        <v>0</v>
      </c>
      <c r="I670" s="264">
        <f ca="1"/>
        <v>0</v>
      </c>
      <c r="J670" s="264">
        <f ca="1"/>
        <v>0</v>
      </c>
      <c r="K670" s="264">
        <f ca="1"/>
        <v>0</v>
      </c>
      <c r="M670" s="1" t="str">
        <f t="shared" si="55"/>
        <v>$M(2015)/million</v>
      </c>
    </row>
    <row r="671" spans="1:15" s="7" customFormat="1" x14ac:dyDescent="0.2">
      <c r="A671" s="4" t="str">
        <v>EE</v>
      </c>
      <c r="B671" s="264">
        <f ca="1"/>
        <v>0</v>
      </c>
      <c r="C671" s="264">
        <f ca="1"/>
        <v>0</v>
      </c>
      <c r="D671" s="264">
        <f ca="1"/>
        <v>0</v>
      </c>
      <c r="E671" s="264">
        <f ca="1"/>
        <v>0</v>
      </c>
      <c r="F671" s="264">
        <f ca="1"/>
        <v>0</v>
      </c>
      <c r="G671" s="264">
        <f ca="1"/>
        <v>0</v>
      </c>
      <c r="H671" s="264">
        <f ca="1"/>
        <v>0</v>
      </c>
      <c r="I671" s="264">
        <f ca="1"/>
        <v>0</v>
      </c>
      <c r="J671" s="264">
        <f ca="1"/>
        <v>0</v>
      </c>
      <c r="K671" s="264">
        <f ca="1"/>
        <v>0</v>
      </c>
      <c r="M671" s="1" t="str">
        <f t="shared" si="55"/>
        <v>$M(2015)/million</v>
      </c>
    </row>
    <row r="672" spans="1:15" s="7" customFormat="1" x14ac:dyDescent="0.2">
      <c r="A672" s="4" t="str">
        <v>CA</v>
      </c>
      <c r="B672" s="264">
        <f ca="1"/>
        <v>0</v>
      </c>
      <c r="C672" s="264">
        <f ca="1"/>
        <v>0</v>
      </c>
      <c r="D672" s="264">
        <f ca="1"/>
        <v>0</v>
      </c>
      <c r="E672" s="264">
        <f ca="1"/>
        <v>0</v>
      </c>
      <c r="F672" s="264">
        <f ca="1"/>
        <v>0</v>
      </c>
      <c r="G672" s="264">
        <f ca="1"/>
        <v>0</v>
      </c>
      <c r="H672" s="264">
        <f ca="1"/>
        <v>0</v>
      </c>
      <c r="I672" s="264">
        <f ca="1"/>
        <v>0</v>
      </c>
      <c r="J672" s="264">
        <f ca="1"/>
        <v>0</v>
      </c>
      <c r="K672" s="264">
        <f ca="1"/>
        <v>0</v>
      </c>
      <c r="M672" s="1" t="str">
        <f t="shared" si="55"/>
        <v>$M(2015)/million</v>
      </c>
    </row>
    <row r="673" spans="1:15" s="7" customFormat="1" x14ac:dyDescent="0.2">
      <c r="A673" s="4" t="str">
        <v>IA</v>
      </c>
      <c r="B673" s="264">
        <f ca="1"/>
        <v>0</v>
      </c>
      <c r="C673" s="264">
        <f ca="1"/>
        <v>0</v>
      </c>
      <c r="D673" s="264">
        <f ca="1"/>
        <v>0</v>
      </c>
      <c r="E673" s="264">
        <f ca="1"/>
        <v>0</v>
      </c>
      <c r="F673" s="264">
        <f ca="1"/>
        <v>0</v>
      </c>
      <c r="G673" s="264">
        <f ca="1"/>
        <v>0</v>
      </c>
      <c r="H673" s="264">
        <f ca="1"/>
        <v>0</v>
      </c>
      <c r="I673" s="264">
        <f ca="1"/>
        <v>0</v>
      </c>
      <c r="J673" s="264">
        <f ca="1"/>
        <v>0</v>
      </c>
      <c r="K673" s="264">
        <f ca="1"/>
        <v>0</v>
      </c>
      <c r="M673" s="1" t="str">
        <f t="shared" si="55"/>
        <v>$M(2015)/million</v>
      </c>
    </row>
    <row r="674" spans="1:15" s="7" customFormat="1" x14ac:dyDescent="0.2">
      <c r="A674" s="4" t="str">
        <v>AF</v>
      </c>
      <c r="B674" s="264">
        <f ca="1"/>
        <v>0</v>
      </c>
      <c r="C674" s="264">
        <f ca="1"/>
        <v>0</v>
      </c>
      <c r="D674" s="264">
        <f ca="1"/>
        <v>0</v>
      </c>
      <c r="E674" s="264">
        <f ca="1"/>
        <v>0</v>
      </c>
      <c r="F674" s="264">
        <f ca="1"/>
        <v>0</v>
      </c>
      <c r="G674" s="264">
        <f ca="1"/>
        <v>0</v>
      </c>
      <c r="H674" s="264">
        <f ca="1"/>
        <v>0</v>
      </c>
      <c r="I674" s="264">
        <f ca="1"/>
        <v>0</v>
      </c>
      <c r="J674" s="264">
        <f ca="1"/>
        <v>0</v>
      </c>
      <c r="K674" s="264">
        <f ca="1"/>
        <v>0</v>
      </c>
      <c r="M674" s="1" t="str">
        <f t="shared" si="55"/>
        <v>$M(2015)/million</v>
      </c>
    </row>
    <row r="675" spans="1:15" s="7" customFormat="1" x14ac:dyDescent="0.2">
      <c r="A675" s="4" t="str">
        <v>LA</v>
      </c>
      <c r="B675" s="264">
        <f ca="1"/>
        <v>0</v>
      </c>
      <c r="C675" s="264">
        <f ca="1"/>
        <v>0</v>
      </c>
      <c r="D675" s="264">
        <f ca="1"/>
        <v>0</v>
      </c>
      <c r="E675" s="264">
        <f ca="1"/>
        <v>0</v>
      </c>
      <c r="F675" s="264">
        <f ca="1"/>
        <v>0</v>
      </c>
      <c r="G675" s="264">
        <f ca="1"/>
        <v>0</v>
      </c>
      <c r="H675" s="264">
        <f ca="1"/>
        <v>0</v>
      </c>
      <c r="I675" s="264">
        <f ca="1"/>
        <v>0</v>
      </c>
      <c r="J675" s="264">
        <f ca="1"/>
        <v>0</v>
      </c>
      <c r="K675" s="264">
        <f ca="1"/>
        <v>0</v>
      </c>
      <c r="M675" s="1" t="str">
        <f t="shared" si="55"/>
        <v>$M(2015)/million</v>
      </c>
    </row>
    <row r="676" spans="1:15" s="2" customFormat="1" ht="14.25" x14ac:dyDescent="0.25">
      <c r="A676" s="2" t="s">
        <v>44</v>
      </c>
      <c r="B676" s="2" t="s">
        <v>362</v>
      </c>
    </row>
    <row r="677" spans="1:15" x14ac:dyDescent="0.2">
      <c r="A677" s="4" t="str">
        <f t="array" ref="A677:A684">R_CODE</f>
        <v>EU</v>
      </c>
      <c r="B677" s="267">
        <f t="array" aca="1" ref="B677:K684" ca="1">pct_per_cap_b*POP_B</f>
        <v>0</v>
      </c>
      <c r="C677" s="267">
        <f ca="1"/>
        <v>0</v>
      </c>
      <c r="D677" s="267">
        <f ca="1"/>
        <v>0</v>
      </c>
      <c r="E677" s="267">
        <f ca="1"/>
        <v>0</v>
      </c>
      <c r="F677" s="267">
        <f ca="1"/>
        <v>0</v>
      </c>
      <c r="G677" s="267">
        <f ca="1"/>
        <v>0</v>
      </c>
      <c r="H677" s="267">
        <f ca="1"/>
        <v>0</v>
      </c>
      <c r="I677" s="267">
        <f ca="1"/>
        <v>0</v>
      </c>
      <c r="J677" s="267">
        <f ca="1"/>
        <v>0</v>
      </c>
      <c r="K677" s="267">
        <f ca="1"/>
        <v>0</v>
      </c>
      <c r="M677" s="4" t="str">
        <f t="shared" ref="M677:M685" si="56">CURRENCY_NAME</f>
        <v>$M(2015)</v>
      </c>
      <c r="O677" s="124" t="s">
        <v>1034</v>
      </c>
    </row>
    <row r="678" spans="1:15" x14ac:dyDescent="0.2">
      <c r="A678" s="4" t="str">
        <v>US</v>
      </c>
      <c r="B678" s="259">
        <f ca="1"/>
        <v>0</v>
      </c>
      <c r="C678" s="259">
        <f ca="1"/>
        <v>0</v>
      </c>
      <c r="D678" s="259">
        <f ca="1"/>
        <v>0</v>
      </c>
      <c r="E678" s="259">
        <f ca="1"/>
        <v>0</v>
      </c>
      <c r="F678" s="259">
        <f ca="1"/>
        <v>0</v>
      </c>
      <c r="G678" s="259">
        <f ca="1"/>
        <v>0</v>
      </c>
      <c r="H678" s="259">
        <f ca="1"/>
        <v>0</v>
      </c>
      <c r="I678" s="259">
        <f ca="1"/>
        <v>0</v>
      </c>
      <c r="J678" s="259">
        <f ca="1"/>
        <v>0</v>
      </c>
      <c r="K678" s="259">
        <f ca="1"/>
        <v>0</v>
      </c>
      <c r="M678" s="4" t="str">
        <f t="shared" si="56"/>
        <v>$M(2015)</v>
      </c>
    </row>
    <row r="679" spans="1:15" x14ac:dyDescent="0.2">
      <c r="A679" s="4" t="str">
        <v>OT</v>
      </c>
      <c r="B679" s="259">
        <f ca="1"/>
        <v>0</v>
      </c>
      <c r="C679" s="259">
        <f ca="1"/>
        <v>0</v>
      </c>
      <c r="D679" s="259">
        <f ca="1"/>
        <v>0</v>
      </c>
      <c r="E679" s="259">
        <f ca="1"/>
        <v>0</v>
      </c>
      <c r="F679" s="259">
        <f ca="1"/>
        <v>0</v>
      </c>
      <c r="G679" s="259">
        <f ca="1"/>
        <v>0</v>
      </c>
      <c r="H679" s="259">
        <f ca="1"/>
        <v>0</v>
      </c>
      <c r="I679" s="259">
        <f ca="1"/>
        <v>0</v>
      </c>
      <c r="J679" s="259">
        <f ca="1"/>
        <v>0</v>
      </c>
      <c r="K679" s="259">
        <f ca="1"/>
        <v>0</v>
      </c>
      <c r="M679" s="4" t="str">
        <f t="shared" si="56"/>
        <v>$M(2015)</v>
      </c>
    </row>
    <row r="680" spans="1:15" x14ac:dyDescent="0.2">
      <c r="A680" s="4" t="str">
        <v>EE</v>
      </c>
      <c r="B680" s="259">
        <f ca="1"/>
        <v>0</v>
      </c>
      <c r="C680" s="259">
        <f ca="1"/>
        <v>0</v>
      </c>
      <c r="D680" s="259">
        <f ca="1"/>
        <v>0</v>
      </c>
      <c r="E680" s="259">
        <f ca="1"/>
        <v>0</v>
      </c>
      <c r="F680" s="259">
        <f ca="1"/>
        <v>0</v>
      </c>
      <c r="G680" s="259">
        <f ca="1"/>
        <v>0</v>
      </c>
      <c r="H680" s="259">
        <f ca="1"/>
        <v>0</v>
      </c>
      <c r="I680" s="259">
        <f ca="1"/>
        <v>0</v>
      </c>
      <c r="J680" s="259">
        <f ca="1"/>
        <v>0</v>
      </c>
      <c r="K680" s="259">
        <f ca="1"/>
        <v>0</v>
      </c>
      <c r="M680" s="4" t="str">
        <f t="shared" si="56"/>
        <v>$M(2015)</v>
      </c>
    </row>
    <row r="681" spans="1:15" x14ac:dyDescent="0.2">
      <c r="A681" s="4" t="str">
        <v>CA</v>
      </c>
      <c r="B681" s="259">
        <f ca="1"/>
        <v>0</v>
      </c>
      <c r="C681" s="259">
        <f ca="1"/>
        <v>0</v>
      </c>
      <c r="D681" s="259">
        <f ca="1"/>
        <v>0</v>
      </c>
      <c r="E681" s="259">
        <f ca="1"/>
        <v>0</v>
      </c>
      <c r="F681" s="259">
        <f ca="1"/>
        <v>0</v>
      </c>
      <c r="G681" s="259">
        <f ca="1"/>
        <v>0</v>
      </c>
      <c r="H681" s="259">
        <f ca="1"/>
        <v>0</v>
      </c>
      <c r="I681" s="259">
        <f ca="1"/>
        <v>0</v>
      </c>
      <c r="J681" s="259">
        <f ca="1"/>
        <v>0</v>
      </c>
      <c r="K681" s="259">
        <f ca="1"/>
        <v>0</v>
      </c>
      <c r="M681" s="4" t="str">
        <f t="shared" si="56"/>
        <v>$M(2015)</v>
      </c>
    </row>
    <row r="682" spans="1:15" x14ac:dyDescent="0.2">
      <c r="A682" s="4" t="str">
        <v>IA</v>
      </c>
      <c r="B682" s="259">
        <f ca="1"/>
        <v>0</v>
      </c>
      <c r="C682" s="259">
        <f ca="1"/>
        <v>0</v>
      </c>
      <c r="D682" s="259">
        <f ca="1"/>
        <v>0</v>
      </c>
      <c r="E682" s="259">
        <f ca="1"/>
        <v>0</v>
      </c>
      <c r="F682" s="259">
        <f ca="1"/>
        <v>0</v>
      </c>
      <c r="G682" s="259">
        <f ca="1"/>
        <v>0</v>
      </c>
      <c r="H682" s="259">
        <f ca="1"/>
        <v>0</v>
      </c>
      <c r="I682" s="259">
        <f ca="1"/>
        <v>0</v>
      </c>
      <c r="J682" s="259">
        <f ca="1"/>
        <v>0</v>
      </c>
      <c r="K682" s="259">
        <f ca="1"/>
        <v>0</v>
      </c>
      <c r="M682" s="4" t="str">
        <f t="shared" si="56"/>
        <v>$M(2015)</v>
      </c>
    </row>
    <row r="683" spans="1:15" x14ac:dyDescent="0.2">
      <c r="A683" s="4" t="str">
        <v>AF</v>
      </c>
      <c r="B683" s="259">
        <f ca="1"/>
        <v>0</v>
      </c>
      <c r="C683" s="259">
        <f ca="1"/>
        <v>0</v>
      </c>
      <c r="D683" s="259">
        <f ca="1"/>
        <v>0</v>
      </c>
      <c r="E683" s="259">
        <f ca="1"/>
        <v>0</v>
      </c>
      <c r="F683" s="259">
        <f ca="1"/>
        <v>0</v>
      </c>
      <c r="G683" s="259">
        <f ca="1"/>
        <v>0</v>
      </c>
      <c r="H683" s="259">
        <f ca="1"/>
        <v>0</v>
      </c>
      <c r="I683" s="259">
        <f ca="1"/>
        <v>0</v>
      </c>
      <c r="J683" s="259">
        <f ca="1"/>
        <v>0</v>
      </c>
      <c r="K683" s="259">
        <f ca="1"/>
        <v>0</v>
      </c>
      <c r="M683" s="4" t="str">
        <f t="shared" si="56"/>
        <v>$M(2015)</v>
      </c>
    </row>
    <row r="684" spans="1:15" x14ac:dyDescent="0.2">
      <c r="A684" s="4" t="str">
        <v>LA</v>
      </c>
      <c r="B684" s="259">
        <f ca="1"/>
        <v>0</v>
      </c>
      <c r="C684" s="259">
        <f ca="1"/>
        <v>0</v>
      </c>
      <c r="D684" s="259">
        <f ca="1"/>
        <v>0</v>
      </c>
      <c r="E684" s="259">
        <f ca="1"/>
        <v>0</v>
      </c>
      <c r="F684" s="259">
        <f ca="1"/>
        <v>0</v>
      </c>
      <c r="G684" s="259">
        <f ca="1"/>
        <v>0</v>
      </c>
      <c r="H684" s="259">
        <f ca="1"/>
        <v>0</v>
      </c>
      <c r="I684" s="259">
        <f ca="1"/>
        <v>0</v>
      </c>
      <c r="J684" s="259">
        <f ca="1"/>
        <v>0</v>
      </c>
      <c r="K684" s="259">
        <f ca="1"/>
        <v>0</v>
      </c>
      <c r="M684" s="4" t="str">
        <f t="shared" si="56"/>
        <v>$M(2015)</v>
      </c>
    </row>
    <row r="685" spans="1:15" ht="13.5" thickBot="1" x14ac:dyDescent="0.25">
      <c r="A685" s="2" t="s">
        <v>204</v>
      </c>
      <c r="B685" s="42">
        <f ca="1">_xll.RiskOutput(,"pct_g_a",1)+SUM(B677:B684)</f>
        <v>0</v>
      </c>
      <c r="C685" s="42">
        <f ca="1">_xll.RiskOutput(,"pct_g_a",2)+SUM(C677:C684)</f>
        <v>0</v>
      </c>
      <c r="D685" s="42">
        <f ca="1">_xll.RiskOutput(,"pct_g_a",3)+SUM(D677:D684)</f>
        <v>0</v>
      </c>
      <c r="E685" s="42">
        <f ca="1">_xll.RiskOutput(,"pct_g_a",4)+SUM(E677:E684)</f>
        <v>0</v>
      </c>
      <c r="F685" s="42">
        <f ca="1">_xll.RiskOutput(,"pct_g_a",5)+SUM(F677:F684)</f>
        <v>0</v>
      </c>
      <c r="G685" s="42">
        <f ca="1">_xll.RiskOutput(,"pct_g_a",6)+SUM(G677:G684)</f>
        <v>0</v>
      </c>
      <c r="H685" s="42">
        <f ca="1">_xll.RiskOutput(,"pct_g_a",7)+SUM(H677:H684)</f>
        <v>0</v>
      </c>
      <c r="I685" s="42">
        <f ca="1">_xll.RiskOutput(,"pct_g_a",8)+SUM(I677:I684)</f>
        <v>0</v>
      </c>
      <c r="J685" s="42">
        <f ca="1">_xll.RiskOutput(,"pct_g_a",9)+SUM(J677:J684)</f>
        <v>0</v>
      </c>
      <c r="K685" s="42">
        <f ca="1">_xll.RiskOutput(,"pct_g_a",10)+SUM(K677:K684)</f>
        <v>0</v>
      </c>
      <c r="L685" s="1"/>
      <c r="M685" s="4" t="str">
        <f t="shared" si="56"/>
        <v>$M(2015)</v>
      </c>
    </row>
    <row r="686" spans="1:15" ht="15" thickTop="1" x14ac:dyDescent="0.25">
      <c r="A686" s="2" t="s">
        <v>112</v>
      </c>
      <c r="B686" s="53" t="s">
        <v>361</v>
      </c>
      <c r="C686" s="1"/>
      <c r="D686" s="1"/>
      <c r="E686" s="1"/>
      <c r="F686" s="1"/>
      <c r="G686" s="1"/>
      <c r="H686" s="1"/>
      <c r="I686" s="1"/>
      <c r="J686" s="1"/>
      <c r="K686" s="1"/>
      <c r="L686" s="1"/>
      <c r="M686" s="1"/>
    </row>
    <row r="687" spans="1:15" x14ac:dyDescent="0.2">
      <c r="A687" s="1" t="str">
        <f t="array" ref="A687:A694">R_CODE&amp;" total"</f>
        <v>EU total</v>
      </c>
      <c r="B687" s="267">
        <f t="array" aca="1" ref="B687:K694" ca="1">IF(EQUITY_SWITCH=0,pct_b*DFC_B,pct_b*DF)</f>
        <v>0</v>
      </c>
      <c r="C687" s="267">
        <f ca="1"/>
        <v>0</v>
      </c>
      <c r="D687" s="267">
        <f ca="1"/>
        <v>0</v>
      </c>
      <c r="E687" s="267">
        <f ca="1"/>
        <v>0</v>
      </c>
      <c r="F687" s="267">
        <f ca="1"/>
        <v>0</v>
      </c>
      <c r="G687" s="267">
        <f ca="1"/>
        <v>0</v>
      </c>
      <c r="H687" s="267">
        <f ca="1"/>
        <v>0</v>
      </c>
      <c r="I687" s="267">
        <f ca="1"/>
        <v>0</v>
      </c>
      <c r="J687" s="267">
        <f ca="1"/>
        <v>0</v>
      </c>
      <c r="K687" s="267">
        <f ca="1"/>
        <v>0</v>
      </c>
      <c r="L687" s="1"/>
      <c r="M687" s="4" t="str">
        <f t="shared" ref="M687:M695" si="57">CURRENCY_NAME</f>
        <v>$M(2015)</v>
      </c>
      <c r="O687" s="124" t="s">
        <v>1032</v>
      </c>
    </row>
    <row r="688" spans="1:15" x14ac:dyDescent="0.2">
      <c r="A688" s="1" t="str">
        <v>US total</v>
      </c>
      <c r="B688" s="259">
        <f ca="1"/>
        <v>0</v>
      </c>
      <c r="C688" s="259">
        <f ca="1"/>
        <v>0</v>
      </c>
      <c r="D688" s="259">
        <f ca="1"/>
        <v>0</v>
      </c>
      <c r="E688" s="259">
        <f ca="1"/>
        <v>0</v>
      </c>
      <c r="F688" s="259">
        <f ca="1"/>
        <v>0</v>
      </c>
      <c r="G688" s="259">
        <f ca="1"/>
        <v>0</v>
      </c>
      <c r="H688" s="259">
        <f ca="1"/>
        <v>0</v>
      </c>
      <c r="I688" s="259">
        <f ca="1"/>
        <v>0</v>
      </c>
      <c r="J688" s="259">
        <f ca="1"/>
        <v>0</v>
      </c>
      <c r="K688" s="259">
        <f ca="1"/>
        <v>0</v>
      </c>
      <c r="L688" s="1"/>
      <c r="M688" s="4" t="str">
        <f t="shared" si="57"/>
        <v>$M(2015)</v>
      </c>
    </row>
    <row r="689" spans="1:24" x14ac:dyDescent="0.2">
      <c r="A689" s="1" t="str">
        <v>OT total</v>
      </c>
      <c r="B689" s="259">
        <f ca="1"/>
        <v>0</v>
      </c>
      <c r="C689" s="259">
        <f ca="1"/>
        <v>0</v>
      </c>
      <c r="D689" s="259">
        <f ca="1"/>
        <v>0</v>
      </c>
      <c r="E689" s="259">
        <f ca="1"/>
        <v>0</v>
      </c>
      <c r="F689" s="259">
        <f ca="1"/>
        <v>0</v>
      </c>
      <c r="G689" s="259">
        <f ca="1"/>
        <v>0</v>
      </c>
      <c r="H689" s="259">
        <f ca="1"/>
        <v>0</v>
      </c>
      <c r="I689" s="259">
        <f ca="1"/>
        <v>0</v>
      </c>
      <c r="J689" s="259">
        <f ca="1"/>
        <v>0</v>
      </c>
      <c r="K689" s="259">
        <f ca="1"/>
        <v>0</v>
      </c>
      <c r="L689" s="1"/>
      <c r="M689" s="4" t="str">
        <f t="shared" si="57"/>
        <v>$M(2015)</v>
      </c>
    </row>
    <row r="690" spans="1:24" x14ac:dyDescent="0.2">
      <c r="A690" s="1" t="str">
        <v>EE total</v>
      </c>
      <c r="B690" s="259">
        <f ca="1"/>
        <v>0</v>
      </c>
      <c r="C690" s="259">
        <f ca="1"/>
        <v>0</v>
      </c>
      <c r="D690" s="259">
        <f ca="1"/>
        <v>0</v>
      </c>
      <c r="E690" s="259">
        <f ca="1"/>
        <v>0</v>
      </c>
      <c r="F690" s="259">
        <f ca="1"/>
        <v>0</v>
      </c>
      <c r="G690" s="259">
        <f ca="1"/>
        <v>0</v>
      </c>
      <c r="H690" s="259">
        <f ca="1"/>
        <v>0</v>
      </c>
      <c r="I690" s="259">
        <f ca="1"/>
        <v>0</v>
      </c>
      <c r="J690" s="259">
        <f ca="1"/>
        <v>0</v>
      </c>
      <c r="K690" s="259">
        <f ca="1"/>
        <v>0</v>
      </c>
      <c r="L690" s="1"/>
      <c r="M690" s="4" t="str">
        <f t="shared" si="57"/>
        <v>$M(2015)</v>
      </c>
    </row>
    <row r="691" spans="1:24" x14ac:dyDescent="0.2">
      <c r="A691" s="1" t="str">
        <v>CA total</v>
      </c>
      <c r="B691" s="259">
        <f ca="1"/>
        <v>0</v>
      </c>
      <c r="C691" s="259">
        <f ca="1"/>
        <v>0</v>
      </c>
      <c r="D691" s="259">
        <f ca="1"/>
        <v>0</v>
      </c>
      <c r="E691" s="259">
        <f ca="1"/>
        <v>0</v>
      </c>
      <c r="F691" s="259">
        <f ca="1"/>
        <v>0</v>
      </c>
      <c r="G691" s="259">
        <f ca="1"/>
        <v>0</v>
      </c>
      <c r="H691" s="259">
        <f ca="1"/>
        <v>0</v>
      </c>
      <c r="I691" s="259">
        <f ca="1"/>
        <v>0</v>
      </c>
      <c r="J691" s="259">
        <f ca="1"/>
        <v>0</v>
      </c>
      <c r="K691" s="259">
        <f ca="1"/>
        <v>0</v>
      </c>
      <c r="L691" s="1"/>
      <c r="M691" s="4" t="str">
        <f t="shared" si="57"/>
        <v>$M(2015)</v>
      </c>
    </row>
    <row r="692" spans="1:24" x14ac:dyDescent="0.2">
      <c r="A692" s="1" t="str">
        <v>IA total</v>
      </c>
      <c r="B692" s="259">
        <f ca="1"/>
        <v>0</v>
      </c>
      <c r="C692" s="259">
        <f ca="1"/>
        <v>0</v>
      </c>
      <c r="D692" s="259">
        <f ca="1"/>
        <v>0</v>
      </c>
      <c r="E692" s="259">
        <f ca="1"/>
        <v>0</v>
      </c>
      <c r="F692" s="259">
        <f ca="1"/>
        <v>0</v>
      </c>
      <c r="G692" s="259">
        <f ca="1"/>
        <v>0</v>
      </c>
      <c r="H692" s="259">
        <f ca="1"/>
        <v>0</v>
      </c>
      <c r="I692" s="259">
        <f ca="1"/>
        <v>0</v>
      </c>
      <c r="J692" s="259">
        <f ca="1"/>
        <v>0</v>
      </c>
      <c r="K692" s="259">
        <f ca="1"/>
        <v>0</v>
      </c>
      <c r="L692" s="1"/>
      <c r="M692" s="4" t="str">
        <f t="shared" si="57"/>
        <v>$M(2015)</v>
      </c>
    </row>
    <row r="693" spans="1:24" x14ac:dyDescent="0.2">
      <c r="A693" s="1" t="str">
        <v>AF total</v>
      </c>
      <c r="B693" s="259">
        <f ca="1"/>
        <v>0</v>
      </c>
      <c r="C693" s="259">
        <f ca="1"/>
        <v>0</v>
      </c>
      <c r="D693" s="259">
        <f ca="1"/>
        <v>0</v>
      </c>
      <c r="E693" s="259">
        <f ca="1"/>
        <v>0</v>
      </c>
      <c r="F693" s="259">
        <f ca="1"/>
        <v>0</v>
      </c>
      <c r="G693" s="259">
        <f ca="1"/>
        <v>0</v>
      </c>
      <c r="H693" s="259">
        <f ca="1"/>
        <v>0</v>
      </c>
      <c r="I693" s="259">
        <f ca="1"/>
        <v>0</v>
      </c>
      <c r="J693" s="259">
        <f ca="1"/>
        <v>0</v>
      </c>
      <c r="K693" s="259">
        <f ca="1"/>
        <v>0</v>
      </c>
      <c r="L693" s="1"/>
      <c r="M693" s="4" t="str">
        <f t="shared" si="57"/>
        <v>$M(2015)</v>
      </c>
    </row>
    <row r="694" spans="1:24" x14ac:dyDescent="0.2">
      <c r="A694" s="1" t="str">
        <v>LA total</v>
      </c>
      <c r="B694" s="259">
        <f ca="1"/>
        <v>0</v>
      </c>
      <c r="C694" s="259">
        <f ca="1"/>
        <v>0</v>
      </c>
      <c r="D694" s="259">
        <f ca="1"/>
        <v>0</v>
      </c>
      <c r="E694" s="259">
        <f ca="1"/>
        <v>0</v>
      </c>
      <c r="F694" s="259">
        <f ca="1"/>
        <v>0</v>
      </c>
      <c r="G694" s="259">
        <f ca="1"/>
        <v>0</v>
      </c>
      <c r="H694" s="259">
        <f ca="1"/>
        <v>0</v>
      </c>
      <c r="I694" s="259">
        <f ca="1"/>
        <v>0</v>
      </c>
      <c r="J694" s="259">
        <f ca="1"/>
        <v>0</v>
      </c>
      <c r="K694" s="259">
        <f ca="1"/>
        <v>0</v>
      </c>
      <c r="L694" s="1"/>
      <c r="M694" s="4" t="str">
        <f t="shared" si="57"/>
        <v>$M(2015)</v>
      </c>
    </row>
    <row r="695" spans="1:24" x14ac:dyDescent="0.2">
      <c r="A695" s="2" t="s">
        <v>255</v>
      </c>
      <c r="B695" s="40">
        <f ca="1">SUM(B687:B694)</f>
        <v>0</v>
      </c>
      <c r="C695" s="40">
        <f t="shared" ref="C695:K695" ca="1" si="58">SUM(C687:C694)</f>
        <v>0</v>
      </c>
      <c r="D695" s="40">
        <f t="shared" ca="1" si="58"/>
        <v>0</v>
      </c>
      <c r="E695" s="40">
        <f t="shared" ca="1" si="58"/>
        <v>0</v>
      </c>
      <c r="F695" s="40">
        <f t="shared" ca="1" si="58"/>
        <v>0</v>
      </c>
      <c r="G695" s="40">
        <f t="shared" ca="1" si="58"/>
        <v>0</v>
      </c>
      <c r="H695" s="40">
        <f t="shared" ca="1" si="58"/>
        <v>0</v>
      </c>
      <c r="I695" s="40">
        <f t="shared" ca="1" si="58"/>
        <v>0</v>
      </c>
      <c r="J695" s="40">
        <f t="shared" ca="1" si="58"/>
        <v>0</v>
      </c>
      <c r="K695" s="40">
        <f t="shared" ca="1" si="58"/>
        <v>0</v>
      </c>
      <c r="L695" s="1"/>
      <c r="M695" s="4" t="str">
        <f t="shared" si="57"/>
        <v>$M(2015)</v>
      </c>
    </row>
    <row r="696" spans="1:24" s="2" customFormat="1" ht="14.25" x14ac:dyDescent="0.25">
      <c r="A696" s="2" t="s">
        <v>111</v>
      </c>
      <c r="B696" s="2" t="s">
        <v>363</v>
      </c>
      <c r="L696" s="2" t="s">
        <v>86</v>
      </c>
      <c r="O696">
        <f t="array" ref="O696:X696">Y</f>
        <v>2020</v>
      </c>
      <c r="P696">
        <v>2025</v>
      </c>
      <c r="Q696">
        <v>2030</v>
      </c>
      <c r="R696">
        <v>2040</v>
      </c>
      <c r="S696">
        <v>2050</v>
      </c>
      <c r="T696">
        <v>2060</v>
      </c>
      <c r="U696">
        <v>2070</v>
      </c>
      <c r="V696">
        <v>2080</v>
      </c>
      <c r="W696">
        <v>2090</v>
      </c>
      <c r="X696">
        <v>2100</v>
      </c>
    </row>
    <row r="697" spans="1:24" x14ac:dyDescent="0.2">
      <c r="A697" s="1" t="str">
        <f t="array" ref="A697:A704">R_CODE&amp;" total"</f>
        <v>EU total</v>
      </c>
      <c r="B697" s="267">
        <f t="array" aca="1" ref="B697:K704" ca="1">pcdt_b*YAGG</f>
        <v>0</v>
      </c>
      <c r="C697" s="267">
        <f ca="1"/>
        <v>0</v>
      </c>
      <c r="D697" s="267">
        <f ca="1"/>
        <v>0</v>
      </c>
      <c r="E697" s="267">
        <f ca="1"/>
        <v>0</v>
      </c>
      <c r="F697" s="267">
        <f ca="1"/>
        <v>0</v>
      </c>
      <c r="G697" s="267">
        <f ca="1"/>
        <v>0</v>
      </c>
      <c r="H697" s="267">
        <f ca="1"/>
        <v>0</v>
      </c>
      <c r="I697" s="267">
        <f ca="1"/>
        <v>0</v>
      </c>
      <c r="J697" s="267">
        <f ca="1"/>
        <v>0</v>
      </c>
      <c r="K697" s="267">
        <f ca="1"/>
        <v>0</v>
      </c>
      <c r="L697" s="40">
        <f ca="1">_xll.RiskOutput(,L696,1)+SUM(B697:K697)</f>
        <v>0</v>
      </c>
      <c r="M697" s="4" t="str">
        <f t="shared" ref="M697:M706" si="59">CURRENCY_NAME</f>
        <v>$M(2015)</v>
      </c>
      <c r="O697" s="321">
        <f ca="1">_xll.RiskOutput(,"Preventative B",1)+B697</f>
        <v>0</v>
      </c>
      <c r="P697" s="321">
        <f ca="1">_xll.RiskOutput(,"Preventative B",2)+C697</f>
        <v>0</v>
      </c>
      <c r="Q697" s="321">
        <f ca="1">_xll.RiskOutput(,"Preventative B",3)+D697</f>
        <v>0</v>
      </c>
      <c r="R697" s="321">
        <f ca="1">_xll.RiskOutput(,"Preventative B",4)+E697</f>
        <v>0</v>
      </c>
      <c r="S697" s="321">
        <f ca="1">_xll.RiskOutput(,"Preventative B",5)+F697</f>
        <v>0</v>
      </c>
      <c r="T697" s="321">
        <f ca="1">_xll.RiskOutput(,"Preventative B",6)+G697</f>
        <v>0</v>
      </c>
      <c r="U697" s="321">
        <f ca="1">_xll.RiskOutput(,"Preventative B",7)+H697</f>
        <v>0</v>
      </c>
      <c r="V697" s="321">
        <f ca="1">_xll.RiskOutput(,"Preventative B",8)+I697</f>
        <v>0</v>
      </c>
      <c r="W697" s="321">
        <f ca="1">_xll.RiskOutput(,"Preventative B",9)+J697</f>
        <v>0</v>
      </c>
      <c r="X697" s="321">
        <f ca="1">_xll.RiskOutput(,"Preventative B",10)+K697</f>
        <v>0</v>
      </c>
    </row>
    <row r="698" spans="1:24" x14ac:dyDescent="0.2">
      <c r="A698" s="1" t="str">
        <v>US total</v>
      </c>
      <c r="B698" s="259">
        <f ca="1"/>
        <v>0</v>
      </c>
      <c r="C698" s="259">
        <f ca="1"/>
        <v>0</v>
      </c>
      <c r="D698" s="259">
        <f ca="1"/>
        <v>0</v>
      </c>
      <c r="E698" s="259">
        <f ca="1"/>
        <v>0</v>
      </c>
      <c r="F698" s="259">
        <f ca="1"/>
        <v>0</v>
      </c>
      <c r="G698" s="259">
        <f ca="1"/>
        <v>0</v>
      </c>
      <c r="H698" s="259">
        <f ca="1"/>
        <v>0</v>
      </c>
      <c r="I698" s="259">
        <f ca="1"/>
        <v>0</v>
      </c>
      <c r="J698" s="259">
        <f ca="1"/>
        <v>0</v>
      </c>
      <c r="K698" s="259">
        <f ca="1"/>
        <v>0</v>
      </c>
      <c r="L698" s="40">
        <f ca="1">_xll.RiskOutput(,L696,2)+SUM(B698:K698)</f>
        <v>0</v>
      </c>
      <c r="M698" s="4" t="str">
        <f t="shared" si="59"/>
        <v>$M(2015)</v>
      </c>
      <c r="O698" s="321">
        <f ca="1">_xll.RiskOutput(,"Preventative B",11)+B698</f>
        <v>0</v>
      </c>
      <c r="P698" s="321">
        <f ca="1">_xll.RiskOutput(,"Preventative B",12)+C698</f>
        <v>0</v>
      </c>
      <c r="Q698" s="321">
        <f ca="1">_xll.RiskOutput(,"Preventative B",13)+D698</f>
        <v>0</v>
      </c>
      <c r="R698" s="321">
        <f ca="1">_xll.RiskOutput(,"Preventative B",14)+E698</f>
        <v>0</v>
      </c>
      <c r="S698" s="321">
        <f ca="1">_xll.RiskOutput(,"Preventative B",15)+F698</f>
        <v>0</v>
      </c>
      <c r="T698" s="321">
        <f ca="1">_xll.RiskOutput(,"Preventative B",16)+G698</f>
        <v>0</v>
      </c>
      <c r="U698" s="321">
        <f ca="1">_xll.RiskOutput(,"Preventative B",17)+H698</f>
        <v>0</v>
      </c>
      <c r="V698" s="321">
        <f ca="1">_xll.RiskOutput(,"Preventative B",18)+I698</f>
        <v>0</v>
      </c>
      <c r="W698" s="321">
        <f ca="1">_xll.RiskOutput(,"Preventative B",19)+J698</f>
        <v>0</v>
      </c>
      <c r="X698" s="321">
        <f ca="1">_xll.RiskOutput(,"Preventative B",20)+K698</f>
        <v>0</v>
      </c>
    </row>
    <row r="699" spans="1:24" x14ac:dyDescent="0.2">
      <c r="A699" s="1" t="str">
        <v>OT total</v>
      </c>
      <c r="B699" s="259">
        <f ca="1"/>
        <v>0</v>
      </c>
      <c r="C699" s="259">
        <f ca="1"/>
        <v>0</v>
      </c>
      <c r="D699" s="259">
        <f ca="1"/>
        <v>0</v>
      </c>
      <c r="E699" s="259">
        <f ca="1"/>
        <v>0</v>
      </c>
      <c r="F699" s="259">
        <f ca="1"/>
        <v>0</v>
      </c>
      <c r="G699" s="259">
        <f ca="1"/>
        <v>0</v>
      </c>
      <c r="H699" s="259">
        <f ca="1"/>
        <v>0</v>
      </c>
      <c r="I699" s="259">
        <f ca="1"/>
        <v>0</v>
      </c>
      <c r="J699" s="259">
        <f ca="1"/>
        <v>0</v>
      </c>
      <c r="K699" s="259">
        <f ca="1"/>
        <v>0</v>
      </c>
      <c r="L699" s="40">
        <f ca="1">_xll.RiskOutput(,L696,3)+SUM(B699:K699)</f>
        <v>0</v>
      </c>
      <c r="M699" s="4" t="str">
        <f t="shared" si="59"/>
        <v>$M(2015)</v>
      </c>
      <c r="O699" s="321">
        <f ca="1">_xll.RiskOutput(,"Preventative B",21)+B699</f>
        <v>0</v>
      </c>
      <c r="P699" s="321">
        <f ca="1">_xll.RiskOutput(,"Preventative B",22)+C699</f>
        <v>0</v>
      </c>
      <c r="Q699" s="321">
        <f ca="1">_xll.RiskOutput(,"Preventative B",23)+D699</f>
        <v>0</v>
      </c>
      <c r="R699" s="321">
        <f ca="1">_xll.RiskOutput(,"Preventative B",24)+E699</f>
        <v>0</v>
      </c>
      <c r="S699" s="321">
        <f ca="1">_xll.RiskOutput(,"Preventative B",25)+F699</f>
        <v>0</v>
      </c>
      <c r="T699" s="321">
        <f ca="1">_xll.RiskOutput(,"Preventative B",26)+G699</f>
        <v>0</v>
      </c>
      <c r="U699" s="321">
        <f ca="1">_xll.RiskOutput(,"Preventative B",27)+H699</f>
        <v>0</v>
      </c>
      <c r="V699" s="321">
        <f ca="1">_xll.RiskOutput(,"Preventative B",28)+I699</f>
        <v>0</v>
      </c>
      <c r="W699" s="321">
        <f ca="1">_xll.RiskOutput(,"Preventative B",29)+J699</f>
        <v>0</v>
      </c>
      <c r="X699" s="321">
        <f ca="1">_xll.RiskOutput(,"Preventative B",30)+K699</f>
        <v>0</v>
      </c>
    </row>
    <row r="700" spans="1:24" x14ac:dyDescent="0.2">
      <c r="A700" s="1" t="str">
        <v>EE total</v>
      </c>
      <c r="B700" s="259">
        <f ca="1"/>
        <v>0</v>
      </c>
      <c r="C700" s="259">
        <f ca="1"/>
        <v>0</v>
      </c>
      <c r="D700" s="259">
        <f ca="1"/>
        <v>0</v>
      </c>
      <c r="E700" s="259">
        <f ca="1"/>
        <v>0</v>
      </c>
      <c r="F700" s="259">
        <f ca="1"/>
        <v>0</v>
      </c>
      <c r="G700" s="259">
        <f ca="1"/>
        <v>0</v>
      </c>
      <c r="H700" s="259">
        <f ca="1"/>
        <v>0</v>
      </c>
      <c r="I700" s="259">
        <f ca="1"/>
        <v>0</v>
      </c>
      <c r="J700" s="259">
        <f ca="1"/>
        <v>0</v>
      </c>
      <c r="K700" s="259">
        <f ca="1"/>
        <v>0</v>
      </c>
      <c r="L700" s="40">
        <f ca="1">_xll.RiskOutput(,L696,4)+SUM(B700:K700)</f>
        <v>0</v>
      </c>
      <c r="M700" s="4" t="str">
        <f t="shared" si="59"/>
        <v>$M(2015)</v>
      </c>
      <c r="O700" s="321">
        <f ca="1">_xll.RiskOutput(,"Preventative B",31)+B700</f>
        <v>0</v>
      </c>
      <c r="P700" s="321">
        <f ca="1">_xll.RiskOutput(,"Preventative B",32)+C700</f>
        <v>0</v>
      </c>
      <c r="Q700" s="321">
        <f ca="1">_xll.RiskOutput(,"Preventative B",33)+D700</f>
        <v>0</v>
      </c>
      <c r="R700" s="321">
        <f ca="1">_xll.RiskOutput(,"Preventative B",34)+E700</f>
        <v>0</v>
      </c>
      <c r="S700" s="321">
        <f ca="1">_xll.RiskOutput(,"Preventative B",35)+F700</f>
        <v>0</v>
      </c>
      <c r="T700" s="321">
        <f ca="1">_xll.RiskOutput(,"Preventative B",36)+G700</f>
        <v>0</v>
      </c>
      <c r="U700" s="321">
        <f ca="1">_xll.RiskOutput(,"Preventative B",37)+H700</f>
        <v>0</v>
      </c>
      <c r="V700" s="321">
        <f ca="1">_xll.RiskOutput(,"Preventative B",38)+I700</f>
        <v>0</v>
      </c>
      <c r="W700" s="321">
        <f ca="1">_xll.RiskOutput(,"Preventative B",39)+J700</f>
        <v>0</v>
      </c>
      <c r="X700" s="321">
        <f ca="1">_xll.RiskOutput(,"Preventative B",40)+K700</f>
        <v>0</v>
      </c>
    </row>
    <row r="701" spans="1:24" x14ac:dyDescent="0.2">
      <c r="A701" s="1" t="str">
        <v>CA total</v>
      </c>
      <c r="B701" s="259">
        <f ca="1"/>
        <v>0</v>
      </c>
      <c r="C701" s="259">
        <f ca="1"/>
        <v>0</v>
      </c>
      <c r="D701" s="259">
        <f ca="1"/>
        <v>0</v>
      </c>
      <c r="E701" s="259">
        <f ca="1"/>
        <v>0</v>
      </c>
      <c r="F701" s="259">
        <f ca="1"/>
        <v>0</v>
      </c>
      <c r="G701" s="259">
        <f ca="1"/>
        <v>0</v>
      </c>
      <c r="H701" s="259">
        <f ca="1"/>
        <v>0</v>
      </c>
      <c r="I701" s="259">
        <f ca="1"/>
        <v>0</v>
      </c>
      <c r="J701" s="259">
        <f ca="1"/>
        <v>0</v>
      </c>
      <c r="K701" s="259">
        <f ca="1"/>
        <v>0</v>
      </c>
      <c r="L701" s="40">
        <f ca="1">_xll.RiskOutput(,L696,5)+SUM(B701:K701)</f>
        <v>0</v>
      </c>
      <c r="M701" s="4" t="str">
        <f t="shared" si="59"/>
        <v>$M(2015)</v>
      </c>
      <c r="O701" s="321">
        <f ca="1">_xll.RiskOutput(,"Preventative B",41)+B701</f>
        <v>0</v>
      </c>
      <c r="P701" s="321">
        <f ca="1">_xll.RiskOutput(,"Preventative B",42)+C701</f>
        <v>0</v>
      </c>
      <c r="Q701" s="321">
        <f ca="1">_xll.RiskOutput(,"Preventative B",43)+D701</f>
        <v>0</v>
      </c>
      <c r="R701" s="321">
        <f ca="1">_xll.RiskOutput(,"Preventative B",44)+E701</f>
        <v>0</v>
      </c>
      <c r="S701" s="321">
        <f ca="1">_xll.RiskOutput(,"Preventative B",45)+F701</f>
        <v>0</v>
      </c>
      <c r="T701" s="321">
        <f ca="1">_xll.RiskOutput(,"Preventative B",46)+G701</f>
        <v>0</v>
      </c>
      <c r="U701" s="321">
        <f ca="1">_xll.RiskOutput(,"Preventative B",47)+H701</f>
        <v>0</v>
      </c>
      <c r="V701" s="321">
        <f ca="1">_xll.RiskOutput(,"Preventative B",48)+I701</f>
        <v>0</v>
      </c>
      <c r="W701" s="321">
        <f ca="1">_xll.RiskOutput(,"Preventative B",49)+J701</f>
        <v>0</v>
      </c>
      <c r="X701" s="321">
        <f ca="1">_xll.RiskOutput(,"Preventative B",50)+K701</f>
        <v>0</v>
      </c>
    </row>
    <row r="702" spans="1:24" x14ac:dyDescent="0.2">
      <c r="A702" s="1" t="str">
        <v>IA total</v>
      </c>
      <c r="B702" s="259">
        <f ca="1"/>
        <v>0</v>
      </c>
      <c r="C702" s="259">
        <f ca="1"/>
        <v>0</v>
      </c>
      <c r="D702" s="259">
        <f ca="1"/>
        <v>0</v>
      </c>
      <c r="E702" s="259">
        <f ca="1"/>
        <v>0</v>
      </c>
      <c r="F702" s="259">
        <f ca="1"/>
        <v>0</v>
      </c>
      <c r="G702" s="259">
        <f ca="1"/>
        <v>0</v>
      </c>
      <c r="H702" s="259">
        <f ca="1"/>
        <v>0</v>
      </c>
      <c r="I702" s="259">
        <f ca="1"/>
        <v>0</v>
      </c>
      <c r="J702" s="259">
        <f ca="1"/>
        <v>0</v>
      </c>
      <c r="K702" s="259">
        <f ca="1"/>
        <v>0</v>
      </c>
      <c r="L702" s="40">
        <f ca="1">_xll.RiskOutput(,L696,6)+SUM(B702:K702)</f>
        <v>0</v>
      </c>
      <c r="M702" s="4" t="str">
        <f t="shared" si="59"/>
        <v>$M(2015)</v>
      </c>
      <c r="O702" s="321">
        <f ca="1">_xll.RiskOutput(,"Preventative B",51)+B702</f>
        <v>0</v>
      </c>
      <c r="P702" s="321">
        <f ca="1">_xll.RiskOutput(,"Preventative B",52)+C702</f>
        <v>0</v>
      </c>
      <c r="Q702" s="321">
        <f ca="1">_xll.RiskOutput(,"Preventative B",53)+D702</f>
        <v>0</v>
      </c>
      <c r="R702" s="321">
        <f ca="1">_xll.RiskOutput(,"Preventative B",54)+E702</f>
        <v>0</v>
      </c>
      <c r="S702" s="321">
        <f ca="1">_xll.RiskOutput(,"Preventative B",55)+F702</f>
        <v>0</v>
      </c>
      <c r="T702" s="321">
        <f ca="1">_xll.RiskOutput(,"Preventative B",56)+G702</f>
        <v>0</v>
      </c>
      <c r="U702" s="321">
        <f ca="1">_xll.RiskOutput(,"Preventative B",57)+H702</f>
        <v>0</v>
      </c>
      <c r="V702" s="321">
        <f ca="1">_xll.RiskOutput(,"Preventative B",58)+I702</f>
        <v>0</v>
      </c>
      <c r="W702" s="321">
        <f ca="1">_xll.RiskOutput(,"Preventative B",59)+J702</f>
        <v>0</v>
      </c>
      <c r="X702" s="321">
        <f ca="1">_xll.RiskOutput(,"Preventative B",60)+K702</f>
        <v>0</v>
      </c>
    </row>
    <row r="703" spans="1:24" x14ac:dyDescent="0.2">
      <c r="A703" s="1" t="str">
        <v>AF total</v>
      </c>
      <c r="B703" s="259">
        <f ca="1"/>
        <v>0</v>
      </c>
      <c r="C703" s="259">
        <f ca="1"/>
        <v>0</v>
      </c>
      <c r="D703" s="259">
        <f ca="1"/>
        <v>0</v>
      </c>
      <c r="E703" s="259">
        <f ca="1"/>
        <v>0</v>
      </c>
      <c r="F703" s="259">
        <f ca="1"/>
        <v>0</v>
      </c>
      <c r="G703" s="259">
        <f ca="1"/>
        <v>0</v>
      </c>
      <c r="H703" s="259">
        <f ca="1"/>
        <v>0</v>
      </c>
      <c r="I703" s="259">
        <f ca="1"/>
        <v>0</v>
      </c>
      <c r="J703" s="259">
        <f ca="1"/>
        <v>0</v>
      </c>
      <c r="K703" s="259">
        <f ca="1"/>
        <v>0</v>
      </c>
      <c r="L703" s="40">
        <f ca="1">_xll.RiskOutput(,L696,7)+SUM(B703:K703)</f>
        <v>0</v>
      </c>
      <c r="M703" s="4" t="str">
        <f t="shared" si="59"/>
        <v>$M(2015)</v>
      </c>
      <c r="O703" s="321">
        <f ca="1">_xll.RiskOutput(,"Preventative B",61)+B703</f>
        <v>0</v>
      </c>
      <c r="P703" s="321">
        <f ca="1">_xll.RiskOutput(,"Preventative B",62)+C703</f>
        <v>0</v>
      </c>
      <c r="Q703" s="321">
        <f ca="1">_xll.RiskOutput(,"Preventative B",63)+D703</f>
        <v>0</v>
      </c>
      <c r="R703" s="321">
        <f ca="1">_xll.RiskOutput(,"Preventative B",64)+E703</f>
        <v>0</v>
      </c>
      <c r="S703" s="321">
        <f ca="1">_xll.RiskOutput(,"Preventative B",65)+F703</f>
        <v>0</v>
      </c>
      <c r="T703" s="321">
        <f ca="1">_xll.RiskOutput(,"Preventative B",66)+G703</f>
        <v>0</v>
      </c>
      <c r="U703" s="321">
        <f ca="1">_xll.RiskOutput(,"Preventative B",67)+H703</f>
        <v>0</v>
      </c>
      <c r="V703" s="321">
        <f ca="1">_xll.RiskOutput(,"Preventative B",68)+I703</f>
        <v>0</v>
      </c>
      <c r="W703" s="321">
        <f ca="1">_xll.RiskOutput(,"Preventative B",69)+J703</f>
        <v>0</v>
      </c>
      <c r="X703" s="321">
        <f ca="1">_xll.RiskOutput(,"Preventative B",70)+K703</f>
        <v>0</v>
      </c>
    </row>
    <row r="704" spans="1:24" x14ac:dyDescent="0.2">
      <c r="A704" s="1" t="str">
        <v>LA total</v>
      </c>
      <c r="B704" s="259">
        <f ca="1"/>
        <v>0</v>
      </c>
      <c r="C704" s="259">
        <f ca="1"/>
        <v>0</v>
      </c>
      <c r="D704" s="259">
        <f ca="1"/>
        <v>0</v>
      </c>
      <c r="E704" s="259">
        <f ca="1"/>
        <v>0</v>
      </c>
      <c r="F704" s="259">
        <f ca="1"/>
        <v>0</v>
      </c>
      <c r="G704" s="259">
        <f ca="1"/>
        <v>0</v>
      </c>
      <c r="H704" s="259">
        <f ca="1"/>
        <v>0</v>
      </c>
      <c r="I704" s="259">
        <f ca="1"/>
        <v>0</v>
      </c>
      <c r="J704" s="259">
        <f ca="1"/>
        <v>0</v>
      </c>
      <c r="K704" s="259">
        <f ca="1"/>
        <v>0</v>
      </c>
      <c r="L704" s="40">
        <f ca="1">_xll.RiskOutput(,L696,8)+SUM(B704:K704)</f>
        <v>0</v>
      </c>
      <c r="M704" s="4" t="str">
        <f t="shared" si="59"/>
        <v>$M(2015)</v>
      </c>
      <c r="O704" s="321">
        <f ca="1">_xll.RiskOutput(,"Preventative B",71)+B704</f>
        <v>0</v>
      </c>
      <c r="P704" s="321">
        <f ca="1">_xll.RiskOutput(,"Preventative B",72)+C704</f>
        <v>0</v>
      </c>
      <c r="Q704" s="321">
        <f ca="1">_xll.RiskOutput(,"Preventative B",73)+D704</f>
        <v>0</v>
      </c>
      <c r="R704" s="321">
        <f ca="1">_xll.RiskOutput(,"Preventative B",74)+E704</f>
        <v>0</v>
      </c>
      <c r="S704" s="321">
        <f ca="1">_xll.RiskOutput(,"Preventative B",75)+F704</f>
        <v>0</v>
      </c>
      <c r="T704" s="321">
        <f ca="1">_xll.RiskOutput(,"Preventative B",76)+G704</f>
        <v>0</v>
      </c>
      <c r="U704" s="321">
        <f ca="1">_xll.RiskOutput(,"Preventative B",77)+H704</f>
        <v>0</v>
      </c>
      <c r="V704" s="321">
        <f ca="1">_xll.RiskOutput(,"Preventative B",78)+I704</f>
        <v>0</v>
      </c>
      <c r="W704" s="321">
        <f ca="1">_xll.RiskOutput(,"Preventative B",79)+J704</f>
        <v>0</v>
      </c>
      <c r="X704" s="321">
        <f ca="1">_xll.RiskOutput(,"Preventative B",80)+K704</f>
        <v>0</v>
      </c>
    </row>
    <row r="705" spans="1:15" x14ac:dyDescent="0.2">
      <c r="A705" s="2" t="s">
        <v>255</v>
      </c>
      <c r="B705" s="40">
        <f ca="1">_xll.RiskOutput(,A705,1)+SUM(B697:B704)</f>
        <v>0</v>
      </c>
      <c r="C705" s="40">
        <f ca="1">_xll.RiskOutput(,A705,2)+SUM(C697:C704)</f>
        <v>0</v>
      </c>
      <c r="D705" s="40">
        <f ca="1">_xll.RiskOutput(,A705,3)+SUM(D697:D704)</f>
        <v>0</v>
      </c>
      <c r="E705" s="40">
        <f ca="1">_xll.RiskOutput(,A705,4)+SUM(E697:E704)</f>
        <v>0</v>
      </c>
      <c r="F705" s="40">
        <f ca="1">_xll.RiskOutput(,A705,5)+SUM(F697:F704)</f>
        <v>0</v>
      </c>
      <c r="G705" s="40">
        <f ca="1">_xll.RiskOutput(,A705,6)+SUM(G697:G704)</f>
        <v>0</v>
      </c>
      <c r="H705" s="40">
        <f ca="1">_xll.RiskOutput(,A705,7)+SUM(H697:H704)</f>
        <v>0</v>
      </c>
      <c r="I705" s="40">
        <f ca="1">_xll.RiskOutput(,A705,8)+SUM(I697:I704)</f>
        <v>0</v>
      </c>
      <c r="J705" s="40">
        <f ca="1">_xll.RiskOutput(,A705,9)+SUM(J697:J704)</f>
        <v>0</v>
      </c>
      <c r="K705" s="40">
        <f ca="1">_xll.RiskOutput(,A705,10)+SUM(K697:K704)</f>
        <v>0</v>
      </c>
      <c r="L705" s="40">
        <f ca="1">_xll.RiskOutput(,A705,11)+SUM(L697:L704)</f>
        <v>0</v>
      </c>
      <c r="M705" s="4" t="str">
        <f t="shared" si="59"/>
        <v>$M(2015)</v>
      </c>
    </row>
    <row r="706" spans="1:15" ht="13.5" thickBot="1" x14ac:dyDescent="0.25">
      <c r="A706" s="2" t="s">
        <v>364</v>
      </c>
      <c r="L706" s="42">
        <f ca="1">SUM(B705:K705)</f>
        <v>0</v>
      </c>
      <c r="M706" s="4" t="str">
        <f t="shared" si="59"/>
        <v>$M(2015)</v>
      </c>
      <c r="O706" s="6"/>
    </row>
    <row r="707" spans="1:15" ht="13.5" thickTop="1" x14ac:dyDescent="0.2"/>
  </sheetData>
  <phoneticPr fontId="21" type="noConversion"/>
  <conditionalFormatting sqref="B685:K685 L697:L704 O697:X704 B705:L705">
    <cfRule type="expression" dxfId="7" priority="1" stopIfTrue="1">
      <formula>RiskIsOutput</formula>
    </cfRule>
  </conditionalFormatting>
  <pageMargins left="0.75" right="0.75" top="1" bottom="1" header="0.5" footer="0.5"/>
  <pageSetup paperSize="9" orientation="portrait" horizontalDpi="4294967293"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O707"/>
  <sheetViews>
    <sheetView topLeftCell="A666" workbookViewId="0">
      <selection activeCell="C46" sqref="C46"/>
    </sheetView>
  </sheetViews>
  <sheetFormatPr defaultRowHeight="12.75" x14ac:dyDescent="0.2"/>
  <cols>
    <col min="1" max="1" width="21.5703125" bestFit="1" customWidth="1"/>
    <col min="2" max="6" width="10.140625" bestFit="1" customWidth="1"/>
    <col min="7" max="7" width="9" customWidth="1"/>
    <col min="8" max="11" width="10.140625" bestFit="1" customWidth="1"/>
    <col min="12" max="12" width="10.85546875" customWidth="1"/>
    <col min="13" max="13" width="7.140625" bestFit="1" customWidth="1"/>
  </cols>
  <sheetData>
    <row r="1" spans="1:5" x14ac:dyDescent="0.2">
      <c r="A1" s="2" t="str">
        <f>MODEL_NAME</f>
        <v>PAGE-ICE Nonlinear Arctic Feedbacks</v>
      </c>
      <c r="B1" t="s">
        <v>37</v>
      </c>
      <c r="C1" s="51" t="str">
        <f>VERSION</f>
        <v>6.22</v>
      </c>
    </row>
    <row r="2" spans="1:5" s="3" customFormat="1" x14ac:dyDescent="0.2">
      <c r="A2" s="4" t="str">
        <f>"Uncertainty in BAU emissions in "&amp;Y_LAST</f>
        <v>Uncertainty in BAU emissions in 2100</v>
      </c>
      <c r="B2" s="4"/>
      <c r="C2" s="4"/>
      <c r="D2" s="4"/>
      <c r="E2" s="4"/>
    </row>
    <row r="3" spans="1:5" x14ac:dyDescent="0.2">
      <c r="A3" s="4"/>
      <c r="B3" s="58" t="s">
        <v>12</v>
      </c>
      <c r="C3" s="58" t="s">
        <v>13</v>
      </c>
      <c r="D3" s="58" t="s">
        <v>144</v>
      </c>
      <c r="E3" s="4" t="str">
        <f>GLIN_NAME</f>
        <v>Lin</v>
      </c>
    </row>
    <row r="4" spans="1:5" ht="15.75" x14ac:dyDescent="0.3">
      <c r="A4" s="4"/>
      <c r="B4" s="4" t="s">
        <v>97</v>
      </c>
      <c r="C4" s="4" t="s">
        <v>98</v>
      </c>
      <c r="D4" s="4" t="s">
        <v>98</v>
      </c>
      <c r="E4" s="4" t="s">
        <v>124</v>
      </c>
    </row>
    <row r="5" spans="1:5" x14ac:dyDescent="0.2">
      <c r="A5" s="14" t="str">
        <f t="array" ref="A5:A12">R_CODE</f>
        <v>EU</v>
      </c>
      <c r="B5" s="26">
        <f ca="1">'Preventative costs A'!B5-'Preventative costs B'!B5</f>
        <v>0</v>
      </c>
      <c r="C5" s="26">
        <f ca="1">'Preventative costs A'!C5-'Preventative costs B'!C5</f>
        <v>0</v>
      </c>
      <c r="D5" s="26">
        <f ca="1">'Preventative costs A'!D5-'Preventative costs B'!D5</f>
        <v>0</v>
      </c>
      <c r="E5" s="26">
        <f ca="1">'Preventative costs A'!E5-'Preventative costs B'!E5</f>
        <v>0</v>
      </c>
    </row>
    <row r="6" spans="1:5" x14ac:dyDescent="0.2">
      <c r="A6" s="14" t="str">
        <v>US</v>
      </c>
      <c r="B6" s="26">
        <f ca="1">'Preventative costs A'!B6-'Preventative costs B'!B6</f>
        <v>0</v>
      </c>
      <c r="C6" s="26">
        <f ca="1">'Preventative costs A'!C6-'Preventative costs B'!C6</f>
        <v>0</v>
      </c>
      <c r="D6" s="26">
        <f ca="1">'Preventative costs A'!D6-'Preventative costs B'!D6</f>
        <v>0</v>
      </c>
      <c r="E6" s="26">
        <f ca="1">'Preventative costs A'!E6-'Preventative costs B'!E6</f>
        <v>0</v>
      </c>
    </row>
    <row r="7" spans="1:5" x14ac:dyDescent="0.2">
      <c r="A7" s="14" t="str">
        <v>OT</v>
      </c>
      <c r="B7" s="26">
        <f ca="1">'Preventative costs A'!B7-'Preventative costs B'!B7</f>
        <v>0</v>
      </c>
      <c r="C7" s="26">
        <f ca="1">'Preventative costs A'!C7-'Preventative costs B'!C7</f>
        <v>0</v>
      </c>
      <c r="D7" s="26">
        <f ca="1">'Preventative costs A'!D7-'Preventative costs B'!D7</f>
        <v>0</v>
      </c>
      <c r="E7" s="26">
        <f ca="1">'Preventative costs A'!E7-'Preventative costs B'!E7</f>
        <v>0</v>
      </c>
    </row>
    <row r="8" spans="1:5" x14ac:dyDescent="0.2">
      <c r="A8" s="14" t="str">
        <v>EE</v>
      </c>
      <c r="B8" s="26">
        <f ca="1">'Preventative costs A'!B8-'Preventative costs B'!B8</f>
        <v>0</v>
      </c>
      <c r="C8" s="26">
        <f ca="1">'Preventative costs A'!C8-'Preventative costs B'!C8</f>
        <v>0</v>
      </c>
      <c r="D8" s="26">
        <f ca="1">'Preventative costs A'!D8-'Preventative costs B'!D8</f>
        <v>0</v>
      </c>
      <c r="E8" s="26">
        <f ca="1">'Preventative costs A'!E8-'Preventative costs B'!E8</f>
        <v>0</v>
      </c>
    </row>
    <row r="9" spans="1:5" x14ac:dyDescent="0.2">
      <c r="A9" s="14" t="str">
        <v>CA</v>
      </c>
      <c r="B9" s="26">
        <f ca="1">'Preventative costs A'!B9-'Preventative costs B'!B9</f>
        <v>0</v>
      </c>
      <c r="C9" s="26">
        <f ca="1">'Preventative costs A'!C9-'Preventative costs B'!C9</f>
        <v>0</v>
      </c>
      <c r="D9" s="26">
        <f ca="1">'Preventative costs A'!D9-'Preventative costs B'!D9</f>
        <v>0</v>
      </c>
      <c r="E9" s="26">
        <f ca="1">'Preventative costs A'!E9-'Preventative costs B'!E9</f>
        <v>0</v>
      </c>
    </row>
    <row r="10" spans="1:5" x14ac:dyDescent="0.2">
      <c r="A10" s="14" t="str">
        <v>IA</v>
      </c>
      <c r="B10" s="26">
        <f ca="1">'Preventative costs A'!B10-'Preventative costs B'!B10</f>
        <v>0</v>
      </c>
      <c r="C10" s="26">
        <f ca="1">'Preventative costs A'!C10-'Preventative costs B'!C10</f>
        <v>0</v>
      </c>
      <c r="D10" s="26">
        <f ca="1">'Preventative costs A'!D10-'Preventative costs B'!D10</f>
        <v>0</v>
      </c>
      <c r="E10" s="26">
        <f ca="1">'Preventative costs A'!E10-'Preventative costs B'!E10</f>
        <v>0</v>
      </c>
    </row>
    <row r="11" spans="1:5" x14ac:dyDescent="0.2">
      <c r="A11" s="14" t="str">
        <v>AF</v>
      </c>
      <c r="B11" s="26">
        <f ca="1">'Preventative costs A'!B11-'Preventative costs B'!B11</f>
        <v>0</v>
      </c>
      <c r="C11" s="26">
        <f ca="1">'Preventative costs A'!C11-'Preventative costs B'!C11</f>
        <v>0</v>
      </c>
      <c r="D11" s="26">
        <f ca="1">'Preventative costs A'!D11-'Preventative costs B'!D11</f>
        <v>0</v>
      </c>
      <c r="E11" s="26">
        <f ca="1">'Preventative costs A'!E11-'Preventative costs B'!E11</f>
        <v>0</v>
      </c>
    </row>
    <row r="12" spans="1:5" x14ac:dyDescent="0.2">
      <c r="A12" s="14" t="str">
        <v>LA</v>
      </c>
      <c r="B12" s="26">
        <f ca="1">'Preventative costs A'!B12-'Preventative costs B'!B12</f>
        <v>0</v>
      </c>
      <c r="C12" s="26">
        <f ca="1">'Preventative costs A'!C12-'Preventative costs B'!C12</f>
        <v>0</v>
      </c>
      <c r="D12" s="26">
        <f ca="1">'Preventative costs A'!D12-'Preventative costs B'!D12</f>
        <v>0</v>
      </c>
      <c r="E12" s="26">
        <f ca="1">'Preventative costs A'!E12-'Preventative costs B'!E12</f>
        <v>0</v>
      </c>
    </row>
    <row r="13" spans="1:5" x14ac:dyDescent="0.2">
      <c r="A13" s="4"/>
      <c r="B13" s="4" t="str">
        <f>'Library data'!$G$131</f>
        <v>% relative to RCP8.5</v>
      </c>
      <c r="C13" s="4" t="str">
        <f>'Library data'!$G$138</f>
        <v>% relative to RCP8.5</v>
      </c>
      <c r="D13" s="4" t="str">
        <f>'Library data'!$G$138</f>
        <v>% relative to RCP8.5</v>
      </c>
      <c r="E13" s="4" t="str">
        <f>'Library data'!$G$138</f>
        <v>% relative to RCP8.5</v>
      </c>
    </row>
    <row r="15" spans="1:5" s="3" customFormat="1" x14ac:dyDescent="0.2">
      <c r="A15" s="58" t="s">
        <v>273</v>
      </c>
      <c r="B15" s="4"/>
      <c r="C15" s="4"/>
      <c r="D15" s="4"/>
      <c r="E15" s="4"/>
    </row>
    <row r="16" spans="1:5" x14ac:dyDescent="0.2">
      <c r="A16" s="4"/>
      <c r="B16" s="58" t="s">
        <v>12</v>
      </c>
      <c r="C16" s="58" t="s">
        <v>13</v>
      </c>
      <c r="D16" s="58" t="s">
        <v>144</v>
      </c>
      <c r="E16" s="4" t="str">
        <f>GLIN_NAME</f>
        <v>Lin</v>
      </c>
    </row>
    <row r="17" spans="1:5" x14ac:dyDescent="0.2">
      <c r="A17" s="4"/>
      <c r="B17" s="71" t="s">
        <v>279</v>
      </c>
      <c r="C17" s="71" t="s">
        <v>280</v>
      </c>
      <c r="D17" s="71" t="s">
        <v>281</v>
      </c>
      <c r="E17" s="71" t="s">
        <v>282</v>
      </c>
    </row>
    <row r="18" spans="1:5" x14ac:dyDescent="0.2">
      <c r="A18" s="14" t="str">
        <f t="array" ref="A18:A25">R_CODE</f>
        <v>EU</v>
      </c>
      <c r="B18" s="26">
        <f ca="1">'Preventative costs A'!B18-'Preventative costs B'!B18</f>
        <v>0</v>
      </c>
      <c r="C18" s="26">
        <f ca="1">'Preventative costs A'!C18-'Preventative costs B'!C18</f>
        <v>0</v>
      </c>
      <c r="D18" s="26">
        <f ca="1">'Preventative costs A'!D18-'Preventative costs B'!D18</f>
        <v>0</v>
      </c>
      <c r="E18" s="26">
        <f ca="1">'Preventative costs A'!E18-'Preventative costs B'!E18</f>
        <v>0</v>
      </c>
    </row>
    <row r="19" spans="1:5" x14ac:dyDescent="0.2">
      <c r="A19" s="14" t="str">
        <v>US</v>
      </c>
      <c r="B19" s="26">
        <f ca="1">'Preventative costs A'!B19-'Preventative costs B'!B19</f>
        <v>0</v>
      </c>
      <c r="C19" s="26">
        <f ca="1">'Preventative costs A'!C19-'Preventative costs B'!C19</f>
        <v>0</v>
      </c>
      <c r="D19" s="26">
        <f ca="1">'Preventative costs A'!D19-'Preventative costs B'!D19</f>
        <v>0</v>
      </c>
      <c r="E19" s="26">
        <f ca="1">'Preventative costs A'!E19-'Preventative costs B'!E19</f>
        <v>0</v>
      </c>
    </row>
    <row r="20" spans="1:5" x14ac:dyDescent="0.2">
      <c r="A20" s="14" t="str">
        <v>OT</v>
      </c>
      <c r="B20" s="26">
        <f ca="1">'Preventative costs A'!B20-'Preventative costs B'!B20</f>
        <v>0</v>
      </c>
      <c r="C20" s="26">
        <f ca="1">'Preventative costs A'!C20-'Preventative costs B'!C20</f>
        <v>0</v>
      </c>
      <c r="D20" s="26">
        <f ca="1">'Preventative costs A'!D20-'Preventative costs B'!D20</f>
        <v>0</v>
      </c>
      <c r="E20" s="26">
        <f ca="1">'Preventative costs A'!E20-'Preventative costs B'!E20</f>
        <v>0</v>
      </c>
    </row>
    <row r="21" spans="1:5" x14ac:dyDescent="0.2">
      <c r="A21" s="14" t="str">
        <v>EE</v>
      </c>
      <c r="B21" s="26">
        <f ca="1">'Preventative costs A'!B21-'Preventative costs B'!B21</f>
        <v>0</v>
      </c>
      <c r="C21" s="26">
        <f ca="1">'Preventative costs A'!C21-'Preventative costs B'!C21</f>
        <v>0</v>
      </c>
      <c r="D21" s="26">
        <f ca="1">'Preventative costs A'!D21-'Preventative costs B'!D21</f>
        <v>0</v>
      </c>
      <c r="E21" s="26">
        <f ca="1">'Preventative costs A'!E21-'Preventative costs B'!E21</f>
        <v>0</v>
      </c>
    </row>
    <row r="22" spans="1:5" x14ac:dyDescent="0.2">
      <c r="A22" s="14" t="str">
        <v>CA</v>
      </c>
      <c r="B22" s="26">
        <f ca="1">'Preventative costs A'!B22-'Preventative costs B'!B22</f>
        <v>0</v>
      </c>
      <c r="C22" s="26">
        <f ca="1">'Preventative costs A'!C22-'Preventative costs B'!C22</f>
        <v>0</v>
      </c>
      <c r="D22" s="26">
        <f ca="1">'Preventative costs A'!D22-'Preventative costs B'!D22</f>
        <v>0</v>
      </c>
      <c r="E22" s="26">
        <f ca="1">'Preventative costs A'!E22-'Preventative costs B'!E22</f>
        <v>0</v>
      </c>
    </row>
    <row r="23" spans="1:5" x14ac:dyDescent="0.2">
      <c r="A23" s="14" t="str">
        <v>IA</v>
      </c>
      <c r="B23" s="26">
        <f ca="1">'Preventative costs A'!B23-'Preventative costs B'!B23</f>
        <v>0</v>
      </c>
      <c r="C23" s="26">
        <f ca="1">'Preventative costs A'!C23-'Preventative costs B'!C23</f>
        <v>0</v>
      </c>
      <c r="D23" s="26">
        <f ca="1">'Preventative costs A'!D23-'Preventative costs B'!D23</f>
        <v>0</v>
      </c>
      <c r="E23" s="26">
        <f ca="1">'Preventative costs A'!E23-'Preventative costs B'!E23</f>
        <v>0</v>
      </c>
    </row>
    <row r="24" spans="1:5" x14ac:dyDescent="0.2">
      <c r="A24" s="14" t="str">
        <v>AF</v>
      </c>
      <c r="B24" s="26">
        <f ca="1">'Preventative costs A'!B24-'Preventative costs B'!B24</f>
        <v>0</v>
      </c>
      <c r="C24" s="26">
        <f ca="1">'Preventative costs A'!C24-'Preventative costs B'!C24</f>
        <v>0</v>
      </c>
      <c r="D24" s="26">
        <f ca="1">'Preventative costs A'!D24-'Preventative costs B'!D24</f>
        <v>0</v>
      </c>
      <c r="E24" s="26">
        <f ca="1">'Preventative costs A'!E24-'Preventative costs B'!E24</f>
        <v>0</v>
      </c>
    </row>
    <row r="25" spans="1:5" x14ac:dyDescent="0.2">
      <c r="A25" s="14" t="str">
        <v>LA</v>
      </c>
      <c r="B25" s="26">
        <f ca="1">'Preventative costs A'!B25-'Preventative costs B'!B25</f>
        <v>0</v>
      </c>
      <c r="C25" s="26">
        <f ca="1">'Preventative costs A'!C25-'Preventative costs B'!C25</f>
        <v>0</v>
      </c>
      <c r="D25" s="26">
        <f ca="1">'Preventative costs A'!D25-'Preventative costs B'!D25</f>
        <v>0</v>
      </c>
      <c r="E25" s="26">
        <f ca="1">'Preventative costs A'!E25-'Preventative costs B'!E25</f>
        <v>0</v>
      </c>
    </row>
    <row r="26" spans="1:5" x14ac:dyDescent="0.2">
      <c r="A26" s="4"/>
      <c r="B26" s="4" t="str">
        <f>'Library data'!$G$131</f>
        <v>% relative to RCP8.5</v>
      </c>
      <c r="C26" s="4" t="str">
        <f>'Library data'!$G$138</f>
        <v>% relative to RCP8.5</v>
      </c>
      <c r="D26" s="4" t="str">
        <f>'Library data'!$G$138</f>
        <v>% relative to RCP8.5</v>
      </c>
      <c r="E26" s="4" t="str">
        <f>'Library data'!$G$138</f>
        <v>% relative to RCP8.5</v>
      </c>
    </row>
    <row r="28" spans="1:5" s="3" customFormat="1" x14ac:dyDescent="0.2">
      <c r="A28" s="58" t="s">
        <v>274</v>
      </c>
      <c r="B28" s="4"/>
      <c r="C28" s="4"/>
      <c r="D28" s="4"/>
      <c r="E28" s="4"/>
    </row>
    <row r="29" spans="1:5" x14ac:dyDescent="0.2">
      <c r="A29" s="4"/>
      <c r="B29" s="58" t="s">
        <v>12</v>
      </c>
      <c r="C29" s="58" t="s">
        <v>13</v>
      </c>
      <c r="D29" s="58" t="s">
        <v>144</v>
      </c>
      <c r="E29" s="4" t="str">
        <f>GLIN_NAME</f>
        <v>Lin</v>
      </c>
    </row>
    <row r="30" spans="1:5" x14ac:dyDescent="0.2">
      <c r="A30" s="4"/>
      <c r="B30" s="72" t="s">
        <v>275</v>
      </c>
      <c r="C30" s="72" t="s">
        <v>276</v>
      </c>
      <c r="D30" s="72" t="s">
        <v>277</v>
      </c>
      <c r="E30" s="72" t="s">
        <v>278</v>
      </c>
    </row>
    <row r="31" spans="1:5" x14ac:dyDescent="0.2">
      <c r="A31" s="14" t="str">
        <f t="array" ref="A31:A38">R_CODE</f>
        <v>EU</v>
      </c>
      <c r="B31" s="26">
        <f ca="1">'Preventative costs A'!B31-'Preventative costs B'!B31</f>
        <v>0</v>
      </c>
      <c r="C31" s="26">
        <f ca="1">'Preventative costs A'!C31-'Preventative costs B'!C31</f>
        <v>0</v>
      </c>
      <c r="D31" s="26">
        <f ca="1">'Preventative costs A'!D31-'Preventative costs B'!D31</f>
        <v>0</v>
      </c>
      <c r="E31" s="26">
        <f ca="1">'Preventative costs A'!E31-'Preventative costs B'!E31</f>
        <v>0</v>
      </c>
    </row>
    <row r="32" spans="1:5" x14ac:dyDescent="0.2">
      <c r="A32" s="14" t="str">
        <v>US</v>
      </c>
      <c r="B32" s="26">
        <f ca="1">'Preventative costs A'!B32-'Preventative costs B'!B32</f>
        <v>0</v>
      </c>
      <c r="C32" s="26">
        <f ca="1">'Preventative costs A'!C32-'Preventative costs B'!C32</f>
        <v>0</v>
      </c>
      <c r="D32" s="26">
        <f ca="1">'Preventative costs A'!D32-'Preventative costs B'!D32</f>
        <v>0</v>
      </c>
      <c r="E32" s="26">
        <f ca="1">'Preventative costs A'!E32-'Preventative costs B'!E32</f>
        <v>0</v>
      </c>
    </row>
    <row r="33" spans="1:13" x14ac:dyDescent="0.2">
      <c r="A33" s="14" t="str">
        <v>OT</v>
      </c>
      <c r="B33" s="26">
        <f ca="1">'Preventative costs A'!B33-'Preventative costs B'!B33</f>
        <v>0</v>
      </c>
      <c r="C33" s="26">
        <f ca="1">'Preventative costs A'!C33-'Preventative costs B'!C33</f>
        <v>0</v>
      </c>
      <c r="D33" s="26">
        <f ca="1">'Preventative costs A'!D33-'Preventative costs B'!D33</f>
        <v>0</v>
      </c>
      <c r="E33" s="26">
        <f ca="1">'Preventative costs A'!E33-'Preventative costs B'!E33</f>
        <v>0</v>
      </c>
    </row>
    <row r="34" spans="1:13" x14ac:dyDescent="0.2">
      <c r="A34" s="14" t="str">
        <v>EE</v>
      </c>
      <c r="B34" s="26">
        <f ca="1">'Preventative costs A'!B34-'Preventative costs B'!B34</f>
        <v>0</v>
      </c>
      <c r="C34" s="26">
        <f ca="1">'Preventative costs A'!C34-'Preventative costs B'!C34</f>
        <v>0</v>
      </c>
      <c r="D34" s="26">
        <f ca="1">'Preventative costs A'!D34-'Preventative costs B'!D34</f>
        <v>0</v>
      </c>
      <c r="E34" s="26">
        <f ca="1">'Preventative costs A'!E34-'Preventative costs B'!E34</f>
        <v>0</v>
      </c>
    </row>
    <row r="35" spans="1:13" x14ac:dyDescent="0.2">
      <c r="A35" s="14" t="str">
        <v>CA</v>
      </c>
      <c r="B35" s="26">
        <f ca="1">'Preventative costs A'!B35-'Preventative costs B'!B35</f>
        <v>0</v>
      </c>
      <c r="C35" s="26">
        <f ca="1">'Preventative costs A'!C35-'Preventative costs B'!C35</f>
        <v>0</v>
      </c>
      <c r="D35" s="26">
        <f ca="1">'Preventative costs A'!D35-'Preventative costs B'!D35</f>
        <v>0</v>
      </c>
      <c r="E35" s="26">
        <f ca="1">'Preventative costs A'!E35-'Preventative costs B'!E35</f>
        <v>0</v>
      </c>
    </row>
    <row r="36" spans="1:13" x14ac:dyDescent="0.2">
      <c r="A36" s="14" t="str">
        <v>IA</v>
      </c>
      <c r="B36" s="26">
        <f ca="1">'Preventative costs A'!B36-'Preventative costs B'!B36</f>
        <v>0</v>
      </c>
      <c r="C36" s="26">
        <f ca="1">'Preventative costs A'!C36-'Preventative costs B'!C36</f>
        <v>0</v>
      </c>
      <c r="D36" s="26">
        <f ca="1">'Preventative costs A'!D36-'Preventative costs B'!D36</f>
        <v>0</v>
      </c>
      <c r="E36" s="26">
        <f ca="1">'Preventative costs A'!E36-'Preventative costs B'!E36</f>
        <v>0</v>
      </c>
    </row>
    <row r="37" spans="1:13" x14ac:dyDescent="0.2">
      <c r="A37" s="14" t="str">
        <v>AF</v>
      </c>
      <c r="B37" s="26">
        <f ca="1">'Preventative costs A'!B37-'Preventative costs B'!B37</f>
        <v>0</v>
      </c>
      <c r="C37" s="26">
        <f ca="1">'Preventative costs A'!C37-'Preventative costs B'!C37</f>
        <v>0</v>
      </c>
      <c r="D37" s="26">
        <f ca="1">'Preventative costs A'!D37-'Preventative costs B'!D37</f>
        <v>0</v>
      </c>
      <c r="E37" s="26">
        <f ca="1">'Preventative costs A'!E37-'Preventative costs B'!E37</f>
        <v>0</v>
      </c>
    </row>
    <row r="38" spans="1:13" x14ac:dyDescent="0.2">
      <c r="A38" s="14" t="str">
        <v>LA</v>
      </c>
      <c r="B38" s="26">
        <f ca="1">'Preventative costs A'!B38-'Preventative costs B'!B38</f>
        <v>0</v>
      </c>
      <c r="C38" s="26">
        <f ca="1">'Preventative costs A'!C38-'Preventative costs B'!C38</f>
        <v>0</v>
      </c>
      <c r="D38" s="26">
        <f ca="1">'Preventative costs A'!D38-'Preventative costs B'!D38</f>
        <v>0</v>
      </c>
      <c r="E38" s="26">
        <f ca="1">'Preventative costs A'!E38-'Preventative costs B'!E38</f>
        <v>0</v>
      </c>
    </row>
    <row r="39" spans="1:13" x14ac:dyDescent="0.2">
      <c r="A39" s="4"/>
      <c r="B39" s="4" t="str">
        <f>CURRENCY_NAME&amp;" per "&amp;EMIT_NAME</f>
        <v>$M(2015) per Mtonne</v>
      </c>
      <c r="C39" s="4" t="str">
        <f>CURRENCY_NAME&amp;" per "&amp;EMIT_NAME</f>
        <v>$M(2015) per Mtonne</v>
      </c>
      <c r="D39" s="4" t="str">
        <f>CURRENCY_NAME&amp;" per "&amp;EMIT_NAME</f>
        <v>$M(2015) per Mtonne</v>
      </c>
      <c r="E39" s="4" t="str">
        <f>CURRENCY_NAME&amp;" per "&amp;EMIT_NAME</f>
        <v>$M(2015) per Mtonne</v>
      </c>
    </row>
    <row r="40" spans="1:13" x14ac:dyDescent="0.2">
      <c r="A40" s="4"/>
      <c r="B40" s="4"/>
      <c r="C40" s="4"/>
      <c r="D40" s="4"/>
      <c r="E40" s="4"/>
    </row>
    <row r="41" spans="1:13" x14ac:dyDescent="0.2">
      <c r="B41">
        <f t="array" ref="B41:K41">Y</f>
        <v>2020</v>
      </c>
      <c r="C41">
        <v>2025</v>
      </c>
      <c r="D41">
        <v>2030</v>
      </c>
      <c r="E41">
        <v>2040</v>
      </c>
      <c r="F41">
        <v>2050</v>
      </c>
      <c r="G41">
        <v>2060</v>
      </c>
      <c r="H41">
        <v>2070</v>
      </c>
      <c r="I41">
        <v>2080</v>
      </c>
      <c r="J41">
        <v>2090</v>
      </c>
      <c r="K41">
        <v>2100</v>
      </c>
    </row>
    <row r="42" spans="1:13" s="4" customFormat="1" x14ac:dyDescent="0.2">
      <c r="A42" s="4" t="s">
        <v>57</v>
      </c>
      <c r="B42" s="12">
        <f>'Preventative costs A'!B42-'Preventative costs B'!B42</f>
        <v>0</v>
      </c>
      <c r="C42" s="12">
        <f>'Preventative costs A'!C42-'Preventative costs B'!C42</f>
        <v>0</v>
      </c>
      <c r="D42" s="12">
        <f>'Preventative costs A'!D42-'Preventative costs B'!D42</f>
        <v>0</v>
      </c>
      <c r="E42" s="12">
        <f>'Preventative costs A'!E42-'Preventative costs B'!E42</f>
        <v>0</v>
      </c>
      <c r="F42" s="12">
        <f>'Preventative costs A'!F42-'Preventative costs B'!F42</f>
        <v>0</v>
      </c>
      <c r="G42" s="12">
        <f>'Preventative costs A'!G42-'Preventative costs B'!G42</f>
        <v>0</v>
      </c>
      <c r="H42" s="12">
        <f>'Preventative costs A'!H42-'Preventative costs B'!H42</f>
        <v>0</v>
      </c>
      <c r="I42" s="12">
        <f>'Preventative costs A'!I42-'Preventative costs B'!I42</f>
        <v>0</v>
      </c>
      <c r="J42" s="12">
        <f>'Preventative costs A'!J42-'Preventative costs B'!J42</f>
        <v>0</v>
      </c>
      <c r="K42" s="12">
        <f>'Preventative costs A'!K42-'Preventative costs B'!K42</f>
        <v>0</v>
      </c>
      <c r="M42" s="4" t="s">
        <v>39</v>
      </c>
    </row>
    <row r="43" spans="1:13" s="4" customFormat="1" x14ac:dyDescent="0.2">
      <c r="A43" s="4" t="s">
        <v>82</v>
      </c>
      <c r="B43" s="14">
        <f>'Preventative costs A'!B43-'Preventative costs B'!B43</f>
        <v>0</v>
      </c>
      <c r="C43" s="14">
        <f>'Preventative costs A'!C43-'Preventative costs B'!C43</f>
        <v>0</v>
      </c>
      <c r="D43" s="14">
        <f>'Preventative costs A'!D43-'Preventative costs B'!D43</f>
        <v>0</v>
      </c>
      <c r="E43" s="14">
        <f>'Preventative costs A'!E43-'Preventative costs B'!E43</f>
        <v>0</v>
      </c>
      <c r="F43" s="14">
        <f>'Preventative costs A'!F43-'Preventative costs B'!F43</f>
        <v>0</v>
      </c>
      <c r="G43" s="14">
        <f>'Preventative costs A'!G43-'Preventative costs B'!G43</f>
        <v>0</v>
      </c>
      <c r="H43" s="14">
        <f>'Preventative costs A'!H43-'Preventative costs B'!H43</f>
        <v>0</v>
      </c>
      <c r="I43" s="14">
        <f>'Preventative costs A'!I43-'Preventative costs B'!I43</f>
        <v>0</v>
      </c>
      <c r="J43" s="14">
        <f>'Preventative costs A'!J43-'Preventative costs B'!J43</f>
        <v>0</v>
      </c>
      <c r="K43" s="14">
        <f>'Preventative costs A'!K43-'Preventative costs B'!K43</f>
        <v>0</v>
      </c>
    </row>
    <row r="44" spans="1:13" s="4" customFormat="1" x14ac:dyDescent="0.2">
      <c r="A44" s="4" t="s">
        <v>83</v>
      </c>
      <c r="B44" s="14">
        <f>'Preventative costs A'!B44-'Preventative costs B'!B44</f>
        <v>0</v>
      </c>
      <c r="C44" s="14">
        <f>'Preventative costs A'!C44-'Preventative costs B'!C44</f>
        <v>0</v>
      </c>
      <c r="D44" s="14">
        <f>'Preventative costs A'!D44-'Preventative costs B'!D44</f>
        <v>0</v>
      </c>
      <c r="E44" s="14">
        <f>'Preventative costs A'!E44-'Preventative costs B'!E44</f>
        <v>0</v>
      </c>
      <c r="F44" s="14">
        <f>'Preventative costs A'!F44-'Preventative costs B'!F44</f>
        <v>0</v>
      </c>
      <c r="G44" s="14">
        <f>'Preventative costs A'!G44-'Preventative costs B'!G44</f>
        <v>0</v>
      </c>
      <c r="H44" s="14">
        <f>'Preventative costs A'!H44-'Preventative costs B'!H44</f>
        <v>0</v>
      </c>
      <c r="I44" s="14">
        <f>'Preventative costs A'!I44-'Preventative costs B'!I44</f>
        <v>0</v>
      </c>
      <c r="J44" s="14">
        <f>'Preventative costs A'!J44-'Preventative costs B'!J44</f>
        <v>0</v>
      </c>
      <c r="K44" s="14">
        <f>'Preventative costs A'!K44-'Preventative costs B'!K44</f>
        <v>0</v>
      </c>
    </row>
    <row r="45" spans="1:13" s="4" customFormat="1" x14ac:dyDescent="0.2">
      <c r="A45" s="4" t="s">
        <v>81</v>
      </c>
      <c r="B45" s="65">
        <f>'Preventative costs A'!B45-'Preventative costs B'!B45</f>
        <v>0</v>
      </c>
      <c r="C45" s="65">
        <f>'Preventative costs A'!C45-'Preventative costs B'!C45</f>
        <v>0</v>
      </c>
      <c r="D45" s="65">
        <f>'Preventative costs A'!D45-'Preventative costs B'!D45</f>
        <v>0</v>
      </c>
      <c r="E45" s="65">
        <f>'Preventative costs A'!E45-'Preventative costs B'!E45</f>
        <v>0</v>
      </c>
      <c r="F45" s="65">
        <f>'Preventative costs A'!F45-'Preventative costs B'!F45</f>
        <v>0</v>
      </c>
      <c r="G45" s="65">
        <f>'Preventative costs A'!G45-'Preventative costs B'!G45</f>
        <v>0</v>
      </c>
      <c r="H45" s="65">
        <f>'Preventative costs A'!H45-'Preventative costs B'!H45</f>
        <v>0</v>
      </c>
      <c r="I45" s="65">
        <f>'Preventative costs A'!I45-'Preventative costs B'!I45</f>
        <v>0</v>
      </c>
      <c r="J45" s="65">
        <f>'Preventative costs A'!J45-'Preventative costs B'!J45</f>
        <v>0</v>
      </c>
      <c r="K45" s="65">
        <f>'Preventative costs A'!K45-'Preventative costs B'!K45</f>
        <v>0</v>
      </c>
      <c r="M45" s="4" t="s">
        <v>39</v>
      </c>
    </row>
    <row r="46" spans="1:13" ht="16.5" thickBot="1" x14ac:dyDescent="0.35">
      <c r="A46" t="s">
        <v>99</v>
      </c>
      <c r="B46" s="15">
        <f>'Preventative costs A'!B46-'Preventative costs B'!B46</f>
        <v>0</v>
      </c>
      <c r="C46" s="15">
        <f>'Preventative costs A'!C46-'Preventative costs B'!C46</f>
        <v>0</v>
      </c>
      <c r="D46" s="15">
        <f>'Preventative costs A'!D46-'Preventative costs B'!D46</f>
        <v>0</v>
      </c>
      <c r="E46" s="15">
        <f>'Preventative costs A'!E46-'Preventative costs B'!E46</f>
        <v>0</v>
      </c>
      <c r="F46" s="15">
        <f>'Preventative costs A'!F46-'Preventative costs B'!F46</f>
        <v>0</v>
      </c>
      <c r="G46" s="15">
        <f>'Preventative costs A'!G46-'Preventative costs B'!G46</f>
        <v>0</v>
      </c>
      <c r="H46" s="15">
        <f>'Preventative costs A'!H46-'Preventative costs B'!H46</f>
        <v>0</v>
      </c>
      <c r="I46" s="15">
        <f>'Preventative costs A'!I46-'Preventative costs B'!I46</f>
        <v>0</v>
      </c>
      <c r="J46" s="15">
        <f>'Preventative costs A'!J46-'Preventative costs B'!J46</f>
        <v>0</v>
      </c>
      <c r="K46" s="15">
        <f>'Preventative costs A'!K46-'Preventative costs B'!K46</f>
        <v>0</v>
      </c>
      <c r="M46" t="s">
        <v>39</v>
      </c>
    </row>
    <row r="47" spans="1:13" ht="13.5" thickTop="1" x14ac:dyDescent="0.2"/>
    <row r="48" spans="1:13" s="2" customFormat="1" ht="14.25" x14ac:dyDescent="0.25">
      <c r="A48" s="2" t="s">
        <v>100</v>
      </c>
      <c r="B48" s="5" t="s">
        <v>101</v>
      </c>
    </row>
    <row r="49" spans="1:13" s="4" customFormat="1" x14ac:dyDescent="0.2">
      <c r="A49" s="4" t="str">
        <f t="array" ref="A49:A56">R_CODE&amp;" "&amp;'Base data'!$B$12</f>
        <v>EU CO2</v>
      </c>
      <c r="B49" s="12">
        <f ca="1">'Preventative costs A'!B49-'Preventative costs B'!B49</f>
        <v>0</v>
      </c>
      <c r="C49" s="12">
        <f ca="1">'Preventative costs A'!C49-'Preventative costs B'!C49</f>
        <v>0</v>
      </c>
      <c r="D49" s="12">
        <f ca="1">'Preventative costs A'!D49-'Preventative costs B'!D49</f>
        <v>0</v>
      </c>
      <c r="E49" s="12">
        <f ca="1">'Preventative costs A'!E49-'Preventative costs B'!E49</f>
        <v>0</v>
      </c>
      <c r="F49" s="12">
        <f ca="1">'Preventative costs A'!F49-'Preventative costs B'!F49</f>
        <v>0</v>
      </c>
      <c r="G49" s="12">
        <f ca="1">'Preventative costs A'!G49-'Preventative costs B'!G49</f>
        <v>0</v>
      </c>
      <c r="H49" s="12">
        <f ca="1">'Preventative costs A'!H49-'Preventative costs B'!H49</f>
        <v>0</v>
      </c>
      <c r="I49" s="12">
        <f ca="1">'Preventative costs A'!I49-'Preventative costs B'!I49</f>
        <v>0</v>
      </c>
      <c r="J49" s="12">
        <f ca="1">'Preventative costs A'!J49-'Preventative costs B'!J49</f>
        <v>0</v>
      </c>
      <c r="K49" s="12">
        <f ca="1">'Preventative costs A'!K49-'Preventative costs B'!K49</f>
        <v>0</v>
      </c>
      <c r="M49" s="4" t="str">
        <f>'Library data'!$G$131</f>
        <v>% relative to RCP8.5</v>
      </c>
    </row>
    <row r="50" spans="1:13" s="4" customFormat="1" x14ac:dyDescent="0.2">
      <c r="A50" s="4" t="str">
        <v>US CO2</v>
      </c>
      <c r="B50" s="14">
        <f ca="1">'Preventative costs A'!B50-'Preventative costs B'!B50</f>
        <v>0</v>
      </c>
      <c r="C50" s="14">
        <f ca="1">'Preventative costs A'!C50-'Preventative costs B'!C50</f>
        <v>0</v>
      </c>
      <c r="D50" s="14">
        <f ca="1">'Preventative costs A'!D50-'Preventative costs B'!D50</f>
        <v>0</v>
      </c>
      <c r="E50" s="14">
        <f ca="1">'Preventative costs A'!E50-'Preventative costs B'!E50</f>
        <v>0</v>
      </c>
      <c r="F50" s="14">
        <f ca="1">'Preventative costs A'!F50-'Preventative costs B'!F50</f>
        <v>0</v>
      </c>
      <c r="G50" s="14">
        <f ca="1">'Preventative costs A'!G50-'Preventative costs B'!G50</f>
        <v>0</v>
      </c>
      <c r="H50" s="14">
        <f ca="1">'Preventative costs A'!H50-'Preventative costs B'!H50</f>
        <v>0</v>
      </c>
      <c r="I50" s="14">
        <f ca="1">'Preventative costs A'!I50-'Preventative costs B'!I50</f>
        <v>0</v>
      </c>
      <c r="J50" s="14">
        <f ca="1">'Preventative costs A'!J50-'Preventative costs B'!J50</f>
        <v>0</v>
      </c>
      <c r="K50" s="14">
        <f ca="1">'Preventative costs A'!K50-'Preventative costs B'!K50</f>
        <v>0</v>
      </c>
      <c r="M50" s="4" t="str">
        <f>'Library data'!$G$131</f>
        <v>% relative to RCP8.5</v>
      </c>
    </row>
    <row r="51" spans="1:13" s="4" customFormat="1" x14ac:dyDescent="0.2">
      <c r="A51" s="4" t="str">
        <v>OT CO2</v>
      </c>
      <c r="B51" s="14">
        <f ca="1">'Preventative costs A'!B51-'Preventative costs B'!B51</f>
        <v>0</v>
      </c>
      <c r="C51" s="14">
        <f ca="1">'Preventative costs A'!C51-'Preventative costs B'!C51</f>
        <v>0</v>
      </c>
      <c r="D51" s="14">
        <f ca="1">'Preventative costs A'!D51-'Preventative costs B'!D51</f>
        <v>0</v>
      </c>
      <c r="E51" s="14">
        <f ca="1">'Preventative costs A'!E51-'Preventative costs B'!E51</f>
        <v>0</v>
      </c>
      <c r="F51" s="14">
        <f ca="1">'Preventative costs A'!F51-'Preventative costs B'!F51</f>
        <v>0</v>
      </c>
      <c r="G51" s="14">
        <f ca="1">'Preventative costs A'!G51-'Preventative costs B'!G51</f>
        <v>0</v>
      </c>
      <c r="H51" s="14">
        <f ca="1">'Preventative costs A'!H51-'Preventative costs B'!H51</f>
        <v>0</v>
      </c>
      <c r="I51" s="14">
        <f ca="1">'Preventative costs A'!I51-'Preventative costs B'!I51</f>
        <v>0</v>
      </c>
      <c r="J51" s="14">
        <f ca="1">'Preventative costs A'!J51-'Preventative costs B'!J51</f>
        <v>0</v>
      </c>
      <c r="K51" s="14">
        <f ca="1">'Preventative costs A'!K51-'Preventative costs B'!K51</f>
        <v>0</v>
      </c>
      <c r="M51" s="4" t="str">
        <f>'Library data'!$G$131</f>
        <v>% relative to RCP8.5</v>
      </c>
    </row>
    <row r="52" spans="1:13" s="4" customFormat="1" x14ac:dyDescent="0.2">
      <c r="A52" s="4" t="str">
        <v>EE CO2</v>
      </c>
      <c r="B52" s="14">
        <f ca="1">'Preventative costs A'!B52-'Preventative costs B'!B52</f>
        <v>0</v>
      </c>
      <c r="C52" s="14">
        <f ca="1">'Preventative costs A'!C52-'Preventative costs B'!C52</f>
        <v>0</v>
      </c>
      <c r="D52" s="14">
        <f ca="1">'Preventative costs A'!D52-'Preventative costs B'!D52</f>
        <v>0</v>
      </c>
      <c r="E52" s="14">
        <f ca="1">'Preventative costs A'!E52-'Preventative costs B'!E52</f>
        <v>0</v>
      </c>
      <c r="F52" s="14">
        <f ca="1">'Preventative costs A'!F52-'Preventative costs B'!F52</f>
        <v>0</v>
      </c>
      <c r="G52" s="14">
        <f ca="1">'Preventative costs A'!G52-'Preventative costs B'!G52</f>
        <v>0</v>
      </c>
      <c r="H52" s="14">
        <f ca="1">'Preventative costs A'!H52-'Preventative costs B'!H52</f>
        <v>0</v>
      </c>
      <c r="I52" s="14">
        <f ca="1">'Preventative costs A'!I52-'Preventative costs B'!I52</f>
        <v>0</v>
      </c>
      <c r="J52" s="14">
        <f ca="1">'Preventative costs A'!J52-'Preventative costs B'!J52</f>
        <v>0</v>
      </c>
      <c r="K52" s="14">
        <f ca="1">'Preventative costs A'!K52-'Preventative costs B'!K52</f>
        <v>0</v>
      </c>
      <c r="M52" s="4" t="str">
        <f>'Library data'!$G$131</f>
        <v>% relative to RCP8.5</v>
      </c>
    </row>
    <row r="53" spans="1:13" s="4" customFormat="1" x14ac:dyDescent="0.2">
      <c r="A53" s="4" t="str">
        <v>CA CO2</v>
      </c>
      <c r="B53" s="14">
        <f ca="1">'Preventative costs A'!B53-'Preventative costs B'!B53</f>
        <v>0</v>
      </c>
      <c r="C53" s="14">
        <f ca="1">'Preventative costs A'!C53-'Preventative costs B'!C53</f>
        <v>0</v>
      </c>
      <c r="D53" s="14">
        <f ca="1">'Preventative costs A'!D53-'Preventative costs B'!D53</f>
        <v>0</v>
      </c>
      <c r="E53" s="14">
        <f ca="1">'Preventative costs A'!E53-'Preventative costs B'!E53</f>
        <v>0</v>
      </c>
      <c r="F53" s="14">
        <f ca="1">'Preventative costs A'!F53-'Preventative costs B'!F53</f>
        <v>0</v>
      </c>
      <c r="G53" s="14">
        <f ca="1">'Preventative costs A'!G53-'Preventative costs B'!G53</f>
        <v>0</v>
      </c>
      <c r="H53" s="14">
        <f ca="1">'Preventative costs A'!H53-'Preventative costs B'!H53</f>
        <v>0</v>
      </c>
      <c r="I53" s="14">
        <f ca="1">'Preventative costs A'!I53-'Preventative costs B'!I53</f>
        <v>0</v>
      </c>
      <c r="J53" s="14">
        <f ca="1">'Preventative costs A'!J53-'Preventative costs B'!J53</f>
        <v>0</v>
      </c>
      <c r="K53" s="14">
        <f ca="1">'Preventative costs A'!K53-'Preventative costs B'!K53</f>
        <v>0</v>
      </c>
      <c r="M53" s="4" t="str">
        <f>'Library data'!$G$131</f>
        <v>% relative to RCP8.5</v>
      </c>
    </row>
    <row r="54" spans="1:13" s="4" customFormat="1" x14ac:dyDescent="0.2">
      <c r="A54" s="4" t="str">
        <v>IA CO2</v>
      </c>
      <c r="B54" s="14">
        <f ca="1">'Preventative costs A'!B54-'Preventative costs B'!B54</f>
        <v>0</v>
      </c>
      <c r="C54" s="14">
        <f ca="1">'Preventative costs A'!C54-'Preventative costs B'!C54</f>
        <v>0</v>
      </c>
      <c r="D54" s="14">
        <f ca="1">'Preventative costs A'!D54-'Preventative costs B'!D54</f>
        <v>0</v>
      </c>
      <c r="E54" s="14">
        <f ca="1">'Preventative costs A'!E54-'Preventative costs B'!E54</f>
        <v>0</v>
      </c>
      <c r="F54" s="14">
        <f ca="1">'Preventative costs A'!F54-'Preventative costs B'!F54</f>
        <v>0</v>
      </c>
      <c r="G54" s="14">
        <f ca="1">'Preventative costs A'!G54-'Preventative costs B'!G54</f>
        <v>0</v>
      </c>
      <c r="H54" s="14">
        <f ca="1">'Preventative costs A'!H54-'Preventative costs B'!H54</f>
        <v>0</v>
      </c>
      <c r="I54" s="14">
        <f ca="1">'Preventative costs A'!I54-'Preventative costs B'!I54</f>
        <v>0</v>
      </c>
      <c r="J54" s="14">
        <f ca="1">'Preventative costs A'!J54-'Preventative costs B'!J54</f>
        <v>0</v>
      </c>
      <c r="K54" s="14">
        <f ca="1">'Preventative costs A'!K54-'Preventative costs B'!K54</f>
        <v>0</v>
      </c>
      <c r="M54" s="4" t="str">
        <f>'Library data'!$G$131</f>
        <v>% relative to RCP8.5</v>
      </c>
    </row>
    <row r="55" spans="1:13" s="4" customFormat="1" x14ac:dyDescent="0.2">
      <c r="A55" s="4" t="str">
        <v>AF CO2</v>
      </c>
      <c r="B55" s="14">
        <f ca="1">'Preventative costs A'!B55-'Preventative costs B'!B55</f>
        <v>0</v>
      </c>
      <c r="C55" s="14">
        <f ca="1">'Preventative costs A'!C55-'Preventative costs B'!C55</f>
        <v>0</v>
      </c>
      <c r="D55" s="14">
        <f ca="1">'Preventative costs A'!D55-'Preventative costs B'!D55</f>
        <v>0</v>
      </c>
      <c r="E55" s="14">
        <f ca="1">'Preventative costs A'!E55-'Preventative costs B'!E55</f>
        <v>0</v>
      </c>
      <c r="F55" s="14">
        <f ca="1">'Preventative costs A'!F55-'Preventative costs B'!F55</f>
        <v>0</v>
      </c>
      <c r="G55" s="14">
        <f ca="1">'Preventative costs A'!G55-'Preventative costs B'!G55</f>
        <v>0</v>
      </c>
      <c r="H55" s="14">
        <f ca="1">'Preventative costs A'!H55-'Preventative costs B'!H55</f>
        <v>0</v>
      </c>
      <c r="I55" s="14">
        <f ca="1">'Preventative costs A'!I55-'Preventative costs B'!I55</f>
        <v>0</v>
      </c>
      <c r="J55" s="14">
        <f ca="1">'Preventative costs A'!J55-'Preventative costs B'!J55</f>
        <v>0</v>
      </c>
      <c r="K55" s="14">
        <f ca="1">'Preventative costs A'!K55-'Preventative costs B'!K55</f>
        <v>0</v>
      </c>
      <c r="M55" s="4" t="str">
        <f>'Library data'!$G$131</f>
        <v>% relative to RCP8.5</v>
      </c>
    </row>
    <row r="56" spans="1:13" s="4" customFormat="1" ht="13.5" thickBot="1" x14ac:dyDescent="0.25">
      <c r="A56" s="4" t="str">
        <v>LA CO2</v>
      </c>
      <c r="B56" s="16">
        <f ca="1">'Preventative costs A'!B56-'Preventative costs B'!B56</f>
        <v>0</v>
      </c>
      <c r="C56" s="16">
        <f ca="1">'Preventative costs A'!C56-'Preventative costs B'!C56</f>
        <v>0</v>
      </c>
      <c r="D56" s="16">
        <f ca="1">'Preventative costs A'!D56-'Preventative costs B'!D56</f>
        <v>0</v>
      </c>
      <c r="E56" s="16">
        <f ca="1">'Preventative costs A'!E56-'Preventative costs B'!E56</f>
        <v>0</v>
      </c>
      <c r="F56" s="16">
        <f ca="1">'Preventative costs A'!F56-'Preventative costs B'!F56</f>
        <v>0</v>
      </c>
      <c r="G56" s="16">
        <f ca="1">'Preventative costs A'!G56-'Preventative costs B'!G56</f>
        <v>0</v>
      </c>
      <c r="H56" s="16">
        <f ca="1">'Preventative costs A'!H56-'Preventative costs B'!H56</f>
        <v>0</v>
      </c>
      <c r="I56" s="16">
        <f ca="1">'Preventative costs A'!I56-'Preventative costs B'!I56</f>
        <v>0</v>
      </c>
      <c r="J56" s="16">
        <f ca="1">'Preventative costs A'!J56-'Preventative costs B'!J56</f>
        <v>0</v>
      </c>
      <c r="K56" s="16">
        <f ca="1">'Preventative costs A'!K56-'Preventative costs B'!K56</f>
        <v>0</v>
      </c>
      <c r="M56" s="4" t="str">
        <f>'Library data'!$G$131</f>
        <v>% relative to RCP8.5</v>
      </c>
    </row>
    <row r="57" spans="1:13" s="5" customFormat="1" ht="15" thickTop="1" x14ac:dyDescent="0.25">
      <c r="A57" s="5" t="s">
        <v>100</v>
      </c>
      <c r="B57" s="5" t="s">
        <v>102</v>
      </c>
    </row>
    <row r="58" spans="1:13" s="4" customFormat="1" x14ac:dyDescent="0.2">
      <c r="A58" s="4" t="str">
        <f t="array" ref="A58:A65">R_CODE&amp;" "&amp;'Base data'!$C$12</f>
        <v>EU CH4</v>
      </c>
      <c r="B58" s="12">
        <f ca="1">'Preventative costs A'!B58-'Preventative costs B'!B58</f>
        <v>0</v>
      </c>
      <c r="C58" s="12">
        <f ca="1">'Preventative costs A'!C58-'Preventative costs B'!C58</f>
        <v>0</v>
      </c>
      <c r="D58" s="12">
        <f ca="1">'Preventative costs A'!D58-'Preventative costs B'!D58</f>
        <v>0</v>
      </c>
      <c r="E58" s="12">
        <f ca="1">'Preventative costs A'!E58-'Preventative costs B'!E58</f>
        <v>0</v>
      </c>
      <c r="F58" s="12">
        <f ca="1">'Preventative costs A'!F58-'Preventative costs B'!F58</f>
        <v>0</v>
      </c>
      <c r="G58" s="12">
        <f ca="1">'Preventative costs A'!G58-'Preventative costs B'!G58</f>
        <v>0</v>
      </c>
      <c r="H58" s="12">
        <f ca="1">'Preventative costs A'!H58-'Preventative costs B'!H58</f>
        <v>0</v>
      </c>
      <c r="I58" s="12">
        <f ca="1">'Preventative costs A'!I58-'Preventative costs B'!I58</f>
        <v>0</v>
      </c>
      <c r="J58" s="12">
        <f ca="1">'Preventative costs A'!J58-'Preventative costs B'!J58</f>
        <v>0</v>
      </c>
      <c r="K58" s="12">
        <f ca="1">'Preventative costs A'!K58-'Preventative costs B'!K58</f>
        <v>0</v>
      </c>
      <c r="M58" s="4" t="str">
        <f>'Library data'!$G$138</f>
        <v>% relative to RCP8.5</v>
      </c>
    </row>
    <row r="59" spans="1:13" s="4" customFormat="1" x14ac:dyDescent="0.2">
      <c r="A59" s="4" t="str">
        <v>US CH4</v>
      </c>
      <c r="B59" s="14">
        <f ca="1">'Preventative costs A'!B59-'Preventative costs B'!B59</f>
        <v>0</v>
      </c>
      <c r="C59" s="14">
        <f ca="1">'Preventative costs A'!C59-'Preventative costs B'!C59</f>
        <v>0</v>
      </c>
      <c r="D59" s="14">
        <f ca="1">'Preventative costs A'!D59-'Preventative costs B'!D59</f>
        <v>0</v>
      </c>
      <c r="E59" s="14">
        <f ca="1">'Preventative costs A'!E59-'Preventative costs B'!E59</f>
        <v>0</v>
      </c>
      <c r="F59" s="14">
        <f ca="1">'Preventative costs A'!F59-'Preventative costs B'!F59</f>
        <v>0</v>
      </c>
      <c r="G59" s="14">
        <f ca="1">'Preventative costs A'!G59-'Preventative costs B'!G59</f>
        <v>0</v>
      </c>
      <c r="H59" s="14">
        <f ca="1">'Preventative costs A'!H59-'Preventative costs B'!H59</f>
        <v>0</v>
      </c>
      <c r="I59" s="14">
        <f ca="1">'Preventative costs A'!I59-'Preventative costs B'!I59</f>
        <v>0</v>
      </c>
      <c r="J59" s="14">
        <f ca="1">'Preventative costs A'!J59-'Preventative costs B'!J59</f>
        <v>0</v>
      </c>
      <c r="K59" s="14">
        <f ca="1">'Preventative costs A'!K59-'Preventative costs B'!K59</f>
        <v>0</v>
      </c>
      <c r="M59" s="4" t="str">
        <f>'Library data'!$G$138</f>
        <v>% relative to RCP8.5</v>
      </c>
    </row>
    <row r="60" spans="1:13" s="4" customFormat="1" x14ac:dyDescent="0.2">
      <c r="A60" s="4" t="str">
        <v>OT CH4</v>
      </c>
      <c r="B60" s="14">
        <f ca="1">'Preventative costs A'!B60-'Preventative costs B'!B60</f>
        <v>0</v>
      </c>
      <c r="C60" s="14">
        <f ca="1">'Preventative costs A'!C60-'Preventative costs B'!C60</f>
        <v>0</v>
      </c>
      <c r="D60" s="14">
        <f ca="1">'Preventative costs A'!D60-'Preventative costs B'!D60</f>
        <v>0</v>
      </c>
      <c r="E60" s="14">
        <f ca="1">'Preventative costs A'!E60-'Preventative costs B'!E60</f>
        <v>0</v>
      </c>
      <c r="F60" s="14">
        <f ca="1">'Preventative costs A'!F60-'Preventative costs B'!F60</f>
        <v>0</v>
      </c>
      <c r="G60" s="14">
        <f ca="1">'Preventative costs A'!G60-'Preventative costs B'!G60</f>
        <v>0</v>
      </c>
      <c r="H60" s="14">
        <f ca="1">'Preventative costs A'!H60-'Preventative costs B'!H60</f>
        <v>0</v>
      </c>
      <c r="I60" s="14">
        <f ca="1">'Preventative costs A'!I60-'Preventative costs B'!I60</f>
        <v>0</v>
      </c>
      <c r="J60" s="14">
        <f ca="1">'Preventative costs A'!J60-'Preventative costs B'!J60</f>
        <v>0</v>
      </c>
      <c r="K60" s="14">
        <f ca="1">'Preventative costs A'!K60-'Preventative costs B'!K60</f>
        <v>0</v>
      </c>
      <c r="M60" s="4" t="str">
        <f>'Library data'!$G$138</f>
        <v>% relative to RCP8.5</v>
      </c>
    </row>
    <row r="61" spans="1:13" s="4" customFormat="1" x14ac:dyDescent="0.2">
      <c r="A61" s="4" t="str">
        <v>EE CH4</v>
      </c>
      <c r="B61" s="14">
        <f ca="1">'Preventative costs A'!B61-'Preventative costs B'!B61</f>
        <v>0</v>
      </c>
      <c r="C61" s="14">
        <f ca="1">'Preventative costs A'!C61-'Preventative costs B'!C61</f>
        <v>0</v>
      </c>
      <c r="D61" s="14">
        <f ca="1">'Preventative costs A'!D61-'Preventative costs B'!D61</f>
        <v>0</v>
      </c>
      <c r="E61" s="14">
        <f ca="1">'Preventative costs A'!E61-'Preventative costs B'!E61</f>
        <v>0</v>
      </c>
      <c r="F61" s="14">
        <f ca="1">'Preventative costs A'!F61-'Preventative costs B'!F61</f>
        <v>0</v>
      </c>
      <c r="G61" s="14">
        <f ca="1">'Preventative costs A'!G61-'Preventative costs B'!G61</f>
        <v>0</v>
      </c>
      <c r="H61" s="14">
        <f ca="1">'Preventative costs A'!H61-'Preventative costs B'!H61</f>
        <v>0</v>
      </c>
      <c r="I61" s="14">
        <f ca="1">'Preventative costs A'!I61-'Preventative costs B'!I61</f>
        <v>0</v>
      </c>
      <c r="J61" s="14">
        <f ca="1">'Preventative costs A'!J61-'Preventative costs B'!J61</f>
        <v>0</v>
      </c>
      <c r="K61" s="14">
        <f ca="1">'Preventative costs A'!K61-'Preventative costs B'!K61</f>
        <v>0</v>
      </c>
      <c r="M61" s="4" t="str">
        <f>'Library data'!$G$138</f>
        <v>% relative to RCP8.5</v>
      </c>
    </row>
    <row r="62" spans="1:13" s="4" customFormat="1" x14ac:dyDescent="0.2">
      <c r="A62" s="4" t="str">
        <v>CA CH4</v>
      </c>
      <c r="B62" s="14">
        <f ca="1">'Preventative costs A'!B62-'Preventative costs B'!B62</f>
        <v>0</v>
      </c>
      <c r="C62" s="14">
        <f ca="1">'Preventative costs A'!C62-'Preventative costs B'!C62</f>
        <v>0</v>
      </c>
      <c r="D62" s="14">
        <f ca="1">'Preventative costs A'!D62-'Preventative costs B'!D62</f>
        <v>0</v>
      </c>
      <c r="E62" s="14">
        <f ca="1">'Preventative costs A'!E62-'Preventative costs B'!E62</f>
        <v>0</v>
      </c>
      <c r="F62" s="14">
        <f ca="1">'Preventative costs A'!F62-'Preventative costs B'!F62</f>
        <v>0</v>
      </c>
      <c r="G62" s="14">
        <f ca="1">'Preventative costs A'!G62-'Preventative costs B'!G62</f>
        <v>0</v>
      </c>
      <c r="H62" s="14">
        <f ca="1">'Preventative costs A'!H62-'Preventative costs B'!H62</f>
        <v>0</v>
      </c>
      <c r="I62" s="14">
        <f ca="1">'Preventative costs A'!I62-'Preventative costs B'!I62</f>
        <v>0</v>
      </c>
      <c r="J62" s="14">
        <f ca="1">'Preventative costs A'!J62-'Preventative costs B'!J62</f>
        <v>0</v>
      </c>
      <c r="K62" s="14">
        <f ca="1">'Preventative costs A'!K62-'Preventative costs B'!K62</f>
        <v>0</v>
      </c>
      <c r="M62" s="4" t="str">
        <f>'Library data'!$G$138</f>
        <v>% relative to RCP8.5</v>
      </c>
    </row>
    <row r="63" spans="1:13" s="4" customFormat="1" x14ac:dyDescent="0.2">
      <c r="A63" s="4" t="str">
        <v>IA CH4</v>
      </c>
      <c r="B63" s="14">
        <f ca="1">'Preventative costs A'!B63-'Preventative costs B'!B63</f>
        <v>0</v>
      </c>
      <c r="C63" s="14">
        <f ca="1">'Preventative costs A'!C63-'Preventative costs B'!C63</f>
        <v>0</v>
      </c>
      <c r="D63" s="14">
        <f ca="1">'Preventative costs A'!D63-'Preventative costs B'!D63</f>
        <v>0</v>
      </c>
      <c r="E63" s="14">
        <f ca="1">'Preventative costs A'!E63-'Preventative costs B'!E63</f>
        <v>0</v>
      </c>
      <c r="F63" s="14">
        <f ca="1">'Preventative costs A'!F63-'Preventative costs B'!F63</f>
        <v>0</v>
      </c>
      <c r="G63" s="14">
        <f ca="1">'Preventative costs A'!G63-'Preventative costs B'!G63</f>
        <v>0</v>
      </c>
      <c r="H63" s="14">
        <f ca="1">'Preventative costs A'!H63-'Preventative costs B'!H63</f>
        <v>0</v>
      </c>
      <c r="I63" s="14">
        <f ca="1">'Preventative costs A'!I63-'Preventative costs B'!I63</f>
        <v>0</v>
      </c>
      <c r="J63" s="14">
        <f ca="1">'Preventative costs A'!J63-'Preventative costs B'!J63</f>
        <v>0</v>
      </c>
      <c r="K63" s="14">
        <f ca="1">'Preventative costs A'!K63-'Preventative costs B'!K63</f>
        <v>0</v>
      </c>
      <c r="M63" s="4" t="str">
        <f>'Library data'!$G$138</f>
        <v>% relative to RCP8.5</v>
      </c>
    </row>
    <row r="64" spans="1:13" s="4" customFormat="1" x14ac:dyDescent="0.2">
      <c r="A64" s="4" t="str">
        <v>AF CH4</v>
      </c>
      <c r="B64" s="14">
        <f ca="1">'Preventative costs A'!B64-'Preventative costs B'!B64</f>
        <v>0</v>
      </c>
      <c r="C64" s="14">
        <f ca="1">'Preventative costs A'!C64-'Preventative costs B'!C64</f>
        <v>0</v>
      </c>
      <c r="D64" s="14">
        <f ca="1">'Preventative costs A'!D64-'Preventative costs B'!D64</f>
        <v>0</v>
      </c>
      <c r="E64" s="14">
        <f ca="1">'Preventative costs A'!E64-'Preventative costs B'!E64</f>
        <v>0</v>
      </c>
      <c r="F64" s="14">
        <f ca="1">'Preventative costs A'!F64-'Preventative costs B'!F64</f>
        <v>0</v>
      </c>
      <c r="G64" s="14">
        <f ca="1">'Preventative costs A'!G64-'Preventative costs B'!G64</f>
        <v>0</v>
      </c>
      <c r="H64" s="14">
        <f ca="1">'Preventative costs A'!H64-'Preventative costs B'!H64</f>
        <v>0</v>
      </c>
      <c r="I64" s="14">
        <f ca="1">'Preventative costs A'!I64-'Preventative costs B'!I64</f>
        <v>0</v>
      </c>
      <c r="J64" s="14">
        <f ca="1">'Preventative costs A'!J64-'Preventative costs B'!J64</f>
        <v>0</v>
      </c>
      <c r="K64" s="14">
        <f ca="1">'Preventative costs A'!K64-'Preventative costs B'!K64</f>
        <v>0</v>
      </c>
      <c r="M64" s="4" t="str">
        <f>'Library data'!$G$138</f>
        <v>% relative to RCP8.5</v>
      </c>
    </row>
    <row r="65" spans="1:13" s="4" customFormat="1" ht="13.5" thickBot="1" x14ac:dyDescent="0.25">
      <c r="A65" s="4" t="str">
        <v>LA CH4</v>
      </c>
      <c r="B65" s="16">
        <f ca="1">'Preventative costs A'!B65-'Preventative costs B'!B65</f>
        <v>0</v>
      </c>
      <c r="C65" s="16">
        <f ca="1">'Preventative costs A'!C65-'Preventative costs B'!C65</f>
        <v>0</v>
      </c>
      <c r="D65" s="16">
        <f ca="1">'Preventative costs A'!D65-'Preventative costs B'!D65</f>
        <v>0</v>
      </c>
      <c r="E65" s="16">
        <f ca="1">'Preventative costs A'!E65-'Preventative costs B'!E65</f>
        <v>0</v>
      </c>
      <c r="F65" s="16">
        <f ca="1">'Preventative costs A'!F65-'Preventative costs B'!F65</f>
        <v>0</v>
      </c>
      <c r="G65" s="16">
        <f ca="1">'Preventative costs A'!G65-'Preventative costs B'!G65</f>
        <v>0</v>
      </c>
      <c r="H65" s="16">
        <f ca="1">'Preventative costs A'!H65-'Preventative costs B'!H65</f>
        <v>0</v>
      </c>
      <c r="I65" s="16">
        <f ca="1">'Preventative costs A'!I65-'Preventative costs B'!I65</f>
        <v>0</v>
      </c>
      <c r="J65" s="16">
        <f ca="1">'Preventative costs A'!J65-'Preventative costs B'!J65</f>
        <v>0</v>
      </c>
      <c r="K65" s="16">
        <f ca="1">'Preventative costs A'!K65-'Preventative costs B'!K65</f>
        <v>0</v>
      </c>
      <c r="M65" s="4" t="str">
        <f>'Library data'!$G$138</f>
        <v>% relative to RCP8.5</v>
      </c>
    </row>
    <row r="66" spans="1:13" s="5" customFormat="1" ht="15" thickTop="1" x14ac:dyDescent="0.25">
      <c r="A66" s="5" t="s">
        <v>100</v>
      </c>
      <c r="B66" s="5" t="s">
        <v>125</v>
      </c>
    </row>
    <row r="67" spans="1:13" s="4" customFormat="1" x14ac:dyDescent="0.2">
      <c r="A67" s="4" t="str">
        <f t="array" ref="A67:A74">R_CODE&amp;" "&amp;'Base data'!$D$12</f>
        <v>EU N2O</v>
      </c>
      <c r="B67" s="12">
        <f ca="1">'Preventative costs A'!B67-'Preventative costs B'!B67</f>
        <v>0</v>
      </c>
      <c r="C67" s="12">
        <f ca="1">'Preventative costs A'!C67-'Preventative costs B'!C67</f>
        <v>0</v>
      </c>
      <c r="D67" s="12">
        <f ca="1">'Preventative costs A'!D67-'Preventative costs B'!D67</f>
        <v>0</v>
      </c>
      <c r="E67" s="12">
        <f ca="1">'Preventative costs A'!E67-'Preventative costs B'!E67</f>
        <v>0</v>
      </c>
      <c r="F67" s="12">
        <f ca="1">'Preventative costs A'!F67-'Preventative costs B'!F67</f>
        <v>0</v>
      </c>
      <c r="G67" s="12">
        <f ca="1">'Preventative costs A'!G67-'Preventative costs B'!G67</f>
        <v>0</v>
      </c>
      <c r="H67" s="12">
        <f ca="1">'Preventative costs A'!H67-'Preventative costs B'!H67</f>
        <v>0</v>
      </c>
      <c r="I67" s="12">
        <f ca="1">'Preventative costs A'!I67-'Preventative costs B'!I67</f>
        <v>0</v>
      </c>
      <c r="J67" s="12">
        <f ca="1">'Preventative costs A'!J67-'Preventative costs B'!J67</f>
        <v>0</v>
      </c>
      <c r="K67" s="12">
        <f ca="1">'Preventative costs A'!K67-'Preventative costs B'!K67</f>
        <v>0</v>
      </c>
      <c r="M67" s="4" t="str">
        <f>'Library data'!$G$138</f>
        <v>% relative to RCP8.5</v>
      </c>
    </row>
    <row r="68" spans="1:13" s="4" customFormat="1" x14ac:dyDescent="0.2">
      <c r="A68" s="4" t="str">
        <v>US N2O</v>
      </c>
      <c r="B68" s="14">
        <f ca="1">'Preventative costs A'!B68-'Preventative costs B'!B68</f>
        <v>0</v>
      </c>
      <c r="C68" s="14">
        <f ca="1">'Preventative costs A'!C68-'Preventative costs B'!C68</f>
        <v>0</v>
      </c>
      <c r="D68" s="14">
        <f ca="1">'Preventative costs A'!D68-'Preventative costs B'!D68</f>
        <v>0</v>
      </c>
      <c r="E68" s="14">
        <f ca="1">'Preventative costs A'!E68-'Preventative costs B'!E68</f>
        <v>0</v>
      </c>
      <c r="F68" s="14">
        <f ca="1">'Preventative costs A'!F68-'Preventative costs B'!F68</f>
        <v>0</v>
      </c>
      <c r="G68" s="14">
        <f ca="1">'Preventative costs A'!G68-'Preventative costs B'!G68</f>
        <v>0</v>
      </c>
      <c r="H68" s="14">
        <f ca="1">'Preventative costs A'!H68-'Preventative costs B'!H68</f>
        <v>0</v>
      </c>
      <c r="I68" s="14">
        <f ca="1">'Preventative costs A'!I68-'Preventative costs B'!I68</f>
        <v>0</v>
      </c>
      <c r="J68" s="14">
        <f ca="1">'Preventative costs A'!J68-'Preventative costs B'!J68</f>
        <v>0</v>
      </c>
      <c r="K68" s="14">
        <f ca="1">'Preventative costs A'!K68-'Preventative costs B'!K68</f>
        <v>0</v>
      </c>
      <c r="M68" s="4" t="str">
        <f>'Library data'!$G$138</f>
        <v>% relative to RCP8.5</v>
      </c>
    </row>
    <row r="69" spans="1:13" s="4" customFormat="1" x14ac:dyDescent="0.2">
      <c r="A69" s="4" t="str">
        <v>OT N2O</v>
      </c>
      <c r="B69" s="14">
        <f ca="1">'Preventative costs A'!B69-'Preventative costs B'!B69</f>
        <v>0</v>
      </c>
      <c r="C69" s="14">
        <f ca="1">'Preventative costs A'!C69-'Preventative costs B'!C69</f>
        <v>0</v>
      </c>
      <c r="D69" s="14">
        <f ca="1">'Preventative costs A'!D69-'Preventative costs B'!D69</f>
        <v>0</v>
      </c>
      <c r="E69" s="14">
        <f ca="1">'Preventative costs A'!E69-'Preventative costs B'!E69</f>
        <v>0</v>
      </c>
      <c r="F69" s="14">
        <f ca="1">'Preventative costs A'!F69-'Preventative costs B'!F69</f>
        <v>0</v>
      </c>
      <c r="G69" s="14">
        <f ca="1">'Preventative costs A'!G69-'Preventative costs B'!G69</f>
        <v>0</v>
      </c>
      <c r="H69" s="14">
        <f ca="1">'Preventative costs A'!H69-'Preventative costs B'!H69</f>
        <v>0</v>
      </c>
      <c r="I69" s="14">
        <f ca="1">'Preventative costs A'!I69-'Preventative costs B'!I69</f>
        <v>0</v>
      </c>
      <c r="J69" s="14">
        <f ca="1">'Preventative costs A'!J69-'Preventative costs B'!J69</f>
        <v>0</v>
      </c>
      <c r="K69" s="14">
        <f ca="1">'Preventative costs A'!K69-'Preventative costs B'!K69</f>
        <v>0</v>
      </c>
      <c r="M69" s="4" t="str">
        <f>'Library data'!$G$138</f>
        <v>% relative to RCP8.5</v>
      </c>
    </row>
    <row r="70" spans="1:13" s="4" customFormat="1" x14ac:dyDescent="0.2">
      <c r="A70" s="4" t="str">
        <v>EE N2O</v>
      </c>
      <c r="B70" s="14">
        <f ca="1">'Preventative costs A'!B70-'Preventative costs B'!B70</f>
        <v>0</v>
      </c>
      <c r="C70" s="14">
        <f ca="1">'Preventative costs A'!C70-'Preventative costs B'!C70</f>
        <v>0</v>
      </c>
      <c r="D70" s="14">
        <f ca="1">'Preventative costs A'!D70-'Preventative costs B'!D70</f>
        <v>0</v>
      </c>
      <c r="E70" s="14">
        <f ca="1">'Preventative costs A'!E70-'Preventative costs B'!E70</f>
        <v>0</v>
      </c>
      <c r="F70" s="14">
        <f ca="1">'Preventative costs A'!F70-'Preventative costs B'!F70</f>
        <v>0</v>
      </c>
      <c r="G70" s="14">
        <f ca="1">'Preventative costs A'!G70-'Preventative costs B'!G70</f>
        <v>0</v>
      </c>
      <c r="H70" s="14">
        <f ca="1">'Preventative costs A'!H70-'Preventative costs B'!H70</f>
        <v>0</v>
      </c>
      <c r="I70" s="14">
        <f ca="1">'Preventative costs A'!I70-'Preventative costs B'!I70</f>
        <v>0</v>
      </c>
      <c r="J70" s="14">
        <f ca="1">'Preventative costs A'!J70-'Preventative costs B'!J70</f>
        <v>0</v>
      </c>
      <c r="K70" s="14">
        <f ca="1">'Preventative costs A'!K70-'Preventative costs B'!K70</f>
        <v>0</v>
      </c>
      <c r="M70" s="4" t="str">
        <f>'Library data'!$G$138</f>
        <v>% relative to RCP8.5</v>
      </c>
    </row>
    <row r="71" spans="1:13" s="4" customFormat="1" x14ac:dyDescent="0.2">
      <c r="A71" s="4" t="str">
        <v>CA N2O</v>
      </c>
      <c r="B71" s="14">
        <f ca="1">'Preventative costs A'!B71-'Preventative costs B'!B71</f>
        <v>0</v>
      </c>
      <c r="C71" s="14">
        <f ca="1">'Preventative costs A'!C71-'Preventative costs B'!C71</f>
        <v>0</v>
      </c>
      <c r="D71" s="14">
        <f ca="1">'Preventative costs A'!D71-'Preventative costs B'!D71</f>
        <v>0</v>
      </c>
      <c r="E71" s="14">
        <f ca="1">'Preventative costs A'!E71-'Preventative costs B'!E71</f>
        <v>0</v>
      </c>
      <c r="F71" s="14">
        <f ca="1">'Preventative costs A'!F71-'Preventative costs B'!F71</f>
        <v>0</v>
      </c>
      <c r="G71" s="14">
        <f ca="1">'Preventative costs A'!G71-'Preventative costs B'!G71</f>
        <v>0</v>
      </c>
      <c r="H71" s="14">
        <f ca="1">'Preventative costs A'!H71-'Preventative costs B'!H71</f>
        <v>0</v>
      </c>
      <c r="I71" s="14">
        <f ca="1">'Preventative costs A'!I71-'Preventative costs B'!I71</f>
        <v>0</v>
      </c>
      <c r="J71" s="14">
        <f ca="1">'Preventative costs A'!J71-'Preventative costs B'!J71</f>
        <v>0</v>
      </c>
      <c r="K71" s="14">
        <f ca="1">'Preventative costs A'!K71-'Preventative costs B'!K71</f>
        <v>0</v>
      </c>
      <c r="M71" s="4" t="str">
        <f>'Library data'!$G$138</f>
        <v>% relative to RCP8.5</v>
      </c>
    </row>
    <row r="72" spans="1:13" s="4" customFormat="1" x14ac:dyDescent="0.2">
      <c r="A72" s="4" t="str">
        <v>IA N2O</v>
      </c>
      <c r="B72" s="14">
        <f ca="1">'Preventative costs A'!B72-'Preventative costs B'!B72</f>
        <v>0</v>
      </c>
      <c r="C72" s="14">
        <f ca="1">'Preventative costs A'!C72-'Preventative costs B'!C72</f>
        <v>0</v>
      </c>
      <c r="D72" s="14">
        <f ca="1">'Preventative costs A'!D72-'Preventative costs B'!D72</f>
        <v>0</v>
      </c>
      <c r="E72" s="14">
        <f ca="1">'Preventative costs A'!E72-'Preventative costs B'!E72</f>
        <v>0</v>
      </c>
      <c r="F72" s="14">
        <f ca="1">'Preventative costs A'!F72-'Preventative costs B'!F72</f>
        <v>0</v>
      </c>
      <c r="G72" s="14">
        <f ca="1">'Preventative costs A'!G72-'Preventative costs B'!G72</f>
        <v>0</v>
      </c>
      <c r="H72" s="14">
        <f ca="1">'Preventative costs A'!H72-'Preventative costs B'!H72</f>
        <v>0</v>
      </c>
      <c r="I72" s="14">
        <f ca="1">'Preventative costs A'!I72-'Preventative costs B'!I72</f>
        <v>0</v>
      </c>
      <c r="J72" s="14">
        <f ca="1">'Preventative costs A'!J72-'Preventative costs B'!J72</f>
        <v>0</v>
      </c>
      <c r="K72" s="14">
        <f ca="1">'Preventative costs A'!K72-'Preventative costs B'!K72</f>
        <v>0</v>
      </c>
      <c r="M72" s="4" t="str">
        <f>'Library data'!$G$138</f>
        <v>% relative to RCP8.5</v>
      </c>
    </row>
    <row r="73" spans="1:13" s="4" customFormat="1" x14ac:dyDescent="0.2">
      <c r="A73" s="4" t="str">
        <v>AF N2O</v>
      </c>
      <c r="B73" s="14">
        <f ca="1">'Preventative costs A'!B73-'Preventative costs B'!B73</f>
        <v>0</v>
      </c>
      <c r="C73" s="14">
        <f ca="1">'Preventative costs A'!C73-'Preventative costs B'!C73</f>
        <v>0</v>
      </c>
      <c r="D73" s="14">
        <f ca="1">'Preventative costs A'!D73-'Preventative costs B'!D73</f>
        <v>0</v>
      </c>
      <c r="E73" s="14">
        <f ca="1">'Preventative costs A'!E73-'Preventative costs B'!E73</f>
        <v>0</v>
      </c>
      <c r="F73" s="14">
        <f ca="1">'Preventative costs A'!F73-'Preventative costs B'!F73</f>
        <v>0</v>
      </c>
      <c r="G73" s="14">
        <f ca="1">'Preventative costs A'!G73-'Preventative costs B'!G73</f>
        <v>0</v>
      </c>
      <c r="H73" s="14">
        <f ca="1">'Preventative costs A'!H73-'Preventative costs B'!H73</f>
        <v>0</v>
      </c>
      <c r="I73" s="14">
        <f ca="1">'Preventative costs A'!I73-'Preventative costs B'!I73</f>
        <v>0</v>
      </c>
      <c r="J73" s="14">
        <f ca="1">'Preventative costs A'!J73-'Preventative costs B'!J73</f>
        <v>0</v>
      </c>
      <c r="K73" s="14">
        <f ca="1">'Preventative costs A'!K73-'Preventative costs B'!K73</f>
        <v>0</v>
      </c>
      <c r="M73" s="4" t="str">
        <f>'Library data'!$G$138</f>
        <v>% relative to RCP8.5</v>
      </c>
    </row>
    <row r="74" spans="1:13" s="4" customFormat="1" ht="13.5" thickBot="1" x14ac:dyDescent="0.25">
      <c r="A74" s="4" t="str">
        <v>LA N2O</v>
      </c>
      <c r="B74" s="16">
        <f ca="1">'Preventative costs A'!B74-'Preventative costs B'!B74</f>
        <v>0</v>
      </c>
      <c r="C74" s="16">
        <f ca="1">'Preventative costs A'!C74-'Preventative costs B'!C74</f>
        <v>0</v>
      </c>
      <c r="D74" s="16">
        <f ca="1">'Preventative costs A'!D74-'Preventative costs B'!D74</f>
        <v>0</v>
      </c>
      <c r="E74" s="16">
        <f ca="1">'Preventative costs A'!E74-'Preventative costs B'!E74</f>
        <v>0</v>
      </c>
      <c r="F74" s="16">
        <f ca="1">'Preventative costs A'!F74-'Preventative costs B'!F74</f>
        <v>0</v>
      </c>
      <c r="G74" s="16">
        <f ca="1">'Preventative costs A'!G74-'Preventative costs B'!G74</f>
        <v>0</v>
      </c>
      <c r="H74" s="16">
        <f ca="1">'Preventative costs A'!H74-'Preventative costs B'!H74</f>
        <v>0</v>
      </c>
      <c r="I74" s="16">
        <f ca="1">'Preventative costs A'!I74-'Preventative costs B'!I74</f>
        <v>0</v>
      </c>
      <c r="J74" s="16">
        <f ca="1">'Preventative costs A'!J74-'Preventative costs B'!J74</f>
        <v>0</v>
      </c>
      <c r="K74" s="16">
        <f ca="1">'Preventative costs A'!K74-'Preventative costs B'!K74</f>
        <v>0</v>
      </c>
      <c r="M74" s="4" t="str">
        <f>'Library data'!$G$138</f>
        <v>% relative to RCP8.5</v>
      </c>
    </row>
    <row r="75" spans="1:13" s="5" customFormat="1" ht="15" thickTop="1" x14ac:dyDescent="0.25">
      <c r="A75" s="5" t="s">
        <v>100</v>
      </c>
      <c r="B75" s="5" t="s">
        <v>260</v>
      </c>
    </row>
    <row r="76" spans="1:13" s="4" customFormat="1" x14ac:dyDescent="0.2">
      <c r="A76" s="4" t="str">
        <f t="array" ref="A76:A83">R_CODE&amp;" "&amp;GLIN_NAME</f>
        <v>EU Lin</v>
      </c>
      <c r="B76" s="12">
        <f ca="1">'Preventative costs A'!B76-'Preventative costs B'!B76</f>
        <v>0</v>
      </c>
      <c r="C76" s="12">
        <f ca="1">'Preventative costs A'!C76-'Preventative costs B'!C76</f>
        <v>0</v>
      </c>
      <c r="D76" s="12">
        <f ca="1">'Preventative costs A'!D76-'Preventative costs B'!D76</f>
        <v>0</v>
      </c>
      <c r="E76" s="12">
        <f ca="1">'Preventative costs A'!E76-'Preventative costs B'!E76</f>
        <v>0</v>
      </c>
      <c r="F76" s="12">
        <f ca="1">'Preventative costs A'!F76-'Preventative costs B'!F76</f>
        <v>0</v>
      </c>
      <c r="G76" s="12">
        <f ca="1">'Preventative costs A'!G76-'Preventative costs B'!G76</f>
        <v>0</v>
      </c>
      <c r="H76" s="12">
        <f ca="1">'Preventative costs A'!H76-'Preventative costs B'!H76</f>
        <v>0</v>
      </c>
      <c r="I76" s="12">
        <f ca="1">'Preventative costs A'!I76-'Preventative costs B'!I76</f>
        <v>0</v>
      </c>
      <c r="J76" s="12">
        <f ca="1">'Preventative costs A'!J76-'Preventative costs B'!J76</f>
        <v>0</v>
      </c>
      <c r="K76" s="12">
        <f ca="1">'Preventative costs A'!K76-'Preventative costs B'!K76</f>
        <v>0</v>
      </c>
      <c r="M76" s="4" t="str">
        <f>'Library data'!$G$138</f>
        <v>% relative to RCP8.5</v>
      </c>
    </row>
    <row r="77" spans="1:13" s="4" customFormat="1" x14ac:dyDescent="0.2">
      <c r="A77" s="4" t="str">
        <v>US Lin</v>
      </c>
      <c r="B77" s="14">
        <f ca="1">'Preventative costs A'!B77-'Preventative costs B'!B77</f>
        <v>0</v>
      </c>
      <c r="C77" s="14">
        <f ca="1">'Preventative costs A'!C77-'Preventative costs B'!C77</f>
        <v>0</v>
      </c>
      <c r="D77" s="14">
        <f ca="1">'Preventative costs A'!D77-'Preventative costs B'!D77</f>
        <v>0</v>
      </c>
      <c r="E77" s="14">
        <f ca="1">'Preventative costs A'!E77-'Preventative costs B'!E77</f>
        <v>0</v>
      </c>
      <c r="F77" s="14">
        <f ca="1">'Preventative costs A'!F77-'Preventative costs B'!F77</f>
        <v>0</v>
      </c>
      <c r="G77" s="14">
        <f ca="1">'Preventative costs A'!G77-'Preventative costs B'!G77</f>
        <v>0</v>
      </c>
      <c r="H77" s="14">
        <f ca="1">'Preventative costs A'!H77-'Preventative costs B'!H77</f>
        <v>0</v>
      </c>
      <c r="I77" s="14">
        <f ca="1">'Preventative costs A'!I77-'Preventative costs B'!I77</f>
        <v>0</v>
      </c>
      <c r="J77" s="14">
        <f ca="1">'Preventative costs A'!J77-'Preventative costs B'!J77</f>
        <v>0</v>
      </c>
      <c r="K77" s="14">
        <f ca="1">'Preventative costs A'!K77-'Preventative costs B'!K77</f>
        <v>0</v>
      </c>
      <c r="M77" s="4" t="str">
        <f>'Library data'!$G$138</f>
        <v>% relative to RCP8.5</v>
      </c>
    </row>
    <row r="78" spans="1:13" s="4" customFormat="1" x14ac:dyDescent="0.2">
      <c r="A78" s="4" t="str">
        <v>OT Lin</v>
      </c>
      <c r="B78" s="14">
        <f ca="1">'Preventative costs A'!B78-'Preventative costs B'!B78</f>
        <v>0</v>
      </c>
      <c r="C78" s="14">
        <f ca="1">'Preventative costs A'!C78-'Preventative costs B'!C78</f>
        <v>0</v>
      </c>
      <c r="D78" s="14">
        <f ca="1">'Preventative costs A'!D78-'Preventative costs B'!D78</f>
        <v>0</v>
      </c>
      <c r="E78" s="14">
        <f ca="1">'Preventative costs A'!E78-'Preventative costs B'!E78</f>
        <v>0</v>
      </c>
      <c r="F78" s="14">
        <f ca="1">'Preventative costs A'!F78-'Preventative costs B'!F78</f>
        <v>0</v>
      </c>
      <c r="G78" s="14">
        <f ca="1">'Preventative costs A'!G78-'Preventative costs B'!G78</f>
        <v>0</v>
      </c>
      <c r="H78" s="14">
        <f ca="1">'Preventative costs A'!H78-'Preventative costs B'!H78</f>
        <v>0</v>
      </c>
      <c r="I78" s="14">
        <f ca="1">'Preventative costs A'!I78-'Preventative costs B'!I78</f>
        <v>0</v>
      </c>
      <c r="J78" s="14">
        <f ca="1">'Preventative costs A'!J78-'Preventative costs B'!J78</f>
        <v>0</v>
      </c>
      <c r="K78" s="14">
        <f ca="1">'Preventative costs A'!K78-'Preventative costs B'!K78</f>
        <v>0</v>
      </c>
      <c r="M78" s="4" t="str">
        <f>'Library data'!$G$138</f>
        <v>% relative to RCP8.5</v>
      </c>
    </row>
    <row r="79" spans="1:13" s="4" customFormat="1" x14ac:dyDescent="0.2">
      <c r="A79" s="4" t="str">
        <v>EE Lin</v>
      </c>
      <c r="B79" s="14">
        <f ca="1">'Preventative costs A'!B79-'Preventative costs B'!B79</f>
        <v>0</v>
      </c>
      <c r="C79" s="14">
        <f ca="1">'Preventative costs A'!C79-'Preventative costs B'!C79</f>
        <v>0</v>
      </c>
      <c r="D79" s="14">
        <f ca="1">'Preventative costs A'!D79-'Preventative costs B'!D79</f>
        <v>0</v>
      </c>
      <c r="E79" s="14">
        <f ca="1">'Preventative costs A'!E79-'Preventative costs B'!E79</f>
        <v>0</v>
      </c>
      <c r="F79" s="14">
        <f ca="1">'Preventative costs A'!F79-'Preventative costs B'!F79</f>
        <v>0</v>
      </c>
      <c r="G79" s="14">
        <f ca="1">'Preventative costs A'!G79-'Preventative costs B'!G79</f>
        <v>0</v>
      </c>
      <c r="H79" s="14">
        <f ca="1">'Preventative costs A'!H79-'Preventative costs B'!H79</f>
        <v>0</v>
      </c>
      <c r="I79" s="14">
        <f ca="1">'Preventative costs A'!I79-'Preventative costs B'!I79</f>
        <v>0</v>
      </c>
      <c r="J79" s="14">
        <f ca="1">'Preventative costs A'!J79-'Preventative costs B'!J79</f>
        <v>0</v>
      </c>
      <c r="K79" s="14">
        <f ca="1">'Preventative costs A'!K79-'Preventative costs B'!K79</f>
        <v>0</v>
      </c>
      <c r="M79" s="4" t="str">
        <f>'Library data'!$G$138</f>
        <v>% relative to RCP8.5</v>
      </c>
    </row>
    <row r="80" spans="1:13" s="4" customFormat="1" x14ac:dyDescent="0.2">
      <c r="A80" s="4" t="str">
        <v>CA Lin</v>
      </c>
      <c r="B80" s="14">
        <f ca="1">'Preventative costs A'!B80-'Preventative costs B'!B80</f>
        <v>0</v>
      </c>
      <c r="C80" s="14">
        <f ca="1">'Preventative costs A'!C80-'Preventative costs B'!C80</f>
        <v>0</v>
      </c>
      <c r="D80" s="14">
        <f ca="1">'Preventative costs A'!D80-'Preventative costs B'!D80</f>
        <v>0</v>
      </c>
      <c r="E80" s="14">
        <f ca="1">'Preventative costs A'!E80-'Preventative costs B'!E80</f>
        <v>0</v>
      </c>
      <c r="F80" s="14">
        <f ca="1">'Preventative costs A'!F80-'Preventative costs B'!F80</f>
        <v>0</v>
      </c>
      <c r="G80" s="14">
        <f ca="1">'Preventative costs A'!G80-'Preventative costs B'!G80</f>
        <v>0</v>
      </c>
      <c r="H80" s="14">
        <f ca="1">'Preventative costs A'!H80-'Preventative costs B'!H80</f>
        <v>0</v>
      </c>
      <c r="I80" s="14">
        <f ca="1">'Preventative costs A'!I80-'Preventative costs B'!I80</f>
        <v>0</v>
      </c>
      <c r="J80" s="14">
        <f ca="1">'Preventative costs A'!J80-'Preventative costs B'!J80</f>
        <v>0</v>
      </c>
      <c r="K80" s="14">
        <f ca="1">'Preventative costs A'!K80-'Preventative costs B'!K80</f>
        <v>0</v>
      </c>
      <c r="M80" s="4" t="str">
        <f>'Library data'!$G$138</f>
        <v>% relative to RCP8.5</v>
      </c>
    </row>
    <row r="81" spans="1:13" s="4" customFormat="1" x14ac:dyDescent="0.2">
      <c r="A81" s="4" t="str">
        <v>IA Lin</v>
      </c>
      <c r="B81" s="14">
        <f ca="1">'Preventative costs A'!B81-'Preventative costs B'!B81</f>
        <v>0</v>
      </c>
      <c r="C81" s="14">
        <f ca="1">'Preventative costs A'!C81-'Preventative costs B'!C81</f>
        <v>0</v>
      </c>
      <c r="D81" s="14">
        <f ca="1">'Preventative costs A'!D81-'Preventative costs B'!D81</f>
        <v>0</v>
      </c>
      <c r="E81" s="14">
        <f ca="1">'Preventative costs A'!E81-'Preventative costs B'!E81</f>
        <v>0</v>
      </c>
      <c r="F81" s="14">
        <f ca="1">'Preventative costs A'!F81-'Preventative costs B'!F81</f>
        <v>0</v>
      </c>
      <c r="G81" s="14">
        <f ca="1">'Preventative costs A'!G81-'Preventative costs B'!G81</f>
        <v>0</v>
      </c>
      <c r="H81" s="14">
        <f ca="1">'Preventative costs A'!H81-'Preventative costs B'!H81</f>
        <v>0</v>
      </c>
      <c r="I81" s="14">
        <f ca="1">'Preventative costs A'!I81-'Preventative costs B'!I81</f>
        <v>0</v>
      </c>
      <c r="J81" s="14">
        <f ca="1">'Preventative costs A'!J81-'Preventative costs B'!J81</f>
        <v>0</v>
      </c>
      <c r="K81" s="14">
        <f ca="1">'Preventative costs A'!K81-'Preventative costs B'!K81</f>
        <v>0</v>
      </c>
      <c r="M81" s="4" t="str">
        <f>'Library data'!$G$138</f>
        <v>% relative to RCP8.5</v>
      </c>
    </row>
    <row r="82" spans="1:13" s="4" customFormat="1" x14ac:dyDescent="0.2">
      <c r="A82" s="4" t="str">
        <v>AF Lin</v>
      </c>
      <c r="B82" s="14">
        <f ca="1">'Preventative costs A'!B82-'Preventative costs B'!B82</f>
        <v>0</v>
      </c>
      <c r="C82" s="14">
        <f ca="1">'Preventative costs A'!C82-'Preventative costs B'!C82</f>
        <v>0</v>
      </c>
      <c r="D82" s="14">
        <f ca="1">'Preventative costs A'!D82-'Preventative costs B'!D82</f>
        <v>0</v>
      </c>
      <c r="E82" s="14">
        <f ca="1">'Preventative costs A'!E82-'Preventative costs B'!E82</f>
        <v>0</v>
      </c>
      <c r="F82" s="14">
        <f ca="1">'Preventative costs A'!F82-'Preventative costs B'!F82</f>
        <v>0</v>
      </c>
      <c r="G82" s="14">
        <f ca="1">'Preventative costs A'!G82-'Preventative costs B'!G82</f>
        <v>0</v>
      </c>
      <c r="H82" s="14">
        <f ca="1">'Preventative costs A'!H82-'Preventative costs B'!H82</f>
        <v>0</v>
      </c>
      <c r="I82" s="14">
        <f ca="1">'Preventative costs A'!I82-'Preventative costs B'!I82</f>
        <v>0</v>
      </c>
      <c r="J82" s="14">
        <f ca="1">'Preventative costs A'!J82-'Preventative costs B'!J82</f>
        <v>0</v>
      </c>
      <c r="K82" s="14">
        <f ca="1">'Preventative costs A'!K82-'Preventative costs B'!K82</f>
        <v>0</v>
      </c>
      <c r="M82" s="4" t="str">
        <f>'Library data'!$G$138</f>
        <v>% relative to RCP8.5</v>
      </c>
    </row>
    <row r="83" spans="1:13" s="4" customFormat="1" ht="13.5" thickBot="1" x14ac:dyDescent="0.25">
      <c r="A83" s="4" t="str">
        <v>LA Lin</v>
      </c>
      <c r="B83" s="16">
        <f ca="1">'Preventative costs A'!B83-'Preventative costs B'!B83</f>
        <v>0</v>
      </c>
      <c r="C83" s="16">
        <f ca="1">'Preventative costs A'!C83-'Preventative costs B'!C83</f>
        <v>0</v>
      </c>
      <c r="D83" s="16">
        <f ca="1">'Preventative costs A'!D83-'Preventative costs B'!D83</f>
        <v>0</v>
      </c>
      <c r="E83" s="16">
        <f ca="1">'Preventative costs A'!E83-'Preventative costs B'!E83</f>
        <v>0</v>
      </c>
      <c r="F83" s="16">
        <f ca="1">'Preventative costs A'!F83-'Preventative costs B'!F83</f>
        <v>0</v>
      </c>
      <c r="G83" s="16">
        <f ca="1">'Preventative costs A'!G83-'Preventative costs B'!G83</f>
        <v>0</v>
      </c>
      <c r="H83" s="16">
        <f ca="1">'Preventative costs A'!H83-'Preventative costs B'!H83</f>
        <v>0</v>
      </c>
      <c r="I83" s="16">
        <f ca="1">'Preventative costs A'!I83-'Preventative costs B'!I83</f>
        <v>0</v>
      </c>
      <c r="J83" s="16">
        <f ca="1">'Preventative costs A'!J83-'Preventative costs B'!J83</f>
        <v>0</v>
      </c>
      <c r="K83" s="16">
        <f ca="1">'Preventative costs A'!K83-'Preventative costs B'!K83</f>
        <v>0</v>
      </c>
      <c r="M83" s="4" t="str">
        <f>'Library data'!$G$138</f>
        <v>% relative to RCP8.5</v>
      </c>
    </row>
    <row r="84" spans="1:13" s="2" customFormat="1" ht="15" thickTop="1" x14ac:dyDescent="0.25">
      <c r="A84" s="2" t="s">
        <v>103</v>
      </c>
      <c r="B84" s="2" t="s">
        <v>104</v>
      </c>
    </row>
    <row r="85" spans="1:13" s="6" customFormat="1" x14ac:dyDescent="0.2">
      <c r="A85" s="4" t="str">
        <f t="array" ref="A85:A92">R_CODE&amp;" "&amp;'Base data'!$B$12</f>
        <v>EU CO2</v>
      </c>
      <c r="B85" s="12">
        <f ca="1">'Preventative costs A'!B85-'Preventative costs B'!B85</f>
        <v>0</v>
      </c>
      <c r="C85" s="12">
        <f ca="1">'Preventative costs A'!C85-'Preventative costs B'!C85</f>
        <v>0</v>
      </c>
      <c r="D85" s="12">
        <f ca="1">'Preventative costs A'!D85-'Preventative costs B'!D85</f>
        <v>0</v>
      </c>
      <c r="E85" s="12">
        <f ca="1">'Preventative costs A'!E85-'Preventative costs B'!E85</f>
        <v>0</v>
      </c>
      <c r="F85" s="12">
        <f ca="1">'Preventative costs A'!F85-'Preventative costs B'!F85</f>
        <v>50.238586513562652</v>
      </c>
      <c r="G85" s="12">
        <f ca="1">'Preventative costs A'!G85-'Preventative costs B'!G85</f>
        <v>162.44893176622074</v>
      </c>
      <c r="H85" s="12">
        <f ca="1">'Preventative costs A'!H85-'Preventative costs B'!H85</f>
        <v>241.30036768939343</v>
      </c>
      <c r="I85" s="12">
        <f ca="1">'Preventative costs A'!I85-'Preventative costs B'!I85</f>
        <v>276.68628891069199</v>
      </c>
      <c r="J85" s="12">
        <f ca="1">'Preventative costs A'!J85-'Preventative costs B'!J85</f>
        <v>287.07019747981417</v>
      </c>
      <c r="K85" s="12">
        <f ca="1">'Preventative costs A'!K85-'Preventative costs B'!K85</f>
        <v>291.5176468463203</v>
      </c>
      <c r="M85" s="4" t="str">
        <f>'Library data'!$G$138</f>
        <v>% relative to RCP8.5</v>
      </c>
    </row>
    <row r="86" spans="1:13" s="6" customFormat="1" x14ac:dyDescent="0.2">
      <c r="A86" s="4" t="str">
        <v>US CO2</v>
      </c>
      <c r="B86" s="14">
        <f ca="1">'Preventative costs A'!B86-'Preventative costs B'!B86</f>
        <v>0</v>
      </c>
      <c r="C86" s="14">
        <f ca="1">'Preventative costs A'!C86-'Preventative costs B'!C86</f>
        <v>0</v>
      </c>
      <c r="D86" s="14">
        <f ca="1">'Preventative costs A'!D86-'Preventative costs B'!D86</f>
        <v>0</v>
      </c>
      <c r="E86" s="14">
        <f ca="1">'Preventative costs A'!E86-'Preventative costs B'!E86</f>
        <v>0</v>
      </c>
      <c r="F86" s="14">
        <f ca="1">'Preventative costs A'!F86-'Preventative costs B'!F86</f>
        <v>68.859138006157181</v>
      </c>
      <c r="G86" s="14">
        <f ca="1">'Preventative costs A'!G86-'Preventative costs B'!G86</f>
        <v>210.88324580252893</v>
      </c>
      <c r="H86" s="14">
        <f ca="1">'Preventative costs A'!H86-'Preventative costs B'!H86</f>
        <v>285.25571012877396</v>
      </c>
      <c r="I86" s="14">
        <f ca="1">'Preventative costs A'!I86-'Preventative costs B'!I86</f>
        <v>320.09366323731535</v>
      </c>
      <c r="J86" s="14">
        <f ca="1">'Preventative costs A'!J86-'Preventative costs B'!J86</f>
        <v>309.34571959868276</v>
      </c>
      <c r="K86" s="14">
        <f ca="1">'Preventative costs A'!K86-'Preventative costs B'!K86</f>
        <v>286.73800978979136</v>
      </c>
      <c r="M86" s="4" t="str">
        <f>'Library data'!$G$138</f>
        <v>% relative to RCP8.5</v>
      </c>
    </row>
    <row r="87" spans="1:13" s="6" customFormat="1" x14ac:dyDescent="0.2">
      <c r="A87" s="4" t="str">
        <v>OT CO2</v>
      </c>
      <c r="B87" s="14">
        <f ca="1">'Preventative costs A'!B87-'Preventative costs B'!B87</f>
        <v>0</v>
      </c>
      <c r="C87" s="14">
        <f ca="1">'Preventative costs A'!C87-'Preventative costs B'!C87</f>
        <v>0</v>
      </c>
      <c r="D87" s="14">
        <f ca="1">'Preventative costs A'!D87-'Preventative costs B'!D87</f>
        <v>0</v>
      </c>
      <c r="E87" s="14">
        <f ca="1">'Preventative costs A'!E87-'Preventative costs B'!E87</f>
        <v>0</v>
      </c>
      <c r="F87" s="14">
        <f ca="1">'Preventative costs A'!F87-'Preventative costs B'!F87</f>
        <v>50.238586513562652</v>
      </c>
      <c r="G87" s="14">
        <f ca="1">'Preventative costs A'!G87-'Preventative costs B'!G87</f>
        <v>162.44893176622074</v>
      </c>
      <c r="H87" s="14">
        <f ca="1">'Preventative costs A'!H87-'Preventative costs B'!H87</f>
        <v>241.30036768939343</v>
      </c>
      <c r="I87" s="14">
        <f ca="1">'Preventative costs A'!I87-'Preventative costs B'!I87</f>
        <v>276.68628891069199</v>
      </c>
      <c r="J87" s="14">
        <f ca="1">'Preventative costs A'!J87-'Preventative costs B'!J87</f>
        <v>287.07019747981417</v>
      </c>
      <c r="K87" s="14">
        <f ca="1">'Preventative costs A'!K87-'Preventative costs B'!K87</f>
        <v>291.5176468463203</v>
      </c>
      <c r="M87" s="4" t="str">
        <f>'Library data'!$G$138</f>
        <v>% relative to RCP8.5</v>
      </c>
    </row>
    <row r="88" spans="1:13" s="6" customFormat="1" x14ac:dyDescent="0.2">
      <c r="A88" s="4" t="str">
        <v>EE CO2</v>
      </c>
      <c r="B88" s="14">
        <f ca="1">'Preventative costs A'!B88-'Preventative costs B'!B88</f>
        <v>0</v>
      </c>
      <c r="C88" s="14">
        <f ca="1">'Preventative costs A'!C88-'Preventative costs B'!C88</f>
        <v>0</v>
      </c>
      <c r="D88" s="14">
        <f ca="1">'Preventative costs A'!D88-'Preventative costs B'!D88</f>
        <v>0</v>
      </c>
      <c r="E88" s="14">
        <f ca="1">'Preventative costs A'!E88-'Preventative costs B'!E88</f>
        <v>0</v>
      </c>
      <c r="F88" s="14">
        <f ca="1">'Preventative costs A'!F88-'Preventative costs B'!F88</f>
        <v>77.304071741567526</v>
      </c>
      <c r="G88" s="14">
        <f ca="1">'Preventative costs A'!G88-'Preventative costs B'!G88</f>
        <v>201.39006067007199</v>
      </c>
      <c r="H88" s="14">
        <f ca="1">'Preventative costs A'!H88-'Preventative costs B'!H88</f>
        <v>254.23283754054961</v>
      </c>
      <c r="I88" s="14">
        <f ca="1">'Preventative costs A'!I88-'Preventative costs B'!I88</f>
        <v>250.57007143923059</v>
      </c>
      <c r="J88" s="14">
        <f ca="1">'Preventative costs A'!J88-'Preventative costs B'!J88</f>
        <v>225.97605110464542</v>
      </c>
      <c r="K88" s="14">
        <f ca="1">'Preventative costs A'!K88-'Preventative costs B'!K88</f>
        <v>200.25990256908301</v>
      </c>
      <c r="M88" s="4" t="str">
        <f>'Library data'!$G$138</f>
        <v>% relative to RCP8.5</v>
      </c>
    </row>
    <row r="89" spans="1:13" s="6" customFormat="1" x14ac:dyDescent="0.2">
      <c r="A89" s="4" t="str">
        <v>CA CO2</v>
      </c>
      <c r="B89" s="14">
        <f ca="1">'Preventative costs A'!B89-'Preventative costs B'!B89</f>
        <v>0</v>
      </c>
      <c r="C89" s="14">
        <f ca="1">'Preventative costs A'!C89-'Preventative costs B'!C89</f>
        <v>0</v>
      </c>
      <c r="D89" s="14">
        <f ca="1">'Preventative costs A'!D89-'Preventative costs B'!D89</f>
        <v>0</v>
      </c>
      <c r="E89" s="14">
        <f ca="1">'Preventative costs A'!E89-'Preventative costs B'!E89</f>
        <v>0</v>
      </c>
      <c r="F89" s="14">
        <f ca="1">'Preventative costs A'!F89-'Preventative costs B'!F89</f>
        <v>52.905859524924409</v>
      </c>
      <c r="G89" s="14">
        <f ca="1">'Preventative costs A'!G89-'Preventative costs B'!G89</f>
        <v>133.4537236461467</v>
      </c>
      <c r="H89" s="14">
        <f ca="1">'Preventative costs A'!H89-'Preventative costs B'!H89</f>
        <v>169.34718178334893</v>
      </c>
      <c r="I89" s="14">
        <f ca="1">'Preventative costs A'!I89-'Preventative costs B'!I89</f>
        <v>166.02728749594957</v>
      </c>
      <c r="J89" s="14">
        <f ca="1">'Preventative costs A'!J89-'Preventative costs B'!J89</f>
        <v>141.28068042265966</v>
      </c>
      <c r="K89" s="14">
        <f ca="1">'Preventative costs A'!K89-'Preventative costs B'!K89</f>
        <v>114.68482568254507</v>
      </c>
      <c r="M89" s="4" t="str">
        <f>'Library data'!$G$138</f>
        <v>% relative to RCP8.5</v>
      </c>
    </row>
    <row r="90" spans="1:13" s="6" customFormat="1" x14ac:dyDescent="0.2">
      <c r="A90" s="4" t="str">
        <v>IA CO2</v>
      </c>
      <c r="B90" s="14">
        <f ca="1">'Preventative costs A'!B90-'Preventative costs B'!B90</f>
        <v>0</v>
      </c>
      <c r="C90" s="14">
        <f ca="1">'Preventative costs A'!C90-'Preventative costs B'!C90</f>
        <v>0</v>
      </c>
      <c r="D90" s="14">
        <f ca="1">'Preventative costs A'!D90-'Preventative costs B'!D90</f>
        <v>0</v>
      </c>
      <c r="E90" s="14">
        <f ca="1">'Preventative costs A'!E90-'Preventative costs B'!E90</f>
        <v>0</v>
      </c>
      <c r="F90" s="14">
        <f ca="1">'Preventative costs A'!F90-'Preventative costs B'!F90</f>
        <v>113.34593933694896</v>
      </c>
      <c r="G90" s="14">
        <f ca="1">'Preventative costs A'!G90-'Preventative costs B'!G90</f>
        <v>321.36156041430758</v>
      </c>
      <c r="H90" s="14">
        <f ca="1">'Preventative costs A'!H90-'Preventative costs B'!H90</f>
        <v>469.99863458265514</v>
      </c>
      <c r="I90" s="14">
        <f ca="1">'Preventative costs A'!I90-'Preventative costs B'!I90</f>
        <v>554.18314889484145</v>
      </c>
      <c r="J90" s="14">
        <f ca="1">'Preventative costs A'!J90-'Preventative costs B'!J90</f>
        <v>569.03983328977722</v>
      </c>
      <c r="K90" s="14">
        <f ca="1">'Preventative costs A'!K90-'Preventative costs B'!K90</f>
        <v>540.31587114487127</v>
      </c>
      <c r="M90" s="4" t="str">
        <f>'Library data'!$G$138</f>
        <v>% relative to RCP8.5</v>
      </c>
    </row>
    <row r="91" spans="1:13" s="6" customFormat="1" x14ac:dyDescent="0.2">
      <c r="A91" s="4" t="str">
        <v>AF CO2</v>
      </c>
      <c r="B91" s="14">
        <f ca="1">'Preventative costs A'!B91-'Preventative costs B'!B91</f>
        <v>0</v>
      </c>
      <c r="C91" s="14">
        <f ca="1">'Preventative costs A'!C91-'Preventative costs B'!C91</f>
        <v>0</v>
      </c>
      <c r="D91" s="14">
        <f ca="1">'Preventative costs A'!D91-'Preventative costs B'!D91</f>
        <v>0</v>
      </c>
      <c r="E91" s="14">
        <f ca="1">'Preventative costs A'!E91-'Preventative costs B'!E91</f>
        <v>0</v>
      </c>
      <c r="F91" s="14">
        <f ca="1">'Preventative costs A'!F91-'Preventative costs B'!F91</f>
        <v>149.33880900133414</v>
      </c>
      <c r="G91" s="14">
        <f ca="1">'Preventative costs A'!G91-'Preventative costs B'!G91</f>
        <v>465.30252256725333</v>
      </c>
      <c r="H91" s="14">
        <f ca="1">'Preventative costs A'!H91-'Preventative costs B'!H91</f>
        <v>701.16458500337956</v>
      </c>
      <c r="I91" s="14">
        <f ca="1">'Preventative costs A'!I91-'Preventative costs B'!I91</f>
        <v>859.48078525777976</v>
      </c>
      <c r="J91" s="14">
        <f ca="1">'Preventative costs A'!J91-'Preventative costs B'!J91</f>
        <v>923.74337143216349</v>
      </c>
      <c r="K91" s="14">
        <f ca="1">'Preventative costs A'!K91-'Preventative costs B'!K91</f>
        <v>934.9302394131139</v>
      </c>
      <c r="M91" s="4" t="str">
        <f>'Library data'!$G$138</f>
        <v>% relative to RCP8.5</v>
      </c>
    </row>
    <row r="92" spans="1:13" s="6" customFormat="1" ht="13.5" thickBot="1" x14ac:dyDescent="0.25">
      <c r="A92" s="4" t="str">
        <v>LA CO2</v>
      </c>
      <c r="B92" s="16">
        <f ca="1">'Preventative costs A'!B92-'Preventative costs B'!B92</f>
        <v>0</v>
      </c>
      <c r="C92" s="16">
        <f ca="1">'Preventative costs A'!C92-'Preventative costs B'!C92</f>
        <v>0</v>
      </c>
      <c r="D92" s="16">
        <f ca="1">'Preventative costs A'!D92-'Preventative costs B'!D92</f>
        <v>0</v>
      </c>
      <c r="E92" s="16">
        <f ca="1">'Preventative costs A'!E92-'Preventative costs B'!E92</f>
        <v>0</v>
      </c>
      <c r="F92" s="16">
        <f ca="1">'Preventative costs A'!F92-'Preventative costs B'!F92</f>
        <v>74.702834662126861</v>
      </c>
      <c r="G92" s="16">
        <f ca="1">'Preventative costs A'!G92-'Preventative costs B'!G92</f>
        <v>246.98941636497014</v>
      </c>
      <c r="H92" s="16">
        <f ca="1">'Preventative costs A'!H92-'Preventative costs B'!H92</f>
        <v>351.66752413388542</v>
      </c>
      <c r="I92" s="16">
        <f ca="1">'Preventative costs A'!I92-'Preventative costs B'!I92</f>
        <v>399.5178515668681</v>
      </c>
      <c r="J92" s="16">
        <f ca="1">'Preventative costs A'!J92-'Preventative costs B'!J92</f>
        <v>395.544282399461</v>
      </c>
      <c r="K92" s="16">
        <f ca="1">'Preventative costs A'!K92-'Preventative costs B'!K92</f>
        <v>395.663387238751</v>
      </c>
      <c r="M92" s="4" t="str">
        <f>'Library data'!$G$138</f>
        <v>% relative to RCP8.5</v>
      </c>
    </row>
    <row r="93" spans="1:13" s="8" customFormat="1" ht="15" thickTop="1" x14ac:dyDescent="0.25">
      <c r="A93" s="8" t="s">
        <v>103</v>
      </c>
      <c r="B93" s="8" t="s">
        <v>105</v>
      </c>
    </row>
    <row r="94" spans="1:13" s="7" customFormat="1" x14ac:dyDescent="0.2">
      <c r="A94" s="4" t="str">
        <f t="array" ref="A94:A101">R_CODE&amp;" "&amp;'Base data'!$C$12</f>
        <v>EU CH4</v>
      </c>
      <c r="B94" s="12">
        <f ca="1">'Preventative costs A'!B94-'Preventative costs B'!B94</f>
        <v>0</v>
      </c>
      <c r="C94" s="12">
        <f ca="1">'Preventative costs A'!C94-'Preventative costs B'!C94</f>
        <v>0</v>
      </c>
      <c r="D94" s="12">
        <f ca="1">'Preventative costs A'!D94-'Preventative costs B'!D94</f>
        <v>0</v>
      </c>
      <c r="E94" s="12">
        <f ca="1">'Preventative costs A'!E94-'Preventative costs B'!E94</f>
        <v>0</v>
      </c>
      <c r="F94" s="12">
        <f ca="1">'Preventative costs A'!F94-'Preventative costs B'!F94</f>
        <v>67.690611398550516</v>
      </c>
      <c r="G94" s="12">
        <f ca="1">'Preventative costs A'!G94-'Preventative costs B'!G94</f>
        <v>52.351552942511177</v>
      </c>
      <c r="H94" s="12">
        <f ca="1">'Preventative costs A'!H94-'Preventative costs B'!H94</f>
        <v>31.373234637329404</v>
      </c>
      <c r="I94" s="12">
        <f ca="1">'Preventative costs A'!I94-'Preventative costs B'!I94</f>
        <v>16.514204888885388</v>
      </c>
      <c r="J94" s="12">
        <f ca="1">'Preventative costs A'!J94-'Preventative costs B'!J94</f>
        <v>25.500737876798382</v>
      </c>
      <c r="K94" s="12">
        <f ca="1">'Preventative costs A'!K94-'Preventative costs B'!K94</f>
        <v>5.9890045578958677</v>
      </c>
      <c r="M94" s="4" t="str">
        <f>'Library data'!$G$138</f>
        <v>% relative to RCP8.5</v>
      </c>
    </row>
    <row r="95" spans="1:13" s="7" customFormat="1" x14ac:dyDescent="0.2">
      <c r="A95" s="4" t="str">
        <v>US CH4</v>
      </c>
      <c r="B95" s="14">
        <f ca="1">'Preventative costs A'!B95-'Preventative costs B'!B95</f>
        <v>0</v>
      </c>
      <c r="C95" s="14">
        <f ca="1">'Preventative costs A'!C95-'Preventative costs B'!C95</f>
        <v>0</v>
      </c>
      <c r="D95" s="14">
        <f ca="1">'Preventative costs A'!D95-'Preventative costs B'!D95</f>
        <v>0</v>
      </c>
      <c r="E95" s="14">
        <f ca="1">'Preventative costs A'!E95-'Preventative costs B'!E95</f>
        <v>0</v>
      </c>
      <c r="F95" s="14">
        <f ca="1">'Preventative costs A'!F95-'Preventative costs B'!F95</f>
        <v>76.531591446723496</v>
      </c>
      <c r="G95" s="14">
        <f ca="1">'Preventative costs A'!G95-'Preventative costs B'!G95</f>
        <v>73.813589201716312</v>
      </c>
      <c r="H95" s="14">
        <f ca="1">'Preventative costs A'!H95-'Preventative costs B'!H95</f>
        <v>62.24504217588327</v>
      </c>
      <c r="I95" s="14">
        <f ca="1">'Preventative costs A'!I95-'Preventative costs B'!I95</f>
        <v>46.832781494626147</v>
      </c>
      <c r="J95" s="14">
        <f ca="1">'Preventative costs A'!J95-'Preventative costs B'!J95</f>
        <v>27.931762047028613</v>
      </c>
      <c r="K95" s="14">
        <f ca="1">'Preventative costs A'!K95-'Preventative costs B'!K95</f>
        <v>15.250647154778008</v>
      </c>
      <c r="M95" s="4" t="str">
        <f>'Library data'!$G$138</f>
        <v>% relative to RCP8.5</v>
      </c>
    </row>
    <row r="96" spans="1:13" s="7" customFormat="1" x14ac:dyDescent="0.2">
      <c r="A96" s="4" t="str">
        <v>OT CH4</v>
      </c>
      <c r="B96" s="14">
        <f ca="1">'Preventative costs A'!B96-'Preventative costs B'!B96</f>
        <v>0</v>
      </c>
      <c r="C96" s="14">
        <f ca="1">'Preventative costs A'!C96-'Preventative costs B'!C96</f>
        <v>0</v>
      </c>
      <c r="D96" s="14">
        <f ca="1">'Preventative costs A'!D96-'Preventative costs B'!D96</f>
        <v>0</v>
      </c>
      <c r="E96" s="14">
        <f ca="1">'Preventative costs A'!E96-'Preventative costs B'!E96</f>
        <v>0</v>
      </c>
      <c r="F96" s="14">
        <f ca="1">'Preventative costs A'!F96-'Preventative costs B'!F96</f>
        <v>64.93343481615328</v>
      </c>
      <c r="G96" s="14">
        <f ca="1">'Preventative costs A'!G96-'Preventative costs B'!G96</f>
        <v>95.961550820328142</v>
      </c>
      <c r="H96" s="14">
        <f ca="1">'Preventative costs A'!H96-'Preventative costs B'!H96</f>
        <v>88.456824952398605</v>
      </c>
      <c r="I96" s="14">
        <f ca="1">'Preventative costs A'!I96-'Preventative costs B'!I96</f>
        <v>75.776634804899672</v>
      </c>
      <c r="J96" s="14">
        <f ca="1">'Preventative costs A'!J96-'Preventative costs B'!J96</f>
        <v>71.874563854483526</v>
      </c>
      <c r="K96" s="14">
        <f ca="1">'Preventative costs A'!K96-'Preventative costs B'!K96</f>
        <v>106.1627037040182</v>
      </c>
      <c r="M96" s="4" t="str">
        <f>'Library data'!$G$138</f>
        <v>% relative to RCP8.5</v>
      </c>
    </row>
    <row r="97" spans="1:13" s="7" customFormat="1" x14ac:dyDescent="0.2">
      <c r="A97" s="4" t="str">
        <v>EE CH4</v>
      </c>
      <c r="B97" s="14">
        <f ca="1">'Preventative costs A'!B97-'Preventative costs B'!B97</f>
        <v>0</v>
      </c>
      <c r="C97" s="14">
        <f ca="1">'Preventative costs A'!C97-'Preventative costs B'!C97</f>
        <v>0</v>
      </c>
      <c r="D97" s="14">
        <f ca="1">'Preventative costs A'!D97-'Preventative costs B'!D97</f>
        <v>0</v>
      </c>
      <c r="E97" s="14">
        <f ca="1">'Preventative costs A'!E97-'Preventative costs B'!E97</f>
        <v>0</v>
      </c>
      <c r="F97" s="14">
        <f ca="1">'Preventative costs A'!F97-'Preventative costs B'!F97</f>
        <v>78.089082631822691</v>
      </c>
      <c r="G97" s="14">
        <f ca="1">'Preventative costs A'!G97-'Preventative costs B'!G97</f>
        <v>115.97155260453096</v>
      </c>
      <c r="H97" s="14">
        <f ca="1">'Preventative costs A'!H97-'Preventative costs B'!H97</f>
        <v>129.15176256933921</v>
      </c>
      <c r="I97" s="14">
        <f ca="1">'Preventative costs A'!I97-'Preventative costs B'!I97</f>
        <v>141.049526125613</v>
      </c>
      <c r="J97" s="14">
        <f ca="1">'Preventative costs A'!J97-'Preventative costs B'!J97</f>
        <v>139.74852558482979</v>
      </c>
      <c r="K97" s="14">
        <f ca="1">'Preventative costs A'!K97-'Preventative costs B'!K97</f>
        <v>132.57271953660904</v>
      </c>
      <c r="M97" s="4" t="str">
        <f>'Library data'!$G$138</f>
        <v>% relative to RCP8.5</v>
      </c>
    </row>
    <row r="98" spans="1:13" s="7" customFormat="1" x14ac:dyDescent="0.2">
      <c r="A98" s="4" t="str">
        <v>CA CH4</v>
      </c>
      <c r="B98" s="14">
        <f ca="1">'Preventative costs A'!B98-'Preventative costs B'!B98</f>
        <v>0</v>
      </c>
      <c r="C98" s="14">
        <f ca="1">'Preventative costs A'!C98-'Preventative costs B'!C98</f>
        <v>0</v>
      </c>
      <c r="D98" s="14">
        <f ca="1">'Preventative costs A'!D98-'Preventative costs B'!D98</f>
        <v>0</v>
      </c>
      <c r="E98" s="14">
        <f ca="1">'Preventative costs A'!E98-'Preventative costs B'!E98</f>
        <v>0</v>
      </c>
      <c r="F98" s="14">
        <f ca="1">'Preventative costs A'!F98-'Preventative costs B'!F98</f>
        <v>28.239772895596086</v>
      </c>
      <c r="G98" s="14">
        <f ca="1">'Preventative costs A'!G98-'Preventative costs B'!G98</f>
        <v>32.589449137909952</v>
      </c>
      <c r="H98" s="14">
        <f ca="1">'Preventative costs A'!H98-'Preventative costs B'!H98</f>
        <v>32.42289364548445</v>
      </c>
      <c r="I98" s="14">
        <f ca="1">'Preventative costs A'!I98-'Preventative costs B'!I98</f>
        <v>24.967370593437735</v>
      </c>
      <c r="J98" s="14">
        <f ca="1">'Preventative costs A'!J98-'Preventative costs B'!J98</f>
        <v>22.688588969184138</v>
      </c>
      <c r="K98" s="14">
        <f ca="1">'Preventative costs A'!K98-'Preventative costs B'!K98</f>
        <v>18.459797537362803</v>
      </c>
      <c r="M98" s="4" t="str">
        <f>'Library data'!$G$138</f>
        <v>% relative to RCP8.5</v>
      </c>
    </row>
    <row r="99" spans="1:13" s="7" customFormat="1" x14ac:dyDescent="0.2">
      <c r="A99" s="4" t="str">
        <v>IA CH4</v>
      </c>
      <c r="B99" s="14">
        <f ca="1">'Preventative costs A'!B99-'Preventative costs B'!B99</f>
        <v>0</v>
      </c>
      <c r="C99" s="14">
        <f ca="1">'Preventative costs A'!C99-'Preventative costs B'!C99</f>
        <v>0</v>
      </c>
      <c r="D99" s="14">
        <f ca="1">'Preventative costs A'!D99-'Preventative costs B'!D99</f>
        <v>0</v>
      </c>
      <c r="E99" s="14">
        <f ca="1">'Preventative costs A'!E99-'Preventative costs B'!E99</f>
        <v>0</v>
      </c>
      <c r="F99" s="14">
        <f ca="1">'Preventative costs A'!F99-'Preventative costs B'!F99</f>
        <v>52.933737500750787</v>
      </c>
      <c r="G99" s="14">
        <f ca="1">'Preventative costs A'!G99-'Preventative costs B'!G99</f>
        <v>38.763833566434727</v>
      </c>
      <c r="H99" s="14">
        <f ca="1">'Preventative costs A'!H99-'Preventative costs B'!H99</f>
        <v>25.839850837941398</v>
      </c>
      <c r="I99" s="14">
        <f ca="1">'Preventative costs A'!I99-'Preventative costs B'!I99</f>
        <v>17.863061432736281</v>
      </c>
      <c r="J99" s="14">
        <f ca="1">'Preventative costs A'!J99-'Preventative costs B'!J99</f>
        <v>16.645002879230013</v>
      </c>
      <c r="K99" s="14">
        <f ca="1">'Preventative costs A'!K99-'Preventative costs B'!K99</f>
        <v>14.263419405591698</v>
      </c>
      <c r="M99" s="4" t="str">
        <f>'Library data'!$G$138</f>
        <v>% relative to RCP8.5</v>
      </c>
    </row>
    <row r="100" spans="1:13" s="7" customFormat="1" x14ac:dyDescent="0.2">
      <c r="A100" s="4" t="str">
        <v>AF CH4</v>
      </c>
      <c r="B100" s="14">
        <f ca="1">'Preventative costs A'!B100-'Preventative costs B'!B100</f>
        <v>0</v>
      </c>
      <c r="C100" s="14">
        <f ca="1">'Preventative costs A'!C100-'Preventative costs B'!C100</f>
        <v>0</v>
      </c>
      <c r="D100" s="14">
        <f ca="1">'Preventative costs A'!D100-'Preventative costs B'!D100</f>
        <v>0</v>
      </c>
      <c r="E100" s="14">
        <f ca="1">'Preventative costs A'!E100-'Preventative costs B'!E100</f>
        <v>0</v>
      </c>
      <c r="F100" s="14">
        <f ca="1">'Preventative costs A'!F100-'Preventative costs B'!F100</f>
        <v>131.46065513697005</v>
      </c>
      <c r="G100" s="14">
        <f ca="1">'Preventative costs A'!G100-'Preventative costs B'!G100</f>
        <v>230.8128315003998</v>
      </c>
      <c r="H100" s="14">
        <f ca="1">'Preventative costs A'!H100-'Preventative costs B'!H100</f>
        <v>260.95411655361625</v>
      </c>
      <c r="I100" s="14">
        <f ca="1">'Preventative costs A'!I100-'Preventative costs B'!I100</f>
        <v>247.39115435227797</v>
      </c>
      <c r="J100" s="14">
        <f ca="1">'Preventative costs A'!J100-'Preventative costs B'!J100</f>
        <v>197.21631171183239</v>
      </c>
      <c r="K100" s="14">
        <f ca="1">'Preventative costs A'!K100-'Preventative costs B'!K100</f>
        <v>166.23359376577778</v>
      </c>
      <c r="M100" s="4" t="str">
        <f>'Library data'!$G$138</f>
        <v>% relative to RCP8.5</v>
      </c>
    </row>
    <row r="101" spans="1:13" s="7" customFormat="1" ht="13.5" thickBot="1" x14ac:dyDescent="0.25">
      <c r="A101" s="4" t="str">
        <v>LA CH4</v>
      </c>
      <c r="B101" s="16">
        <f ca="1">'Preventative costs A'!B101-'Preventative costs B'!B101</f>
        <v>0</v>
      </c>
      <c r="C101" s="16">
        <f ca="1">'Preventative costs A'!C101-'Preventative costs B'!C101</f>
        <v>0</v>
      </c>
      <c r="D101" s="16">
        <f ca="1">'Preventative costs A'!D101-'Preventative costs B'!D101</f>
        <v>0</v>
      </c>
      <c r="E101" s="16">
        <f ca="1">'Preventative costs A'!E101-'Preventative costs B'!E101</f>
        <v>0</v>
      </c>
      <c r="F101" s="16">
        <f ca="1">'Preventative costs A'!F101-'Preventative costs B'!F101</f>
        <v>41.1507266632319</v>
      </c>
      <c r="G101" s="16">
        <f ca="1">'Preventative costs A'!G101-'Preventative costs B'!G101</f>
        <v>55.32464281876031</v>
      </c>
      <c r="H101" s="16">
        <f ca="1">'Preventative costs A'!H101-'Preventative costs B'!H101</f>
        <v>54.413349748369725</v>
      </c>
      <c r="I101" s="16">
        <f ca="1">'Preventative costs A'!I101-'Preventative costs B'!I101</f>
        <v>49.324898790189856</v>
      </c>
      <c r="J101" s="16">
        <f ca="1">'Preventative costs A'!J101-'Preventative costs B'!J101</f>
        <v>37.031843576511193</v>
      </c>
      <c r="K101" s="16">
        <f ca="1">'Preventative costs A'!K101-'Preventative costs B'!K101</f>
        <v>32.386295104054277</v>
      </c>
      <c r="M101" s="4" t="str">
        <f>'Library data'!$G$138</f>
        <v>% relative to RCP8.5</v>
      </c>
    </row>
    <row r="102" spans="1:13" s="8" customFormat="1" ht="15" thickTop="1" x14ac:dyDescent="0.25">
      <c r="A102" s="8" t="s">
        <v>103</v>
      </c>
      <c r="B102" s="8" t="s">
        <v>126</v>
      </c>
    </row>
    <row r="103" spans="1:13" s="7" customFormat="1" x14ac:dyDescent="0.2">
      <c r="A103" s="4" t="str">
        <f t="array" ref="A103:A110">R_CODE&amp;" "&amp;'Base data'!$D$12</f>
        <v>EU N2O</v>
      </c>
      <c r="B103" s="12">
        <f ca="1">'Preventative costs A'!B103-'Preventative costs B'!B103</f>
        <v>0</v>
      </c>
      <c r="C103" s="12">
        <f ca="1">'Preventative costs A'!C103-'Preventative costs B'!C103</f>
        <v>0</v>
      </c>
      <c r="D103" s="12">
        <f ca="1">'Preventative costs A'!D103-'Preventative costs B'!D103</f>
        <v>0</v>
      </c>
      <c r="E103" s="12">
        <f ca="1">'Preventative costs A'!E103-'Preventative costs B'!E103</f>
        <v>0</v>
      </c>
      <c r="F103" s="12">
        <f ca="1">'Preventative costs A'!F103-'Preventative costs B'!F103</f>
        <v>28.379187130889576</v>
      </c>
      <c r="G103" s="12">
        <f ca="1">'Preventative costs A'!G103-'Preventative costs B'!G103</f>
        <v>6.6700451259851548</v>
      </c>
      <c r="H103" s="12">
        <f ca="1">'Preventative costs A'!H103-'Preventative costs B'!H103</f>
        <v>0.50824691090063823</v>
      </c>
      <c r="I103" s="12">
        <f ca="1">'Preventative costs A'!I103-'Preventative costs B'!I103</f>
        <v>3.9556583248785699</v>
      </c>
      <c r="J103" s="12">
        <f ca="1">'Preventative costs A'!J103-'Preventative costs B'!J103</f>
        <v>5.2026556287102181</v>
      </c>
      <c r="K103" s="12">
        <f ca="1">'Preventative costs A'!K103-'Preventative costs B'!K103</f>
        <v>3.2014822660550379</v>
      </c>
      <c r="M103" s="4" t="str">
        <f>'Library data'!$G$138</f>
        <v>% relative to RCP8.5</v>
      </c>
    </row>
    <row r="104" spans="1:13" s="7" customFormat="1" x14ac:dyDescent="0.2">
      <c r="A104" s="4" t="str">
        <v>US N2O</v>
      </c>
      <c r="B104" s="14">
        <f ca="1">'Preventative costs A'!B104-'Preventative costs B'!B104</f>
        <v>0</v>
      </c>
      <c r="C104" s="14">
        <f ca="1">'Preventative costs A'!C104-'Preventative costs B'!C104</f>
        <v>0</v>
      </c>
      <c r="D104" s="14">
        <f ca="1">'Preventative costs A'!D104-'Preventative costs B'!D104</f>
        <v>0</v>
      </c>
      <c r="E104" s="14">
        <f ca="1">'Preventative costs A'!E104-'Preventative costs B'!E104</f>
        <v>0</v>
      </c>
      <c r="F104" s="14">
        <f ca="1">'Preventative costs A'!F104-'Preventative costs B'!F104</f>
        <v>28.379187130889576</v>
      </c>
      <c r="G104" s="14">
        <f ca="1">'Preventative costs A'!G104-'Preventative costs B'!G104</f>
        <v>6.6700451259851548</v>
      </c>
      <c r="H104" s="14">
        <f ca="1">'Preventative costs A'!H104-'Preventative costs B'!H104</f>
        <v>0.50824691090063823</v>
      </c>
      <c r="I104" s="14">
        <f ca="1">'Preventative costs A'!I104-'Preventative costs B'!I104</f>
        <v>3.9556583248785699</v>
      </c>
      <c r="J104" s="14">
        <f ca="1">'Preventative costs A'!J104-'Preventative costs B'!J104</f>
        <v>5.2026556287102181</v>
      </c>
      <c r="K104" s="14">
        <f ca="1">'Preventative costs A'!K104-'Preventative costs B'!K104</f>
        <v>3.2014822660550379</v>
      </c>
      <c r="M104" s="4" t="str">
        <f>'Library data'!$G$138</f>
        <v>% relative to RCP8.5</v>
      </c>
    </row>
    <row r="105" spans="1:13" s="7" customFormat="1" x14ac:dyDescent="0.2">
      <c r="A105" s="4" t="str">
        <v>OT N2O</v>
      </c>
      <c r="B105" s="14">
        <f ca="1">'Preventative costs A'!B105-'Preventative costs B'!B105</f>
        <v>0</v>
      </c>
      <c r="C105" s="14">
        <f ca="1">'Preventative costs A'!C105-'Preventative costs B'!C105</f>
        <v>0</v>
      </c>
      <c r="D105" s="14">
        <f ca="1">'Preventative costs A'!D105-'Preventative costs B'!D105</f>
        <v>0</v>
      </c>
      <c r="E105" s="14">
        <f ca="1">'Preventative costs A'!E105-'Preventative costs B'!E105</f>
        <v>0</v>
      </c>
      <c r="F105" s="14">
        <f ca="1">'Preventative costs A'!F105-'Preventative costs B'!F105</f>
        <v>28.379187130889576</v>
      </c>
      <c r="G105" s="14">
        <f ca="1">'Preventative costs A'!G105-'Preventative costs B'!G105</f>
        <v>6.6700451259851548</v>
      </c>
      <c r="H105" s="14">
        <f ca="1">'Preventative costs A'!H105-'Preventative costs B'!H105</f>
        <v>0.50824691090063823</v>
      </c>
      <c r="I105" s="14">
        <f ca="1">'Preventative costs A'!I105-'Preventative costs B'!I105</f>
        <v>3.9556583248785699</v>
      </c>
      <c r="J105" s="14">
        <f ca="1">'Preventative costs A'!J105-'Preventative costs B'!J105</f>
        <v>5.2026556287102181</v>
      </c>
      <c r="K105" s="14">
        <f ca="1">'Preventative costs A'!K105-'Preventative costs B'!K105</f>
        <v>3.2014822660550379</v>
      </c>
      <c r="M105" s="4" t="str">
        <f>'Library data'!$G$138</f>
        <v>% relative to RCP8.5</v>
      </c>
    </row>
    <row r="106" spans="1:13" s="7" customFormat="1" x14ac:dyDescent="0.2">
      <c r="A106" s="4" t="str">
        <v>EE N2O</v>
      </c>
      <c r="B106" s="14">
        <f ca="1">'Preventative costs A'!B106-'Preventative costs B'!B106</f>
        <v>0</v>
      </c>
      <c r="C106" s="14">
        <f ca="1">'Preventative costs A'!C106-'Preventative costs B'!C106</f>
        <v>0</v>
      </c>
      <c r="D106" s="14">
        <f ca="1">'Preventative costs A'!D106-'Preventative costs B'!D106</f>
        <v>0</v>
      </c>
      <c r="E106" s="14">
        <f ca="1">'Preventative costs A'!E106-'Preventative costs B'!E106</f>
        <v>0</v>
      </c>
      <c r="F106" s="14">
        <f ca="1">'Preventative costs A'!F106-'Preventative costs B'!F106</f>
        <v>28.379187130889576</v>
      </c>
      <c r="G106" s="14">
        <f ca="1">'Preventative costs A'!G106-'Preventative costs B'!G106</f>
        <v>6.6700451259851548</v>
      </c>
      <c r="H106" s="14">
        <f ca="1">'Preventative costs A'!H106-'Preventative costs B'!H106</f>
        <v>0.50824691090063823</v>
      </c>
      <c r="I106" s="14">
        <f ca="1">'Preventative costs A'!I106-'Preventative costs B'!I106</f>
        <v>3.9556583248785699</v>
      </c>
      <c r="J106" s="14">
        <f ca="1">'Preventative costs A'!J106-'Preventative costs B'!J106</f>
        <v>5.2026556287102181</v>
      </c>
      <c r="K106" s="14">
        <f ca="1">'Preventative costs A'!K106-'Preventative costs B'!K106</f>
        <v>3.2014822660550379</v>
      </c>
      <c r="M106" s="4" t="str">
        <f>'Library data'!$G$138</f>
        <v>% relative to RCP8.5</v>
      </c>
    </row>
    <row r="107" spans="1:13" s="7" customFormat="1" x14ac:dyDescent="0.2">
      <c r="A107" s="4" t="str">
        <v>CA N2O</v>
      </c>
      <c r="B107" s="14">
        <f ca="1">'Preventative costs A'!B107-'Preventative costs B'!B107</f>
        <v>0</v>
      </c>
      <c r="C107" s="14">
        <f ca="1">'Preventative costs A'!C107-'Preventative costs B'!C107</f>
        <v>0</v>
      </c>
      <c r="D107" s="14">
        <f ca="1">'Preventative costs A'!D107-'Preventative costs B'!D107</f>
        <v>0</v>
      </c>
      <c r="E107" s="14">
        <f ca="1">'Preventative costs A'!E107-'Preventative costs B'!E107</f>
        <v>0</v>
      </c>
      <c r="F107" s="14">
        <f ca="1">'Preventative costs A'!F107-'Preventative costs B'!F107</f>
        <v>28.379187130889576</v>
      </c>
      <c r="G107" s="14">
        <f ca="1">'Preventative costs A'!G107-'Preventative costs B'!G107</f>
        <v>6.6700451259851548</v>
      </c>
      <c r="H107" s="14">
        <f ca="1">'Preventative costs A'!H107-'Preventative costs B'!H107</f>
        <v>0.50824691090063823</v>
      </c>
      <c r="I107" s="14">
        <f ca="1">'Preventative costs A'!I107-'Preventative costs B'!I107</f>
        <v>3.9556583248785699</v>
      </c>
      <c r="J107" s="14">
        <f ca="1">'Preventative costs A'!J107-'Preventative costs B'!J107</f>
        <v>5.2026556287102181</v>
      </c>
      <c r="K107" s="14">
        <f ca="1">'Preventative costs A'!K107-'Preventative costs B'!K107</f>
        <v>3.2014822660550379</v>
      </c>
      <c r="M107" s="4" t="str">
        <f>'Library data'!$G$138</f>
        <v>% relative to RCP8.5</v>
      </c>
    </row>
    <row r="108" spans="1:13" s="7" customFormat="1" x14ac:dyDescent="0.2">
      <c r="A108" s="4" t="str">
        <v>IA N2O</v>
      </c>
      <c r="B108" s="14">
        <f ca="1">'Preventative costs A'!B108-'Preventative costs B'!B108</f>
        <v>0</v>
      </c>
      <c r="C108" s="14">
        <f ca="1">'Preventative costs A'!C108-'Preventative costs B'!C108</f>
        <v>0</v>
      </c>
      <c r="D108" s="14">
        <f ca="1">'Preventative costs A'!D108-'Preventative costs B'!D108</f>
        <v>0</v>
      </c>
      <c r="E108" s="14">
        <f ca="1">'Preventative costs A'!E108-'Preventative costs B'!E108</f>
        <v>0</v>
      </c>
      <c r="F108" s="14">
        <f ca="1">'Preventative costs A'!F108-'Preventative costs B'!F108</f>
        <v>28.379187130889576</v>
      </c>
      <c r="G108" s="14">
        <f ca="1">'Preventative costs A'!G108-'Preventative costs B'!G108</f>
        <v>6.6700451259851548</v>
      </c>
      <c r="H108" s="14">
        <f ca="1">'Preventative costs A'!H108-'Preventative costs B'!H108</f>
        <v>0.50824691090063823</v>
      </c>
      <c r="I108" s="14">
        <f ca="1">'Preventative costs A'!I108-'Preventative costs B'!I108</f>
        <v>3.9556583248785699</v>
      </c>
      <c r="J108" s="14">
        <f ca="1">'Preventative costs A'!J108-'Preventative costs B'!J108</f>
        <v>5.2026556287102181</v>
      </c>
      <c r="K108" s="14">
        <f ca="1">'Preventative costs A'!K108-'Preventative costs B'!K108</f>
        <v>3.2014822660550379</v>
      </c>
      <c r="M108" s="4" t="str">
        <f>'Library data'!$G$138</f>
        <v>% relative to RCP8.5</v>
      </c>
    </row>
    <row r="109" spans="1:13" s="7" customFormat="1" x14ac:dyDescent="0.2">
      <c r="A109" s="4" t="str">
        <v>AF N2O</v>
      </c>
      <c r="B109" s="14">
        <f ca="1">'Preventative costs A'!B109-'Preventative costs B'!B109</f>
        <v>0</v>
      </c>
      <c r="C109" s="14">
        <f ca="1">'Preventative costs A'!C109-'Preventative costs B'!C109</f>
        <v>0</v>
      </c>
      <c r="D109" s="14">
        <f ca="1">'Preventative costs A'!D109-'Preventative costs B'!D109</f>
        <v>0</v>
      </c>
      <c r="E109" s="14">
        <f ca="1">'Preventative costs A'!E109-'Preventative costs B'!E109</f>
        <v>0</v>
      </c>
      <c r="F109" s="14">
        <f ca="1">'Preventative costs A'!F109-'Preventative costs B'!F109</f>
        <v>28.379187130889576</v>
      </c>
      <c r="G109" s="14">
        <f ca="1">'Preventative costs A'!G109-'Preventative costs B'!G109</f>
        <v>6.6700451259851548</v>
      </c>
      <c r="H109" s="14">
        <f ca="1">'Preventative costs A'!H109-'Preventative costs B'!H109</f>
        <v>0.50824691090063823</v>
      </c>
      <c r="I109" s="14">
        <f ca="1">'Preventative costs A'!I109-'Preventative costs B'!I109</f>
        <v>3.9556583248785699</v>
      </c>
      <c r="J109" s="14">
        <f ca="1">'Preventative costs A'!J109-'Preventative costs B'!J109</f>
        <v>5.2026556287102181</v>
      </c>
      <c r="K109" s="14">
        <f ca="1">'Preventative costs A'!K109-'Preventative costs B'!K109</f>
        <v>3.2014822660550379</v>
      </c>
      <c r="M109" s="4" t="str">
        <f>'Library data'!$G$138</f>
        <v>% relative to RCP8.5</v>
      </c>
    </row>
    <row r="110" spans="1:13" s="7" customFormat="1" ht="13.5" thickBot="1" x14ac:dyDescent="0.25">
      <c r="A110" s="4" t="str">
        <v>LA N2O</v>
      </c>
      <c r="B110" s="16">
        <f ca="1">'Preventative costs A'!B110-'Preventative costs B'!B110</f>
        <v>0</v>
      </c>
      <c r="C110" s="16">
        <f ca="1">'Preventative costs A'!C110-'Preventative costs B'!C110</f>
        <v>0</v>
      </c>
      <c r="D110" s="16">
        <f ca="1">'Preventative costs A'!D110-'Preventative costs B'!D110</f>
        <v>0</v>
      </c>
      <c r="E110" s="16">
        <f ca="1">'Preventative costs A'!E110-'Preventative costs B'!E110</f>
        <v>0</v>
      </c>
      <c r="F110" s="16">
        <f ca="1">'Preventative costs A'!F110-'Preventative costs B'!F110</f>
        <v>28.379187130889576</v>
      </c>
      <c r="G110" s="16">
        <f ca="1">'Preventative costs A'!G110-'Preventative costs B'!G110</f>
        <v>6.6700451259851548</v>
      </c>
      <c r="H110" s="16">
        <f ca="1">'Preventative costs A'!H110-'Preventative costs B'!H110</f>
        <v>0.50824691090063823</v>
      </c>
      <c r="I110" s="16">
        <f ca="1">'Preventative costs A'!I110-'Preventative costs B'!I110</f>
        <v>3.9556583248785699</v>
      </c>
      <c r="J110" s="16">
        <f ca="1">'Preventative costs A'!J110-'Preventative costs B'!J110</f>
        <v>5.2026556287102181</v>
      </c>
      <c r="K110" s="16">
        <f ca="1">'Preventative costs A'!K110-'Preventative costs B'!K110</f>
        <v>3.2014822660550379</v>
      </c>
      <c r="M110" s="4" t="str">
        <f>'Library data'!$G$138</f>
        <v>% relative to RCP8.5</v>
      </c>
    </row>
    <row r="111" spans="1:13" s="8" customFormat="1" ht="15" thickTop="1" x14ac:dyDescent="0.25">
      <c r="A111" s="8" t="s">
        <v>103</v>
      </c>
      <c r="B111" s="8" t="s">
        <v>261</v>
      </c>
    </row>
    <row r="112" spans="1:13" s="7" customFormat="1" x14ac:dyDescent="0.2">
      <c r="A112" s="4" t="str">
        <f t="array" ref="A112:A119">R_CODE&amp;" "&amp;GLIN_NAME</f>
        <v>EU Lin</v>
      </c>
      <c r="B112" s="12">
        <f ca="1">'Preventative costs A'!B112-'Preventative costs B'!B112</f>
        <v>0</v>
      </c>
      <c r="C112" s="12">
        <f ca="1">'Preventative costs A'!C112-'Preventative costs B'!C112</f>
        <v>0</v>
      </c>
      <c r="D112" s="12">
        <f ca="1">'Preventative costs A'!D112-'Preventative costs B'!D112</f>
        <v>0</v>
      </c>
      <c r="E112" s="12">
        <f ca="1">'Preventative costs A'!E112-'Preventative costs B'!E112</f>
        <v>0</v>
      </c>
      <c r="F112" s="12">
        <f ca="1">'Preventative costs A'!F112-'Preventative costs B'!F112</f>
        <v>68.926986869561333</v>
      </c>
      <c r="G112" s="12">
        <f ca="1">'Preventative costs A'!G112-'Preventative costs B'!G112</f>
        <v>158.11467655018768</v>
      </c>
      <c r="H112" s="12">
        <f ca="1">'Preventative costs A'!H112-'Preventative costs B'!H112</f>
        <v>180.90870104494192</v>
      </c>
      <c r="I112" s="12">
        <f ca="1">'Preventative costs A'!I112-'Preventative costs B'!I112</f>
        <v>190.89041705981339</v>
      </c>
      <c r="J112" s="12">
        <f ca="1">'Preventative costs A'!J112-'Preventative costs B'!J112</f>
        <v>183.59267484084953</v>
      </c>
      <c r="K112" s="12">
        <f ca="1">'Preventative costs A'!K112-'Preventative costs B'!K112</f>
        <v>175.41684182248397</v>
      </c>
      <c r="M112" s="4" t="str">
        <f>'Library data'!$G$138</f>
        <v>% relative to RCP8.5</v>
      </c>
    </row>
    <row r="113" spans="1:13" s="7" customFormat="1" x14ac:dyDescent="0.2">
      <c r="A113" s="4" t="str">
        <v>US Lin</v>
      </c>
      <c r="B113" s="14">
        <f ca="1">'Preventative costs A'!B113-'Preventative costs B'!B113</f>
        <v>0</v>
      </c>
      <c r="C113" s="14">
        <f ca="1">'Preventative costs A'!C113-'Preventative costs B'!C113</f>
        <v>0</v>
      </c>
      <c r="D113" s="14">
        <f ca="1">'Preventative costs A'!D113-'Preventative costs B'!D113</f>
        <v>0</v>
      </c>
      <c r="E113" s="14">
        <f ca="1">'Preventative costs A'!E113-'Preventative costs B'!E113</f>
        <v>0</v>
      </c>
      <c r="F113" s="14">
        <f ca="1">'Preventative costs A'!F113-'Preventative costs B'!F113</f>
        <v>68.926986869561333</v>
      </c>
      <c r="G113" s="14">
        <f ca="1">'Preventative costs A'!G113-'Preventative costs B'!G113</f>
        <v>158.11467655018768</v>
      </c>
      <c r="H113" s="14">
        <f ca="1">'Preventative costs A'!H113-'Preventative costs B'!H113</f>
        <v>180.90870104494192</v>
      </c>
      <c r="I113" s="14">
        <f ca="1">'Preventative costs A'!I113-'Preventative costs B'!I113</f>
        <v>190.89041705981339</v>
      </c>
      <c r="J113" s="14">
        <f ca="1">'Preventative costs A'!J113-'Preventative costs B'!J113</f>
        <v>183.59267484084953</v>
      </c>
      <c r="K113" s="14">
        <f ca="1">'Preventative costs A'!K113-'Preventative costs B'!K113</f>
        <v>175.41684182248397</v>
      </c>
      <c r="M113" s="4" t="str">
        <f>'Library data'!$G$138</f>
        <v>% relative to RCP8.5</v>
      </c>
    </row>
    <row r="114" spans="1:13" s="7" customFormat="1" x14ac:dyDescent="0.2">
      <c r="A114" s="4" t="str">
        <v>OT Lin</v>
      </c>
      <c r="B114" s="14">
        <f ca="1">'Preventative costs A'!B114-'Preventative costs B'!B114</f>
        <v>0</v>
      </c>
      <c r="C114" s="14">
        <f ca="1">'Preventative costs A'!C114-'Preventative costs B'!C114</f>
        <v>0</v>
      </c>
      <c r="D114" s="14">
        <f ca="1">'Preventative costs A'!D114-'Preventative costs B'!D114</f>
        <v>0</v>
      </c>
      <c r="E114" s="14">
        <f ca="1">'Preventative costs A'!E114-'Preventative costs B'!E114</f>
        <v>0</v>
      </c>
      <c r="F114" s="14">
        <f ca="1">'Preventative costs A'!F114-'Preventative costs B'!F114</f>
        <v>68.926986869561333</v>
      </c>
      <c r="G114" s="14">
        <f ca="1">'Preventative costs A'!G114-'Preventative costs B'!G114</f>
        <v>158.11467655018768</v>
      </c>
      <c r="H114" s="14">
        <f ca="1">'Preventative costs A'!H114-'Preventative costs B'!H114</f>
        <v>180.90870104494192</v>
      </c>
      <c r="I114" s="14">
        <f ca="1">'Preventative costs A'!I114-'Preventative costs B'!I114</f>
        <v>190.89041705981339</v>
      </c>
      <c r="J114" s="14">
        <f ca="1">'Preventative costs A'!J114-'Preventative costs B'!J114</f>
        <v>183.59267484084953</v>
      </c>
      <c r="K114" s="14">
        <f ca="1">'Preventative costs A'!K114-'Preventative costs B'!K114</f>
        <v>175.41684182248397</v>
      </c>
      <c r="M114" s="4" t="str">
        <f>'Library data'!$G$138</f>
        <v>% relative to RCP8.5</v>
      </c>
    </row>
    <row r="115" spans="1:13" s="7" customFormat="1" x14ac:dyDescent="0.2">
      <c r="A115" s="4" t="str">
        <v>EE Lin</v>
      </c>
      <c r="B115" s="14">
        <f ca="1">'Preventative costs A'!B115-'Preventative costs B'!B115</f>
        <v>0</v>
      </c>
      <c r="C115" s="14">
        <f ca="1">'Preventative costs A'!C115-'Preventative costs B'!C115</f>
        <v>0</v>
      </c>
      <c r="D115" s="14">
        <f ca="1">'Preventative costs A'!D115-'Preventative costs B'!D115</f>
        <v>0</v>
      </c>
      <c r="E115" s="14">
        <f ca="1">'Preventative costs A'!E115-'Preventative costs B'!E115</f>
        <v>0</v>
      </c>
      <c r="F115" s="14">
        <f ca="1">'Preventative costs A'!F115-'Preventative costs B'!F115</f>
        <v>68.926986869561333</v>
      </c>
      <c r="G115" s="14">
        <f ca="1">'Preventative costs A'!G115-'Preventative costs B'!G115</f>
        <v>158.11467655018768</v>
      </c>
      <c r="H115" s="14">
        <f ca="1">'Preventative costs A'!H115-'Preventative costs B'!H115</f>
        <v>180.90870104494192</v>
      </c>
      <c r="I115" s="14">
        <f ca="1">'Preventative costs A'!I115-'Preventative costs B'!I115</f>
        <v>190.89041705981339</v>
      </c>
      <c r="J115" s="14">
        <f ca="1">'Preventative costs A'!J115-'Preventative costs B'!J115</f>
        <v>183.59267484084953</v>
      </c>
      <c r="K115" s="14">
        <f ca="1">'Preventative costs A'!K115-'Preventative costs B'!K115</f>
        <v>175.41684182248397</v>
      </c>
      <c r="M115" s="4" t="str">
        <f>'Library data'!$G$138</f>
        <v>% relative to RCP8.5</v>
      </c>
    </row>
    <row r="116" spans="1:13" s="7" customFormat="1" x14ac:dyDescent="0.2">
      <c r="A116" s="4" t="str">
        <v>CA Lin</v>
      </c>
      <c r="B116" s="14">
        <f ca="1">'Preventative costs A'!B116-'Preventative costs B'!B116</f>
        <v>0</v>
      </c>
      <c r="C116" s="14">
        <f ca="1">'Preventative costs A'!C116-'Preventative costs B'!C116</f>
        <v>0</v>
      </c>
      <c r="D116" s="14">
        <f ca="1">'Preventative costs A'!D116-'Preventative costs B'!D116</f>
        <v>0</v>
      </c>
      <c r="E116" s="14">
        <f ca="1">'Preventative costs A'!E116-'Preventative costs B'!E116</f>
        <v>0</v>
      </c>
      <c r="F116" s="14">
        <f ca="1">'Preventative costs A'!F116-'Preventative costs B'!F116</f>
        <v>68.926986869561333</v>
      </c>
      <c r="G116" s="14">
        <f ca="1">'Preventative costs A'!G116-'Preventative costs B'!G116</f>
        <v>158.11467655018768</v>
      </c>
      <c r="H116" s="14">
        <f ca="1">'Preventative costs A'!H116-'Preventative costs B'!H116</f>
        <v>180.90870104494192</v>
      </c>
      <c r="I116" s="14">
        <f ca="1">'Preventative costs A'!I116-'Preventative costs B'!I116</f>
        <v>190.89041705981339</v>
      </c>
      <c r="J116" s="14">
        <f ca="1">'Preventative costs A'!J116-'Preventative costs B'!J116</f>
        <v>183.59267484084953</v>
      </c>
      <c r="K116" s="14">
        <f ca="1">'Preventative costs A'!K116-'Preventative costs B'!K116</f>
        <v>175.41684182248397</v>
      </c>
      <c r="M116" s="4" t="str">
        <f>'Library data'!$G$138</f>
        <v>% relative to RCP8.5</v>
      </c>
    </row>
    <row r="117" spans="1:13" s="7" customFormat="1" x14ac:dyDescent="0.2">
      <c r="A117" s="4" t="str">
        <v>IA Lin</v>
      </c>
      <c r="B117" s="14">
        <f ca="1">'Preventative costs A'!B117-'Preventative costs B'!B117</f>
        <v>0</v>
      </c>
      <c r="C117" s="14">
        <f ca="1">'Preventative costs A'!C117-'Preventative costs B'!C117</f>
        <v>0</v>
      </c>
      <c r="D117" s="14">
        <f ca="1">'Preventative costs A'!D117-'Preventative costs B'!D117</f>
        <v>0</v>
      </c>
      <c r="E117" s="14">
        <f ca="1">'Preventative costs A'!E117-'Preventative costs B'!E117</f>
        <v>0</v>
      </c>
      <c r="F117" s="14">
        <f ca="1">'Preventative costs A'!F117-'Preventative costs B'!F117</f>
        <v>68.926986869561333</v>
      </c>
      <c r="G117" s="14">
        <f ca="1">'Preventative costs A'!G117-'Preventative costs B'!G117</f>
        <v>158.11467655018768</v>
      </c>
      <c r="H117" s="14">
        <f ca="1">'Preventative costs A'!H117-'Preventative costs B'!H117</f>
        <v>180.90870104494192</v>
      </c>
      <c r="I117" s="14">
        <f ca="1">'Preventative costs A'!I117-'Preventative costs B'!I117</f>
        <v>190.89041705981339</v>
      </c>
      <c r="J117" s="14">
        <f ca="1">'Preventative costs A'!J117-'Preventative costs B'!J117</f>
        <v>183.59267484084953</v>
      </c>
      <c r="K117" s="14">
        <f ca="1">'Preventative costs A'!K117-'Preventative costs B'!K117</f>
        <v>175.41684182248397</v>
      </c>
      <c r="M117" s="4" t="str">
        <f>'Library data'!$G$138</f>
        <v>% relative to RCP8.5</v>
      </c>
    </row>
    <row r="118" spans="1:13" s="7" customFormat="1" x14ac:dyDescent="0.2">
      <c r="A118" s="4" t="str">
        <v>AF Lin</v>
      </c>
      <c r="B118" s="14">
        <f ca="1">'Preventative costs A'!B118-'Preventative costs B'!B118</f>
        <v>0</v>
      </c>
      <c r="C118" s="14">
        <f ca="1">'Preventative costs A'!C118-'Preventative costs B'!C118</f>
        <v>0</v>
      </c>
      <c r="D118" s="14">
        <f ca="1">'Preventative costs A'!D118-'Preventative costs B'!D118</f>
        <v>0</v>
      </c>
      <c r="E118" s="14">
        <f ca="1">'Preventative costs A'!E118-'Preventative costs B'!E118</f>
        <v>0</v>
      </c>
      <c r="F118" s="14">
        <f ca="1">'Preventative costs A'!F118-'Preventative costs B'!F118</f>
        <v>68.926986869561333</v>
      </c>
      <c r="G118" s="14">
        <f ca="1">'Preventative costs A'!G118-'Preventative costs B'!G118</f>
        <v>158.11467655018768</v>
      </c>
      <c r="H118" s="14">
        <f ca="1">'Preventative costs A'!H118-'Preventative costs B'!H118</f>
        <v>180.90870104494192</v>
      </c>
      <c r="I118" s="14">
        <f ca="1">'Preventative costs A'!I118-'Preventative costs B'!I118</f>
        <v>190.89041705981339</v>
      </c>
      <c r="J118" s="14">
        <f ca="1">'Preventative costs A'!J118-'Preventative costs B'!J118</f>
        <v>183.59267484084953</v>
      </c>
      <c r="K118" s="14">
        <f ca="1">'Preventative costs A'!K118-'Preventative costs B'!K118</f>
        <v>175.41684182248397</v>
      </c>
      <c r="M118" s="4" t="str">
        <f>'Library data'!$G$138</f>
        <v>% relative to RCP8.5</v>
      </c>
    </row>
    <row r="119" spans="1:13" s="7" customFormat="1" ht="13.5" thickBot="1" x14ac:dyDescent="0.25">
      <c r="A119" s="4" t="str">
        <v>LA Lin</v>
      </c>
      <c r="B119" s="16">
        <f ca="1">'Preventative costs A'!B119-'Preventative costs B'!B119</f>
        <v>0</v>
      </c>
      <c r="C119" s="16">
        <f ca="1">'Preventative costs A'!C119-'Preventative costs B'!C119</f>
        <v>0</v>
      </c>
      <c r="D119" s="16">
        <f ca="1">'Preventative costs A'!D119-'Preventative costs B'!D119</f>
        <v>0</v>
      </c>
      <c r="E119" s="16">
        <f ca="1">'Preventative costs A'!E119-'Preventative costs B'!E119</f>
        <v>0</v>
      </c>
      <c r="F119" s="16">
        <f ca="1">'Preventative costs A'!F119-'Preventative costs B'!F119</f>
        <v>68.926986869561333</v>
      </c>
      <c r="G119" s="16">
        <f ca="1">'Preventative costs A'!G119-'Preventative costs B'!G119</f>
        <v>158.11467655018768</v>
      </c>
      <c r="H119" s="16">
        <f ca="1">'Preventative costs A'!H119-'Preventative costs B'!H119</f>
        <v>180.90870104494192</v>
      </c>
      <c r="I119" s="16">
        <f ca="1">'Preventative costs A'!I119-'Preventative costs B'!I119</f>
        <v>190.89041705981339</v>
      </c>
      <c r="J119" s="16">
        <f ca="1">'Preventative costs A'!J119-'Preventative costs B'!J119</f>
        <v>183.59267484084953</v>
      </c>
      <c r="K119" s="16">
        <f ca="1">'Preventative costs A'!K119-'Preventative costs B'!K119</f>
        <v>175.41684182248397</v>
      </c>
      <c r="M119" s="4" t="str">
        <f>'Library data'!$G$138</f>
        <v>% relative to RCP8.5</v>
      </c>
    </row>
    <row r="120" spans="1:13" s="2" customFormat="1" ht="15" thickTop="1" x14ac:dyDescent="0.25">
      <c r="A120" s="2" t="s">
        <v>103</v>
      </c>
      <c r="B120" s="2" t="s">
        <v>284</v>
      </c>
    </row>
    <row r="121" spans="1:13" s="6" customFormat="1" x14ac:dyDescent="0.2">
      <c r="A121" s="4" t="str">
        <f t="array" ref="A121:A128">R_CODE&amp;" "&amp;'Base data'!$B$12</f>
        <v>EU CO2</v>
      </c>
      <c r="B121" s="12">
        <f ca="1">'Preventative costs A'!B121-'Preventative costs B'!B121</f>
        <v>0</v>
      </c>
      <c r="C121" s="12">
        <f ca="1">'Preventative costs A'!C121-'Preventative costs B'!C121</f>
        <v>0</v>
      </c>
      <c r="D121" s="12">
        <f ca="1">'Preventative costs A'!D121-'Preventative costs B'!D121</f>
        <v>0</v>
      </c>
      <c r="E121" s="12">
        <f ca="1">'Preventative costs A'!E121-'Preventative costs B'!E121</f>
        <v>0</v>
      </c>
      <c r="F121" s="12">
        <f ca="1">'Preventative costs A'!F121-'Preventative costs B'!F121</f>
        <v>1665.635718949778</v>
      </c>
      <c r="G121" s="12">
        <f ca="1">'Preventative costs A'!G121-'Preventative costs B'!G121</f>
        <v>5385.9147327324827</v>
      </c>
      <c r="H121" s="12">
        <f ca="1">'Preventative costs A'!H121-'Preventative costs B'!H121</f>
        <v>8000.1954535616715</v>
      </c>
      <c r="I121" s="12">
        <f ca="1">'Preventative costs A'!I121-'Preventative costs B'!I121</f>
        <v>9173.3983325524259</v>
      </c>
      <c r="J121" s="12">
        <f ca="1">'Preventative costs A'!J121-'Preventative costs B'!J121</f>
        <v>9517.6717330464726</v>
      </c>
      <c r="K121" s="12">
        <f ca="1">'Preventative costs A'!K121-'Preventative costs B'!K121</f>
        <v>9665.1247375427956</v>
      </c>
      <c r="M121" s="4" t="str">
        <f t="shared" ref="M121:M128" si="0">EMIT_NAME</f>
        <v>Mtonne</v>
      </c>
    </row>
    <row r="122" spans="1:13" s="6" customFormat="1" x14ac:dyDescent="0.2">
      <c r="A122" s="4" t="str">
        <v>US CO2</v>
      </c>
      <c r="B122" s="14">
        <f ca="1">'Preventative costs A'!B122-'Preventative costs B'!B122</f>
        <v>0</v>
      </c>
      <c r="C122" s="14">
        <f ca="1">'Preventative costs A'!C122-'Preventative costs B'!C122</f>
        <v>0</v>
      </c>
      <c r="D122" s="14">
        <f ca="1">'Preventative costs A'!D122-'Preventative costs B'!D122</f>
        <v>0</v>
      </c>
      <c r="E122" s="14">
        <f ca="1">'Preventative costs A'!E122-'Preventative costs B'!E122</f>
        <v>0</v>
      </c>
      <c r="F122" s="14">
        <f ca="1">'Preventative costs A'!F122-'Preventative costs B'!F122</f>
        <v>3436.2038846435953</v>
      </c>
      <c r="G122" s="14">
        <f ca="1">'Preventative costs A'!G122-'Preventative costs B'!G122</f>
        <v>10523.480970210594</v>
      </c>
      <c r="H122" s="14">
        <f ca="1">'Preventative costs A'!H122-'Preventative costs B'!H122</f>
        <v>14234.810478946369</v>
      </c>
      <c r="I122" s="14">
        <f ca="1">'Preventative costs A'!I122-'Preventative costs B'!I122</f>
        <v>15973.291576312084</v>
      </c>
      <c r="J122" s="14">
        <f ca="1">'Preventative costs A'!J122-'Preventative costs B'!J122</f>
        <v>15436.948445213095</v>
      </c>
      <c r="K122" s="14">
        <f ca="1">'Preventative costs A'!K122-'Preventative costs B'!K122</f>
        <v>14308.780092869485</v>
      </c>
      <c r="M122" s="4" t="str">
        <f t="shared" si="0"/>
        <v>Mtonne</v>
      </c>
    </row>
    <row r="123" spans="1:13" s="6" customFormat="1" x14ac:dyDescent="0.2">
      <c r="A123" s="4" t="str">
        <v>OT CO2</v>
      </c>
      <c r="B123" s="14">
        <f ca="1">'Preventative costs A'!B123-'Preventative costs B'!B123</f>
        <v>0</v>
      </c>
      <c r="C123" s="14">
        <f ca="1">'Preventative costs A'!C123-'Preventative costs B'!C123</f>
        <v>0</v>
      </c>
      <c r="D123" s="14">
        <f ca="1">'Preventative costs A'!D123-'Preventative costs B'!D123</f>
        <v>0</v>
      </c>
      <c r="E123" s="14">
        <f ca="1">'Preventative costs A'!E123-'Preventative costs B'!E123</f>
        <v>0</v>
      </c>
      <c r="F123" s="14">
        <f ca="1">'Preventative costs A'!F123-'Preventative costs B'!F123</f>
        <v>1562.0859539714834</v>
      </c>
      <c r="G123" s="14">
        <f ca="1">'Preventative costs A'!G123-'Preventative costs B'!G123</f>
        <v>5051.0814925332197</v>
      </c>
      <c r="H123" s="14">
        <f ca="1">'Preventative costs A'!H123-'Preventative costs B'!H123</f>
        <v>7502.8367876950015</v>
      </c>
      <c r="I123" s="14">
        <f ca="1">'Preventative costs A'!I123-'Preventative costs B'!I123</f>
        <v>8603.1036213012649</v>
      </c>
      <c r="J123" s="14">
        <f ca="1">'Preventative costs A'!J123-'Preventative costs B'!J123</f>
        <v>8925.9741248089795</v>
      </c>
      <c r="K123" s="14">
        <f ca="1">'Preventative costs A'!K123-'Preventative costs B'!K123</f>
        <v>9064.2602245690341</v>
      </c>
      <c r="M123" s="4" t="str">
        <f t="shared" si="0"/>
        <v>Mtonne</v>
      </c>
    </row>
    <row r="124" spans="1:13" s="6" customFormat="1" x14ac:dyDescent="0.2">
      <c r="A124" s="4" t="str">
        <v>EE CO2</v>
      </c>
      <c r="B124" s="14">
        <f ca="1">'Preventative costs A'!B124-'Preventative costs B'!B124</f>
        <v>0</v>
      </c>
      <c r="C124" s="14">
        <f ca="1">'Preventative costs A'!C124-'Preventative costs B'!C124</f>
        <v>0</v>
      </c>
      <c r="D124" s="14">
        <f ca="1">'Preventative costs A'!D124-'Preventative costs B'!D124</f>
        <v>0</v>
      </c>
      <c r="E124" s="14">
        <f ca="1">'Preventative costs A'!E124-'Preventative costs B'!E124</f>
        <v>0</v>
      </c>
      <c r="F124" s="14">
        <f ca="1">'Preventative costs A'!F124-'Preventative costs B'!F124</f>
        <v>2397.2023568688792</v>
      </c>
      <c r="G124" s="14">
        <f ca="1">'Preventative costs A'!G124-'Preventative costs B'!G124</f>
        <v>6245.1138369813598</v>
      </c>
      <c r="H124" s="14">
        <f ca="1">'Preventative costs A'!H124-'Preventative costs B'!H124</f>
        <v>7883.7704614459453</v>
      </c>
      <c r="I124" s="14">
        <f ca="1">'Preventative costs A'!I124-'Preventative costs B'!I124</f>
        <v>7770.1879381333993</v>
      </c>
      <c r="J124" s="14">
        <f ca="1">'Preventative costs A'!J124-'Preventative costs B'!J124</f>
        <v>7007.5263837970988</v>
      </c>
      <c r="K124" s="14">
        <f ca="1">'Preventative costs A'!K124-'Preventative costs B'!K124</f>
        <v>6210.0675890633674</v>
      </c>
      <c r="M124" s="4" t="str">
        <f t="shared" si="0"/>
        <v>Mtonne</v>
      </c>
    </row>
    <row r="125" spans="1:13" s="6" customFormat="1" x14ac:dyDescent="0.2">
      <c r="A125" s="4" t="str">
        <v>CA CO2</v>
      </c>
      <c r="B125" s="14">
        <f ca="1">'Preventative costs A'!B125-'Preventative costs B'!B125</f>
        <v>0</v>
      </c>
      <c r="C125" s="14">
        <f ca="1">'Preventative costs A'!C125-'Preventative costs B'!C125</f>
        <v>0</v>
      </c>
      <c r="D125" s="14">
        <f ca="1">'Preventative costs A'!D125-'Preventative costs B'!D125</f>
        <v>0</v>
      </c>
      <c r="E125" s="14">
        <f ca="1">'Preventative costs A'!E125-'Preventative costs B'!E125</f>
        <v>0</v>
      </c>
      <c r="F125" s="14">
        <f ca="1">'Preventative costs A'!F125-'Preventative costs B'!F125</f>
        <v>5539.925977847457</v>
      </c>
      <c r="G125" s="14">
        <f ca="1">'Preventative costs A'!G125-'Preventative costs B'!G125</f>
        <v>13974.326418786595</v>
      </c>
      <c r="H125" s="14">
        <f ca="1">'Preventative costs A'!H125-'Preventative costs B'!H125</f>
        <v>17732.834511361638</v>
      </c>
      <c r="I125" s="14">
        <f ca="1">'Preventative costs A'!I125-'Preventative costs B'!I125</f>
        <v>17385.198752834618</v>
      </c>
      <c r="J125" s="14">
        <f ca="1">'Preventative costs A'!J125-'Preventative costs B'!J125</f>
        <v>14793.90976102992</v>
      </c>
      <c r="K125" s="14">
        <f ca="1">'Preventative costs A'!K125-'Preventative costs B'!K125</f>
        <v>12008.980683213775</v>
      </c>
      <c r="M125" s="4" t="str">
        <f t="shared" si="0"/>
        <v>Mtonne</v>
      </c>
    </row>
    <row r="126" spans="1:13" s="6" customFormat="1" x14ac:dyDescent="0.2">
      <c r="A126" s="4" t="str">
        <v>IA CO2</v>
      </c>
      <c r="B126" s="14">
        <f ca="1">'Preventative costs A'!B126-'Preventative costs B'!B126</f>
        <v>0</v>
      </c>
      <c r="C126" s="14">
        <f ca="1">'Preventative costs A'!C126-'Preventative costs B'!C126</f>
        <v>0</v>
      </c>
      <c r="D126" s="14">
        <f ca="1">'Preventative costs A'!D126-'Preventative costs B'!D126</f>
        <v>0</v>
      </c>
      <c r="E126" s="14">
        <f ca="1">'Preventative costs A'!E126-'Preventative costs B'!E126</f>
        <v>0</v>
      </c>
      <c r="F126" s="14">
        <f ca="1">'Preventative costs A'!F126-'Preventative costs B'!F126</f>
        <v>6405.5904776907782</v>
      </c>
      <c r="G126" s="14">
        <f ca="1">'Preventative costs A'!G126-'Preventative costs B'!G126</f>
        <v>18161.308321476823</v>
      </c>
      <c r="H126" s="14">
        <f ca="1">'Preventative costs A'!H126-'Preventative costs B'!H126</f>
        <v>26561.328935309375</v>
      </c>
      <c r="I126" s="14">
        <f ca="1">'Preventative costs A'!I126-'Preventative costs B'!I126</f>
        <v>31318.901428877976</v>
      </c>
      <c r="J126" s="14">
        <f ca="1">'Preventative costs A'!J126-'Preventative costs B'!J126</f>
        <v>32158.50659380015</v>
      </c>
      <c r="K126" s="14">
        <f ca="1">'Preventative costs A'!K126-'Preventative costs B'!K126</f>
        <v>30535.211225008927</v>
      </c>
      <c r="M126" s="4" t="str">
        <f t="shared" si="0"/>
        <v>Mtonne</v>
      </c>
    </row>
    <row r="127" spans="1:13" s="6" customFormat="1" x14ac:dyDescent="0.2">
      <c r="A127" s="4" t="str">
        <v>AF CO2</v>
      </c>
      <c r="B127" s="14">
        <f ca="1">'Preventative costs A'!B127-'Preventative costs B'!B127</f>
        <v>0</v>
      </c>
      <c r="C127" s="14">
        <f ca="1">'Preventative costs A'!C127-'Preventative costs B'!C127</f>
        <v>0</v>
      </c>
      <c r="D127" s="14">
        <f ca="1">'Preventative costs A'!D127-'Preventative costs B'!D127</f>
        <v>0</v>
      </c>
      <c r="E127" s="14">
        <f ca="1">'Preventative costs A'!E127-'Preventative costs B'!E127</f>
        <v>0</v>
      </c>
      <c r="F127" s="14">
        <f ca="1">'Preventative costs A'!F127-'Preventative costs B'!F127</f>
        <v>8208.5763896125027</v>
      </c>
      <c r="G127" s="14">
        <f ca="1">'Preventative costs A'!G127-'Preventative costs B'!G127</f>
        <v>25575.878944759585</v>
      </c>
      <c r="H127" s="14">
        <f ca="1">'Preventative costs A'!H127-'Preventative costs B'!H127</f>
        <v>38540.303730691812</v>
      </c>
      <c r="I127" s="14">
        <f ca="1">'Preventative costs A'!I127-'Preventative costs B'!I127</f>
        <v>47242.332574981207</v>
      </c>
      <c r="J127" s="14">
        <f ca="1">'Preventative costs A'!J127-'Preventative costs B'!J127</f>
        <v>50774.598240778585</v>
      </c>
      <c r="K127" s="14">
        <f ca="1">'Preventative costs A'!K127-'Preventative costs B'!K127</f>
        <v>51389.497080512345</v>
      </c>
      <c r="M127" s="4" t="str">
        <f t="shared" si="0"/>
        <v>Mtonne</v>
      </c>
    </row>
    <row r="128" spans="1:13" s="6" customFormat="1" ht="13.5" thickBot="1" x14ac:dyDescent="0.25">
      <c r="A128" s="4" t="str">
        <v>LA CO2</v>
      </c>
      <c r="B128" s="16">
        <f ca="1">'Preventative costs A'!B128-'Preventative costs B'!B128</f>
        <v>0</v>
      </c>
      <c r="C128" s="16">
        <f ca="1">'Preventative costs A'!C128-'Preventative costs B'!C128</f>
        <v>0</v>
      </c>
      <c r="D128" s="16">
        <f ca="1">'Preventative costs A'!D128-'Preventative costs B'!D128</f>
        <v>0</v>
      </c>
      <c r="E128" s="16">
        <f ca="1">'Preventative costs A'!E128-'Preventative costs B'!E128</f>
        <v>0</v>
      </c>
      <c r="F128" s="16">
        <f ca="1">'Preventative costs A'!F128-'Preventative costs B'!F128</f>
        <v>2254.1408542777058</v>
      </c>
      <c r="G128" s="16">
        <f ca="1">'Preventative costs A'!G128-'Preventative costs B'!G128</f>
        <v>7452.84883124721</v>
      </c>
      <c r="H128" s="16">
        <f ca="1">'Preventative costs A'!H128-'Preventative costs B'!H128</f>
        <v>10611.48665720944</v>
      </c>
      <c r="I128" s="16">
        <f ca="1">'Preventative costs A'!I128-'Preventative costs B'!I128</f>
        <v>12055.359281924384</v>
      </c>
      <c r="J128" s="16">
        <f ca="1">'Preventative costs A'!J128-'Preventative costs B'!J128</f>
        <v>11935.457746218783</v>
      </c>
      <c r="K128" s="16">
        <f ca="1">'Preventative costs A'!K128-'Preventative costs B'!K128</f>
        <v>11939.051707350247</v>
      </c>
      <c r="M128" s="4" t="str">
        <f t="shared" si="0"/>
        <v>Mtonne</v>
      </c>
    </row>
    <row r="129" spans="1:13" s="8" customFormat="1" ht="15" thickTop="1" x14ac:dyDescent="0.25">
      <c r="A129" s="8" t="s">
        <v>103</v>
      </c>
      <c r="B129" s="2" t="s">
        <v>285</v>
      </c>
      <c r="C129" s="2"/>
      <c r="D129" s="2"/>
      <c r="E129" s="2"/>
      <c r="F129" s="2"/>
      <c r="G129" s="2"/>
      <c r="H129" s="2"/>
      <c r="I129" s="2"/>
      <c r="J129" s="2"/>
      <c r="K129" s="2"/>
    </row>
    <row r="130" spans="1:13" s="7" customFormat="1" x14ac:dyDescent="0.2">
      <c r="A130" s="4" t="str">
        <f t="array" ref="A130:A137">R_CODE&amp;" "&amp;'Base data'!$C$12</f>
        <v>EU CH4</v>
      </c>
      <c r="B130" s="12">
        <f ca="1">'Preventative costs A'!B130-'Preventative costs B'!B130</f>
        <v>0</v>
      </c>
      <c r="C130" s="12">
        <f ca="1">'Preventative costs A'!C130-'Preventative costs B'!C130</f>
        <v>0</v>
      </c>
      <c r="D130" s="12">
        <f ca="1">'Preventative costs A'!D130-'Preventative costs B'!D130</f>
        <v>0</v>
      </c>
      <c r="E130" s="12">
        <f ca="1">'Preventative costs A'!E130-'Preventative costs B'!E130</f>
        <v>0</v>
      </c>
      <c r="F130" s="12">
        <f ca="1">'Preventative costs A'!F130-'Preventative costs B'!F130</f>
        <v>13.534225032549035</v>
      </c>
      <c r="G130" s="12">
        <f ca="1">'Preventative costs A'!G130-'Preventative costs B'!G130</f>
        <v>10.467296478615097</v>
      </c>
      <c r="H130" s="12">
        <f ca="1">'Preventative costs A'!H130-'Preventative costs B'!H130</f>
        <v>6.272840631923593</v>
      </c>
      <c r="I130" s="12">
        <f ca="1">'Preventative costs A'!I130-'Preventative costs B'!I130</f>
        <v>3.3018901821380546</v>
      </c>
      <c r="J130" s="12">
        <f ca="1">'Preventative costs A'!J130-'Preventative costs B'!J130</f>
        <v>5.0986793853663785</v>
      </c>
      <c r="K130" s="12">
        <f ca="1">'Preventative costs A'!K130-'Preventative costs B'!K130</f>
        <v>1.1974560981622364</v>
      </c>
      <c r="M130" s="4" t="str">
        <f t="shared" ref="M130:M137" si="1">EMIT_NAME</f>
        <v>Mtonne</v>
      </c>
    </row>
    <row r="131" spans="1:13" s="7" customFormat="1" x14ac:dyDescent="0.2">
      <c r="A131" s="4" t="str">
        <v>US CH4</v>
      </c>
      <c r="B131" s="14">
        <f ca="1">'Preventative costs A'!B131-'Preventative costs B'!B131</f>
        <v>0</v>
      </c>
      <c r="C131" s="14">
        <f ca="1">'Preventative costs A'!C131-'Preventative costs B'!C131</f>
        <v>0</v>
      </c>
      <c r="D131" s="14">
        <f ca="1">'Preventative costs A'!D131-'Preventative costs B'!D131</f>
        <v>0</v>
      </c>
      <c r="E131" s="14">
        <f ca="1">'Preventative costs A'!E131-'Preventative costs B'!E131</f>
        <v>0</v>
      </c>
      <c r="F131" s="14">
        <f ca="1">'Preventative costs A'!F131-'Preventative costs B'!F131</f>
        <v>22.68626410937345</v>
      </c>
      <c r="G131" s="14">
        <f ca="1">'Preventative costs A'!G131-'Preventative costs B'!G131</f>
        <v>21.880566545602971</v>
      </c>
      <c r="H131" s="14">
        <f ca="1">'Preventative costs A'!H131-'Preventative costs B'!H131</f>
        <v>18.451301477040346</v>
      </c>
      <c r="I131" s="14">
        <f ca="1">'Preventative costs A'!I131-'Preventative costs B'!I131</f>
        <v>13.882644145761494</v>
      </c>
      <c r="J131" s="14">
        <f ca="1">'Preventative costs A'!J131-'Preventative costs B'!J131</f>
        <v>8.2798138502083063</v>
      </c>
      <c r="K131" s="14">
        <f ca="1">'Preventative costs A'!K131-'Preventative costs B'!K131</f>
        <v>4.5207502242130753</v>
      </c>
      <c r="M131" s="4" t="str">
        <f t="shared" si="1"/>
        <v>Mtonne</v>
      </c>
    </row>
    <row r="132" spans="1:13" s="7" customFormat="1" x14ac:dyDescent="0.2">
      <c r="A132" s="4" t="str">
        <v>OT CH4</v>
      </c>
      <c r="B132" s="14">
        <f ca="1">'Preventative costs A'!B132-'Preventative costs B'!B132</f>
        <v>0</v>
      </c>
      <c r="C132" s="14">
        <f ca="1">'Preventative costs A'!C132-'Preventative costs B'!C132</f>
        <v>0</v>
      </c>
      <c r="D132" s="14">
        <f ca="1">'Preventative costs A'!D132-'Preventative costs B'!D132</f>
        <v>0</v>
      </c>
      <c r="E132" s="14">
        <f ca="1">'Preventative costs A'!E132-'Preventative costs B'!E132</f>
        <v>0</v>
      </c>
      <c r="F132" s="14">
        <f ca="1">'Preventative costs A'!F132-'Preventative costs B'!F132</f>
        <v>10.109523812660472</v>
      </c>
      <c r="G132" s="14">
        <f ca="1">'Preventative costs A'!G132-'Preventative costs B'!G132</f>
        <v>14.940309039012986</v>
      </c>
      <c r="H132" s="14">
        <f ca="1">'Preventative costs A'!H132-'Preventative costs B'!H132</f>
        <v>13.771893952330263</v>
      </c>
      <c r="I132" s="14">
        <f ca="1">'Preventative costs A'!I132-'Preventative costs B'!I132</f>
        <v>11.797707855319517</v>
      </c>
      <c r="J132" s="14">
        <f ca="1">'Preventative costs A'!J132-'Preventative costs B'!J132</f>
        <v>11.190192184793041</v>
      </c>
      <c r="K132" s="14">
        <f ca="1">'Preventative costs A'!K132-'Preventative costs B'!K132</f>
        <v>16.528532398615699</v>
      </c>
      <c r="M132" s="4" t="str">
        <f t="shared" si="1"/>
        <v>Mtonne</v>
      </c>
    </row>
    <row r="133" spans="1:13" s="7" customFormat="1" x14ac:dyDescent="0.2">
      <c r="A133" s="4" t="str">
        <v>EE CH4</v>
      </c>
      <c r="B133" s="14">
        <f ca="1">'Preventative costs A'!B133-'Preventative costs B'!B133</f>
        <v>0</v>
      </c>
      <c r="C133" s="14">
        <f ca="1">'Preventative costs A'!C133-'Preventative costs B'!C133</f>
        <v>0</v>
      </c>
      <c r="D133" s="14">
        <f ca="1">'Preventative costs A'!D133-'Preventative costs B'!D133</f>
        <v>0</v>
      </c>
      <c r="E133" s="14">
        <f ca="1">'Preventative costs A'!E133-'Preventative costs B'!E133</f>
        <v>0</v>
      </c>
      <c r="F133" s="14">
        <f ca="1">'Preventative costs A'!F133-'Preventative costs B'!F133</f>
        <v>30.25044216979127</v>
      </c>
      <c r="G133" s="14">
        <f ca="1">'Preventative costs A'!G133-'Preventative costs B'!G133</f>
        <v>44.925495692462135</v>
      </c>
      <c r="H133" s="14">
        <f ca="1">'Preventative costs A'!H133-'Preventative costs B'!H133</f>
        <v>50.031294939790705</v>
      </c>
      <c r="I133" s="14">
        <f ca="1">'Preventative costs A'!I133-'Preventative costs B'!I133</f>
        <v>54.640295279900208</v>
      </c>
      <c r="J133" s="14">
        <f ca="1">'Preventative costs A'!J133-'Preventative costs B'!J133</f>
        <v>54.13630880323246</v>
      </c>
      <c r="K133" s="14">
        <f ca="1">'Preventative costs A'!K133-'Preventative costs B'!K133</f>
        <v>51.356518100519295</v>
      </c>
      <c r="M133" s="4" t="str">
        <f t="shared" si="1"/>
        <v>Mtonne</v>
      </c>
    </row>
    <row r="134" spans="1:13" s="7" customFormat="1" x14ac:dyDescent="0.2">
      <c r="A134" s="4" t="str">
        <v>CA CH4</v>
      </c>
      <c r="B134" s="14">
        <f ca="1">'Preventative costs A'!B134-'Preventative costs B'!B134</f>
        <v>0</v>
      </c>
      <c r="C134" s="14">
        <f ca="1">'Preventative costs A'!C134-'Preventative costs B'!C134</f>
        <v>0</v>
      </c>
      <c r="D134" s="14">
        <f ca="1">'Preventative costs A'!D134-'Preventative costs B'!D134</f>
        <v>0</v>
      </c>
      <c r="E134" s="14">
        <f ca="1">'Preventative costs A'!E134-'Preventative costs B'!E134</f>
        <v>0</v>
      </c>
      <c r="F134" s="14">
        <f ca="1">'Preventative costs A'!F134-'Preventative costs B'!F134</f>
        <v>20.694387975621773</v>
      </c>
      <c r="G134" s="14">
        <f ca="1">'Preventative costs A'!G134-'Preventative costs B'!G134</f>
        <v>23.881874222751794</v>
      </c>
      <c r="H134" s="14">
        <f ca="1">'Preventative costs A'!H134-'Preventative costs B'!H134</f>
        <v>23.759820692347461</v>
      </c>
      <c r="I134" s="14">
        <f ca="1">'Preventative costs A'!I134-'Preventative costs B'!I134</f>
        <v>18.296338844577107</v>
      </c>
      <c r="J134" s="14">
        <f ca="1">'Preventative costs A'!J134-'Preventative costs B'!J134</f>
        <v>16.62642488250783</v>
      </c>
      <c r="K134" s="14">
        <f ca="1">'Preventative costs A'!K134-'Preventative costs B'!K134</f>
        <v>13.527524233354836</v>
      </c>
      <c r="M134" s="4" t="str">
        <f t="shared" si="1"/>
        <v>Mtonne</v>
      </c>
    </row>
    <row r="135" spans="1:13" s="7" customFormat="1" x14ac:dyDescent="0.2">
      <c r="A135" s="4" t="str">
        <v>IA CH4</v>
      </c>
      <c r="B135" s="14">
        <f ca="1">'Preventative costs A'!B135-'Preventative costs B'!B135</f>
        <v>0</v>
      </c>
      <c r="C135" s="14">
        <f ca="1">'Preventative costs A'!C135-'Preventative costs B'!C135</f>
        <v>0</v>
      </c>
      <c r="D135" s="14">
        <f ca="1">'Preventative costs A'!D135-'Preventative costs B'!D135</f>
        <v>0</v>
      </c>
      <c r="E135" s="14">
        <f ca="1">'Preventative costs A'!E135-'Preventative costs B'!E135</f>
        <v>0</v>
      </c>
      <c r="F135" s="14">
        <f ca="1">'Preventative costs A'!F135-'Preventative costs B'!F135</f>
        <v>43.384796153943356</v>
      </c>
      <c r="G135" s="14">
        <f ca="1">'Preventative costs A'!G135-'Preventative costs B'!G135</f>
        <v>31.771061270731249</v>
      </c>
      <c r="H135" s="14">
        <f ca="1">'Preventative costs A'!H135-'Preventative costs B'!H135</f>
        <v>21.178490584317597</v>
      </c>
      <c r="I135" s="14">
        <f ca="1">'Preventative costs A'!I135-'Preventative costs B'!I135</f>
        <v>14.64066804150451</v>
      </c>
      <c r="J135" s="14">
        <f ca="1">'Preventative costs A'!J135-'Preventative costs B'!J135</f>
        <v>13.642340235033503</v>
      </c>
      <c r="K135" s="14">
        <f ca="1">'Preventative costs A'!K135-'Preventative costs B'!K135</f>
        <v>11.690380702118732</v>
      </c>
      <c r="M135" s="4" t="str">
        <f t="shared" si="1"/>
        <v>Mtonne</v>
      </c>
    </row>
    <row r="136" spans="1:13" s="7" customFormat="1" x14ac:dyDescent="0.2">
      <c r="A136" s="4" t="str">
        <v>AF CH4</v>
      </c>
      <c r="B136" s="14">
        <f ca="1">'Preventative costs A'!B136-'Preventative costs B'!B136</f>
        <v>0</v>
      </c>
      <c r="C136" s="14">
        <f ca="1">'Preventative costs A'!C136-'Preventative costs B'!C136</f>
        <v>0</v>
      </c>
      <c r="D136" s="14">
        <f ca="1">'Preventative costs A'!D136-'Preventative costs B'!D136</f>
        <v>0</v>
      </c>
      <c r="E136" s="14">
        <f ca="1">'Preventative costs A'!E136-'Preventative costs B'!E136</f>
        <v>0</v>
      </c>
      <c r="F136" s="14">
        <f ca="1">'Preventative costs A'!F136-'Preventative costs B'!F136</f>
        <v>89.272026340002739</v>
      </c>
      <c r="G136" s="14">
        <f ca="1">'Preventative costs A'!G136-'Preventative costs B'!G136</f>
        <v>156.73989416716077</v>
      </c>
      <c r="H136" s="14">
        <f ca="1">'Preventative costs A'!H136-'Preventative costs B'!H136</f>
        <v>177.20817488878606</v>
      </c>
      <c r="I136" s="14">
        <f ca="1">'Preventative costs A'!I136-'Preventative costs B'!I136</f>
        <v>167.9978669253517</v>
      </c>
      <c r="J136" s="14">
        <f ca="1">'Preventative costs A'!J136-'Preventative costs B'!J136</f>
        <v>133.92523987860207</v>
      </c>
      <c r="K136" s="14">
        <f ca="1">'Preventative costs A'!K136-'Preventative costs B'!K136</f>
        <v>112.88556067052831</v>
      </c>
      <c r="M136" s="4" t="str">
        <f t="shared" si="1"/>
        <v>Mtonne</v>
      </c>
    </row>
    <row r="137" spans="1:13" s="7" customFormat="1" ht="13.5" thickBot="1" x14ac:dyDescent="0.25">
      <c r="A137" s="4" t="str">
        <v>LA CH4</v>
      </c>
      <c r="B137" s="16">
        <f ca="1">'Preventative costs A'!B137-'Preventative costs B'!B137</f>
        <v>0</v>
      </c>
      <c r="C137" s="16">
        <f ca="1">'Preventative costs A'!C137-'Preventative costs B'!C137</f>
        <v>0</v>
      </c>
      <c r="D137" s="16">
        <f ca="1">'Preventative costs A'!D137-'Preventative costs B'!D137</f>
        <v>0</v>
      </c>
      <c r="E137" s="16">
        <f ca="1">'Preventative costs A'!E137-'Preventative costs B'!E137</f>
        <v>0</v>
      </c>
      <c r="F137" s="16">
        <f ca="1">'Preventative costs A'!F137-'Preventative costs B'!F137</f>
        <v>25.081973242508219</v>
      </c>
      <c r="G137" s="16">
        <f ca="1">'Preventative costs A'!G137-'Preventative costs B'!G137</f>
        <v>33.721183642458847</v>
      </c>
      <c r="H137" s="16">
        <f ca="1">'Preventative costs A'!H137-'Preventative costs B'!H137</f>
        <v>33.165737110622935</v>
      </c>
      <c r="I137" s="16">
        <f ca="1">'Preventative costs A'!I137-'Preventative costs B'!I137</f>
        <v>30.064251398757765</v>
      </c>
      <c r="J137" s="16">
        <f ca="1">'Preventative costs A'!J137-'Preventative costs B'!J137</f>
        <v>22.571453410972524</v>
      </c>
      <c r="K137" s="16">
        <f ca="1">'Preventative costs A'!K137-'Preventative costs B'!K137</f>
        <v>19.739923279402593</v>
      </c>
      <c r="M137" s="4" t="str">
        <f t="shared" si="1"/>
        <v>Mtonne</v>
      </c>
    </row>
    <row r="138" spans="1:13" s="8" customFormat="1" ht="15" thickTop="1" x14ac:dyDescent="0.25">
      <c r="A138" s="8" t="s">
        <v>103</v>
      </c>
      <c r="B138" s="8" t="s">
        <v>286</v>
      </c>
    </row>
    <row r="139" spans="1:13" s="7" customFormat="1" x14ac:dyDescent="0.2">
      <c r="A139" s="4" t="str">
        <f t="array" ref="A139:A146">R_CODE&amp;" "&amp;'Base data'!$D$12</f>
        <v>EU N2O</v>
      </c>
      <c r="B139" s="12">
        <f ca="1">'Preventative costs A'!B139-'Preventative costs B'!B139</f>
        <v>0</v>
      </c>
      <c r="C139" s="12">
        <f ca="1">'Preventative costs A'!C139-'Preventative costs B'!C139</f>
        <v>0</v>
      </c>
      <c r="D139" s="12">
        <f ca="1">'Preventative costs A'!D139-'Preventative costs B'!D139</f>
        <v>0</v>
      </c>
      <c r="E139" s="12">
        <f ca="1">'Preventative costs A'!E139-'Preventative costs B'!E139</f>
        <v>0</v>
      </c>
      <c r="F139" s="12">
        <f ca="1">'Preventative costs A'!F139-'Preventative costs B'!F139</f>
        <v>0.38581562563691962</v>
      </c>
      <c r="G139" s="12">
        <f ca="1">'Preventative costs A'!G139-'Preventative costs B'!G139</f>
        <v>9.0679399006020164E-2</v>
      </c>
      <c r="H139" s="12">
        <f ca="1">'Preventative costs A'!H139-'Preventative costs B'!H139</f>
        <v>6.9096270799710825E-3</v>
      </c>
      <c r="I139" s="12">
        <f ca="1">'Preventative costs A'!I139-'Preventative costs B'!I139</f>
        <v>5.3777255295580965E-2</v>
      </c>
      <c r="J139" s="12">
        <f ca="1">'Preventative costs A'!J139-'Preventative costs B'!J139</f>
        <v>7.0730208976967066E-2</v>
      </c>
      <c r="K139" s="12">
        <f ca="1">'Preventative costs A'!K139-'Preventative costs B'!K139</f>
        <v>4.3524216452947052E-2</v>
      </c>
      <c r="M139" s="4" t="str">
        <f t="shared" ref="M139:M146" si="2">EMIT_NAME</f>
        <v>Mtonne</v>
      </c>
    </row>
    <row r="140" spans="1:13" s="7" customFormat="1" x14ac:dyDescent="0.2">
      <c r="A140" s="4" t="str">
        <v>US N2O</v>
      </c>
      <c r="B140" s="14">
        <f ca="1">'Preventative costs A'!B140-'Preventative costs B'!B140</f>
        <v>0</v>
      </c>
      <c r="C140" s="14">
        <f ca="1">'Preventative costs A'!C140-'Preventative costs B'!C140</f>
        <v>0</v>
      </c>
      <c r="D140" s="14">
        <f ca="1">'Preventative costs A'!D140-'Preventative costs B'!D140</f>
        <v>0</v>
      </c>
      <c r="E140" s="14">
        <f ca="1">'Preventative costs A'!E140-'Preventative costs B'!E140</f>
        <v>0</v>
      </c>
      <c r="F140" s="14">
        <f ca="1">'Preventative costs A'!F140-'Preventative costs B'!F140</f>
        <v>0.34029682929616051</v>
      </c>
      <c r="G140" s="14">
        <f ca="1">'Preventative costs A'!G140-'Preventative costs B'!G140</f>
        <v>7.9980980327814921E-2</v>
      </c>
      <c r="H140" s="14">
        <f ca="1">'Preventative costs A'!H140-'Preventative costs B'!H140</f>
        <v>6.0944244625950258E-3</v>
      </c>
      <c r="I140" s="14">
        <f ca="1">'Preventative costs A'!I140-'Preventative costs B'!I140</f>
        <v>4.7432577244961562E-2</v>
      </c>
      <c r="J140" s="14">
        <f ca="1">'Preventative costs A'!J140-'Preventative costs B'!J140</f>
        <v>6.2385409638560457E-2</v>
      </c>
      <c r="K140" s="14">
        <f ca="1">'Preventative costs A'!K140-'Preventative costs B'!K140</f>
        <v>3.8389199069080809E-2</v>
      </c>
      <c r="M140" s="4" t="str">
        <f t="shared" si="2"/>
        <v>Mtonne</v>
      </c>
    </row>
    <row r="141" spans="1:13" s="7" customFormat="1" x14ac:dyDescent="0.2">
      <c r="A141" s="4" t="str">
        <v>OT N2O</v>
      </c>
      <c r="B141" s="14">
        <f ca="1">'Preventative costs A'!B141-'Preventative costs B'!B141</f>
        <v>0</v>
      </c>
      <c r="C141" s="14">
        <f ca="1">'Preventative costs A'!C141-'Preventative costs B'!C141</f>
        <v>0</v>
      </c>
      <c r="D141" s="14">
        <f ca="1">'Preventative costs A'!D141-'Preventative costs B'!D141</f>
        <v>0</v>
      </c>
      <c r="E141" s="14">
        <f ca="1">'Preventative costs A'!E141-'Preventative costs B'!E141</f>
        <v>0</v>
      </c>
      <c r="F141" s="14">
        <f ca="1">'Preventative costs A'!F141-'Preventative costs B'!F141</f>
        <v>0.18291462874695785</v>
      </c>
      <c r="G141" s="14">
        <f ca="1">'Preventative costs A'!G141-'Preventative costs B'!G141</f>
        <v>4.2990971598938339E-2</v>
      </c>
      <c r="H141" s="14">
        <f ca="1">'Preventative costs A'!H141-'Preventative costs B'!H141</f>
        <v>3.2758441808218301E-3</v>
      </c>
      <c r="I141" s="14">
        <f ca="1">'Preventative costs A'!I141-'Preventative costs B'!I141</f>
        <v>2.5495718767695949E-2</v>
      </c>
      <c r="J141" s="14">
        <f ca="1">'Preventative costs A'!J141-'Preventative costs B'!J141</f>
        <v>3.3533089529121048E-2</v>
      </c>
      <c r="K141" s="14">
        <f ca="1">'Preventative costs A'!K141-'Preventative costs B'!K141</f>
        <v>2.0634767917578137E-2</v>
      </c>
      <c r="M141" s="4" t="str">
        <f t="shared" si="2"/>
        <v>Mtonne</v>
      </c>
    </row>
    <row r="142" spans="1:13" s="7" customFormat="1" x14ac:dyDescent="0.2">
      <c r="A142" s="4" t="str">
        <v>EE N2O</v>
      </c>
      <c r="B142" s="14">
        <f ca="1">'Preventative costs A'!B142-'Preventative costs B'!B142</f>
        <v>0</v>
      </c>
      <c r="C142" s="14">
        <f ca="1">'Preventative costs A'!C142-'Preventative costs B'!C142</f>
        <v>0</v>
      </c>
      <c r="D142" s="14">
        <f ca="1">'Preventative costs A'!D142-'Preventative costs B'!D142</f>
        <v>0</v>
      </c>
      <c r="E142" s="14">
        <f ca="1">'Preventative costs A'!E142-'Preventative costs B'!E142</f>
        <v>0</v>
      </c>
      <c r="F142" s="14">
        <f ca="1">'Preventative costs A'!F142-'Preventative costs B'!F142</f>
        <v>0.12538642347174467</v>
      </c>
      <c r="G142" s="14">
        <f ca="1">'Preventative costs A'!G142-'Preventative costs B'!G142</f>
        <v>2.9469945664233176E-2</v>
      </c>
      <c r="H142" s="14">
        <f ca="1">'Preventative costs A'!H142-'Preventative costs B'!H142</f>
        <v>2.2455633455769077E-3</v>
      </c>
      <c r="I142" s="14">
        <f ca="1">'Preventative costs A'!I142-'Preventative costs B'!I142</f>
        <v>1.7477098535105554E-2</v>
      </c>
      <c r="J142" s="14">
        <f ca="1">'Preventative costs A'!J142-'Preventative costs B'!J142</f>
        <v>2.2986647884958897E-2</v>
      </c>
      <c r="K142" s="14">
        <f ca="1">'Preventative costs A'!K142-'Preventative costs B'!K142</f>
        <v>1.4144958039052713E-2</v>
      </c>
      <c r="M142" s="4" t="str">
        <f t="shared" si="2"/>
        <v>Mtonne</v>
      </c>
    </row>
    <row r="143" spans="1:13" s="7" customFormat="1" x14ac:dyDescent="0.2">
      <c r="A143" s="4" t="str">
        <v>CA N2O</v>
      </c>
      <c r="B143" s="14">
        <f ca="1">'Preventative costs A'!B143-'Preventative costs B'!B143</f>
        <v>0</v>
      </c>
      <c r="C143" s="14">
        <f ca="1">'Preventative costs A'!C143-'Preventative costs B'!C143</f>
        <v>0</v>
      </c>
      <c r="D143" s="14">
        <f ca="1">'Preventative costs A'!D143-'Preventative costs B'!D143</f>
        <v>0</v>
      </c>
      <c r="E143" s="14">
        <f ca="1">'Preventative costs A'!E143-'Preventative costs B'!E143</f>
        <v>0</v>
      </c>
      <c r="F143" s="14">
        <f ca="1">'Preventative costs A'!F143-'Preventative costs B'!F143</f>
        <v>0.65884241088272189</v>
      </c>
      <c r="G143" s="14">
        <f ca="1">'Preventative costs A'!G143-'Preventative costs B'!G143</f>
        <v>0.15484969993088232</v>
      </c>
      <c r="H143" s="14">
        <f ca="1">'Preventative costs A'!H143-'Preventative costs B'!H143</f>
        <v>1.1799302726926839E-2</v>
      </c>
      <c r="I143" s="14">
        <f ca="1">'Preventative costs A'!I143-'Preventative costs B'!I143</f>
        <v>9.1833337416300176E-2</v>
      </c>
      <c r="J143" s="14">
        <f ca="1">'Preventative costs A'!J143-'Preventative costs B'!J143</f>
        <v>0.12078324025289154</v>
      </c>
      <c r="K143" s="14">
        <f ca="1">'Preventative costs A'!K143-'Preventative costs B'!K143</f>
        <v>7.4324619829231289E-2</v>
      </c>
      <c r="M143" s="4" t="str">
        <f t="shared" si="2"/>
        <v>Mtonne</v>
      </c>
    </row>
    <row r="144" spans="1:13" s="7" customFormat="1" x14ac:dyDescent="0.2">
      <c r="A144" s="4" t="str">
        <v>IA N2O</v>
      </c>
      <c r="B144" s="14">
        <f ca="1">'Preventative costs A'!B144-'Preventative costs B'!B144</f>
        <v>0</v>
      </c>
      <c r="C144" s="14">
        <f ca="1">'Preventative costs A'!C144-'Preventative costs B'!C144</f>
        <v>0</v>
      </c>
      <c r="D144" s="14">
        <f ca="1">'Preventative costs A'!D144-'Preventative costs B'!D144</f>
        <v>0</v>
      </c>
      <c r="E144" s="14">
        <f ca="1">'Preventative costs A'!E144-'Preventative costs B'!E144</f>
        <v>0</v>
      </c>
      <c r="F144" s="14">
        <f ca="1">'Preventative costs A'!F144-'Preventative costs B'!F144</f>
        <v>0.31516960335203509</v>
      </c>
      <c r="G144" s="14">
        <f ca="1">'Preventative costs A'!G144-'Preventative costs B'!G144</f>
        <v>7.4075253353848292E-2</v>
      </c>
      <c r="H144" s="14">
        <f ca="1">'Preventative costs A'!H144-'Preventative costs B'!H144</f>
        <v>5.6444173885127815E-3</v>
      </c>
      <c r="I144" s="14">
        <f ca="1">'Preventative costs A'!I144-'Preventative costs B'!I144</f>
        <v>4.3930196432270939E-2</v>
      </c>
      <c r="J144" s="14">
        <f ca="1">'Preventative costs A'!J144-'Preventative costs B'!J144</f>
        <v>5.7778924509541918E-2</v>
      </c>
      <c r="K144" s="14">
        <f ca="1">'Preventative costs A'!K144-'Preventative costs B'!K144</f>
        <v>3.5554573542836788E-2</v>
      </c>
      <c r="M144" s="4" t="str">
        <f t="shared" si="2"/>
        <v>Mtonne</v>
      </c>
    </row>
    <row r="145" spans="1:13" s="7" customFormat="1" x14ac:dyDescent="0.2">
      <c r="A145" s="4" t="str">
        <v>AF N2O</v>
      </c>
      <c r="B145" s="14">
        <f ca="1">'Preventative costs A'!B145-'Preventative costs B'!B145</f>
        <v>0</v>
      </c>
      <c r="C145" s="14">
        <f ca="1">'Preventative costs A'!C145-'Preventative costs B'!C145</f>
        <v>0</v>
      </c>
      <c r="D145" s="14">
        <f ca="1">'Preventative costs A'!D145-'Preventative costs B'!D145</f>
        <v>0</v>
      </c>
      <c r="E145" s="14">
        <f ca="1">'Preventative costs A'!E145-'Preventative costs B'!E145</f>
        <v>0</v>
      </c>
      <c r="F145" s="14">
        <f ca="1">'Preventative costs A'!F145-'Preventative costs B'!F145</f>
        <v>0.55299424342416692</v>
      </c>
      <c r="G145" s="14">
        <f ca="1">'Preventative costs A'!G145-'Preventative costs B'!G145</f>
        <v>0.12997188894231704</v>
      </c>
      <c r="H145" s="14">
        <f ca="1">'Preventative costs A'!H145-'Preventative costs B'!H145</f>
        <v>9.903652795616856E-3</v>
      </c>
      <c r="I145" s="14">
        <f ca="1">'Preventative costs A'!I145-'Preventative costs B'!I145</f>
        <v>7.7079596132257649E-2</v>
      </c>
      <c r="J145" s="14">
        <f ca="1">'Preventative costs A'!J145-'Preventative costs B'!J145</f>
        <v>0.10137847148072655</v>
      </c>
      <c r="K145" s="14">
        <f ca="1">'Preventative costs A'!K145-'Preventative costs B'!K145</f>
        <v>6.2383790465442346E-2</v>
      </c>
      <c r="M145" s="4" t="str">
        <f t="shared" si="2"/>
        <v>Mtonne</v>
      </c>
    </row>
    <row r="146" spans="1:13" s="7" customFormat="1" ht="13.5" thickBot="1" x14ac:dyDescent="0.25">
      <c r="A146" s="4" t="str">
        <v>LA N2O</v>
      </c>
      <c r="B146" s="16">
        <f ca="1">'Preventative costs A'!B146-'Preventative costs B'!B146</f>
        <v>0</v>
      </c>
      <c r="C146" s="16">
        <f ca="1">'Preventative costs A'!C146-'Preventative costs B'!C146</f>
        <v>0</v>
      </c>
      <c r="D146" s="16">
        <f ca="1">'Preventative costs A'!D146-'Preventative costs B'!D146</f>
        <v>0</v>
      </c>
      <c r="E146" s="16">
        <f ca="1">'Preventative costs A'!E146-'Preventative costs B'!E146</f>
        <v>0</v>
      </c>
      <c r="F146" s="16">
        <f ca="1">'Preventative costs A'!F146-'Preventative costs B'!F146</f>
        <v>0.53191155276825541</v>
      </c>
      <c r="G146" s="16">
        <f ca="1">'Preventative costs A'!G146-'Preventative costs B'!G146</f>
        <v>0.1250167611790185</v>
      </c>
      <c r="H146" s="16">
        <f ca="1">'Preventative costs A'!H146-'Preventative costs B'!H146</f>
        <v>9.5260798810044515E-3</v>
      </c>
      <c r="I146" s="16">
        <f ca="1">'Preventative costs A'!I146-'Preventative costs B'!I146</f>
        <v>7.414096648020807E-2</v>
      </c>
      <c r="J146" s="16">
        <f ca="1">'Preventative costs A'!J146-'Preventative costs B'!J146</f>
        <v>9.7513456647727814E-2</v>
      </c>
      <c r="K146" s="16">
        <f ca="1">'Preventative costs A'!K146-'Preventative costs B'!K146</f>
        <v>6.0005432694153017E-2</v>
      </c>
      <c r="M146" s="4" t="str">
        <f t="shared" si="2"/>
        <v>Mtonne</v>
      </c>
    </row>
    <row r="147" spans="1:13" s="8" customFormat="1" ht="15" thickTop="1" x14ac:dyDescent="0.25">
      <c r="A147" s="8" t="s">
        <v>103</v>
      </c>
      <c r="B147" s="8" t="s">
        <v>287</v>
      </c>
    </row>
    <row r="148" spans="1:13" s="7" customFormat="1" x14ac:dyDescent="0.2">
      <c r="A148" s="4" t="str">
        <f t="array" ref="A148:A155">R_CODE&amp;" "&amp;GLIN_NAME</f>
        <v>EU Lin</v>
      </c>
      <c r="B148" s="12">
        <f ca="1">'Preventative costs A'!B148-'Preventative costs B'!B148</f>
        <v>0</v>
      </c>
      <c r="C148" s="12">
        <f ca="1">'Preventative costs A'!C148-'Preventative costs B'!C148</f>
        <v>0</v>
      </c>
      <c r="D148" s="12">
        <f ca="1">'Preventative costs A'!D148-'Preventative costs B'!D148</f>
        <v>0</v>
      </c>
      <c r="E148" s="12">
        <f ca="1">'Preventative costs A'!E148-'Preventative costs B'!E148</f>
        <v>0</v>
      </c>
      <c r="F148" s="12">
        <f ca="1">'Preventative costs A'!F148-'Preventative costs B'!F148</f>
        <v>57.322050763175206</v>
      </c>
      <c r="G148" s="12">
        <f ca="1">'Preventative costs A'!G148-'Preventative costs B'!G148</f>
        <v>131.49359818621895</v>
      </c>
      <c r="H148" s="12">
        <f ca="1">'Preventative costs A'!H148-'Preventative costs B'!H148</f>
        <v>150.44989220873288</v>
      </c>
      <c r="I148" s="12">
        <f ca="1">'Preventative costs A'!I148-'Preventative costs B'!I148</f>
        <v>158.75103024035536</v>
      </c>
      <c r="J148" s="12">
        <f ca="1">'Preventative costs A'!J148-'Preventative costs B'!J148</f>
        <v>152.68197704463608</v>
      </c>
      <c r="K148" s="12">
        <f ca="1">'Preventative costs A'!K148-'Preventative costs B'!K148</f>
        <v>145.88267336700855</v>
      </c>
      <c r="M148" s="4" t="str">
        <f t="shared" ref="M148:M155" si="3">EMIT_NAME</f>
        <v>Mtonne</v>
      </c>
    </row>
    <row r="149" spans="1:13" s="7" customFormat="1" x14ac:dyDescent="0.2">
      <c r="A149" s="4" t="str">
        <v>US Lin</v>
      </c>
      <c r="B149" s="14">
        <f ca="1">'Preventative costs A'!B149-'Preventative costs B'!B149</f>
        <v>0</v>
      </c>
      <c r="C149" s="14">
        <f ca="1">'Preventative costs A'!C149-'Preventative costs B'!C149</f>
        <v>0</v>
      </c>
      <c r="D149" s="14">
        <f ca="1">'Preventative costs A'!D149-'Preventative costs B'!D149</f>
        <v>0</v>
      </c>
      <c r="E149" s="14">
        <f ca="1">'Preventative costs A'!E149-'Preventative costs B'!E149</f>
        <v>0</v>
      </c>
      <c r="F149" s="14">
        <f ca="1">'Preventative costs A'!F149-'Preventative costs B'!F149</f>
        <v>149.22143227893224</v>
      </c>
      <c r="G149" s="14">
        <f ca="1">'Preventative costs A'!G149-'Preventative costs B'!G149</f>
        <v>342.30567112688391</v>
      </c>
      <c r="H149" s="14">
        <f ca="1">'Preventative costs A'!H149-'Preventative costs B'!H149</f>
        <v>391.65291720547839</v>
      </c>
      <c r="I149" s="14">
        <f ca="1">'Preventative costs A'!I149-'Preventative costs B'!I149</f>
        <v>413.26253671720036</v>
      </c>
      <c r="J149" s="14">
        <f ca="1">'Preventative costs A'!J149-'Preventative costs B'!J149</f>
        <v>397.46350652925634</v>
      </c>
      <c r="K149" s="14">
        <f ca="1">'Preventative costs A'!K149-'Preventative costs B'!K149</f>
        <v>379.76347975479911</v>
      </c>
      <c r="M149" s="4" t="str">
        <f t="shared" si="3"/>
        <v>Mtonne</v>
      </c>
    </row>
    <row r="150" spans="1:13" s="7" customFormat="1" x14ac:dyDescent="0.2">
      <c r="A150" s="4" t="str">
        <v>OT Lin</v>
      </c>
      <c r="B150" s="14">
        <f ca="1">'Preventative costs A'!B150-'Preventative costs B'!B150</f>
        <v>0</v>
      </c>
      <c r="C150" s="14">
        <f ca="1">'Preventative costs A'!C150-'Preventative costs B'!C150</f>
        <v>0</v>
      </c>
      <c r="D150" s="14">
        <f ca="1">'Preventative costs A'!D150-'Preventative costs B'!D150</f>
        <v>0</v>
      </c>
      <c r="E150" s="14">
        <f ca="1">'Preventative costs A'!E150-'Preventative costs B'!E150</f>
        <v>0</v>
      </c>
      <c r="F150" s="14">
        <f ca="1">'Preventative costs A'!F150-'Preventative costs B'!F150</f>
        <v>53.744196346718802</v>
      </c>
      <c r="G150" s="14">
        <f ca="1">'Preventative costs A'!G150-'Preventative costs B'!G150</f>
        <v>123.28619903104874</v>
      </c>
      <c r="H150" s="14">
        <f ca="1">'Preventative costs A'!H150-'Preventative costs B'!H150</f>
        <v>141.05930334933689</v>
      </c>
      <c r="I150" s="14">
        <f ca="1">'Preventative costs A'!I150-'Preventative costs B'!I150</f>
        <v>148.8423115692616</v>
      </c>
      <c r="J150" s="14">
        <f ca="1">'Preventative costs A'!J150-'Preventative costs B'!J150</f>
        <v>143.15206877008106</v>
      </c>
      <c r="K150" s="14">
        <f ca="1">'Preventative costs A'!K150-'Preventative costs B'!K150</f>
        <v>136.777155329159</v>
      </c>
      <c r="M150" s="4" t="str">
        <f t="shared" si="3"/>
        <v>Mtonne</v>
      </c>
    </row>
    <row r="151" spans="1:13" s="7" customFormat="1" x14ac:dyDescent="0.2">
      <c r="A151" s="4" t="str">
        <v>EE Lin</v>
      </c>
      <c r="B151" s="14">
        <f ca="1">'Preventative costs A'!B151-'Preventative costs B'!B151</f>
        <v>0</v>
      </c>
      <c r="C151" s="14">
        <f ca="1">'Preventative costs A'!C151-'Preventative costs B'!C151</f>
        <v>0</v>
      </c>
      <c r="D151" s="14">
        <f ca="1">'Preventative costs A'!D151-'Preventative costs B'!D151</f>
        <v>0</v>
      </c>
      <c r="E151" s="14">
        <f ca="1">'Preventative costs A'!E151-'Preventative costs B'!E151</f>
        <v>0</v>
      </c>
      <c r="F151" s="14">
        <f ca="1">'Preventative costs A'!F151-'Preventative costs B'!F151</f>
        <v>19.220422468951348</v>
      </c>
      <c r="G151" s="14">
        <f ca="1">'Preventative costs A'!G151-'Preventative costs B'!G151</f>
        <v>44.090580770450885</v>
      </c>
      <c r="H151" s="14">
        <f ca="1">'Preventative costs A'!H151-'Preventative costs B'!H151</f>
        <v>50.446738212613425</v>
      </c>
      <c r="I151" s="14">
        <f ca="1">'Preventative costs A'!I151-'Preventative costs B'!I151</f>
        <v>53.230158865165571</v>
      </c>
      <c r="J151" s="14">
        <f ca="1">'Preventative costs A'!J151-'Preventative costs B'!J151</f>
        <v>51.195169452623432</v>
      </c>
      <c r="K151" s="14">
        <f ca="1">'Preventative costs A'!K151-'Preventative costs B'!K151</f>
        <v>48.915322736764985</v>
      </c>
      <c r="M151" s="4" t="str">
        <f t="shared" si="3"/>
        <v>Mtonne</v>
      </c>
    </row>
    <row r="152" spans="1:13" s="7" customFormat="1" x14ac:dyDescent="0.2">
      <c r="A152" s="4" t="str">
        <v>CA Lin</v>
      </c>
      <c r="B152" s="14">
        <f ca="1">'Preventative costs A'!B152-'Preventative costs B'!B152</f>
        <v>0</v>
      </c>
      <c r="C152" s="14">
        <f ca="1">'Preventative costs A'!C152-'Preventative costs B'!C152</f>
        <v>0</v>
      </c>
      <c r="D152" s="14">
        <f ca="1">'Preventative costs A'!D152-'Preventative costs B'!D152</f>
        <v>0</v>
      </c>
      <c r="E152" s="14">
        <f ca="1">'Preventative costs A'!E152-'Preventative costs B'!E152</f>
        <v>0</v>
      </c>
      <c r="F152" s="14">
        <f ca="1">'Preventative costs A'!F152-'Preventative costs B'!F152</f>
        <v>59.659144170384877</v>
      </c>
      <c r="G152" s="14">
        <f ca="1">'Preventative costs A'!G152-'Preventative costs B'!G152</f>
        <v>136.85476055427424</v>
      </c>
      <c r="H152" s="14">
        <f ca="1">'Preventative costs A'!H152-'Preventative costs B'!H152</f>
        <v>156.58392695653222</v>
      </c>
      <c r="I152" s="14">
        <f ca="1">'Preventative costs A'!I152-'Preventative costs B'!I152</f>
        <v>165.22351301483465</v>
      </c>
      <c r="J152" s="14">
        <f ca="1">'Preventative costs A'!J152-'Preventative costs B'!J152</f>
        <v>158.90701674925171</v>
      </c>
      <c r="K152" s="14">
        <f ca="1">'Preventative costs A'!K152-'Preventative costs B'!K152</f>
        <v>151.83049675456928</v>
      </c>
      <c r="M152" s="4" t="str">
        <f t="shared" si="3"/>
        <v>Mtonne</v>
      </c>
    </row>
    <row r="153" spans="1:13" s="7" customFormat="1" x14ac:dyDescent="0.2">
      <c r="A153" s="4" t="str">
        <v>IA Lin</v>
      </c>
      <c r="B153" s="14">
        <f ca="1">'Preventative costs A'!B153-'Preventative costs B'!B153</f>
        <v>0</v>
      </c>
      <c r="C153" s="14">
        <f ca="1">'Preventative costs A'!C153-'Preventative costs B'!C153</f>
        <v>0</v>
      </c>
      <c r="D153" s="14">
        <f ca="1">'Preventative costs A'!D153-'Preventative costs B'!D153</f>
        <v>0</v>
      </c>
      <c r="E153" s="14">
        <f ca="1">'Preventative costs A'!E153-'Preventative costs B'!E153</f>
        <v>0</v>
      </c>
      <c r="F153" s="14">
        <f ca="1">'Preventative costs A'!F153-'Preventative costs B'!F153</f>
        <v>45.896162266164531</v>
      </c>
      <c r="G153" s="14">
        <f ca="1">'Preventative costs A'!G153-'Preventative costs B'!G153</f>
        <v>105.28324508573888</v>
      </c>
      <c r="H153" s="14">
        <f ca="1">'Preventative costs A'!H153-'Preventative costs B'!H153</f>
        <v>120.4610193425759</v>
      </c>
      <c r="I153" s="14">
        <f ca="1">'Preventative costs A'!I153-'Preventative costs B'!I153</f>
        <v>127.10750831184235</v>
      </c>
      <c r="J153" s="14">
        <f ca="1">'Preventative costs A'!J153-'Preventative costs B'!J153</f>
        <v>122.24818722049611</v>
      </c>
      <c r="K153" s="14">
        <f ca="1">'Preventative costs A'!K153-'Preventative costs B'!K153</f>
        <v>116.80417499953423</v>
      </c>
      <c r="M153" s="4" t="str">
        <f t="shared" si="3"/>
        <v>Mtonne</v>
      </c>
    </row>
    <row r="154" spans="1:13" s="7" customFormat="1" x14ac:dyDescent="0.2">
      <c r="A154" s="4" t="str">
        <v>AF Lin</v>
      </c>
      <c r="B154" s="14">
        <f ca="1">'Preventative costs A'!B154-'Preventative costs B'!B154</f>
        <v>0</v>
      </c>
      <c r="C154" s="14">
        <f ca="1">'Preventative costs A'!C154-'Preventative costs B'!C154</f>
        <v>0</v>
      </c>
      <c r="D154" s="14">
        <f ca="1">'Preventative costs A'!D154-'Preventative costs B'!D154</f>
        <v>0</v>
      </c>
      <c r="E154" s="14">
        <f ca="1">'Preventative costs A'!E154-'Preventative costs B'!E154</f>
        <v>0</v>
      </c>
      <c r="F154" s="14">
        <f ca="1">'Preventative costs A'!F154-'Preventative costs B'!F154</f>
        <v>26.964051673293397</v>
      </c>
      <c r="G154" s="14">
        <f ca="1">'Preventative costs A'!G154-'Preventative costs B'!G154</f>
        <v>61.854035733108283</v>
      </c>
      <c r="H154" s="14">
        <f ca="1">'Preventative costs A'!H154-'Preventative costs B'!H154</f>
        <v>70.770996741167224</v>
      </c>
      <c r="I154" s="14">
        <f ca="1">'Preventative costs A'!I154-'Preventative costs B'!I154</f>
        <v>74.67581716981114</v>
      </c>
      <c r="J154" s="14">
        <f ca="1">'Preventative costs A'!J154-'Preventative costs B'!J154</f>
        <v>71.820960063364581</v>
      </c>
      <c r="K154" s="14">
        <f ca="1">'Preventative costs A'!K154-'Preventative costs B'!K154</f>
        <v>68.622596200504631</v>
      </c>
      <c r="M154" s="4" t="str">
        <f t="shared" si="3"/>
        <v>Mtonne</v>
      </c>
    </row>
    <row r="155" spans="1:13" s="7" customFormat="1" ht="13.5" thickBot="1" x14ac:dyDescent="0.25">
      <c r="A155" s="4" t="str">
        <v>LA Lin</v>
      </c>
      <c r="B155" s="16">
        <f ca="1">'Preventative costs A'!B155-'Preventative costs B'!B155</f>
        <v>0</v>
      </c>
      <c r="C155" s="16">
        <f ca="1">'Preventative costs A'!C155-'Preventative costs B'!C155</f>
        <v>0</v>
      </c>
      <c r="D155" s="16">
        <f ca="1">'Preventative costs A'!D155-'Preventative costs B'!D155</f>
        <v>0</v>
      </c>
      <c r="E155" s="16">
        <f ca="1">'Preventative costs A'!E155-'Preventative costs B'!E155</f>
        <v>0</v>
      </c>
      <c r="F155" s="16">
        <f ca="1">'Preventative costs A'!F155-'Preventative costs B'!F155</f>
        <v>23.050915123225494</v>
      </c>
      <c r="G155" s="16">
        <f ca="1">'Preventative costs A'!G155-'Preventative costs B'!G155</f>
        <v>52.877518000197831</v>
      </c>
      <c r="H155" s="16">
        <f ca="1">'Preventative costs A'!H155-'Preventative costs B'!H155</f>
        <v>60.500412135112263</v>
      </c>
      <c r="I155" s="16">
        <f ca="1">'Preventative costs A'!I155-'Preventative costs B'!I155</f>
        <v>63.838548605205823</v>
      </c>
      <c r="J155" s="16">
        <f ca="1">'Preventative costs A'!J155-'Preventative costs B'!J155</f>
        <v>61.398000365387112</v>
      </c>
      <c r="K155" s="16">
        <f ca="1">'Preventative costs A'!K155-'Preventative costs B'!K155</f>
        <v>58.663796513931153</v>
      </c>
      <c r="M155" s="4" t="str">
        <f t="shared" si="3"/>
        <v>Mtonne</v>
      </c>
    </row>
    <row r="156" spans="1:13" s="2" customFormat="1" ht="15" thickTop="1" x14ac:dyDescent="0.25">
      <c r="A156" s="2" t="s">
        <v>283</v>
      </c>
      <c r="B156" s="2" t="s">
        <v>288</v>
      </c>
    </row>
    <row r="157" spans="1:13" s="6" customFormat="1" x14ac:dyDescent="0.2">
      <c r="A157" s="4" t="str">
        <f t="array" ref="A157:A164">R_CODE&amp;" "&amp;'Base data'!$B$12</f>
        <v>EU CO2</v>
      </c>
      <c r="B157" s="27">
        <f>'Preventative costs A'!B157-'Preventative costs B'!B157</f>
        <v>0</v>
      </c>
      <c r="C157" s="27">
        <f ca="1">'Preventative costs A'!C157-'Preventative costs B'!C157</f>
        <v>0</v>
      </c>
      <c r="D157" s="27">
        <f ca="1">'Preventative costs A'!D157-'Preventative costs B'!D157</f>
        <v>0</v>
      </c>
      <c r="E157" s="27">
        <f ca="1">'Preventative costs A'!E157-'Preventative costs B'!E157</f>
        <v>0</v>
      </c>
      <c r="F157" s="27">
        <f ca="1">'Preventative costs A'!F157-'Preventative costs B'!F157</f>
        <v>0</v>
      </c>
      <c r="G157" s="27">
        <f ca="1">'Preventative costs A'!G157-'Preventative costs B'!G157</f>
        <v>16656.357189497779</v>
      </c>
      <c r="H157" s="27">
        <f ca="1">'Preventative costs A'!H157-'Preventative costs B'!H157</f>
        <v>70515.504516822606</v>
      </c>
      <c r="I157" s="27">
        <f ca="1">'Preventative costs A'!I157-'Preventative costs B'!I157</f>
        <v>150517.45905243931</v>
      </c>
      <c r="J157" s="27">
        <f ca="1">'Preventative costs A'!J157-'Preventative costs B'!J157</f>
        <v>242251.44237796357</v>
      </c>
      <c r="K157" s="27">
        <f ca="1">'Preventative costs A'!K157-'Preventative costs B'!K157</f>
        <v>337428.15970842831</v>
      </c>
      <c r="M157" s="4" t="str">
        <f t="shared" ref="M157:M165" si="4">EMIT_NAME</f>
        <v>Mtonne</v>
      </c>
    </row>
    <row r="158" spans="1:13" s="6" customFormat="1" x14ac:dyDescent="0.2">
      <c r="A158" s="4" t="str">
        <v>US CO2</v>
      </c>
      <c r="B158" s="28">
        <f>'Preventative costs A'!B158-'Preventative costs B'!B158</f>
        <v>0</v>
      </c>
      <c r="C158" s="28">
        <f ca="1">'Preventative costs A'!C158-'Preventative costs B'!C158</f>
        <v>0</v>
      </c>
      <c r="D158" s="28">
        <f ca="1">'Preventative costs A'!D158-'Preventative costs B'!D158</f>
        <v>0</v>
      </c>
      <c r="E158" s="28">
        <f ca="1">'Preventative costs A'!E158-'Preventative costs B'!E158</f>
        <v>0</v>
      </c>
      <c r="F158" s="28">
        <f ca="1">'Preventative costs A'!F158-'Preventative costs B'!F158</f>
        <v>0</v>
      </c>
      <c r="G158" s="28">
        <f ca="1">'Preventative costs A'!G158-'Preventative costs B'!G158</f>
        <v>34362.038846435957</v>
      </c>
      <c r="H158" s="28">
        <f ca="1">'Preventative costs A'!H158-'Preventative costs B'!H158</f>
        <v>139596.84854854189</v>
      </c>
      <c r="I158" s="28">
        <f ca="1">'Preventative costs A'!I158-'Preventative costs B'!I158</f>
        <v>281944.95333800558</v>
      </c>
      <c r="J158" s="28">
        <f ca="1">'Preventative costs A'!J158-'Preventative costs B'!J158</f>
        <v>441677.86910112645</v>
      </c>
      <c r="K158" s="28">
        <f ca="1">'Preventative costs A'!K158-'Preventative costs B'!K158</f>
        <v>596047.35355325742</v>
      </c>
      <c r="M158" s="4" t="str">
        <f t="shared" si="4"/>
        <v>Mtonne</v>
      </c>
    </row>
    <row r="159" spans="1:13" s="6" customFormat="1" x14ac:dyDescent="0.2">
      <c r="A159" s="4" t="str">
        <v>OT CO2</v>
      </c>
      <c r="B159" s="28">
        <f>'Preventative costs A'!B159-'Preventative costs B'!B159</f>
        <v>0</v>
      </c>
      <c r="C159" s="28">
        <f ca="1">'Preventative costs A'!C159-'Preventative costs B'!C159</f>
        <v>0</v>
      </c>
      <c r="D159" s="28">
        <f ca="1">'Preventative costs A'!D159-'Preventative costs B'!D159</f>
        <v>0</v>
      </c>
      <c r="E159" s="28">
        <f ca="1">'Preventative costs A'!E159-'Preventative costs B'!E159</f>
        <v>0</v>
      </c>
      <c r="F159" s="28">
        <f ca="1">'Preventative costs A'!F159-'Preventative costs B'!F159</f>
        <v>0</v>
      </c>
      <c r="G159" s="28">
        <f ca="1">'Preventative costs A'!G159-'Preventative costs B'!G159</f>
        <v>15620.859539714835</v>
      </c>
      <c r="H159" s="28">
        <f ca="1">'Preventative costs A'!H159-'Preventative costs B'!H159</f>
        <v>66131.674465047035</v>
      </c>
      <c r="I159" s="28">
        <f ca="1">'Preventative costs A'!I159-'Preventative costs B'!I159</f>
        <v>141160.04234199703</v>
      </c>
      <c r="J159" s="28">
        <f ca="1">'Preventative costs A'!J159-'Preventative costs B'!J159</f>
        <v>227191.07855500968</v>
      </c>
      <c r="K159" s="28">
        <f ca="1">'Preventative costs A'!K159-'Preventative costs B'!K159</f>
        <v>316450.8198030995</v>
      </c>
      <c r="M159" s="4" t="str">
        <f t="shared" si="4"/>
        <v>Mtonne</v>
      </c>
    </row>
    <row r="160" spans="1:13" s="6" customFormat="1" x14ac:dyDescent="0.2">
      <c r="A160" s="4" t="str">
        <v>EE CO2</v>
      </c>
      <c r="B160" s="28">
        <f>'Preventative costs A'!B160-'Preventative costs B'!B160</f>
        <v>0</v>
      </c>
      <c r="C160" s="28">
        <f ca="1">'Preventative costs A'!C160-'Preventative costs B'!C160</f>
        <v>0</v>
      </c>
      <c r="D160" s="28">
        <f ca="1">'Preventative costs A'!D160-'Preventative costs B'!D160</f>
        <v>0</v>
      </c>
      <c r="E160" s="28">
        <f ca="1">'Preventative costs A'!E160-'Preventative costs B'!E160</f>
        <v>0</v>
      </c>
      <c r="F160" s="28">
        <f ca="1">'Preventative costs A'!F160-'Preventative costs B'!F160</f>
        <v>0</v>
      </c>
      <c r="G160" s="28">
        <f ca="1">'Preventative costs A'!G160-'Preventative costs B'!G160</f>
        <v>23972.02356868879</v>
      </c>
      <c r="H160" s="28">
        <f ca="1">'Preventative costs A'!H160-'Preventative costs B'!H160</f>
        <v>86423.161938502395</v>
      </c>
      <c r="I160" s="28">
        <f ca="1">'Preventative costs A'!I160-'Preventative costs B'!I160</f>
        <v>165260.86655296184</v>
      </c>
      <c r="J160" s="28">
        <f ca="1">'Preventative costs A'!J160-'Preventative costs B'!J160</f>
        <v>242962.74593429582</v>
      </c>
      <c r="K160" s="28">
        <f ca="1">'Preventative costs A'!K160-'Preventative costs B'!K160</f>
        <v>313038.00977226679</v>
      </c>
      <c r="M160" s="4" t="str">
        <f t="shared" si="4"/>
        <v>Mtonne</v>
      </c>
    </row>
    <row r="161" spans="1:13" s="6" customFormat="1" x14ac:dyDescent="0.2">
      <c r="A161" s="4" t="str">
        <v>CA CO2</v>
      </c>
      <c r="B161" s="28">
        <f>'Preventative costs A'!B161-'Preventative costs B'!B161</f>
        <v>0</v>
      </c>
      <c r="C161" s="28">
        <f ca="1">'Preventative costs A'!C161-'Preventative costs B'!C161</f>
        <v>0</v>
      </c>
      <c r="D161" s="28">
        <f ca="1">'Preventative costs A'!D161-'Preventative costs B'!D161</f>
        <v>0</v>
      </c>
      <c r="E161" s="28">
        <f ca="1">'Preventative costs A'!E161-'Preventative costs B'!E161</f>
        <v>0</v>
      </c>
      <c r="F161" s="28">
        <f ca="1">'Preventative costs A'!F161-'Preventative costs B'!F161</f>
        <v>0</v>
      </c>
      <c r="G161" s="28">
        <f ca="1">'Preventative costs A'!G161-'Preventative costs B'!G161</f>
        <v>55399.259778474574</v>
      </c>
      <c r="H161" s="28">
        <f ca="1">'Preventative costs A'!H161-'Preventative costs B'!H161</f>
        <v>195142.52396634052</v>
      </c>
      <c r="I161" s="28">
        <f ca="1">'Preventative costs A'!I161-'Preventative costs B'!I161</f>
        <v>372470.8690799569</v>
      </c>
      <c r="J161" s="28">
        <f ca="1">'Preventative costs A'!J161-'Preventative costs B'!J161</f>
        <v>546322.85660830303</v>
      </c>
      <c r="K161" s="28">
        <f ca="1">'Preventative costs A'!K161-'Preventative costs B'!K161</f>
        <v>694261.95421860227</v>
      </c>
      <c r="M161" s="4" t="str">
        <f t="shared" si="4"/>
        <v>Mtonne</v>
      </c>
    </row>
    <row r="162" spans="1:13" s="6" customFormat="1" x14ac:dyDescent="0.2">
      <c r="A162" s="4" t="str">
        <v>IA CO2</v>
      </c>
      <c r="B162" s="28">
        <f>'Preventative costs A'!B162-'Preventative costs B'!B162</f>
        <v>0</v>
      </c>
      <c r="C162" s="28">
        <f ca="1">'Preventative costs A'!C162-'Preventative costs B'!C162</f>
        <v>0</v>
      </c>
      <c r="D162" s="28">
        <f ca="1">'Preventative costs A'!D162-'Preventative costs B'!D162</f>
        <v>0</v>
      </c>
      <c r="E162" s="28">
        <f ca="1">'Preventative costs A'!E162-'Preventative costs B'!E162</f>
        <v>0</v>
      </c>
      <c r="F162" s="28">
        <f ca="1">'Preventative costs A'!F162-'Preventative costs B'!F162</f>
        <v>0</v>
      </c>
      <c r="G162" s="28">
        <f ca="1">'Preventative costs A'!G162-'Preventative costs B'!G162</f>
        <v>64055.904776907781</v>
      </c>
      <c r="H162" s="28">
        <f ca="1">'Preventative costs A'!H162-'Preventative costs B'!H162</f>
        <v>245668.98799167603</v>
      </c>
      <c r="I162" s="28">
        <f ca="1">'Preventative costs A'!I162-'Preventative costs B'!I162</f>
        <v>511282.2773447698</v>
      </c>
      <c r="J162" s="28">
        <f ca="1">'Preventative costs A'!J162-'Preventative costs B'!J162</f>
        <v>824471.29163354961</v>
      </c>
      <c r="K162" s="28">
        <f ca="1">'Preventative costs A'!K162-'Preventative costs B'!K162</f>
        <v>1146056.3575715511</v>
      </c>
      <c r="M162" s="4" t="str">
        <f t="shared" si="4"/>
        <v>Mtonne</v>
      </c>
    </row>
    <row r="163" spans="1:13" s="6" customFormat="1" x14ac:dyDescent="0.2">
      <c r="A163" s="4" t="str">
        <v>AF CO2</v>
      </c>
      <c r="B163" s="28">
        <f>'Preventative costs A'!B163-'Preventative costs B'!B163</f>
        <v>0</v>
      </c>
      <c r="C163" s="28">
        <f ca="1">'Preventative costs A'!C163-'Preventative costs B'!C163</f>
        <v>0</v>
      </c>
      <c r="D163" s="28">
        <f ca="1">'Preventative costs A'!D163-'Preventative costs B'!D163</f>
        <v>0</v>
      </c>
      <c r="E163" s="28">
        <f ca="1">'Preventative costs A'!E163-'Preventative costs B'!E163</f>
        <v>0</v>
      </c>
      <c r="F163" s="28">
        <f ca="1">'Preventative costs A'!F163-'Preventative costs B'!F163</f>
        <v>0</v>
      </c>
      <c r="G163" s="28">
        <f ca="1">'Preventative costs A'!G163-'Preventative costs B'!G163</f>
        <v>82085.76389612502</v>
      </c>
      <c r="H163" s="28">
        <f ca="1">'Preventative costs A'!H163-'Preventative costs B'!H163</f>
        <v>337844.55334372085</v>
      </c>
      <c r="I163" s="28">
        <f ca="1">'Preventative costs A'!I163-'Preventative costs B'!I163</f>
        <v>723247.59065063903</v>
      </c>
      <c r="J163" s="28">
        <f ca="1">'Preventative costs A'!J163-'Preventative costs B'!J163</f>
        <v>1195670.9164004512</v>
      </c>
      <c r="K163" s="28">
        <f ca="1">'Preventative costs A'!K163-'Preventative costs B'!K163</f>
        <v>1703416.8988082372</v>
      </c>
      <c r="M163" s="4" t="str">
        <f t="shared" si="4"/>
        <v>Mtonne</v>
      </c>
    </row>
    <row r="164" spans="1:13" s="6" customFormat="1" ht="13.5" thickBot="1" x14ac:dyDescent="0.25">
      <c r="A164" s="4" t="str">
        <v>LA CO2</v>
      </c>
      <c r="B164" s="36">
        <f>'Preventative costs A'!B164-'Preventative costs B'!B164</f>
        <v>0</v>
      </c>
      <c r="C164" s="36">
        <f ca="1">'Preventative costs A'!C164-'Preventative costs B'!C164</f>
        <v>0</v>
      </c>
      <c r="D164" s="36">
        <f ca="1">'Preventative costs A'!D164-'Preventative costs B'!D164</f>
        <v>0</v>
      </c>
      <c r="E164" s="36">
        <f ca="1">'Preventative costs A'!E164-'Preventative costs B'!E164</f>
        <v>0</v>
      </c>
      <c r="F164" s="36">
        <f ca="1">'Preventative costs A'!F164-'Preventative costs B'!F164</f>
        <v>0</v>
      </c>
      <c r="G164" s="36">
        <f ca="1">'Preventative costs A'!G164-'Preventative costs B'!G164</f>
        <v>22541.408542777059</v>
      </c>
      <c r="H164" s="36">
        <f ca="1">'Preventative costs A'!H164-'Preventative costs B'!H164</f>
        <v>97069.896855249157</v>
      </c>
      <c r="I164" s="36">
        <f ca="1">'Preventative costs A'!I164-'Preventative costs B'!I164</f>
        <v>203184.76342734357</v>
      </c>
      <c r="J164" s="36">
        <f ca="1">'Preventative costs A'!J164-'Preventative costs B'!J164</f>
        <v>323738.35624658741</v>
      </c>
      <c r="K164" s="36">
        <f ca="1">'Preventative costs A'!K164-'Preventative costs B'!K164</f>
        <v>443092.93370877521</v>
      </c>
      <c r="M164" s="4" t="str">
        <f t="shared" si="4"/>
        <v>Mtonne</v>
      </c>
    </row>
    <row r="165" spans="1:13" s="6" customFormat="1" ht="13.5" thickTop="1" x14ac:dyDescent="0.2">
      <c r="A165" s="58" t="s">
        <v>204</v>
      </c>
      <c r="B165" s="28">
        <f>'Preventative costs A'!B165-'Preventative costs B'!B165</f>
        <v>0</v>
      </c>
      <c r="C165" s="28">
        <f ca="1">'Preventative costs A'!C165-'Preventative costs B'!C165</f>
        <v>0</v>
      </c>
      <c r="D165" s="28">
        <f ca="1">'Preventative costs A'!D165-'Preventative costs B'!D165</f>
        <v>0</v>
      </c>
      <c r="E165" s="28">
        <f ca="1">'Preventative costs A'!E165-'Preventative costs B'!E165</f>
        <v>0</v>
      </c>
      <c r="F165" s="28">
        <f ca="1">'Preventative costs A'!F165-'Preventative costs B'!F165</f>
        <v>0</v>
      </c>
      <c r="G165" s="28">
        <f ca="1">'Preventative costs A'!G165-'Preventative costs B'!G165</f>
        <v>314693.61613862182</v>
      </c>
      <c r="H165" s="28">
        <f ca="1">'Preventative costs A'!H165-'Preventative costs B'!H165</f>
        <v>1238393.1516259005</v>
      </c>
      <c r="I165" s="28">
        <f ca="1">'Preventative costs A'!I165-'Preventative costs B'!I165</f>
        <v>2549068.8217881131</v>
      </c>
      <c r="J165" s="28">
        <f ca="1">'Preventative costs A'!J165-'Preventative costs B'!J165</f>
        <v>4044286.5568572865</v>
      </c>
      <c r="K165" s="28">
        <f ca="1">'Preventative costs A'!K165-'Preventative costs B'!K165</f>
        <v>5549792.4871442178</v>
      </c>
      <c r="M165" s="4" t="str">
        <f t="shared" si="4"/>
        <v>Mtonne</v>
      </c>
    </row>
    <row r="166" spans="1:13" s="8" customFormat="1" ht="14.25" x14ac:dyDescent="0.25">
      <c r="A166" s="2" t="s">
        <v>283</v>
      </c>
      <c r="B166" s="2" t="s">
        <v>289</v>
      </c>
      <c r="C166" s="2"/>
      <c r="D166" s="2"/>
      <c r="E166" s="2"/>
      <c r="F166" s="2"/>
      <c r="G166" s="2"/>
      <c r="H166" s="2"/>
      <c r="I166" s="2"/>
      <c r="J166" s="2"/>
      <c r="K166" s="2"/>
    </row>
    <row r="167" spans="1:13" s="7" customFormat="1" x14ac:dyDescent="0.2">
      <c r="A167" s="4" t="str">
        <f t="array" ref="A167:A174">R_CODE&amp;" "&amp;'Base data'!$C$12</f>
        <v>EU CH4</v>
      </c>
      <c r="B167" s="27">
        <f>'Preventative costs A'!B167-'Preventative costs B'!B167</f>
        <v>0</v>
      </c>
      <c r="C167" s="27">
        <f ca="1">'Preventative costs A'!C167-'Preventative costs B'!C167</f>
        <v>0</v>
      </c>
      <c r="D167" s="27">
        <f ca="1">'Preventative costs A'!D167-'Preventative costs B'!D167</f>
        <v>0</v>
      </c>
      <c r="E167" s="27">
        <f ca="1">'Preventative costs A'!E167-'Preventative costs B'!E167</f>
        <v>0</v>
      </c>
      <c r="F167" s="27">
        <f ca="1">'Preventative costs A'!F167-'Preventative costs B'!F167</f>
        <v>0</v>
      </c>
      <c r="G167" s="27">
        <f ca="1">'Preventative costs A'!G167-'Preventative costs B'!G167</f>
        <v>135.34225032549034</v>
      </c>
      <c r="H167" s="27">
        <f ca="1">'Preventative costs A'!H167-'Preventative costs B'!H167</f>
        <v>240.01521511164131</v>
      </c>
      <c r="I167" s="27">
        <f ca="1">'Preventative costs A'!I167-'Preventative costs B'!I167</f>
        <v>302.74362143087723</v>
      </c>
      <c r="J167" s="27">
        <f ca="1">'Preventative costs A'!J167-'Preventative costs B'!J167</f>
        <v>335.76252325225778</v>
      </c>
      <c r="K167" s="27">
        <f ca="1">'Preventative costs A'!K167-'Preventative costs B'!K167</f>
        <v>386.74931710592159</v>
      </c>
      <c r="M167" s="4" t="str">
        <f t="shared" ref="M167:M175" si="5">EMIT_NAME</f>
        <v>Mtonne</v>
      </c>
    </row>
    <row r="168" spans="1:13" s="7" customFormat="1" x14ac:dyDescent="0.2">
      <c r="A168" s="4" t="str">
        <v>US CH4</v>
      </c>
      <c r="B168" s="28">
        <f>'Preventative costs A'!B168-'Preventative costs B'!B168</f>
        <v>0</v>
      </c>
      <c r="C168" s="28">
        <f ca="1">'Preventative costs A'!C168-'Preventative costs B'!C168</f>
        <v>0</v>
      </c>
      <c r="D168" s="28">
        <f ca="1">'Preventative costs A'!D168-'Preventative costs B'!D168</f>
        <v>0</v>
      </c>
      <c r="E168" s="28">
        <f ca="1">'Preventative costs A'!E168-'Preventative costs B'!E168</f>
        <v>0</v>
      </c>
      <c r="F168" s="28">
        <f ca="1">'Preventative costs A'!F168-'Preventative costs B'!F168</f>
        <v>0</v>
      </c>
      <c r="G168" s="28">
        <f ca="1">'Preventative costs A'!G168-'Preventative costs B'!G168</f>
        <v>226.86264109373451</v>
      </c>
      <c r="H168" s="28">
        <f ca="1">'Preventative costs A'!H168-'Preventative costs B'!H168</f>
        <v>445.66830654976422</v>
      </c>
      <c r="I168" s="28">
        <f ca="1">'Preventative costs A'!I168-'Preventative costs B'!I168</f>
        <v>630.18132132016763</v>
      </c>
      <c r="J168" s="28">
        <f ca="1">'Preventative costs A'!J168-'Preventative costs B'!J168</f>
        <v>769.00776277778255</v>
      </c>
      <c r="K168" s="28">
        <f ca="1">'Preventative costs A'!K168-'Preventative costs B'!K168</f>
        <v>851.80590127986557</v>
      </c>
      <c r="M168" s="4" t="str">
        <f t="shared" si="5"/>
        <v>Mtonne</v>
      </c>
    </row>
    <row r="169" spans="1:13" s="7" customFormat="1" x14ac:dyDescent="0.2">
      <c r="A169" s="4" t="str">
        <v>OT CH4</v>
      </c>
      <c r="B169" s="28">
        <f>'Preventative costs A'!B169-'Preventative costs B'!B169</f>
        <v>0</v>
      </c>
      <c r="C169" s="28">
        <f ca="1">'Preventative costs A'!C169-'Preventative costs B'!C169</f>
        <v>0</v>
      </c>
      <c r="D169" s="28">
        <f ca="1">'Preventative costs A'!D169-'Preventative costs B'!D169</f>
        <v>0</v>
      </c>
      <c r="E169" s="28">
        <f ca="1">'Preventative costs A'!E169-'Preventative costs B'!E169</f>
        <v>0</v>
      </c>
      <c r="F169" s="28">
        <f ca="1">'Preventative costs A'!F169-'Preventative costs B'!F169</f>
        <v>0</v>
      </c>
      <c r="G169" s="28">
        <f ca="1">'Preventative costs A'!G169-'Preventative costs B'!G169</f>
        <v>101.09523812660471</v>
      </c>
      <c r="H169" s="28">
        <f ca="1">'Preventative costs A'!H169-'Preventative costs B'!H169</f>
        <v>250.49832851673455</v>
      </c>
      <c r="I169" s="28">
        <f ca="1">'Preventative costs A'!I169-'Preventative costs B'!I169</f>
        <v>388.2172680400372</v>
      </c>
      <c r="J169" s="28">
        <f ca="1">'Preventative costs A'!J169-'Preventative costs B'!J169</f>
        <v>506.19434659323235</v>
      </c>
      <c r="K169" s="28">
        <f ca="1">'Preventative costs A'!K169-'Preventative costs B'!K169</f>
        <v>618.09626844116281</v>
      </c>
      <c r="M169" s="4" t="str">
        <f t="shared" si="5"/>
        <v>Mtonne</v>
      </c>
    </row>
    <row r="170" spans="1:13" s="7" customFormat="1" x14ac:dyDescent="0.2">
      <c r="A170" s="4" t="str">
        <v>EE CH4</v>
      </c>
      <c r="B170" s="28">
        <f>'Preventative costs A'!B170-'Preventative costs B'!B170</f>
        <v>0</v>
      </c>
      <c r="C170" s="28">
        <f ca="1">'Preventative costs A'!C170-'Preventative costs B'!C170</f>
        <v>0</v>
      </c>
      <c r="D170" s="28">
        <f ca="1">'Preventative costs A'!D170-'Preventative costs B'!D170</f>
        <v>0</v>
      </c>
      <c r="E170" s="28">
        <f ca="1">'Preventative costs A'!E170-'Preventative costs B'!E170</f>
        <v>0</v>
      </c>
      <c r="F170" s="28">
        <f ca="1">'Preventative costs A'!F170-'Preventative costs B'!F170</f>
        <v>0</v>
      </c>
      <c r="G170" s="28">
        <f ca="1">'Preventative costs A'!G170-'Preventative costs B'!G170</f>
        <v>302.50442169791268</v>
      </c>
      <c r="H170" s="28">
        <f ca="1">'Preventative costs A'!H170-'Preventative costs B'!H170</f>
        <v>751.75937862253409</v>
      </c>
      <c r="I170" s="28">
        <f ca="1">'Preventative costs A'!I170-'Preventative costs B'!I170</f>
        <v>1252.0723280204411</v>
      </c>
      <c r="J170" s="28">
        <f ca="1">'Preventative costs A'!J170-'Preventative costs B'!J170</f>
        <v>1798.475280819443</v>
      </c>
      <c r="K170" s="28">
        <f ca="1">'Preventative costs A'!K170-'Preventative costs B'!K170</f>
        <v>2339.8383688517679</v>
      </c>
      <c r="M170" s="4" t="str">
        <f t="shared" si="5"/>
        <v>Mtonne</v>
      </c>
    </row>
    <row r="171" spans="1:13" s="7" customFormat="1" x14ac:dyDescent="0.2">
      <c r="A171" s="4" t="str">
        <v>CA CH4</v>
      </c>
      <c r="B171" s="28">
        <f>'Preventative costs A'!B171-'Preventative costs B'!B171</f>
        <v>0</v>
      </c>
      <c r="C171" s="28">
        <f ca="1">'Preventative costs A'!C171-'Preventative costs B'!C171</f>
        <v>0</v>
      </c>
      <c r="D171" s="28">
        <f ca="1">'Preventative costs A'!D171-'Preventative costs B'!D171</f>
        <v>0</v>
      </c>
      <c r="E171" s="28">
        <f ca="1">'Preventative costs A'!E171-'Preventative costs B'!E171</f>
        <v>0</v>
      </c>
      <c r="F171" s="28">
        <f ca="1">'Preventative costs A'!F171-'Preventative costs B'!F171</f>
        <v>0</v>
      </c>
      <c r="G171" s="28">
        <f ca="1">'Preventative costs A'!G171-'Preventative costs B'!G171</f>
        <v>206.94387975621771</v>
      </c>
      <c r="H171" s="28">
        <f ca="1">'Preventative costs A'!H171-'Preventative costs B'!H171</f>
        <v>445.76262198373564</v>
      </c>
      <c r="I171" s="28">
        <f ca="1">'Preventative costs A'!I171-'Preventative costs B'!I171</f>
        <v>683.36082890721025</v>
      </c>
      <c r="J171" s="28">
        <f ca="1">'Preventative costs A'!J171-'Preventative costs B'!J171</f>
        <v>866.32421735298135</v>
      </c>
      <c r="K171" s="28">
        <f ca="1">'Preventative costs A'!K171-'Preventative costs B'!K171</f>
        <v>1032.5884661780597</v>
      </c>
      <c r="M171" s="4" t="str">
        <f t="shared" si="5"/>
        <v>Mtonne</v>
      </c>
    </row>
    <row r="172" spans="1:13" s="7" customFormat="1" x14ac:dyDescent="0.2">
      <c r="A172" s="4" t="str">
        <v>IA CH4</v>
      </c>
      <c r="B172" s="28">
        <f>'Preventative costs A'!B172-'Preventative costs B'!B172</f>
        <v>0</v>
      </c>
      <c r="C172" s="28">
        <f ca="1">'Preventative costs A'!C172-'Preventative costs B'!C172</f>
        <v>0</v>
      </c>
      <c r="D172" s="28">
        <f ca="1">'Preventative costs A'!D172-'Preventative costs B'!D172</f>
        <v>0</v>
      </c>
      <c r="E172" s="28">
        <f ca="1">'Preventative costs A'!E172-'Preventative costs B'!E172</f>
        <v>0</v>
      </c>
      <c r="F172" s="28">
        <f ca="1">'Preventative costs A'!F172-'Preventative costs B'!F172</f>
        <v>0</v>
      </c>
      <c r="G172" s="28">
        <f ca="1">'Preventative costs A'!G172-'Preventative costs B'!G172</f>
        <v>433.84796153943353</v>
      </c>
      <c r="H172" s="28">
        <f ca="1">'Preventative costs A'!H172-'Preventative costs B'!H172</f>
        <v>751.55857424674605</v>
      </c>
      <c r="I172" s="28">
        <f ca="1">'Preventative costs A'!I172-'Preventative costs B'!I172</f>
        <v>963.34348008992197</v>
      </c>
      <c r="J172" s="28">
        <f ca="1">'Preventative costs A'!J172-'Preventative costs B'!J172</f>
        <v>1109.750160504967</v>
      </c>
      <c r="K172" s="28">
        <f ca="1">'Preventative costs A'!K172-'Preventative costs B'!K172</f>
        <v>1246.173562855302</v>
      </c>
      <c r="M172" s="4" t="str">
        <f t="shared" si="5"/>
        <v>Mtonne</v>
      </c>
    </row>
    <row r="173" spans="1:13" s="7" customFormat="1" x14ac:dyDescent="0.2">
      <c r="A173" s="4" t="str">
        <v>AF CH4</v>
      </c>
      <c r="B173" s="28">
        <f>'Preventative costs A'!B173-'Preventative costs B'!B173</f>
        <v>0</v>
      </c>
      <c r="C173" s="28">
        <f ca="1">'Preventative costs A'!C173-'Preventative costs B'!C173</f>
        <v>0</v>
      </c>
      <c r="D173" s="28">
        <f ca="1">'Preventative costs A'!D173-'Preventative costs B'!D173</f>
        <v>0</v>
      </c>
      <c r="E173" s="28">
        <f ca="1">'Preventative costs A'!E173-'Preventative costs B'!E173</f>
        <v>0</v>
      </c>
      <c r="F173" s="28">
        <f ca="1">'Preventative costs A'!F173-'Preventative costs B'!F173</f>
        <v>0</v>
      </c>
      <c r="G173" s="28">
        <f ca="1">'Preventative costs A'!G173-'Preventative costs B'!G173</f>
        <v>892.72026340002742</v>
      </c>
      <c r="H173" s="28">
        <f ca="1">'Preventative costs A'!H173-'Preventative costs B'!H173</f>
        <v>2460.119205071635</v>
      </c>
      <c r="I173" s="28">
        <f ca="1">'Preventative costs A'!I173-'Preventative costs B'!I173</f>
        <v>4232.2009539594956</v>
      </c>
      <c r="J173" s="28">
        <f ca="1">'Preventative costs A'!J173-'Preventative costs B'!J173</f>
        <v>5912.1796232130127</v>
      </c>
      <c r="K173" s="28">
        <f ca="1">'Preventative costs A'!K173-'Preventative costs B'!K173</f>
        <v>7251.4320219990332</v>
      </c>
      <c r="M173" s="4" t="str">
        <f t="shared" si="5"/>
        <v>Mtonne</v>
      </c>
    </row>
    <row r="174" spans="1:13" s="7" customFormat="1" ht="13.5" thickBot="1" x14ac:dyDescent="0.25">
      <c r="A174" s="4" t="str">
        <v>LA CH4</v>
      </c>
      <c r="B174" s="36">
        <f>'Preventative costs A'!B174-'Preventative costs B'!B174</f>
        <v>0</v>
      </c>
      <c r="C174" s="36">
        <f ca="1">'Preventative costs A'!C174-'Preventative costs B'!C174</f>
        <v>0</v>
      </c>
      <c r="D174" s="36">
        <f ca="1">'Preventative costs A'!D174-'Preventative costs B'!D174</f>
        <v>0</v>
      </c>
      <c r="E174" s="36">
        <f ca="1">'Preventative costs A'!E174-'Preventative costs B'!E174</f>
        <v>0</v>
      </c>
      <c r="F174" s="36">
        <f ca="1">'Preventative costs A'!F174-'Preventative costs B'!F174</f>
        <v>0</v>
      </c>
      <c r="G174" s="36">
        <f ca="1">'Preventative costs A'!G174-'Preventative costs B'!G174</f>
        <v>250.81973242508218</v>
      </c>
      <c r="H174" s="36">
        <f ca="1">'Preventative costs A'!H174-'Preventative costs B'!H174</f>
        <v>588.03156884967063</v>
      </c>
      <c r="I174" s="36">
        <f ca="1">'Preventative costs A'!I174-'Preventative costs B'!I174</f>
        <v>919.68893995589997</v>
      </c>
      <c r="J174" s="36">
        <f ca="1">'Preventative costs A'!J174-'Preventative costs B'!J174</f>
        <v>1220.3314539434778</v>
      </c>
      <c r="K174" s="36">
        <f ca="1">'Preventative costs A'!K174-'Preventative costs B'!K174</f>
        <v>1446.045988053203</v>
      </c>
      <c r="M174" s="4" t="str">
        <f t="shared" si="5"/>
        <v>Mtonne</v>
      </c>
    </row>
    <row r="175" spans="1:13" s="6" customFormat="1" ht="13.5" thickTop="1" x14ac:dyDescent="0.2">
      <c r="A175" s="58" t="s">
        <v>204</v>
      </c>
      <c r="B175" s="28">
        <f>'Preventative costs A'!B175-'Preventative costs B'!B175</f>
        <v>0</v>
      </c>
      <c r="C175" s="28">
        <f ca="1">'Preventative costs A'!C175-'Preventative costs B'!C175</f>
        <v>0</v>
      </c>
      <c r="D175" s="28">
        <f ca="1">'Preventative costs A'!D175-'Preventative costs B'!D175</f>
        <v>0</v>
      </c>
      <c r="E175" s="28">
        <f ca="1">'Preventative costs A'!E175-'Preventative costs B'!E175</f>
        <v>0</v>
      </c>
      <c r="F175" s="28">
        <f ca="1">'Preventative costs A'!F175-'Preventative costs B'!F175</f>
        <v>0</v>
      </c>
      <c r="G175" s="28">
        <f ca="1">'Preventative costs A'!G175-'Preventative costs B'!G175</f>
        <v>2550.1363883645031</v>
      </c>
      <c r="H175" s="28">
        <f ca="1">'Preventative costs A'!H175-'Preventative costs B'!H175</f>
        <v>5933.4131989524612</v>
      </c>
      <c r="I175" s="28">
        <f ca="1">'Preventative costs A'!I175-'Preventative costs B'!I175</f>
        <v>9371.8087417240513</v>
      </c>
      <c r="J175" s="28">
        <f ca="1">'Preventative costs A'!J175-'Preventative costs B'!J175</f>
        <v>12518.025368457154</v>
      </c>
      <c r="K175" s="28">
        <f ca="1">'Preventative costs A'!K175-'Preventative costs B'!K175</f>
        <v>15172.729894764316</v>
      </c>
      <c r="M175" s="4" t="str">
        <f t="shared" si="5"/>
        <v>Mtonne</v>
      </c>
    </row>
    <row r="176" spans="1:13" s="8" customFormat="1" ht="14.25" x14ac:dyDescent="0.25">
      <c r="A176" s="2" t="s">
        <v>283</v>
      </c>
      <c r="B176" s="8" t="s">
        <v>290</v>
      </c>
    </row>
    <row r="177" spans="1:13" s="7" customFormat="1" x14ac:dyDescent="0.2">
      <c r="A177" s="4" t="str">
        <f t="array" ref="A177:A184">R_CODE&amp;" "&amp;'Base data'!$D$12</f>
        <v>EU N2O</v>
      </c>
      <c r="B177" s="27">
        <f>'Preventative costs A'!B177-'Preventative costs B'!B177</f>
        <v>0</v>
      </c>
      <c r="C177" s="27">
        <f ca="1">'Preventative costs A'!C177-'Preventative costs B'!C177</f>
        <v>0</v>
      </c>
      <c r="D177" s="27">
        <f ca="1">'Preventative costs A'!D177-'Preventative costs B'!D177</f>
        <v>0</v>
      </c>
      <c r="E177" s="27">
        <f ca="1">'Preventative costs A'!E177-'Preventative costs B'!E177</f>
        <v>0</v>
      </c>
      <c r="F177" s="27">
        <f ca="1">'Preventative costs A'!F177-'Preventative costs B'!F177</f>
        <v>0</v>
      </c>
      <c r="G177" s="27">
        <f ca="1">'Preventative costs A'!G177-'Preventative costs B'!G177</f>
        <v>3.8581562563691962</v>
      </c>
      <c r="H177" s="27">
        <f ca="1">'Preventative costs A'!H177-'Preventative costs B'!H177</f>
        <v>4.7649502464293976</v>
      </c>
      <c r="I177" s="27">
        <f ca="1">'Preventative costs A'!I177-'Preventative costs B'!I177</f>
        <v>4.8340465172291083</v>
      </c>
      <c r="J177" s="27">
        <f ca="1">'Preventative costs A'!J177-'Preventative costs B'!J177</f>
        <v>5.3718190701849178</v>
      </c>
      <c r="K177" s="27">
        <f ca="1">'Preventative costs A'!K177-'Preventative costs B'!K177</f>
        <v>6.0791211599545889</v>
      </c>
      <c r="M177" s="4" t="str">
        <f t="shared" ref="M177:M185" si="6">EMIT_NAME</f>
        <v>Mtonne</v>
      </c>
    </row>
    <row r="178" spans="1:13" s="7" customFormat="1" x14ac:dyDescent="0.2">
      <c r="A178" s="4" t="str">
        <v>US N2O</v>
      </c>
      <c r="B178" s="28">
        <f>'Preventative costs A'!B178-'Preventative costs B'!B178</f>
        <v>0</v>
      </c>
      <c r="C178" s="28">
        <f ca="1">'Preventative costs A'!C178-'Preventative costs B'!C178</f>
        <v>0</v>
      </c>
      <c r="D178" s="28">
        <f ca="1">'Preventative costs A'!D178-'Preventative costs B'!D178</f>
        <v>0</v>
      </c>
      <c r="E178" s="28">
        <f ca="1">'Preventative costs A'!E178-'Preventative costs B'!E178</f>
        <v>0</v>
      </c>
      <c r="F178" s="28">
        <f ca="1">'Preventative costs A'!F178-'Preventative costs B'!F178</f>
        <v>0</v>
      </c>
      <c r="G178" s="28">
        <f ca="1">'Preventative costs A'!G178-'Preventative costs B'!G178</f>
        <v>3.4029682929616052</v>
      </c>
      <c r="H178" s="28">
        <f ca="1">'Preventative costs A'!H178-'Preventative costs B'!H178</f>
        <v>4.2027780962397543</v>
      </c>
      <c r="I178" s="28">
        <f ca="1">'Preventative costs A'!I178-'Preventative costs B'!I178</f>
        <v>4.2637223408657041</v>
      </c>
      <c r="J178" s="28">
        <f ca="1">'Preventative costs A'!J178-'Preventative costs B'!J178</f>
        <v>4.7380481133153198</v>
      </c>
      <c r="K178" s="28">
        <f ca="1">'Preventative costs A'!K178-'Preventative costs B'!K178</f>
        <v>5.3619022097009239</v>
      </c>
      <c r="M178" s="4" t="str">
        <f t="shared" si="6"/>
        <v>Mtonne</v>
      </c>
    </row>
    <row r="179" spans="1:13" s="7" customFormat="1" x14ac:dyDescent="0.2">
      <c r="A179" s="4" t="str">
        <v>OT N2O</v>
      </c>
      <c r="B179" s="28">
        <f>'Preventative costs A'!B179-'Preventative costs B'!B179</f>
        <v>0</v>
      </c>
      <c r="C179" s="28">
        <f ca="1">'Preventative costs A'!C179-'Preventative costs B'!C179</f>
        <v>0</v>
      </c>
      <c r="D179" s="28">
        <f ca="1">'Preventative costs A'!D179-'Preventative costs B'!D179</f>
        <v>0</v>
      </c>
      <c r="E179" s="28">
        <f ca="1">'Preventative costs A'!E179-'Preventative costs B'!E179</f>
        <v>0</v>
      </c>
      <c r="F179" s="28">
        <f ca="1">'Preventative costs A'!F179-'Preventative costs B'!F179</f>
        <v>0</v>
      </c>
      <c r="G179" s="28">
        <f ca="1">'Preventative costs A'!G179-'Preventative costs B'!G179</f>
        <v>1.8291462874695785</v>
      </c>
      <c r="H179" s="28">
        <f ca="1">'Preventative costs A'!H179-'Preventative costs B'!H179</f>
        <v>2.2590560034589617</v>
      </c>
      <c r="I179" s="28">
        <f ca="1">'Preventative costs A'!I179-'Preventative costs B'!I179</f>
        <v>2.29181444526718</v>
      </c>
      <c r="J179" s="28">
        <f ca="1">'Preventative costs A'!J179-'Preventative costs B'!J179</f>
        <v>2.5467716329441394</v>
      </c>
      <c r="K179" s="28">
        <f ca="1">'Preventative costs A'!K179-'Preventative costs B'!K179</f>
        <v>2.8821025282353498</v>
      </c>
      <c r="M179" s="4" t="str">
        <f t="shared" si="6"/>
        <v>Mtonne</v>
      </c>
    </row>
    <row r="180" spans="1:13" s="7" customFormat="1" x14ac:dyDescent="0.2">
      <c r="A180" s="4" t="str">
        <v>EE N2O</v>
      </c>
      <c r="B180" s="28">
        <f>'Preventative costs A'!B180-'Preventative costs B'!B180</f>
        <v>0</v>
      </c>
      <c r="C180" s="28">
        <f ca="1">'Preventative costs A'!C180-'Preventative costs B'!C180</f>
        <v>0</v>
      </c>
      <c r="D180" s="28">
        <f ca="1">'Preventative costs A'!D180-'Preventative costs B'!D180</f>
        <v>0</v>
      </c>
      <c r="E180" s="28">
        <f ca="1">'Preventative costs A'!E180-'Preventative costs B'!E180</f>
        <v>0</v>
      </c>
      <c r="F180" s="28">
        <f ca="1">'Preventative costs A'!F180-'Preventative costs B'!F180</f>
        <v>0</v>
      </c>
      <c r="G180" s="28">
        <f ca="1">'Preventative costs A'!G180-'Preventative costs B'!G180</f>
        <v>1.2538642347174467</v>
      </c>
      <c r="H180" s="28">
        <f ca="1">'Preventative costs A'!H180-'Preventative costs B'!H180</f>
        <v>1.5485636913597784</v>
      </c>
      <c r="I180" s="28">
        <f ca="1">'Preventative costs A'!I180-'Preventative costs B'!I180</f>
        <v>1.5710193248155475</v>
      </c>
      <c r="J180" s="28">
        <f ca="1">'Preventative costs A'!J180-'Preventative costs B'!J180</f>
        <v>1.745790310166603</v>
      </c>
      <c r="K180" s="28">
        <f ca="1">'Preventative costs A'!K180-'Preventative costs B'!K180</f>
        <v>1.975656789016192</v>
      </c>
      <c r="M180" s="4" t="str">
        <f t="shared" si="6"/>
        <v>Mtonne</v>
      </c>
    </row>
    <row r="181" spans="1:13" s="7" customFormat="1" x14ac:dyDescent="0.2">
      <c r="A181" s="4" t="str">
        <v>CA N2O</v>
      </c>
      <c r="B181" s="28">
        <f>'Preventative costs A'!B181-'Preventative costs B'!B181</f>
        <v>0</v>
      </c>
      <c r="C181" s="28">
        <f ca="1">'Preventative costs A'!C181-'Preventative costs B'!C181</f>
        <v>0</v>
      </c>
      <c r="D181" s="28">
        <f ca="1">'Preventative costs A'!D181-'Preventative costs B'!D181</f>
        <v>0</v>
      </c>
      <c r="E181" s="28">
        <f ca="1">'Preventative costs A'!E181-'Preventative costs B'!E181</f>
        <v>0</v>
      </c>
      <c r="F181" s="28">
        <f ca="1">'Preventative costs A'!F181-'Preventative costs B'!F181</f>
        <v>0</v>
      </c>
      <c r="G181" s="28">
        <f ca="1">'Preventative costs A'!G181-'Preventative costs B'!G181</f>
        <v>6.5884241088272191</v>
      </c>
      <c r="H181" s="28">
        <f ca="1">'Preventative costs A'!H181-'Preventative costs B'!H181</f>
        <v>8.1369211081360433</v>
      </c>
      <c r="I181" s="28">
        <f ca="1">'Preventative costs A'!I181-'Preventative costs B'!I181</f>
        <v>8.2549141354053113</v>
      </c>
      <c r="J181" s="28">
        <f ca="1">'Preventative costs A'!J181-'Preventative costs B'!J181</f>
        <v>9.1732475095683128</v>
      </c>
      <c r="K181" s="28">
        <f ca="1">'Preventative costs A'!K181-'Preventative costs B'!K181</f>
        <v>10.381079912097228</v>
      </c>
      <c r="M181" s="4" t="str">
        <f t="shared" si="6"/>
        <v>Mtonne</v>
      </c>
    </row>
    <row r="182" spans="1:13" s="7" customFormat="1" x14ac:dyDescent="0.2">
      <c r="A182" s="4" t="str">
        <v>IA N2O</v>
      </c>
      <c r="B182" s="28">
        <f>'Preventative costs A'!B182-'Preventative costs B'!B182</f>
        <v>0</v>
      </c>
      <c r="C182" s="28">
        <f ca="1">'Preventative costs A'!C182-'Preventative costs B'!C182</f>
        <v>0</v>
      </c>
      <c r="D182" s="28">
        <f ca="1">'Preventative costs A'!D182-'Preventative costs B'!D182</f>
        <v>0</v>
      </c>
      <c r="E182" s="28">
        <f ca="1">'Preventative costs A'!E182-'Preventative costs B'!E182</f>
        <v>0</v>
      </c>
      <c r="F182" s="28">
        <f ca="1">'Preventative costs A'!F182-'Preventative costs B'!F182</f>
        <v>0</v>
      </c>
      <c r="G182" s="28">
        <f ca="1">'Preventative costs A'!G182-'Preventative costs B'!G182</f>
        <v>3.1516960335203508</v>
      </c>
      <c r="H182" s="28">
        <f ca="1">'Preventative costs A'!H182-'Preventative costs B'!H182</f>
        <v>3.8924485670588336</v>
      </c>
      <c r="I182" s="28">
        <f ca="1">'Preventative costs A'!I182-'Preventative costs B'!I182</f>
        <v>3.9488927409439616</v>
      </c>
      <c r="J182" s="28">
        <f ca="1">'Preventative costs A'!J182-'Preventative costs B'!J182</f>
        <v>4.3881947052666712</v>
      </c>
      <c r="K182" s="28">
        <f ca="1">'Preventative costs A'!K182-'Preventative costs B'!K182</f>
        <v>4.9659839503620908</v>
      </c>
      <c r="M182" s="4" t="str">
        <f t="shared" si="6"/>
        <v>Mtonne</v>
      </c>
    </row>
    <row r="183" spans="1:13" s="7" customFormat="1" x14ac:dyDescent="0.2">
      <c r="A183" s="4" t="str">
        <v>AF N2O</v>
      </c>
      <c r="B183" s="28">
        <f>'Preventative costs A'!B183-'Preventative costs B'!B183</f>
        <v>0</v>
      </c>
      <c r="C183" s="28">
        <f ca="1">'Preventative costs A'!C183-'Preventative costs B'!C183</f>
        <v>0</v>
      </c>
      <c r="D183" s="28">
        <f ca="1">'Preventative costs A'!D183-'Preventative costs B'!D183</f>
        <v>0</v>
      </c>
      <c r="E183" s="28">
        <f ca="1">'Preventative costs A'!E183-'Preventative costs B'!E183</f>
        <v>0</v>
      </c>
      <c r="F183" s="28">
        <f ca="1">'Preventative costs A'!F183-'Preventative costs B'!F183</f>
        <v>0</v>
      </c>
      <c r="G183" s="28">
        <f ca="1">'Preventative costs A'!G183-'Preventative costs B'!G183</f>
        <v>5.5299424342416694</v>
      </c>
      <c r="H183" s="28">
        <f ca="1">'Preventative costs A'!H183-'Preventative costs B'!H183</f>
        <v>6.8296613236648396</v>
      </c>
      <c r="I183" s="28">
        <f ca="1">'Preventative costs A'!I183-'Preventative costs B'!I183</f>
        <v>6.928697851621008</v>
      </c>
      <c r="J183" s="28">
        <f ca="1">'Preventative costs A'!J183-'Preventative costs B'!J183</f>
        <v>7.6994938129435848</v>
      </c>
      <c r="K183" s="28">
        <f ca="1">'Preventative costs A'!K183-'Preventative costs B'!K183</f>
        <v>8.71327852775085</v>
      </c>
      <c r="M183" s="4" t="str">
        <f t="shared" si="6"/>
        <v>Mtonne</v>
      </c>
    </row>
    <row r="184" spans="1:13" s="7" customFormat="1" ht="13.5" thickBot="1" x14ac:dyDescent="0.25">
      <c r="A184" s="4" t="str">
        <v>LA N2O</v>
      </c>
      <c r="B184" s="36">
        <f>'Preventative costs A'!B184-'Preventative costs B'!B184</f>
        <v>0</v>
      </c>
      <c r="C184" s="36">
        <f ca="1">'Preventative costs A'!C184-'Preventative costs B'!C184</f>
        <v>0</v>
      </c>
      <c r="D184" s="36">
        <f ca="1">'Preventative costs A'!D184-'Preventative costs B'!D184</f>
        <v>0</v>
      </c>
      <c r="E184" s="36">
        <f ca="1">'Preventative costs A'!E184-'Preventative costs B'!E184</f>
        <v>0</v>
      </c>
      <c r="F184" s="36">
        <f ca="1">'Preventative costs A'!F184-'Preventative costs B'!F184</f>
        <v>0</v>
      </c>
      <c r="G184" s="36">
        <f ca="1">'Preventative costs A'!G184-'Preventative costs B'!G184</f>
        <v>5.3191155276825537</v>
      </c>
      <c r="H184" s="36">
        <f ca="1">'Preventative costs A'!H184-'Preventative costs B'!H184</f>
        <v>6.5692831394727387</v>
      </c>
      <c r="I184" s="36">
        <f ca="1">'Preventative costs A'!I184-'Preventative costs B'!I184</f>
        <v>6.6645439382827831</v>
      </c>
      <c r="J184" s="36">
        <f ca="1">'Preventative costs A'!J184-'Preventative costs B'!J184</f>
        <v>7.4059536030848641</v>
      </c>
      <c r="K184" s="36">
        <f ca="1">'Preventative costs A'!K184-'Preventative costs B'!K184</f>
        <v>8.3810881695621422</v>
      </c>
      <c r="M184" s="4" t="str">
        <f t="shared" si="6"/>
        <v>Mtonne</v>
      </c>
    </row>
    <row r="185" spans="1:13" s="6" customFormat="1" ht="13.5" thickTop="1" x14ac:dyDescent="0.2">
      <c r="A185" s="58" t="s">
        <v>204</v>
      </c>
      <c r="B185" s="28">
        <f>'Preventative costs A'!B185-'Preventative costs B'!B185</f>
        <v>0</v>
      </c>
      <c r="C185" s="28">
        <f ca="1">'Preventative costs A'!C185-'Preventative costs B'!C185</f>
        <v>0</v>
      </c>
      <c r="D185" s="28">
        <f ca="1">'Preventative costs A'!D185-'Preventative costs B'!D185</f>
        <v>0</v>
      </c>
      <c r="E185" s="28">
        <f ca="1">'Preventative costs A'!E185-'Preventative costs B'!E185</f>
        <v>0</v>
      </c>
      <c r="F185" s="28">
        <f ca="1">'Preventative costs A'!F185-'Preventative costs B'!F185</f>
        <v>0</v>
      </c>
      <c r="G185" s="28">
        <f ca="1">'Preventative costs A'!G185-'Preventative costs B'!G185</f>
        <v>30.933313175789621</v>
      </c>
      <c r="H185" s="28">
        <f ca="1">'Preventative costs A'!H185-'Preventative costs B'!H185</f>
        <v>38.203662175820348</v>
      </c>
      <c r="I185" s="28">
        <f ca="1">'Preventative costs A'!I185-'Preventative costs B'!I185</f>
        <v>38.757651294430602</v>
      </c>
      <c r="J185" s="28">
        <f ca="1">'Preventative costs A'!J185-'Preventative costs B'!J185</f>
        <v>43.06931875747442</v>
      </c>
      <c r="K185" s="28">
        <f ca="1">'Preventative costs A'!K185-'Preventative costs B'!K185</f>
        <v>48.740213246679367</v>
      </c>
      <c r="M185" s="4" t="str">
        <f t="shared" si="6"/>
        <v>Mtonne</v>
      </c>
    </row>
    <row r="186" spans="1:13" s="8" customFormat="1" ht="14.25" x14ac:dyDescent="0.25">
      <c r="A186" s="2" t="s">
        <v>283</v>
      </c>
      <c r="B186" s="8" t="s">
        <v>291</v>
      </c>
    </row>
    <row r="187" spans="1:13" s="7" customFormat="1" x14ac:dyDescent="0.2">
      <c r="A187" s="4" t="str">
        <f t="array" ref="A187:A194">R_CODE&amp;" "&amp;GLIN_NAME</f>
        <v>EU Lin</v>
      </c>
      <c r="B187" s="27">
        <f>'Preventative costs A'!B187-'Preventative costs B'!B187</f>
        <v>0</v>
      </c>
      <c r="C187" s="27">
        <f ca="1">'Preventative costs A'!C187-'Preventative costs B'!C187</f>
        <v>0</v>
      </c>
      <c r="D187" s="27">
        <f ca="1">'Preventative costs A'!D187-'Preventative costs B'!D187</f>
        <v>0</v>
      </c>
      <c r="E187" s="27">
        <f ca="1">'Preventative costs A'!E187-'Preventative costs B'!E187</f>
        <v>0</v>
      </c>
      <c r="F187" s="27">
        <f ca="1">'Preventative costs A'!F187-'Preventative costs B'!F187</f>
        <v>0</v>
      </c>
      <c r="G187" s="27">
        <f ca="1">'Preventative costs A'!G187-'Preventative costs B'!G187</f>
        <v>573.22050763175207</v>
      </c>
      <c r="H187" s="27">
        <f ca="1">'Preventative costs A'!H187-'Preventative costs B'!H187</f>
        <v>1888.1564894939415</v>
      </c>
      <c r="I187" s="27">
        <f ca="1">'Preventative costs A'!I187-'Preventative costs B'!I187</f>
        <v>3392.6554115812705</v>
      </c>
      <c r="J187" s="27">
        <f ca="1">'Preventative costs A'!J187-'Preventative costs B'!J187</f>
        <v>4980.1657139848239</v>
      </c>
      <c r="K187" s="27">
        <f ca="1">'Preventative costs A'!K187-'Preventative costs B'!K187</f>
        <v>6506.9854844311849</v>
      </c>
      <c r="M187" s="4" t="str">
        <f t="shared" ref="M187:M195" si="7">EMIT_NAME</f>
        <v>Mtonne</v>
      </c>
    </row>
    <row r="188" spans="1:13" s="7" customFormat="1" x14ac:dyDescent="0.2">
      <c r="A188" s="4" t="str">
        <v>US Lin</v>
      </c>
      <c r="B188" s="28">
        <f>'Preventative costs A'!B188-'Preventative costs B'!B188</f>
        <v>0</v>
      </c>
      <c r="C188" s="28">
        <f ca="1">'Preventative costs A'!C188-'Preventative costs B'!C188</f>
        <v>0</v>
      </c>
      <c r="D188" s="28">
        <f ca="1">'Preventative costs A'!D188-'Preventative costs B'!D188</f>
        <v>0</v>
      </c>
      <c r="E188" s="28">
        <f ca="1">'Preventative costs A'!E188-'Preventative costs B'!E188</f>
        <v>0</v>
      </c>
      <c r="F188" s="28">
        <f ca="1">'Preventative costs A'!F188-'Preventative costs B'!F188</f>
        <v>0</v>
      </c>
      <c r="G188" s="28">
        <f ca="1">'Preventative costs A'!G188-'Preventative costs B'!G188</f>
        <v>1492.2143227893225</v>
      </c>
      <c r="H188" s="28">
        <f ca="1">'Preventative costs A'!H188-'Preventative costs B'!H188</f>
        <v>4915.2710340581616</v>
      </c>
      <c r="I188" s="28">
        <f ca="1">'Preventative costs A'!I188-'Preventative costs B'!I188</f>
        <v>8831.8002061129446</v>
      </c>
      <c r="J188" s="28">
        <f ca="1">'Preventative costs A'!J188-'Preventative costs B'!J188</f>
        <v>12964.425573284949</v>
      </c>
      <c r="K188" s="28">
        <f ca="1">'Preventative costs A'!K188-'Preventative costs B'!K188</f>
        <v>16939.060638577514</v>
      </c>
      <c r="M188" s="4" t="str">
        <f t="shared" si="7"/>
        <v>Mtonne</v>
      </c>
    </row>
    <row r="189" spans="1:13" s="7" customFormat="1" x14ac:dyDescent="0.2">
      <c r="A189" s="4" t="str">
        <v>OT Lin</v>
      </c>
      <c r="B189" s="28">
        <f>'Preventative costs A'!B189-'Preventative costs B'!B189</f>
        <v>0</v>
      </c>
      <c r="C189" s="28">
        <f ca="1">'Preventative costs A'!C189-'Preventative costs B'!C189</f>
        <v>0</v>
      </c>
      <c r="D189" s="28">
        <f ca="1">'Preventative costs A'!D189-'Preventative costs B'!D189</f>
        <v>0</v>
      </c>
      <c r="E189" s="28">
        <f ca="1">'Preventative costs A'!E189-'Preventative costs B'!E189</f>
        <v>0</v>
      </c>
      <c r="F189" s="28">
        <f ca="1">'Preventative costs A'!F189-'Preventative costs B'!F189</f>
        <v>0</v>
      </c>
      <c r="G189" s="28">
        <f ca="1">'Preventative costs A'!G189-'Preventative costs B'!G189</f>
        <v>537.44196346718797</v>
      </c>
      <c r="H189" s="28">
        <f ca="1">'Preventative costs A'!H189-'Preventative costs B'!H189</f>
        <v>1770.3039537776754</v>
      </c>
      <c r="I189" s="28">
        <f ca="1">'Preventative costs A'!I189-'Preventative costs B'!I189</f>
        <v>3180.8969872710441</v>
      </c>
      <c r="J189" s="28">
        <f ca="1">'Preventative costs A'!J189-'Preventative costs B'!J189</f>
        <v>4669.3201029636602</v>
      </c>
      <c r="K189" s="28">
        <f ca="1">'Preventative costs A'!K189-'Preventative costs B'!K189</f>
        <v>6100.8407906644707</v>
      </c>
      <c r="M189" s="4" t="str">
        <f t="shared" si="7"/>
        <v>Mtonne</v>
      </c>
    </row>
    <row r="190" spans="1:13" s="7" customFormat="1" x14ac:dyDescent="0.2">
      <c r="A190" s="4" t="str">
        <v>EE Lin</v>
      </c>
      <c r="B190" s="28">
        <f>'Preventative costs A'!B190-'Preventative costs B'!B190</f>
        <v>0</v>
      </c>
      <c r="C190" s="28">
        <f ca="1">'Preventative costs A'!C190-'Preventative costs B'!C190</f>
        <v>0</v>
      </c>
      <c r="D190" s="28">
        <f ca="1">'Preventative costs A'!D190-'Preventative costs B'!D190</f>
        <v>0</v>
      </c>
      <c r="E190" s="28">
        <f ca="1">'Preventative costs A'!E190-'Preventative costs B'!E190</f>
        <v>0</v>
      </c>
      <c r="F190" s="28">
        <f ca="1">'Preventative costs A'!F190-'Preventative costs B'!F190</f>
        <v>0</v>
      </c>
      <c r="G190" s="28">
        <f ca="1">'Preventative costs A'!G190-'Preventative costs B'!G190</f>
        <v>192.20422468951347</v>
      </c>
      <c r="H190" s="28">
        <f ca="1">'Preventative costs A'!H190-'Preventative costs B'!H190</f>
        <v>633.11003239402226</v>
      </c>
      <c r="I190" s="28">
        <f ca="1">'Preventative costs A'!I190-'Preventative costs B'!I190</f>
        <v>1137.5774145201565</v>
      </c>
      <c r="J190" s="28">
        <f ca="1">'Preventative costs A'!J190-'Preventative costs B'!J190</f>
        <v>1669.8790031718122</v>
      </c>
      <c r="K190" s="28">
        <f ca="1">'Preventative costs A'!K190-'Preventative costs B'!K190</f>
        <v>2181.8306976980466</v>
      </c>
      <c r="M190" s="4" t="str">
        <f t="shared" si="7"/>
        <v>Mtonne</v>
      </c>
    </row>
    <row r="191" spans="1:13" s="7" customFormat="1" x14ac:dyDescent="0.2">
      <c r="A191" s="4" t="str">
        <v>CA Lin</v>
      </c>
      <c r="B191" s="28">
        <f>'Preventative costs A'!B191-'Preventative costs B'!B191</f>
        <v>0</v>
      </c>
      <c r="C191" s="28">
        <f ca="1">'Preventative costs A'!C191-'Preventative costs B'!C191</f>
        <v>0</v>
      </c>
      <c r="D191" s="28">
        <f ca="1">'Preventative costs A'!D191-'Preventative costs B'!D191</f>
        <v>0</v>
      </c>
      <c r="E191" s="28">
        <f ca="1">'Preventative costs A'!E191-'Preventative costs B'!E191</f>
        <v>0</v>
      </c>
      <c r="F191" s="28">
        <f ca="1">'Preventative costs A'!F191-'Preventative costs B'!F191</f>
        <v>0</v>
      </c>
      <c r="G191" s="28">
        <f ca="1">'Preventative costs A'!G191-'Preventative costs B'!G191</f>
        <v>596.59144170384877</v>
      </c>
      <c r="H191" s="28">
        <f ca="1">'Preventative costs A'!H191-'Preventative costs B'!H191</f>
        <v>1965.139047246591</v>
      </c>
      <c r="I191" s="28">
        <f ca="1">'Preventative costs A'!I191-'Preventative costs B'!I191</f>
        <v>3530.9783168119129</v>
      </c>
      <c r="J191" s="28">
        <f ca="1">'Preventative costs A'!J191-'Preventative costs B'!J191</f>
        <v>5183.2134469602597</v>
      </c>
      <c r="K191" s="28">
        <f ca="1">'Preventative costs A'!K191-'Preventative costs B'!K191</f>
        <v>6772.2836144527773</v>
      </c>
      <c r="M191" s="4" t="str">
        <f t="shared" si="7"/>
        <v>Mtonne</v>
      </c>
    </row>
    <row r="192" spans="1:13" s="7" customFormat="1" x14ac:dyDescent="0.2">
      <c r="A192" s="4" t="str">
        <v>IA Lin</v>
      </c>
      <c r="B192" s="28">
        <f>'Preventative costs A'!B192-'Preventative costs B'!B192</f>
        <v>0</v>
      </c>
      <c r="C192" s="28">
        <f ca="1">'Preventative costs A'!C192-'Preventative costs B'!C192</f>
        <v>0</v>
      </c>
      <c r="D192" s="28">
        <f ca="1">'Preventative costs A'!D192-'Preventative costs B'!D192</f>
        <v>0</v>
      </c>
      <c r="E192" s="28">
        <f ca="1">'Preventative costs A'!E192-'Preventative costs B'!E192</f>
        <v>0</v>
      </c>
      <c r="F192" s="28">
        <f ca="1">'Preventative costs A'!F192-'Preventative costs B'!F192</f>
        <v>0</v>
      </c>
      <c r="G192" s="28">
        <f ca="1">'Preventative costs A'!G192-'Preventative costs B'!G192</f>
        <v>458.96162266164532</v>
      </c>
      <c r="H192" s="28">
        <f ca="1">'Preventative costs A'!H192-'Preventative costs B'!H192</f>
        <v>1511.7940735190341</v>
      </c>
      <c r="I192" s="28">
        <f ca="1">'Preventative costs A'!I192-'Preventative costs B'!I192</f>
        <v>2716.4042669447931</v>
      </c>
      <c r="J192" s="28">
        <f ca="1">'Preventative costs A'!J192-'Preventative costs B'!J192</f>
        <v>3987.4793500632168</v>
      </c>
      <c r="K192" s="28">
        <f ca="1">'Preventative costs A'!K192-'Preventative costs B'!K192</f>
        <v>5209.9612222681781</v>
      </c>
      <c r="M192" s="4" t="str">
        <f t="shared" si="7"/>
        <v>Mtonne</v>
      </c>
    </row>
    <row r="193" spans="1:13" s="7" customFormat="1" x14ac:dyDescent="0.2">
      <c r="A193" s="4" t="str">
        <v>AF Lin</v>
      </c>
      <c r="B193" s="28">
        <f>'Preventative costs A'!B193-'Preventative costs B'!B193</f>
        <v>0</v>
      </c>
      <c r="C193" s="28">
        <f ca="1">'Preventative costs A'!C193-'Preventative costs B'!C193</f>
        <v>0</v>
      </c>
      <c r="D193" s="28">
        <f ca="1">'Preventative costs A'!D193-'Preventative costs B'!D193</f>
        <v>0</v>
      </c>
      <c r="E193" s="28">
        <f ca="1">'Preventative costs A'!E193-'Preventative costs B'!E193</f>
        <v>0</v>
      </c>
      <c r="F193" s="28">
        <f ca="1">'Preventative costs A'!F193-'Preventative costs B'!F193</f>
        <v>0</v>
      </c>
      <c r="G193" s="28">
        <f ca="1">'Preventative costs A'!G193-'Preventative costs B'!G193</f>
        <v>269.64051673293397</v>
      </c>
      <c r="H193" s="28">
        <f ca="1">'Preventative costs A'!H193-'Preventative costs B'!H193</f>
        <v>888.18087406401685</v>
      </c>
      <c r="I193" s="28">
        <f ca="1">'Preventative costs A'!I193-'Preventative costs B'!I193</f>
        <v>1595.8908414756891</v>
      </c>
      <c r="J193" s="28">
        <f ca="1">'Preventative costs A'!J193-'Preventative costs B'!J193</f>
        <v>2342.6490131738005</v>
      </c>
      <c r="K193" s="28">
        <f ca="1">'Preventative costs A'!K193-'Preventative costs B'!K193</f>
        <v>3060.8586138074461</v>
      </c>
      <c r="M193" s="4" t="str">
        <f t="shared" si="7"/>
        <v>Mtonne</v>
      </c>
    </row>
    <row r="194" spans="1:13" s="7" customFormat="1" ht="13.5" thickBot="1" x14ac:dyDescent="0.25">
      <c r="A194" s="4" t="str">
        <v>LA Lin</v>
      </c>
      <c r="B194" s="36">
        <f>'Preventative costs A'!B194-'Preventative costs B'!B194</f>
        <v>0</v>
      </c>
      <c r="C194" s="36">
        <f ca="1">'Preventative costs A'!C194-'Preventative costs B'!C194</f>
        <v>0</v>
      </c>
      <c r="D194" s="36">
        <f ca="1">'Preventative costs A'!D194-'Preventative costs B'!D194</f>
        <v>0</v>
      </c>
      <c r="E194" s="36">
        <f ca="1">'Preventative costs A'!E194-'Preventative costs B'!E194</f>
        <v>0</v>
      </c>
      <c r="F194" s="36">
        <f ca="1">'Preventative costs A'!F194-'Preventative costs B'!F194</f>
        <v>0</v>
      </c>
      <c r="G194" s="36">
        <f ca="1">'Preventative costs A'!G194-'Preventative costs B'!G194</f>
        <v>230.50915123225494</v>
      </c>
      <c r="H194" s="36">
        <f ca="1">'Preventative costs A'!H194-'Preventative costs B'!H194</f>
        <v>759.28433123423326</v>
      </c>
      <c r="I194" s="36">
        <f ca="1">'Preventative costs A'!I194-'Preventative costs B'!I194</f>
        <v>1364.288452585356</v>
      </c>
      <c r="J194" s="36">
        <f ca="1">'Preventative costs A'!J194-'Preventative costs B'!J194</f>
        <v>2002.6739386374143</v>
      </c>
      <c r="K194" s="36">
        <f ca="1">'Preventative costs A'!K194-'Preventative costs B'!K194</f>
        <v>2616.6539422912856</v>
      </c>
      <c r="M194" s="4" t="str">
        <f t="shared" si="7"/>
        <v>Mtonne</v>
      </c>
    </row>
    <row r="195" spans="1:13" s="6" customFormat="1" ht="13.5" thickTop="1" x14ac:dyDescent="0.2">
      <c r="A195" s="58" t="s">
        <v>204</v>
      </c>
      <c r="B195" s="28">
        <f>'Preventative costs A'!B195-'Preventative costs B'!B195</f>
        <v>0</v>
      </c>
      <c r="C195" s="28">
        <f ca="1">'Preventative costs A'!C195-'Preventative costs B'!C195</f>
        <v>0</v>
      </c>
      <c r="D195" s="28">
        <f ca="1">'Preventative costs A'!D195-'Preventative costs B'!D195</f>
        <v>0</v>
      </c>
      <c r="E195" s="28">
        <f ca="1">'Preventative costs A'!E195-'Preventative costs B'!E195</f>
        <v>0</v>
      </c>
      <c r="F195" s="28">
        <f ca="1">'Preventative costs A'!F195-'Preventative costs B'!F195</f>
        <v>0</v>
      </c>
      <c r="G195" s="28">
        <f ca="1">'Preventative costs A'!G195-'Preventative costs B'!G195</f>
        <v>4350.7837509084593</v>
      </c>
      <c r="H195" s="28">
        <f ca="1">'Preventative costs A'!H195-'Preventative costs B'!H195</f>
        <v>14331.239835787679</v>
      </c>
      <c r="I195" s="28">
        <f ca="1">'Preventative costs A'!I195-'Preventative costs B'!I195</f>
        <v>25750.491897303164</v>
      </c>
      <c r="J195" s="28">
        <f ca="1">'Preventative costs A'!J195-'Preventative costs B'!J195</f>
        <v>37799.806142239948</v>
      </c>
      <c r="K195" s="28">
        <f ca="1">'Preventative costs A'!K195-'Preventative costs B'!K195</f>
        <v>49388.475004190899</v>
      </c>
      <c r="M195" s="4" t="str">
        <f t="shared" si="7"/>
        <v>Mtonne</v>
      </c>
    </row>
    <row r="196" spans="1:13" s="2" customFormat="1" ht="14.25" x14ac:dyDescent="0.25">
      <c r="A196" s="2" t="s">
        <v>292</v>
      </c>
      <c r="B196" s="2" t="s">
        <v>293</v>
      </c>
    </row>
    <row r="197" spans="1:13" s="6" customFormat="1" x14ac:dyDescent="0.2">
      <c r="A197" s="4" t="str">
        <f t="array" ref="A197:A204">R_CODE&amp;" "&amp;'Base data'!$B$12</f>
        <v>EU CO2</v>
      </c>
      <c r="B197" s="29">
        <f ca="1">'Preventative costs A'!B197-'Preventative costs B'!B197</f>
        <v>0</v>
      </c>
      <c r="C197" s="29">
        <f ca="1">'Preventative costs A'!C197-'Preventative costs B'!C197</f>
        <v>0</v>
      </c>
      <c r="D197" s="29">
        <f ca="1">'Preventative costs A'!D197-'Preventative costs B'!D197</f>
        <v>0</v>
      </c>
      <c r="E197" s="29">
        <f ca="1">'Preventative costs A'!E197-'Preventative costs B'!E197</f>
        <v>0</v>
      </c>
      <c r="F197" s="29">
        <f ca="1">'Preventative costs A'!F197-'Preventative costs B'!F197</f>
        <v>0</v>
      </c>
      <c r="G197" s="29">
        <f ca="1">'Preventative costs A'!G197-'Preventative costs B'!G197</f>
        <v>-0.12395147655765537</v>
      </c>
      <c r="H197" s="29">
        <f ca="1">'Preventative costs A'!H197-'Preventative costs B'!H197</f>
        <v>-0.29993888872621455</v>
      </c>
      <c r="I197" s="29">
        <f ca="1">'Preventative costs A'!I197-'Preventative costs B'!I197</f>
        <v>-0.41189131399433954</v>
      </c>
      <c r="J197" s="29">
        <f ca="1">'Preventative costs A'!J197-'Preventative costs B'!J197</f>
        <v>-0.48132244154392756</v>
      </c>
      <c r="K197" s="29">
        <f ca="1">'Preventative costs A'!K197-'Preventative costs B'!K197</f>
        <v>-0.52650836288939562</v>
      </c>
      <c r="M197" s="4"/>
    </row>
    <row r="198" spans="1:13" s="6" customFormat="1" x14ac:dyDescent="0.2">
      <c r="A198" s="4" t="str">
        <v>US CO2</v>
      </c>
      <c r="B198" s="26">
        <f ca="1">'Preventative costs A'!B198-'Preventative costs B'!B198</f>
        <v>0</v>
      </c>
      <c r="C198" s="26">
        <f ca="1">'Preventative costs A'!C198-'Preventative costs B'!C198</f>
        <v>0</v>
      </c>
      <c r="D198" s="26">
        <f ca="1">'Preventative costs A'!D198-'Preventative costs B'!D198</f>
        <v>0</v>
      </c>
      <c r="E198" s="26">
        <f ca="1">'Preventative costs A'!E198-'Preventative costs B'!E198</f>
        <v>0</v>
      </c>
      <c r="F198" s="26">
        <f ca="1">'Preventative costs A'!F198-'Preventative costs B'!F198</f>
        <v>0</v>
      </c>
      <c r="G198" s="26">
        <f ca="1">'Preventative costs A'!G198-'Preventative costs B'!G198</f>
        <v>-0.1409098725671829</v>
      </c>
      <c r="H198" s="26">
        <f ca="1">'Preventative costs A'!H198-'Preventative costs B'!H198</f>
        <v>-0.32534983212032631</v>
      </c>
      <c r="I198" s="26">
        <f ca="1">'Preventative costs A'!I198-'Preventative costs B'!I198</f>
        <v>-0.43534564317611246</v>
      </c>
      <c r="J198" s="26">
        <f ca="1">'Preventative costs A'!J198-'Preventative costs B'!J198</f>
        <v>-0.50252284199291952</v>
      </c>
      <c r="K198" s="26">
        <f ca="1">'Preventative costs A'!K198-'Preventative costs B'!K198</f>
        <v>-0.54545307896804696</v>
      </c>
      <c r="M198" s="4"/>
    </row>
    <row r="199" spans="1:13" s="6" customFormat="1" x14ac:dyDescent="0.2">
      <c r="A199" s="4" t="str">
        <v>OT CO2</v>
      </c>
      <c r="B199" s="26">
        <f ca="1">'Preventative costs A'!B199-'Preventative costs B'!B199</f>
        <v>0</v>
      </c>
      <c r="C199" s="26">
        <f ca="1">'Preventative costs A'!C199-'Preventative costs B'!C199</f>
        <v>0</v>
      </c>
      <c r="D199" s="26">
        <f ca="1">'Preventative costs A'!D199-'Preventative costs B'!D199</f>
        <v>0</v>
      </c>
      <c r="E199" s="26">
        <f ca="1">'Preventative costs A'!E199-'Preventative costs B'!E199</f>
        <v>0</v>
      </c>
      <c r="F199" s="26">
        <f ca="1">'Preventative costs A'!F199-'Preventative costs B'!F199</f>
        <v>0</v>
      </c>
      <c r="G199" s="26">
        <f ca="1">'Preventative costs A'!G199-'Preventative costs B'!G199</f>
        <v>-0.12291642085500309</v>
      </c>
      <c r="H199" s="26">
        <f ca="1">'Preventative costs A'!H199-'Preventative costs B'!H199</f>
        <v>-0.29818936346115654</v>
      </c>
      <c r="I199" s="26">
        <f ca="1">'Preventative costs A'!I199-'Preventative costs B'!I199</f>
        <v>-0.41006318438630918</v>
      </c>
      <c r="J199" s="26">
        <f ca="1">'Preventative costs A'!J199-'Preventative costs B'!J199</f>
        <v>-0.47956494047364229</v>
      </c>
      <c r="K199" s="26">
        <f ca="1">'Preventative costs A'!K199-'Preventative costs B'!K199</f>
        <v>-0.524824090069266</v>
      </c>
      <c r="M199" s="4"/>
    </row>
    <row r="200" spans="1:13" s="6" customFormat="1" x14ac:dyDescent="0.2">
      <c r="A200" s="4" t="str">
        <v>EE CO2</v>
      </c>
      <c r="B200" s="26">
        <f ca="1">'Preventative costs A'!B200-'Preventative costs B'!B200</f>
        <v>0</v>
      </c>
      <c r="C200" s="26">
        <f ca="1">'Preventative costs A'!C200-'Preventative costs B'!C200</f>
        <v>0</v>
      </c>
      <c r="D200" s="26">
        <f ca="1">'Preventative costs A'!D200-'Preventative costs B'!D200</f>
        <v>0</v>
      </c>
      <c r="E200" s="26">
        <f ca="1">'Preventative costs A'!E200-'Preventative costs B'!E200</f>
        <v>0</v>
      </c>
      <c r="F200" s="26">
        <f ca="1">'Preventative costs A'!F200-'Preventative costs B'!F200</f>
        <v>0</v>
      </c>
      <c r="G200" s="26">
        <f ca="1">'Preventative costs A'!G200-'Preventative costs B'!G200</f>
        <v>-0.13112404572315883</v>
      </c>
      <c r="H200" s="26">
        <f ca="1">'Preventative costs A'!H200-'Preventative costs B'!H200</f>
        <v>-0.30614045792812061</v>
      </c>
      <c r="I200" s="26">
        <f ca="1">'Preventative costs A'!I200-'Preventative costs B'!I200</f>
        <v>-0.414725134763402</v>
      </c>
      <c r="J200" s="26">
        <f ca="1">'Preventative costs A'!J200-'Preventative costs B'!J200</f>
        <v>-0.48140484757152036</v>
      </c>
      <c r="K200" s="26">
        <f ca="1">'Preventative costs A'!K200-'Preventative costs B'!K200</f>
        <v>-0.52454773932642329</v>
      </c>
      <c r="M200" s="4"/>
    </row>
    <row r="201" spans="1:13" s="6" customFormat="1" x14ac:dyDescent="0.2">
      <c r="A201" s="4" t="str">
        <v>CA CO2</v>
      </c>
      <c r="B201" s="26">
        <f ca="1">'Preventative costs A'!B201-'Preventative costs B'!B201</f>
        <v>0</v>
      </c>
      <c r="C201" s="26">
        <f ca="1">'Preventative costs A'!C201-'Preventative costs B'!C201</f>
        <v>0</v>
      </c>
      <c r="D201" s="26">
        <f ca="1">'Preventative costs A'!D201-'Preventative costs B'!D201</f>
        <v>0</v>
      </c>
      <c r="E201" s="26">
        <f ca="1">'Preventative costs A'!E201-'Preventative costs B'!E201</f>
        <v>0</v>
      </c>
      <c r="F201" s="26">
        <f ca="1">'Preventative costs A'!F201-'Preventative costs B'!F201</f>
        <v>0</v>
      </c>
      <c r="G201" s="26">
        <f ca="1">'Preventative costs A'!G201-'Preventative costs B'!G201</f>
        <v>-0.15941937072915768</v>
      </c>
      <c r="H201" s="26">
        <f ca="1">'Preventative costs A'!H201-'Preventative costs B'!H201</f>
        <v>-0.34327374399378163</v>
      </c>
      <c r="I201" s="26">
        <f ca="1">'Preventative costs A'!I201-'Preventative costs B'!I201</f>
        <v>-0.44945835177394333</v>
      </c>
      <c r="J201" s="26">
        <f ca="1">'Preventative costs A'!J201-'Preventative costs B'!J201</f>
        <v>-0.51232960086664492</v>
      </c>
      <c r="K201" s="26">
        <f ca="1">'Preventative costs A'!K201-'Preventative costs B'!K201</f>
        <v>-0.55188176239296194</v>
      </c>
      <c r="M201" s="4"/>
    </row>
    <row r="202" spans="1:13" s="6" customFormat="1" x14ac:dyDescent="0.2">
      <c r="A202" s="4" t="str">
        <v>IA CO2</v>
      </c>
      <c r="B202" s="26">
        <f ca="1">'Preventative costs A'!B202-'Preventative costs B'!B202</f>
        <v>0</v>
      </c>
      <c r="C202" s="26">
        <f ca="1">'Preventative costs A'!C202-'Preventative costs B'!C202</f>
        <v>0</v>
      </c>
      <c r="D202" s="26">
        <f ca="1">'Preventative costs A'!D202-'Preventative costs B'!D202</f>
        <v>0</v>
      </c>
      <c r="E202" s="26">
        <f ca="1">'Preventative costs A'!E202-'Preventative costs B'!E202</f>
        <v>0</v>
      </c>
      <c r="F202" s="26">
        <f ca="1">'Preventative costs A'!F202-'Preventative costs B'!F202</f>
        <v>0</v>
      </c>
      <c r="G202" s="26">
        <f ca="1">'Preventative costs A'!G202-'Preventative costs B'!G202</f>
        <v>-0.16657704761997782</v>
      </c>
      <c r="H202" s="26">
        <f ca="1">'Preventative costs A'!H202-'Preventative costs B'!H202</f>
        <v>-0.35800032400063708</v>
      </c>
      <c r="I202" s="26">
        <f ca="1">'Preventative costs A'!I202-'Preventative costs B'!I202</f>
        <v>-0.46856167221958989</v>
      </c>
      <c r="J202" s="26">
        <f ca="1">'Preventative costs A'!J202-'Preventative costs B'!J202</f>
        <v>-0.53500632449456731</v>
      </c>
      <c r="K202" s="26">
        <f ca="1">'Preventative costs A'!K202-'Preventative costs B'!K202</f>
        <v>-0.57732445323876935</v>
      </c>
      <c r="M202" s="4"/>
    </row>
    <row r="203" spans="1:13" s="6" customFormat="1" x14ac:dyDescent="0.2">
      <c r="A203" s="4" t="str">
        <v>AF CO2</v>
      </c>
      <c r="B203" s="26">
        <f ca="1">'Preventative costs A'!B203-'Preventative costs B'!B203</f>
        <v>0</v>
      </c>
      <c r="C203" s="26">
        <f ca="1">'Preventative costs A'!C203-'Preventative costs B'!C203</f>
        <v>0</v>
      </c>
      <c r="D203" s="26">
        <f ca="1">'Preventative costs A'!D203-'Preventative costs B'!D203</f>
        <v>0</v>
      </c>
      <c r="E203" s="26">
        <f ca="1">'Preventative costs A'!E203-'Preventative costs B'!E203</f>
        <v>0</v>
      </c>
      <c r="F203" s="26">
        <f ca="1">'Preventative costs A'!F203-'Preventative costs B'!F203</f>
        <v>0</v>
      </c>
      <c r="G203" s="26">
        <f ca="1">'Preventative costs A'!G203-'Preventative costs B'!G203</f>
        <v>-0.18071855090301081</v>
      </c>
      <c r="H203" s="26">
        <f ca="1">'Preventative costs A'!H203-'Preventative costs B'!H203</f>
        <v>-0.38172799944921953</v>
      </c>
      <c r="I203" s="26">
        <f ca="1">'Preventative costs A'!I203-'Preventative costs B'!I203</f>
        <v>-0.49316716150147943</v>
      </c>
      <c r="J203" s="26">
        <f ca="1">'Preventative costs A'!J203-'Preventative costs B'!J203</f>
        <v>-0.55955284839372499</v>
      </c>
      <c r="K203" s="26">
        <f ca="1">'Preventative costs A'!K203-'Preventative costs B'!K203</f>
        <v>-0.60193489347884088</v>
      </c>
      <c r="M203" s="4"/>
    </row>
    <row r="204" spans="1:13" s="6" customFormat="1" ht="13.5" thickBot="1" x14ac:dyDescent="0.25">
      <c r="A204" s="4" t="str">
        <v>LA CO2</v>
      </c>
      <c r="B204" s="35">
        <f ca="1">'Preventative costs A'!B204-'Preventative costs B'!B204</f>
        <v>0</v>
      </c>
      <c r="C204" s="35">
        <f ca="1">'Preventative costs A'!C204-'Preventative costs B'!C204</f>
        <v>0</v>
      </c>
      <c r="D204" s="35">
        <f ca="1">'Preventative costs A'!D204-'Preventative costs B'!D204</f>
        <v>0</v>
      </c>
      <c r="E204" s="35">
        <f ca="1">'Preventative costs A'!E204-'Preventative costs B'!E204</f>
        <v>0</v>
      </c>
      <c r="F204" s="35">
        <f ca="1">'Preventative costs A'!F204-'Preventative costs B'!F204</f>
        <v>0</v>
      </c>
      <c r="G204" s="35">
        <f ca="1">'Preventative costs A'!G204-'Preventative costs B'!G204</f>
        <v>-0.12974034495735021</v>
      </c>
      <c r="H204" s="35">
        <f ca="1">'Preventative costs A'!H204-'Preventative costs B'!H204</f>
        <v>-0.31016757720115984</v>
      </c>
      <c r="I204" s="35">
        <f ca="1">'Preventative costs A'!I204-'Preventative costs B'!I204</f>
        <v>-0.42176510521216948</v>
      </c>
      <c r="J204" s="35">
        <f ca="1">'Preventative costs A'!J204-'Preventative costs B'!J204</f>
        <v>-0.49042770287256365</v>
      </c>
      <c r="K204" s="35">
        <f ca="1">'Preventative costs A'!K204-'Preventative costs B'!K204</f>
        <v>-0.534635606048939</v>
      </c>
      <c r="M204" s="4"/>
    </row>
    <row r="205" spans="1:13" s="2" customFormat="1" ht="15" thickTop="1" x14ac:dyDescent="0.25">
      <c r="A205" s="2" t="s">
        <v>292</v>
      </c>
      <c r="B205" s="2" t="s">
        <v>294</v>
      </c>
    </row>
    <row r="206" spans="1:13" s="7" customFormat="1" x14ac:dyDescent="0.2">
      <c r="A206" s="4" t="str">
        <f t="array" ref="A206:A213">R_CODE&amp;" "&amp;'Base data'!$C$12</f>
        <v>EU CH4</v>
      </c>
      <c r="B206" s="29">
        <f ca="1">'Preventative costs A'!B206-'Preventative costs B'!B206</f>
        <v>0</v>
      </c>
      <c r="C206" s="29">
        <f ca="1">'Preventative costs A'!C206-'Preventative costs B'!C206</f>
        <v>0</v>
      </c>
      <c r="D206" s="29">
        <f ca="1">'Preventative costs A'!D206-'Preventative costs B'!D206</f>
        <v>0</v>
      </c>
      <c r="E206" s="29">
        <f ca="1">'Preventative costs A'!E206-'Preventative costs B'!E206</f>
        <v>0</v>
      </c>
      <c r="F206" s="29">
        <f ca="1">'Preventative costs A'!F206-'Preventative costs B'!F206</f>
        <v>0</v>
      </c>
      <c r="G206" s="29">
        <f ca="1">'Preventative costs A'!G206-'Preventative costs B'!G206</f>
        <v>-8.3066659095149542E-2</v>
      </c>
      <c r="H206" s="29">
        <f ca="1">'Preventative costs A'!H206-'Preventative costs B'!H206</f>
        <v>-0.15532261633362088</v>
      </c>
      <c r="I206" s="29">
        <f ca="1">'Preventative costs A'!I206-'Preventative costs B'!I206</f>
        <v>-0.20736321698875726</v>
      </c>
      <c r="J206" s="29">
        <f ca="1">'Preventative costs A'!J206-'Preventative costs B'!J206</f>
        <v>-0.24419288966993014</v>
      </c>
      <c r="K206" s="29">
        <f ca="1">'Preventative costs A'!K206-'Preventative costs B'!K206</f>
        <v>-0.27122950543556634</v>
      </c>
      <c r="M206" s="4"/>
    </row>
    <row r="207" spans="1:13" s="7" customFormat="1" x14ac:dyDescent="0.2">
      <c r="A207" s="4" t="str">
        <v>US CH4</v>
      </c>
      <c r="B207" s="26">
        <f ca="1">'Preventative costs A'!B207-'Preventative costs B'!B207</f>
        <v>0</v>
      </c>
      <c r="C207" s="26">
        <f ca="1">'Preventative costs A'!C207-'Preventative costs B'!C207</f>
        <v>0</v>
      </c>
      <c r="D207" s="26">
        <f ca="1">'Preventative costs A'!D207-'Preventative costs B'!D207</f>
        <v>0</v>
      </c>
      <c r="E207" s="26">
        <f ca="1">'Preventative costs A'!E207-'Preventative costs B'!E207</f>
        <v>0</v>
      </c>
      <c r="F207" s="26">
        <f ca="1">'Preventative costs A'!F207-'Preventative costs B'!F207</f>
        <v>0</v>
      </c>
      <c r="G207" s="26">
        <f ca="1">'Preventative costs A'!G207-'Preventative costs B'!G207</f>
        <v>-9.1171711143450018E-2</v>
      </c>
      <c r="H207" s="26">
        <f ca="1">'Preventative costs A'!H207-'Preventative costs B'!H207</f>
        <v>-0.16815304643919005</v>
      </c>
      <c r="I207" s="26">
        <f ca="1">'Preventative costs A'!I207-'Preventative costs B'!I207</f>
        <v>-0.22294967526935094</v>
      </c>
      <c r="J207" s="26">
        <f ca="1">'Preventative costs A'!J207-'Preventative costs B'!J207</f>
        <v>-0.26106106606560775</v>
      </c>
      <c r="K207" s="26">
        <f ca="1">'Preventative costs A'!K207-'Preventative costs B'!K207</f>
        <v>-0.28684983929860408</v>
      </c>
      <c r="M207" s="4"/>
    </row>
    <row r="208" spans="1:13" s="7" customFormat="1" x14ac:dyDescent="0.2">
      <c r="A208" s="4" t="str">
        <v>OT CH4</v>
      </c>
      <c r="B208" s="26">
        <f ca="1">'Preventative costs A'!B208-'Preventative costs B'!B208</f>
        <v>0</v>
      </c>
      <c r="C208" s="26">
        <f ca="1">'Preventative costs A'!C208-'Preventative costs B'!C208</f>
        <v>0</v>
      </c>
      <c r="D208" s="26">
        <f ca="1">'Preventative costs A'!D208-'Preventative costs B'!D208</f>
        <v>0</v>
      </c>
      <c r="E208" s="26">
        <f ca="1">'Preventative costs A'!E208-'Preventative costs B'!E208</f>
        <v>0</v>
      </c>
      <c r="F208" s="26">
        <f ca="1">'Preventative costs A'!F208-'Preventative costs B'!F208</f>
        <v>0</v>
      </c>
      <c r="G208" s="26">
        <f ca="1">'Preventative costs A'!G208-'Preventative costs B'!G208</f>
        <v>-7.9956322022910253E-2</v>
      </c>
      <c r="H208" s="26">
        <f ca="1">'Preventative costs A'!H208-'Preventative costs B'!H208</f>
        <v>-0.15599647577973774</v>
      </c>
      <c r="I208" s="26">
        <f ca="1">'Preventative costs A'!I208-'Preventative costs B'!I208</f>
        <v>-0.2115558595404945</v>
      </c>
      <c r="J208" s="26">
        <f ca="1">'Preventative costs A'!J208-'Preventative costs B'!J208</f>
        <v>-0.25101614023760144</v>
      </c>
      <c r="K208" s="26">
        <f ca="1">'Preventative costs A'!K208-'Preventative costs B'!K208</f>
        <v>-0.27917369036100537</v>
      </c>
      <c r="M208" s="4"/>
    </row>
    <row r="209" spans="1:13" s="7" customFormat="1" x14ac:dyDescent="0.2">
      <c r="A209" s="4" t="str">
        <v>EE CH4</v>
      </c>
      <c r="B209" s="26">
        <f ca="1">'Preventative costs A'!B209-'Preventative costs B'!B209</f>
        <v>0</v>
      </c>
      <c r="C209" s="26">
        <f ca="1">'Preventative costs A'!C209-'Preventative costs B'!C209</f>
        <v>0</v>
      </c>
      <c r="D209" s="26">
        <f ca="1">'Preventative costs A'!D209-'Preventative costs B'!D209</f>
        <v>0</v>
      </c>
      <c r="E209" s="26">
        <f ca="1">'Preventative costs A'!E209-'Preventative costs B'!E209</f>
        <v>0</v>
      </c>
      <c r="F209" s="26">
        <f ca="1">'Preventative costs A'!F209-'Preventative costs B'!F209</f>
        <v>0</v>
      </c>
      <c r="G209" s="26">
        <f ca="1">'Preventative costs A'!G209-'Preventative costs B'!G209</f>
        <v>-9.7653649577170154E-2</v>
      </c>
      <c r="H209" s="26">
        <f ca="1">'Preventative costs A'!H209-'Preventative costs B'!H209</f>
        <v>-0.18585780049362799</v>
      </c>
      <c r="I209" s="26">
        <f ca="1">'Preventative costs A'!I209-'Preventative costs B'!I209</f>
        <v>-0.24941061957998656</v>
      </c>
      <c r="J209" s="26">
        <f ca="1">'Preventative costs A'!J209-'Preventative costs B'!J209</f>
        <v>-0.29571200654602559</v>
      </c>
      <c r="K209" s="26">
        <f ca="1">'Preventative costs A'!K209-'Preventative costs B'!K209</f>
        <v>-0.32898695143897194</v>
      </c>
      <c r="M209" s="4"/>
    </row>
    <row r="210" spans="1:13" s="7" customFormat="1" x14ac:dyDescent="0.2">
      <c r="A210" s="4" t="str">
        <v>CA CH4</v>
      </c>
      <c r="B210" s="26">
        <f ca="1">'Preventative costs A'!B210-'Preventative costs B'!B210</f>
        <v>0</v>
      </c>
      <c r="C210" s="26">
        <f ca="1">'Preventative costs A'!C210-'Preventative costs B'!C210</f>
        <v>0</v>
      </c>
      <c r="D210" s="26">
        <f ca="1">'Preventative costs A'!D210-'Preventative costs B'!D210</f>
        <v>0</v>
      </c>
      <c r="E210" s="26">
        <f ca="1">'Preventative costs A'!E210-'Preventative costs B'!E210</f>
        <v>0</v>
      </c>
      <c r="F210" s="26">
        <f ca="1">'Preventative costs A'!F210-'Preventative costs B'!F210</f>
        <v>0</v>
      </c>
      <c r="G210" s="26">
        <f ca="1">'Preventative costs A'!G210-'Preventative costs B'!G210</f>
        <v>-8.9432710251896141E-2</v>
      </c>
      <c r="H210" s="26">
        <f ca="1">'Preventative costs A'!H210-'Preventative costs B'!H210</f>
        <v>-0.16815874901629002</v>
      </c>
      <c r="I210" s="26">
        <f ca="1">'Preventative costs A'!I210-'Preventative costs B'!I210</f>
        <v>-0.22536479742091853</v>
      </c>
      <c r="J210" s="26">
        <f ca="1">'Preventative costs A'!J210-'Preventative costs B'!J210</f>
        <v>-0.26464316761108841</v>
      </c>
      <c r="K210" s="26">
        <f ca="1">'Preventative costs A'!K210-'Preventative costs B'!K210</f>
        <v>-0.29256346910713715</v>
      </c>
      <c r="M210" s="4"/>
    </row>
    <row r="211" spans="1:13" s="7" customFormat="1" x14ac:dyDescent="0.2">
      <c r="A211" s="4" t="str">
        <v>IA CH4</v>
      </c>
      <c r="B211" s="26">
        <f ca="1">'Preventative costs A'!B211-'Preventative costs B'!B211</f>
        <v>0</v>
      </c>
      <c r="C211" s="26">
        <f ca="1">'Preventative costs A'!C211-'Preventative costs B'!C211</f>
        <v>0</v>
      </c>
      <c r="D211" s="26">
        <f ca="1">'Preventative costs A'!D211-'Preventative costs B'!D211</f>
        <v>0</v>
      </c>
      <c r="E211" s="26">
        <f ca="1">'Preventative costs A'!E211-'Preventative costs B'!E211</f>
        <v>0</v>
      </c>
      <c r="F211" s="26">
        <f ca="1">'Preventative costs A'!F211-'Preventative costs B'!F211</f>
        <v>0</v>
      </c>
      <c r="G211" s="26">
        <f ca="1">'Preventative costs A'!G211-'Preventative costs B'!G211</f>
        <v>-0.1084729433066931</v>
      </c>
      <c r="H211" s="26">
        <f ca="1">'Preventative costs A'!H211-'Preventative costs B'!H211</f>
        <v>-0.18584668537317528</v>
      </c>
      <c r="I211" s="26">
        <f ca="1">'Preventative costs A'!I211-'Preventative costs B'!I211</f>
        <v>-0.23759195250601184</v>
      </c>
      <c r="J211" s="26">
        <f ca="1">'Preventative costs A'!J211-'Preventative costs B'!J211</f>
        <v>-0.27330095292025225</v>
      </c>
      <c r="K211" s="26">
        <f ca="1">'Preventative costs A'!K211-'Preventative costs B'!K211</f>
        <v>-0.29907826986808461</v>
      </c>
      <c r="M211" s="4"/>
    </row>
    <row r="212" spans="1:13" s="7" customFormat="1" x14ac:dyDescent="0.2">
      <c r="A212" s="4" t="str">
        <v>AF CH4</v>
      </c>
      <c r="B212" s="26">
        <f ca="1">'Preventative costs A'!B212-'Preventative costs B'!B212</f>
        <v>0</v>
      </c>
      <c r="C212" s="26">
        <f ca="1">'Preventative costs A'!C212-'Preventative costs B'!C212</f>
        <v>0</v>
      </c>
      <c r="D212" s="26">
        <f ca="1">'Preventative costs A'!D212-'Preventative costs B'!D212</f>
        <v>0</v>
      </c>
      <c r="E212" s="26">
        <f ca="1">'Preventative costs A'!E212-'Preventative costs B'!E212</f>
        <v>0</v>
      </c>
      <c r="F212" s="26">
        <f ca="1">'Preventative costs A'!F212-'Preventative costs B'!F212</f>
        <v>0</v>
      </c>
      <c r="G212" s="26">
        <f ca="1">'Preventative costs A'!G212-'Preventative costs B'!G212</f>
        <v>-0.14249917930877587</v>
      </c>
      <c r="H212" s="26">
        <f ca="1">'Preventative costs A'!H212-'Preventative costs B'!H212</f>
        <v>-0.26272481755522314</v>
      </c>
      <c r="I212" s="26">
        <f ca="1">'Preventative costs A'!I212-'Preventative costs B'!I212</f>
        <v>-0.33968985836892873</v>
      </c>
      <c r="J212" s="26">
        <f ca="1">'Preventative costs A'!J212-'Preventative costs B'!J212</f>
        <v>-0.3888697912733774</v>
      </c>
      <c r="K212" s="26">
        <f ca="1">'Preventative costs A'!K212-'Preventative costs B'!K212</f>
        <v>-0.41955565050354526</v>
      </c>
      <c r="M212" s="4"/>
    </row>
    <row r="213" spans="1:13" s="7" customFormat="1" ht="13.5" thickBot="1" x14ac:dyDescent="0.25">
      <c r="A213" s="4" t="str">
        <v>LA CH4</v>
      </c>
      <c r="B213" s="35">
        <f ca="1">'Preventative costs A'!B213-'Preventative costs B'!B213</f>
        <v>0</v>
      </c>
      <c r="C213" s="35">
        <f ca="1">'Preventative costs A'!C213-'Preventative costs B'!C213</f>
        <v>0</v>
      </c>
      <c r="D213" s="35">
        <f ca="1">'Preventative costs A'!D213-'Preventative costs B'!D213</f>
        <v>0</v>
      </c>
      <c r="E213" s="35">
        <f ca="1">'Preventative costs A'!E213-'Preventative costs B'!E213</f>
        <v>0</v>
      </c>
      <c r="F213" s="35">
        <f ca="1">'Preventative costs A'!F213-'Preventative costs B'!F213</f>
        <v>0</v>
      </c>
      <c r="G213" s="35">
        <f ca="1">'Preventative costs A'!G213-'Preventative costs B'!G213</f>
        <v>-9.3245335043527167E-2</v>
      </c>
      <c r="H213" s="35">
        <f ca="1">'Preventative costs A'!H213-'Preventative costs B'!H213</f>
        <v>-0.176582405809248</v>
      </c>
      <c r="I213" s="35">
        <f ca="1">'Preventative costs A'!I213-'Preventative costs B'!I213</f>
        <v>-0.23573738752104745</v>
      </c>
      <c r="J213" s="35">
        <f ca="1">'Preventative costs A'!J213-'Preventative costs B'!J213</f>
        <v>-0.27709853316809741</v>
      </c>
      <c r="K213" s="35">
        <f ca="1">'Preventative costs A'!K213-'Preventative costs B'!K213</f>
        <v>-0.30495756308385702</v>
      </c>
      <c r="M213" s="4"/>
    </row>
    <row r="214" spans="1:13" s="2" customFormat="1" ht="15" thickTop="1" x14ac:dyDescent="0.25">
      <c r="A214" s="2" t="s">
        <v>292</v>
      </c>
      <c r="B214" s="2" t="s">
        <v>295</v>
      </c>
    </row>
    <row r="215" spans="1:13" s="7" customFormat="1" x14ac:dyDescent="0.2">
      <c r="A215" s="4" t="str">
        <f t="array" ref="A215:A222">R_CODE&amp;" "&amp;'Base data'!$D$12</f>
        <v>EU N2O</v>
      </c>
      <c r="B215" s="29">
        <f ca="1">'Preventative costs A'!B215-'Preventative costs B'!B215</f>
        <v>0</v>
      </c>
      <c r="C215" s="29">
        <f ca="1">'Preventative costs A'!C215-'Preventative costs B'!C215</f>
        <v>0</v>
      </c>
      <c r="D215" s="29">
        <f ca="1">'Preventative costs A'!D215-'Preventative costs B'!D215</f>
        <v>0</v>
      </c>
      <c r="E215" s="29">
        <f ca="1">'Preventative costs A'!E215-'Preventative costs B'!E215</f>
        <v>0</v>
      </c>
      <c r="F215" s="29">
        <f ca="1">'Preventative costs A'!F215-'Preventative costs B'!F215</f>
        <v>0</v>
      </c>
      <c r="G215" s="29">
        <f ca="1">'Preventative costs A'!G215-'Preventative costs B'!G215</f>
        <v>-5.0298564000521129E-2</v>
      </c>
      <c r="H215" s="29">
        <f ca="1">'Preventative costs A'!H215-'Preventative costs B'!H215</f>
        <v>-6.0703566323658809E-2</v>
      </c>
      <c r="I215" s="29">
        <f ca="1">'Preventative costs A'!I215-'Preventative costs B'!I215</f>
        <v>-6.147740253577938E-2</v>
      </c>
      <c r="J215" s="29">
        <f ca="1">'Preventative costs A'!J215-'Preventative costs B'!J215</f>
        <v>-6.7412060579751909E-2</v>
      </c>
      <c r="K215" s="29">
        <f ca="1">'Preventative costs A'!K215-'Preventative costs B'!K215</f>
        <v>-7.4988549185863507E-2</v>
      </c>
      <c r="M215" s="4"/>
    </row>
    <row r="216" spans="1:13" s="7" customFormat="1" x14ac:dyDescent="0.2">
      <c r="A216" s="4" t="str">
        <v>US N2O</v>
      </c>
      <c r="B216" s="26">
        <f ca="1">'Preventative costs A'!B216-'Preventative costs B'!B216</f>
        <v>0</v>
      </c>
      <c r="C216" s="26">
        <f ca="1">'Preventative costs A'!C216-'Preventative costs B'!C216</f>
        <v>0</v>
      </c>
      <c r="D216" s="26">
        <f ca="1">'Preventative costs A'!D216-'Preventative costs B'!D216</f>
        <v>0</v>
      </c>
      <c r="E216" s="26">
        <f ca="1">'Preventative costs A'!E216-'Preventative costs B'!E216</f>
        <v>0</v>
      </c>
      <c r="F216" s="26">
        <f ca="1">'Preventative costs A'!F216-'Preventative costs B'!F216</f>
        <v>0</v>
      </c>
      <c r="G216" s="26">
        <f ca="1">'Preventative costs A'!G216-'Preventative costs B'!G216</f>
        <v>-4.8513387651805573E-2</v>
      </c>
      <c r="H216" s="26">
        <f ca="1">'Preventative costs A'!H216-'Preventative costs B'!H216</f>
        <v>-5.8594751821538171E-2</v>
      </c>
      <c r="I216" s="26">
        <f ca="1">'Preventative costs A'!I216-'Preventative costs B'!I216</f>
        <v>-5.9345119222894205E-2</v>
      </c>
      <c r="J216" s="26">
        <f ca="1">'Preventative costs A'!J216-'Preventative costs B'!J216</f>
        <v>-6.5102524874334544E-2</v>
      </c>
      <c r="K216" s="26">
        <f ca="1">'Preventative costs A'!K216-'Preventative costs B'!K216</f>
        <v>-7.2459684833816596E-2</v>
      </c>
      <c r="M216" s="4"/>
    </row>
    <row r="217" spans="1:13" s="7" customFormat="1" x14ac:dyDescent="0.2">
      <c r="A217" s="4" t="str">
        <v>OT N2O</v>
      </c>
      <c r="B217" s="26">
        <f ca="1">'Preventative costs A'!B217-'Preventative costs B'!B217</f>
        <v>0</v>
      </c>
      <c r="C217" s="26">
        <f ca="1">'Preventative costs A'!C217-'Preventative costs B'!C217</f>
        <v>0</v>
      </c>
      <c r="D217" s="26">
        <f ca="1">'Preventative costs A'!D217-'Preventative costs B'!D217</f>
        <v>0</v>
      </c>
      <c r="E217" s="26">
        <f ca="1">'Preventative costs A'!E217-'Preventative costs B'!E217</f>
        <v>0</v>
      </c>
      <c r="F217" s="26">
        <f ca="1">'Preventative costs A'!F217-'Preventative costs B'!F217</f>
        <v>0</v>
      </c>
      <c r="G217" s="26">
        <f ca="1">'Preventative costs A'!G217-'Preventative costs B'!G217</f>
        <v>-4.2233087617158604E-2</v>
      </c>
      <c r="H217" s="26">
        <f ca="1">'Preventative costs A'!H217-'Preventative costs B'!H217</f>
        <v>-5.1150567856685814E-2</v>
      </c>
      <c r="I217" s="26">
        <f ca="1">'Preventative costs A'!I217-'Preventative costs B'!I217</f>
        <v>-5.1816201193373934E-2</v>
      </c>
      <c r="J217" s="26">
        <f ca="1">'Preventative costs A'!J217-'Preventative costs B'!J217</f>
        <v>-5.6932133831783527E-2</v>
      </c>
      <c r="K217" s="26">
        <f ca="1">'Preventative costs A'!K217-'Preventative costs B'!K217</f>
        <v>-6.3491777638173597E-2</v>
      </c>
      <c r="M217" s="4"/>
    </row>
    <row r="218" spans="1:13" s="7" customFormat="1" x14ac:dyDescent="0.2">
      <c r="A218" s="4" t="str">
        <v>EE N2O</v>
      </c>
      <c r="B218" s="26">
        <f ca="1">'Preventative costs A'!B218-'Preventative costs B'!B218</f>
        <v>0</v>
      </c>
      <c r="C218" s="26">
        <f ca="1">'Preventative costs A'!C218-'Preventative costs B'!C218</f>
        <v>0</v>
      </c>
      <c r="D218" s="26">
        <f ca="1">'Preventative costs A'!D218-'Preventative costs B'!D218</f>
        <v>0</v>
      </c>
      <c r="E218" s="26">
        <f ca="1">'Preventative costs A'!E218-'Preventative costs B'!E218</f>
        <v>0</v>
      </c>
      <c r="F218" s="26">
        <f ca="1">'Preventative costs A'!F218-'Preventative costs B'!F218</f>
        <v>0</v>
      </c>
      <c r="G218" s="26">
        <f ca="1">'Preventative costs A'!G218-'Preventative costs B'!G218</f>
        <v>-3.9894508276406504E-2</v>
      </c>
      <c r="H218" s="26">
        <f ca="1">'Preventative costs A'!H218-'Preventative costs B'!H218</f>
        <v>-4.8368392382143077E-2</v>
      </c>
      <c r="I218" s="26">
        <f ca="1">'Preventative costs A'!I218-'Preventative costs B'!I218</f>
        <v>-4.9001594608597654E-2</v>
      </c>
      <c r="J218" s="26">
        <f ca="1">'Preventative costs A'!J218-'Preventative costs B'!J218</f>
        <v>-5.3871395257166332E-2</v>
      </c>
      <c r="K218" s="26">
        <f ca="1">'Preventative costs A'!K218-'Preventative costs B'!K218</f>
        <v>-6.0123485721964354E-2</v>
      </c>
      <c r="M218" s="4"/>
    </row>
    <row r="219" spans="1:13" s="7" customFormat="1" x14ac:dyDescent="0.2">
      <c r="A219" s="4" t="str">
        <v>CA N2O</v>
      </c>
      <c r="B219" s="26">
        <f ca="1">'Preventative costs A'!B219-'Preventative costs B'!B219</f>
        <v>0</v>
      </c>
      <c r="C219" s="26">
        <f ca="1">'Preventative costs A'!C219-'Preventative costs B'!C219</f>
        <v>0</v>
      </c>
      <c r="D219" s="26">
        <f ca="1">'Preventative costs A'!D219-'Preventative costs B'!D219</f>
        <v>0</v>
      </c>
      <c r="E219" s="26">
        <f ca="1">'Preventative costs A'!E219-'Preventative costs B'!E219</f>
        <v>0</v>
      </c>
      <c r="F219" s="26">
        <f ca="1">'Preventative costs A'!F219-'Preventative costs B'!F219</f>
        <v>0</v>
      </c>
      <c r="G219" s="26">
        <f ca="1">'Preventative costs A'!G219-'Preventative costs B'!G219</f>
        <v>-6.0725545670085923E-2</v>
      </c>
      <c r="H219" s="26">
        <f ca="1">'Preventative costs A'!H219-'Preventative costs B'!H219</f>
        <v>-7.2958663870261953E-2</v>
      </c>
      <c r="I219" s="26">
        <f ca="1">'Preventative costs A'!I219-'Preventative costs B'!I219</f>
        <v>-7.3864290153258017E-2</v>
      </c>
      <c r="J219" s="26">
        <f ca="1">'Preventative costs A'!J219-'Preventative costs B'!J219</f>
        <v>-8.0790872679043391E-2</v>
      </c>
      <c r="K219" s="26">
        <f ca="1">'Preventative costs A'!K219-'Preventative costs B'!K219</f>
        <v>-8.9586218271036411E-2</v>
      </c>
      <c r="M219" s="4"/>
    </row>
    <row r="220" spans="1:13" s="7" customFormat="1" x14ac:dyDescent="0.2">
      <c r="A220" s="4" t="str">
        <v>IA N2O</v>
      </c>
      <c r="B220" s="26">
        <f ca="1">'Preventative costs A'!B220-'Preventative costs B'!B220</f>
        <v>0</v>
      </c>
      <c r="C220" s="26">
        <f ca="1">'Preventative costs A'!C220-'Preventative costs B'!C220</f>
        <v>0</v>
      </c>
      <c r="D220" s="26">
        <f ca="1">'Preventative costs A'!D220-'Preventative costs B'!D220</f>
        <v>0</v>
      </c>
      <c r="E220" s="26">
        <f ca="1">'Preventative costs A'!E220-'Preventative costs B'!E220</f>
        <v>0</v>
      </c>
      <c r="F220" s="26">
        <f ca="1">'Preventative costs A'!F220-'Preventative costs B'!F220</f>
        <v>0</v>
      </c>
      <c r="G220" s="26">
        <f ca="1">'Preventative costs A'!G220-'Preventative costs B'!G220</f>
        <v>-4.75220117345726E-2</v>
      </c>
      <c r="H220" s="26">
        <f ca="1">'Preventative costs A'!H220-'Preventative costs B'!H220</f>
        <v>-5.742228064397592E-2</v>
      </c>
      <c r="I220" s="26">
        <f ca="1">'Preventative costs A'!I220-'Preventative costs B'!I220</f>
        <v>-5.8159498053006131E-2</v>
      </c>
      <c r="J220" s="26">
        <f ca="1">'Preventative costs A'!J220-'Preventative costs B'!J220</f>
        <v>-6.3817506476358199E-2</v>
      </c>
      <c r="K220" s="26">
        <f ca="1">'Preventative costs A'!K220-'Preventative costs B'!K220</f>
        <v>-7.10514754977285E-2</v>
      </c>
      <c r="M220" s="4"/>
    </row>
    <row r="221" spans="1:13" s="7" customFormat="1" x14ac:dyDescent="0.2">
      <c r="A221" s="4" t="str">
        <v>AF N2O</v>
      </c>
      <c r="B221" s="26">
        <f ca="1">'Preventative costs A'!B221-'Preventative costs B'!B221</f>
        <v>0</v>
      </c>
      <c r="C221" s="26">
        <f ca="1">'Preventative costs A'!C221-'Preventative costs B'!C221</f>
        <v>0</v>
      </c>
      <c r="D221" s="26">
        <f ca="1">'Preventative costs A'!D221-'Preventative costs B'!D221</f>
        <v>0</v>
      </c>
      <c r="E221" s="26">
        <f ca="1">'Preventative costs A'!E221-'Preventative costs B'!E221</f>
        <v>0</v>
      </c>
      <c r="F221" s="26">
        <f ca="1">'Preventative costs A'!F221-'Preventative costs B'!F221</f>
        <v>0</v>
      </c>
      <c r="G221" s="26">
        <f ca="1">'Preventative costs A'!G221-'Preventative costs B'!G221</f>
        <v>-5.6739104224876935E-2</v>
      </c>
      <c r="H221" s="26">
        <f ca="1">'Preventative costs A'!H221-'Preventative costs B'!H221</f>
        <v>-6.8285715279065462E-2</v>
      </c>
      <c r="I221" s="26">
        <f ca="1">'Preventative costs A'!I221-'Preventative costs B'!I221</f>
        <v>-6.914200719734398E-2</v>
      </c>
      <c r="J221" s="26">
        <f ca="1">'Preventative costs A'!J221-'Preventative costs B'!J221</f>
        <v>-7.569796504901849E-2</v>
      </c>
      <c r="K221" s="26">
        <f ca="1">'Preventative costs A'!K221-'Preventative costs B'!K221</f>
        <v>-8.4039607866546406E-2</v>
      </c>
      <c r="M221" s="4"/>
    </row>
    <row r="222" spans="1:13" s="7" customFormat="1" ht="13.5" thickBot="1" x14ac:dyDescent="0.25">
      <c r="A222" s="4" t="str">
        <v>LA N2O</v>
      </c>
      <c r="B222" s="35">
        <f ca="1">'Preventative costs A'!B222-'Preventative costs B'!B222</f>
        <v>0</v>
      </c>
      <c r="C222" s="35">
        <f ca="1">'Preventative costs A'!C222-'Preventative costs B'!C222</f>
        <v>0</v>
      </c>
      <c r="D222" s="35">
        <f ca="1">'Preventative costs A'!D222-'Preventative costs B'!D222</f>
        <v>0</v>
      </c>
      <c r="E222" s="35">
        <f ca="1">'Preventative costs A'!E222-'Preventative costs B'!E222</f>
        <v>0</v>
      </c>
      <c r="F222" s="35">
        <f ca="1">'Preventative costs A'!F222-'Preventative costs B'!F222</f>
        <v>0</v>
      </c>
      <c r="G222" s="35">
        <f ca="1">'Preventative costs A'!G222-'Preventative costs B'!G222</f>
        <v>-5.5936751549220287E-2</v>
      </c>
      <c r="H222" s="35">
        <f ca="1">'Preventative costs A'!H222-'Preventative costs B'!H222</f>
        <v>-6.7343343531893196E-2</v>
      </c>
      <c r="I222" s="35">
        <f ca="1">'Preventative costs A'!I222-'Preventative costs B'!I222</f>
        <v>-6.8189550018428191E-2</v>
      </c>
      <c r="J222" s="35">
        <f ca="1">'Preventative costs A'!J222-'Preventative costs B'!J222</f>
        <v>-7.4669638078984413E-2</v>
      </c>
      <c r="K222" s="35">
        <f ca="1">'Preventative costs A'!K222-'Preventative costs B'!K222</f>
        <v>-8.2918150248342926E-2</v>
      </c>
      <c r="M222" s="4"/>
    </row>
    <row r="223" spans="1:13" s="2" customFormat="1" ht="15" thickTop="1" x14ac:dyDescent="0.25">
      <c r="A223" s="2" t="s">
        <v>292</v>
      </c>
      <c r="B223" s="2" t="s">
        <v>296</v>
      </c>
    </row>
    <row r="224" spans="1:13" s="7" customFormat="1" x14ac:dyDescent="0.2">
      <c r="A224" s="4" t="str">
        <f t="array" ref="A224:A231">R_CODE&amp;" "&amp;GLIN_NAME</f>
        <v>EU Lin</v>
      </c>
      <c r="B224" s="29">
        <f ca="1">'Preventative costs A'!B224-'Preventative costs B'!B224</f>
        <v>0</v>
      </c>
      <c r="C224" s="29">
        <f ca="1">'Preventative costs A'!C224-'Preventative costs B'!C224</f>
        <v>0</v>
      </c>
      <c r="D224" s="29">
        <f ca="1">'Preventative costs A'!D224-'Preventative costs B'!D224</f>
        <v>0</v>
      </c>
      <c r="E224" s="29">
        <f ca="1">'Preventative costs A'!E224-'Preventative costs B'!E224</f>
        <v>0</v>
      </c>
      <c r="F224" s="29">
        <f ca="1">'Preventative costs A'!F224-'Preventative costs B'!F224</f>
        <v>0</v>
      </c>
      <c r="G224" s="29">
        <f ca="1">'Preventative costs A'!G224-'Preventative costs B'!G224</f>
        <v>-0.15126182729445481</v>
      </c>
      <c r="H224" s="29">
        <f ca="1">'Preventative costs A'!H224-'Preventative costs B'!H224</f>
        <v>-0.31152788282656851</v>
      </c>
      <c r="I224" s="29">
        <f ca="1">'Preventative costs A'!I224-'Preventative costs B'!I224</f>
        <v>-0.40173548057641206</v>
      </c>
      <c r="J224" s="29">
        <f ca="1">'Preventative costs A'!J224-'Preventative costs B'!J224</f>
        <v>-0.45978342292399765</v>
      </c>
      <c r="K224" s="29">
        <f ca="1">'Preventative costs A'!K224-'Preventative costs B'!K224</f>
        <v>-0.49868503631847849</v>
      </c>
      <c r="M224" s="4"/>
    </row>
    <row r="225" spans="1:13" s="7" customFormat="1" x14ac:dyDescent="0.2">
      <c r="A225" s="4" t="str">
        <v>US Lin</v>
      </c>
      <c r="B225" s="26">
        <f ca="1">'Preventative costs A'!B225-'Preventative costs B'!B225</f>
        <v>0</v>
      </c>
      <c r="C225" s="26">
        <f ca="1">'Preventative costs A'!C225-'Preventative costs B'!C225</f>
        <v>0</v>
      </c>
      <c r="D225" s="26">
        <f ca="1">'Preventative costs A'!D225-'Preventative costs B'!D225</f>
        <v>0</v>
      </c>
      <c r="E225" s="26">
        <f ca="1">'Preventative costs A'!E225-'Preventative costs B'!E225</f>
        <v>0</v>
      </c>
      <c r="F225" s="26">
        <f ca="1">'Preventative costs A'!F225-'Preventative costs B'!F225</f>
        <v>0</v>
      </c>
      <c r="G225" s="26">
        <f ca="1">'Preventative costs A'!G225-'Preventative costs B'!G225</f>
        <v>-0.20407310784034416</v>
      </c>
      <c r="H225" s="26">
        <f ca="1">'Preventative costs A'!H225-'Preventative costs B'!H225</f>
        <v>-0.37930406852001741</v>
      </c>
      <c r="I225" s="26">
        <f ca="1">'Preventative costs A'!I225-'Preventative costs B'!I225</f>
        <v>-0.46813291509024391</v>
      </c>
      <c r="J225" s="26">
        <f ca="1">'Preventative costs A'!J225-'Preventative costs B'!J225</f>
        <v>-0.52296354397859457</v>
      </c>
      <c r="K225" s="26">
        <f ca="1">'Preventative costs A'!K225-'Preventative costs B'!K225</f>
        <v>-0.5589423641843505</v>
      </c>
      <c r="M225" s="4"/>
    </row>
    <row r="226" spans="1:13" s="7" customFormat="1" x14ac:dyDescent="0.2">
      <c r="A226" s="4" t="str">
        <v>OT Lin</v>
      </c>
      <c r="B226" s="26">
        <f ca="1">'Preventative costs A'!B226-'Preventative costs B'!B226</f>
        <v>0</v>
      </c>
      <c r="C226" s="26">
        <f ca="1">'Preventative costs A'!C226-'Preventative costs B'!C226</f>
        <v>0</v>
      </c>
      <c r="D226" s="26">
        <f ca="1">'Preventative costs A'!D226-'Preventative costs B'!D226</f>
        <v>0</v>
      </c>
      <c r="E226" s="26">
        <f ca="1">'Preventative costs A'!E226-'Preventative costs B'!E226</f>
        <v>0</v>
      </c>
      <c r="F226" s="26">
        <f ca="1">'Preventative costs A'!F226-'Preventative costs B'!F226</f>
        <v>0</v>
      </c>
      <c r="G226" s="26">
        <f ca="1">'Preventative costs A'!G226-'Preventative costs B'!G226</f>
        <v>-0.1488989343984719</v>
      </c>
      <c r="H226" s="26">
        <f ca="1">'Preventative costs A'!H226-'Preventative costs B'!H226</f>
        <v>-0.30821851211599016</v>
      </c>
      <c r="I226" s="26">
        <f ca="1">'Preventative costs A'!I226-'Preventative costs B'!I226</f>
        <v>-0.39838977511978269</v>
      </c>
      <c r="J226" s="26">
        <f ca="1">'Preventative costs A'!J226-'Preventative costs B'!J226</f>
        <v>-0.45655102056332197</v>
      </c>
      <c r="K226" s="26">
        <f ca="1">'Preventative costs A'!K226-'Preventative costs B'!K226</f>
        <v>-0.49557636226366608</v>
      </c>
      <c r="M226" s="4"/>
    </row>
    <row r="227" spans="1:13" s="7" customFormat="1" x14ac:dyDescent="0.2">
      <c r="A227" s="4" t="str">
        <v>EE Lin</v>
      </c>
      <c r="B227" s="26">
        <f ca="1">'Preventative costs A'!B227-'Preventative costs B'!B227</f>
        <v>0</v>
      </c>
      <c r="C227" s="26">
        <f ca="1">'Preventative costs A'!C227-'Preventative costs B'!C227</f>
        <v>0</v>
      </c>
      <c r="D227" s="26">
        <f ca="1">'Preventative costs A'!D227-'Preventative costs B'!D227</f>
        <v>0</v>
      </c>
      <c r="E227" s="26">
        <f ca="1">'Preventative costs A'!E227-'Preventative costs B'!E227</f>
        <v>0</v>
      </c>
      <c r="F227" s="26">
        <f ca="1">'Preventative costs A'!F227-'Preventative costs B'!F227</f>
        <v>0</v>
      </c>
      <c r="G227" s="26">
        <f ca="1">'Preventative costs A'!G227-'Preventative costs B'!G227</f>
        <v>-0.12461131915517509</v>
      </c>
      <c r="H227" s="26">
        <f ca="1">'Preventative costs A'!H227-'Preventative costs B'!H227</f>
        <v>-0.27248899608125265</v>
      </c>
      <c r="I227" s="26">
        <f ca="1">'Preventative costs A'!I227-'Preventative costs B'!I227</f>
        <v>-0.36154172691915354</v>
      </c>
      <c r="J227" s="26">
        <f ca="1">'Preventative costs A'!J227-'Preventative costs B'!J227</f>
        <v>-0.42058953767934604</v>
      </c>
      <c r="K227" s="26">
        <f ca="1">'Preventative costs A'!K227-'Preventative costs B'!K227</f>
        <v>-0.46079475524171554</v>
      </c>
      <c r="M227" s="4"/>
    </row>
    <row r="228" spans="1:13" s="7" customFormat="1" x14ac:dyDescent="0.2">
      <c r="A228" s="4" t="str">
        <v>CA Lin</v>
      </c>
      <c r="B228" s="26">
        <f ca="1">'Preventative costs A'!B228-'Preventative costs B'!B228</f>
        <v>0</v>
      </c>
      <c r="C228" s="26">
        <f ca="1">'Preventative costs A'!C228-'Preventative costs B'!C228</f>
        <v>0</v>
      </c>
      <c r="D228" s="26">
        <f ca="1">'Preventative costs A'!D228-'Preventative costs B'!D228</f>
        <v>0</v>
      </c>
      <c r="E228" s="26">
        <f ca="1">'Preventative costs A'!E228-'Preventative costs B'!E228</f>
        <v>0</v>
      </c>
      <c r="F228" s="26">
        <f ca="1">'Preventative costs A'!F228-'Preventative costs B'!F228</f>
        <v>0</v>
      </c>
      <c r="G228" s="26">
        <f ca="1">'Preventative costs A'!G228-'Preventative costs B'!G228</f>
        <v>-0.15279084100616891</v>
      </c>
      <c r="H228" s="26">
        <f ca="1">'Preventative costs A'!H228-'Preventative costs B'!H228</f>
        <v>-0.31365487588966823</v>
      </c>
      <c r="I228" s="26">
        <f ca="1">'Preventative costs A'!I228-'Preventative costs B'!I228</f>
        <v>-0.40388019292766197</v>
      </c>
      <c r="J228" s="26">
        <f ca="1">'Preventative costs A'!J228-'Preventative costs B'!J228</f>
        <v>-0.46185280380367921</v>
      </c>
      <c r="K228" s="26">
        <f ca="1">'Preventative costs A'!K228-'Preventative costs B'!K228</f>
        <v>-0.50067376528971697</v>
      </c>
      <c r="M228" s="4"/>
    </row>
    <row r="229" spans="1:13" s="7" customFormat="1" x14ac:dyDescent="0.2">
      <c r="A229" s="4" t="str">
        <v>IA Lin</v>
      </c>
      <c r="B229" s="26">
        <f ca="1">'Preventative costs A'!B229-'Preventative costs B'!B229</f>
        <v>0</v>
      </c>
      <c r="C229" s="26">
        <f ca="1">'Preventative costs A'!C229-'Preventative costs B'!C229</f>
        <v>0</v>
      </c>
      <c r="D229" s="26">
        <f ca="1">'Preventative costs A'!D229-'Preventative costs B'!D229</f>
        <v>0</v>
      </c>
      <c r="E229" s="26">
        <f ca="1">'Preventative costs A'!E229-'Preventative costs B'!E229</f>
        <v>0</v>
      </c>
      <c r="F229" s="26">
        <f ca="1">'Preventative costs A'!F229-'Preventative costs B'!F229</f>
        <v>0</v>
      </c>
      <c r="G229" s="26">
        <f ca="1">'Preventative costs A'!G229-'Preventative costs B'!G229</f>
        <v>-0.14361970892025921</v>
      </c>
      <c r="H229" s="26">
        <f ca="1">'Preventative costs A'!H229-'Preventative costs B'!H229</f>
        <v>-0.30072383082945153</v>
      </c>
      <c r="I229" s="26">
        <f ca="1">'Preventative costs A'!I229-'Preventative costs B'!I229</f>
        <v>-0.39077253667389145</v>
      </c>
      <c r="J229" s="26">
        <f ca="1">'Preventative costs A'!J229-'Preventative costs B'!J229</f>
        <v>-0.44917222423439507</v>
      </c>
      <c r="K229" s="26">
        <f ca="1">'Preventative costs A'!K229-'Preventative costs B'!K229</f>
        <v>-0.4884695311310846</v>
      </c>
      <c r="M229" s="4"/>
    </row>
    <row r="230" spans="1:13" s="7" customFormat="1" x14ac:dyDescent="0.2">
      <c r="A230" s="4" t="str">
        <v>AF Lin</v>
      </c>
      <c r="B230" s="26">
        <f ca="1">'Preventative costs A'!B230-'Preventative costs B'!B230</f>
        <v>0</v>
      </c>
      <c r="C230" s="26">
        <f ca="1">'Preventative costs A'!C230-'Preventative costs B'!C230</f>
        <v>0</v>
      </c>
      <c r="D230" s="26">
        <f ca="1">'Preventative costs A'!D230-'Preventative costs B'!D230</f>
        <v>0</v>
      </c>
      <c r="E230" s="26">
        <f ca="1">'Preventative costs A'!E230-'Preventative costs B'!E230</f>
        <v>0</v>
      </c>
      <c r="F230" s="26">
        <f ca="1">'Preventative costs A'!F230-'Preventative costs B'!F230</f>
        <v>0</v>
      </c>
      <c r="G230" s="26">
        <f ca="1">'Preventative costs A'!G230-'Preventative costs B'!G230</f>
        <v>-0.1303076619707555</v>
      </c>
      <c r="H230" s="26">
        <f ca="1">'Preventative costs A'!H230-'Preventative costs B'!H230</f>
        <v>-0.28116722023878793</v>
      </c>
      <c r="I230" s="26">
        <f ca="1">'Preventative costs A'!I230-'Preventative costs B'!I230</f>
        <v>-0.37061990385769228</v>
      </c>
      <c r="J230" s="26">
        <f ca="1">'Preventative costs A'!J230-'Preventative costs B'!J230</f>
        <v>-0.4295135905528854</v>
      </c>
      <c r="K230" s="26">
        <f ca="1">'Preventative costs A'!K230-'Preventative costs B'!K230</f>
        <v>-0.46946115878570127</v>
      </c>
      <c r="M230" s="4"/>
    </row>
    <row r="231" spans="1:13" s="7" customFormat="1" ht="13.5" thickBot="1" x14ac:dyDescent="0.25">
      <c r="A231" s="4" t="str">
        <v>LA Lin</v>
      </c>
      <c r="B231" s="35">
        <f ca="1">'Preventative costs A'!B231-'Preventative costs B'!B231</f>
        <v>0</v>
      </c>
      <c r="C231" s="35">
        <f ca="1">'Preventative costs A'!C231-'Preventative costs B'!C231</f>
        <v>0</v>
      </c>
      <c r="D231" s="35">
        <f ca="1">'Preventative costs A'!D231-'Preventative costs B'!D231</f>
        <v>0</v>
      </c>
      <c r="E231" s="35">
        <f ca="1">'Preventative costs A'!E231-'Preventative costs B'!E231</f>
        <v>0</v>
      </c>
      <c r="F231" s="35">
        <f ca="1">'Preventative costs A'!F231-'Preventative costs B'!F231</f>
        <v>0</v>
      </c>
      <c r="G231" s="35">
        <f ca="1">'Preventative costs A'!G231-'Preventative costs B'!G231</f>
        <v>-0.12744818077194164</v>
      </c>
      <c r="H231" s="35">
        <f ca="1">'Preventative costs A'!H231-'Preventative costs B'!H231</f>
        <v>-0.27683525187845281</v>
      </c>
      <c r="I231" s="35">
        <f ca="1">'Preventative costs A'!I231-'Preventative costs B'!I231</f>
        <v>-0.36609910127535483</v>
      </c>
      <c r="J231" s="35">
        <f ca="1">'Preventative costs A'!J231-'Preventative costs B'!J231</f>
        <v>-0.42507503976806893</v>
      </c>
      <c r="K231" s="35">
        <f ca="1">'Preventative costs A'!K231-'Preventative costs B'!K231</f>
        <v>-0.46515378540443775</v>
      </c>
      <c r="M231" s="4"/>
    </row>
    <row r="232" spans="1:13" s="2" customFormat="1" ht="13.5" thickTop="1" x14ac:dyDescent="0.2">
      <c r="A232" s="2" t="s">
        <v>297</v>
      </c>
      <c r="B232" s="2" t="s">
        <v>298</v>
      </c>
    </row>
    <row r="233" spans="1:13" s="7" customFormat="1" ht="13.5" thickBot="1" x14ac:dyDescent="0.25">
      <c r="A233" s="4"/>
      <c r="B233" s="35">
        <f ca="1">'Preventative costs A'!B233-'Preventative costs B'!B233</f>
        <v>0</v>
      </c>
      <c r="C233" s="35">
        <f ca="1">'Preventative costs A'!C233-'Preventative costs B'!C233</f>
        <v>0</v>
      </c>
      <c r="D233" s="35">
        <f ca="1">'Preventative costs A'!D233-'Preventative costs B'!D233</f>
        <v>0</v>
      </c>
      <c r="E233" s="35">
        <f ca="1">'Preventative costs A'!E233-'Preventative costs B'!E233</f>
        <v>0</v>
      </c>
      <c r="F233" s="35">
        <f ca="1">'Preventative costs A'!F233-'Preventative costs B'!F233</f>
        <v>0</v>
      </c>
      <c r="G233" s="35">
        <f ca="1">'Preventative costs A'!G233-'Preventative costs B'!G233</f>
        <v>0</v>
      </c>
      <c r="H233" s="35">
        <f ca="1">'Preventative costs A'!H233-'Preventative costs B'!H233</f>
        <v>0</v>
      </c>
      <c r="I233" s="35">
        <f ca="1">'Preventative costs A'!I233-'Preventative costs B'!I233</f>
        <v>0</v>
      </c>
      <c r="J233" s="35">
        <f ca="1">'Preventative costs A'!J233-'Preventative costs B'!J233</f>
        <v>0</v>
      </c>
      <c r="K233" s="35">
        <f ca="1">'Preventative costs A'!K233-'Preventative costs B'!K233</f>
        <v>0</v>
      </c>
      <c r="M233" s="4"/>
    </row>
    <row r="234" spans="1:13" s="2" customFormat="1" ht="13.5" thickTop="1" x14ac:dyDescent="0.2">
      <c r="A234" s="2" t="s">
        <v>308</v>
      </c>
      <c r="B234" s="2" t="s">
        <v>309</v>
      </c>
    </row>
    <row r="235" spans="1:13" s="7" customFormat="1" x14ac:dyDescent="0.2">
      <c r="A235" s="58" t="s">
        <v>12</v>
      </c>
      <c r="B235" s="26">
        <f ca="1">'Preventative costs A'!B235-'Preventative costs B'!B235</f>
        <v>0</v>
      </c>
      <c r="C235" s="26">
        <f ca="1">'Preventative costs A'!C235-'Preventative costs B'!C235</f>
        <v>0</v>
      </c>
      <c r="D235" s="26">
        <f ca="1">'Preventative costs A'!D235-'Preventative costs B'!D235</f>
        <v>0</v>
      </c>
      <c r="E235" s="26">
        <f ca="1">'Preventative costs A'!E235-'Preventative costs B'!E235</f>
        <v>0</v>
      </c>
      <c r="F235" s="26">
        <f ca="1">'Preventative costs A'!F235-'Preventative costs B'!F235</f>
        <v>0</v>
      </c>
      <c r="G235" s="26">
        <f ca="1">'Preventative costs A'!G235-'Preventative costs B'!G235</f>
        <v>0</v>
      </c>
      <c r="H235" s="26">
        <f ca="1">'Preventative costs A'!H235-'Preventative costs B'!H235</f>
        <v>0</v>
      </c>
      <c r="I235" s="26">
        <f ca="1">'Preventative costs A'!I235-'Preventative costs B'!I235</f>
        <v>0</v>
      </c>
      <c r="J235" s="26">
        <f ca="1">'Preventative costs A'!J235-'Preventative costs B'!J235</f>
        <v>0</v>
      </c>
      <c r="K235" s="26">
        <f ca="1">'Preventative costs A'!K235-'Preventative costs B'!K235</f>
        <v>0</v>
      </c>
      <c r="M235" s="4" t="str">
        <f>CURRENCY_NAME&amp;" per "&amp;EMIT_NAME</f>
        <v>$M(2015) per Mtonne</v>
      </c>
    </row>
    <row r="236" spans="1:13" s="7" customFormat="1" x14ac:dyDescent="0.2">
      <c r="A236" s="58" t="s">
        <v>13</v>
      </c>
      <c r="B236" s="26">
        <f ca="1">'Preventative costs A'!B236-'Preventative costs B'!B236</f>
        <v>0</v>
      </c>
      <c r="C236" s="26">
        <f ca="1">'Preventative costs A'!C236-'Preventative costs B'!C236</f>
        <v>0</v>
      </c>
      <c r="D236" s="26">
        <f ca="1">'Preventative costs A'!D236-'Preventative costs B'!D236</f>
        <v>0</v>
      </c>
      <c r="E236" s="26">
        <f ca="1">'Preventative costs A'!E236-'Preventative costs B'!E236</f>
        <v>0</v>
      </c>
      <c r="F236" s="26">
        <f ca="1">'Preventative costs A'!F236-'Preventative costs B'!F236</f>
        <v>0</v>
      </c>
      <c r="G236" s="26">
        <f ca="1">'Preventative costs A'!G236-'Preventative costs B'!G236</f>
        <v>0</v>
      </c>
      <c r="H236" s="26">
        <f ca="1">'Preventative costs A'!H236-'Preventative costs B'!H236</f>
        <v>0</v>
      </c>
      <c r="I236" s="26">
        <f ca="1">'Preventative costs A'!I236-'Preventative costs B'!I236</f>
        <v>0</v>
      </c>
      <c r="J236" s="26">
        <f ca="1">'Preventative costs A'!J236-'Preventative costs B'!J236</f>
        <v>0</v>
      </c>
      <c r="K236" s="26">
        <f ca="1">'Preventative costs A'!K236-'Preventative costs B'!K236</f>
        <v>0</v>
      </c>
      <c r="M236" s="4" t="str">
        <f>CURRENCY_NAME&amp;" per "&amp;EMIT_NAME</f>
        <v>$M(2015) per Mtonne</v>
      </c>
    </row>
    <row r="237" spans="1:13" s="7" customFormat="1" x14ac:dyDescent="0.2">
      <c r="A237" s="58" t="s">
        <v>144</v>
      </c>
      <c r="B237" s="26">
        <f ca="1">'Preventative costs A'!B237-'Preventative costs B'!B237</f>
        <v>0</v>
      </c>
      <c r="C237" s="26">
        <f ca="1">'Preventative costs A'!C237-'Preventative costs B'!C237</f>
        <v>0</v>
      </c>
      <c r="D237" s="26">
        <f ca="1">'Preventative costs A'!D237-'Preventative costs B'!D237</f>
        <v>0</v>
      </c>
      <c r="E237" s="26">
        <f ca="1">'Preventative costs A'!E237-'Preventative costs B'!E237</f>
        <v>0</v>
      </c>
      <c r="F237" s="26">
        <f ca="1">'Preventative costs A'!F237-'Preventative costs B'!F237</f>
        <v>0</v>
      </c>
      <c r="G237" s="26">
        <f ca="1">'Preventative costs A'!G237-'Preventative costs B'!G237</f>
        <v>0</v>
      </c>
      <c r="H237" s="26">
        <f ca="1">'Preventative costs A'!H237-'Preventative costs B'!H237</f>
        <v>0</v>
      </c>
      <c r="I237" s="26">
        <f ca="1">'Preventative costs A'!I237-'Preventative costs B'!I237</f>
        <v>0</v>
      </c>
      <c r="J237" s="26">
        <f ca="1">'Preventative costs A'!J237-'Preventative costs B'!J237</f>
        <v>0</v>
      </c>
      <c r="K237" s="26">
        <f ca="1">'Preventative costs A'!K237-'Preventative costs B'!K237</f>
        <v>0</v>
      </c>
      <c r="M237" s="4" t="str">
        <f>CURRENCY_NAME&amp;" per "&amp;EMIT_NAME</f>
        <v>$M(2015) per Mtonne</v>
      </c>
    </row>
    <row r="238" spans="1:13" s="7" customFormat="1" x14ac:dyDescent="0.2">
      <c r="A238" s="4" t="str">
        <f>GLIN_NAME</f>
        <v>Lin</v>
      </c>
      <c r="B238" s="26">
        <f ca="1">'Preventative costs A'!B238-'Preventative costs B'!B238</f>
        <v>0</v>
      </c>
      <c r="C238" s="26">
        <f ca="1">'Preventative costs A'!C238-'Preventative costs B'!C238</f>
        <v>0</v>
      </c>
      <c r="D238" s="26">
        <f ca="1">'Preventative costs A'!D238-'Preventative costs B'!D238</f>
        <v>0</v>
      </c>
      <c r="E238" s="26">
        <f ca="1">'Preventative costs A'!E238-'Preventative costs B'!E238</f>
        <v>0</v>
      </c>
      <c r="F238" s="26">
        <f ca="1">'Preventative costs A'!F238-'Preventative costs B'!F238</f>
        <v>0</v>
      </c>
      <c r="G238" s="26">
        <f ca="1">'Preventative costs A'!G238-'Preventative costs B'!G238</f>
        <v>0</v>
      </c>
      <c r="H238" s="26">
        <f ca="1">'Preventative costs A'!H238-'Preventative costs B'!H238</f>
        <v>0</v>
      </c>
      <c r="I238" s="26">
        <f ca="1">'Preventative costs A'!I238-'Preventative costs B'!I238</f>
        <v>0</v>
      </c>
      <c r="J238" s="26">
        <f ca="1">'Preventative costs A'!J238-'Preventative costs B'!J238</f>
        <v>0</v>
      </c>
      <c r="K238" s="26">
        <f ca="1">'Preventative costs A'!K238-'Preventative costs B'!K238</f>
        <v>0</v>
      </c>
      <c r="M238" s="4" t="str">
        <f>CURRENCY_NAME&amp;" per "&amp;EMIT_NAME</f>
        <v>$M(2015) per Mtonne</v>
      </c>
    </row>
    <row r="239" spans="1:13" s="2" customFormat="1" ht="14.25" x14ac:dyDescent="0.25">
      <c r="A239" s="2" t="s">
        <v>310</v>
      </c>
      <c r="B239" s="2" t="s">
        <v>311</v>
      </c>
    </row>
    <row r="240" spans="1:13" s="7" customFormat="1" x14ac:dyDescent="0.2">
      <c r="A240" s="58" t="s">
        <v>12</v>
      </c>
      <c r="B240" s="29">
        <f ca="1">'Preventative costs A'!B240-'Preventative costs B'!B240</f>
        <v>0</v>
      </c>
      <c r="C240" s="29">
        <f ca="1">'Preventative costs A'!C240-'Preventative costs B'!C240</f>
        <v>0</v>
      </c>
      <c r="D240" s="29">
        <f ca="1">'Preventative costs A'!D240-'Preventative costs B'!D240</f>
        <v>0</v>
      </c>
      <c r="E240" s="29">
        <f ca="1">'Preventative costs A'!E240-'Preventative costs B'!E240</f>
        <v>0</v>
      </c>
      <c r="F240" s="29">
        <f ca="1">'Preventative costs A'!F240-'Preventative costs B'!F240</f>
        <v>0</v>
      </c>
      <c r="G240" s="29">
        <f ca="1">'Preventative costs A'!G240-'Preventative costs B'!G240</f>
        <v>0</v>
      </c>
      <c r="H240" s="29">
        <f ca="1">'Preventative costs A'!H240-'Preventative costs B'!H240</f>
        <v>0</v>
      </c>
      <c r="I240" s="29">
        <f ca="1">'Preventative costs A'!I240-'Preventative costs B'!I240</f>
        <v>0</v>
      </c>
      <c r="J240" s="29">
        <f ca="1">'Preventative costs A'!J240-'Preventative costs B'!J240</f>
        <v>0</v>
      </c>
      <c r="K240" s="29">
        <f ca="1">'Preventative costs A'!K240-'Preventative costs B'!K240</f>
        <v>0</v>
      </c>
      <c r="M240" s="4" t="str">
        <f>'Library data'!$G$138</f>
        <v>% relative to RCP8.5</v>
      </c>
    </row>
    <row r="241" spans="1:15" s="7" customFormat="1" x14ac:dyDescent="0.2">
      <c r="A241" s="58" t="s">
        <v>13</v>
      </c>
      <c r="B241" s="26">
        <f ca="1">'Preventative costs A'!B241-'Preventative costs B'!B241</f>
        <v>0</v>
      </c>
      <c r="C241" s="26">
        <f ca="1">'Preventative costs A'!C241-'Preventative costs B'!C241</f>
        <v>0</v>
      </c>
      <c r="D241" s="26">
        <f ca="1">'Preventative costs A'!D241-'Preventative costs B'!D241</f>
        <v>0</v>
      </c>
      <c r="E241" s="26">
        <f ca="1">'Preventative costs A'!E241-'Preventative costs B'!E241</f>
        <v>0</v>
      </c>
      <c r="F241" s="26">
        <f ca="1">'Preventative costs A'!F241-'Preventative costs B'!F241</f>
        <v>0</v>
      </c>
      <c r="G241" s="26">
        <f ca="1">'Preventative costs A'!G241-'Preventative costs B'!G241</f>
        <v>0</v>
      </c>
      <c r="H241" s="26">
        <f ca="1">'Preventative costs A'!H241-'Preventative costs B'!H241</f>
        <v>0</v>
      </c>
      <c r="I241" s="26">
        <f ca="1">'Preventative costs A'!I241-'Preventative costs B'!I241</f>
        <v>0</v>
      </c>
      <c r="J241" s="26">
        <f ca="1">'Preventative costs A'!J241-'Preventative costs B'!J241</f>
        <v>0</v>
      </c>
      <c r="K241" s="26">
        <f ca="1">'Preventative costs A'!K241-'Preventative costs B'!K241</f>
        <v>0</v>
      </c>
      <c r="M241" s="4" t="str">
        <f>'Library data'!$G$138</f>
        <v>% relative to RCP8.5</v>
      </c>
    </row>
    <row r="242" spans="1:15" s="7" customFormat="1" x14ac:dyDescent="0.2">
      <c r="A242" s="58" t="s">
        <v>144</v>
      </c>
      <c r="B242" s="26">
        <f ca="1">'Preventative costs A'!B242-'Preventative costs B'!B242</f>
        <v>0</v>
      </c>
      <c r="C242" s="26">
        <f ca="1">'Preventative costs A'!C242-'Preventative costs B'!C242</f>
        <v>0</v>
      </c>
      <c r="D242" s="26">
        <f ca="1">'Preventative costs A'!D242-'Preventative costs B'!D242</f>
        <v>0</v>
      </c>
      <c r="E242" s="26">
        <f ca="1">'Preventative costs A'!E242-'Preventative costs B'!E242</f>
        <v>0</v>
      </c>
      <c r="F242" s="26">
        <f ca="1">'Preventative costs A'!F242-'Preventative costs B'!F242</f>
        <v>0</v>
      </c>
      <c r="G242" s="26">
        <f ca="1">'Preventative costs A'!G242-'Preventative costs B'!G242</f>
        <v>0</v>
      </c>
      <c r="H242" s="26">
        <f ca="1">'Preventative costs A'!H242-'Preventative costs B'!H242</f>
        <v>0</v>
      </c>
      <c r="I242" s="26">
        <f ca="1">'Preventative costs A'!I242-'Preventative costs B'!I242</f>
        <v>0</v>
      </c>
      <c r="J242" s="26">
        <f ca="1">'Preventative costs A'!J242-'Preventative costs B'!J242</f>
        <v>0</v>
      </c>
      <c r="K242" s="26">
        <f ca="1">'Preventative costs A'!K242-'Preventative costs B'!K242</f>
        <v>0</v>
      </c>
      <c r="M242" s="4" t="str">
        <f>'Library data'!$G$138</f>
        <v>% relative to RCP8.5</v>
      </c>
    </row>
    <row r="243" spans="1:15" s="7" customFormat="1" x14ac:dyDescent="0.2">
      <c r="A243" s="4" t="str">
        <f>GLIN_NAME</f>
        <v>Lin</v>
      </c>
      <c r="B243" s="26">
        <f ca="1">'Preventative costs A'!B243-'Preventative costs B'!B243</f>
        <v>0</v>
      </c>
      <c r="C243" s="26">
        <f ca="1">'Preventative costs A'!C243-'Preventative costs B'!C243</f>
        <v>0</v>
      </c>
      <c r="D243" s="26">
        <f ca="1">'Preventative costs A'!D243-'Preventative costs B'!D243</f>
        <v>0</v>
      </c>
      <c r="E243" s="26">
        <f ca="1">'Preventative costs A'!E243-'Preventative costs B'!E243</f>
        <v>0</v>
      </c>
      <c r="F243" s="26">
        <f ca="1">'Preventative costs A'!F243-'Preventative costs B'!F243</f>
        <v>0</v>
      </c>
      <c r="G243" s="26">
        <f ca="1">'Preventative costs A'!G243-'Preventative costs B'!G243</f>
        <v>0</v>
      </c>
      <c r="H243" s="26">
        <f ca="1">'Preventative costs A'!H243-'Preventative costs B'!H243</f>
        <v>0</v>
      </c>
      <c r="I243" s="26">
        <f ca="1">'Preventative costs A'!I243-'Preventative costs B'!I243</f>
        <v>0</v>
      </c>
      <c r="J243" s="26">
        <f ca="1">'Preventative costs A'!J243-'Preventative costs B'!J243</f>
        <v>0</v>
      </c>
      <c r="K243" s="26">
        <f ca="1">'Preventative costs A'!K243-'Preventative costs B'!K243</f>
        <v>0</v>
      </c>
      <c r="M243" s="4" t="str">
        <f>'Library data'!$G$138</f>
        <v>% relative to RCP8.5</v>
      </c>
    </row>
    <row r="244" spans="1:15" s="2" customFormat="1" ht="14.25" x14ac:dyDescent="0.25">
      <c r="A244" s="2" t="s">
        <v>299</v>
      </c>
      <c r="B244" s="2" t="s">
        <v>300</v>
      </c>
    </row>
    <row r="245" spans="1:15" s="6" customFormat="1" x14ac:dyDescent="0.2">
      <c r="A245" s="4" t="str">
        <f t="array" ref="A245:A252">R_CODE&amp;" "&amp;'Base data'!$B$12</f>
        <v>EU CO2</v>
      </c>
      <c r="B245" s="29">
        <f ca="1">'Preventative costs A'!B245-'Preventative costs B'!B245</f>
        <v>0</v>
      </c>
      <c r="C245" s="29">
        <f ca="1">'Preventative costs A'!C245-'Preventative costs B'!C245</f>
        <v>0</v>
      </c>
      <c r="D245" s="29">
        <f ca="1">'Preventative costs A'!D245-'Preventative costs B'!D245</f>
        <v>0</v>
      </c>
      <c r="E245" s="29">
        <f ca="1">'Preventative costs A'!E245-'Preventative costs B'!E245</f>
        <v>0</v>
      </c>
      <c r="F245" s="29">
        <f ca="1">'Preventative costs A'!F245-'Preventative costs B'!F245</f>
        <v>0</v>
      </c>
      <c r="G245" s="29">
        <f ca="1">'Preventative costs A'!G245-'Preventative costs B'!G245</f>
        <v>0</v>
      </c>
      <c r="H245" s="29">
        <f ca="1">'Preventative costs A'!H245-'Preventative costs B'!H245</f>
        <v>0</v>
      </c>
      <c r="I245" s="29">
        <f ca="1">'Preventative costs A'!I245-'Preventative costs B'!I245</f>
        <v>0</v>
      </c>
      <c r="J245" s="29">
        <f ca="1">'Preventative costs A'!J245-'Preventative costs B'!J245</f>
        <v>0</v>
      </c>
      <c r="K245" s="29">
        <f ca="1">'Preventative costs A'!K245-'Preventative costs B'!K245</f>
        <v>0</v>
      </c>
      <c r="M245" s="4" t="str">
        <f>'Library data'!$G$138</f>
        <v>% relative to RCP8.5</v>
      </c>
    </row>
    <row r="246" spans="1:15" s="6" customFormat="1" x14ac:dyDescent="0.2">
      <c r="A246" s="4" t="str">
        <v>US CO2</v>
      </c>
      <c r="B246" s="26">
        <f ca="1">'Preventative costs A'!B246-'Preventative costs B'!B246</f>
        <v>0</v>
      </c>
      <c r="C246" s="26">
        <f ca="1">'Preventative costs A'!C246-'Preventative costs B'!C246</f>
        <v>0</v>
      </c>
      <c r="D246" s="26">
        <f ca="1">'Preventative costs A'!D246-'Preventative costs B'!D246</f>
        <v>0</v>
      </c>
      <c r="E246" s="26">
        <f ca="1">'Preventative costs A'!E246-'Preventative costs B'!E246</f>
        <v>0</v>
      </c>
      <c r="F246" s="26">
        <f ca="1">'Preventative costs A'!F246-'Preventative costs B'!F246</f>
        <v>0</v>
      </c>
      <c r="G246" s="26">
        <f ca="1">'Preventative costs A'!G246-'Preventative costs B'!G246</f>
        <v>0</v>
      </c>
      <c r="H246" s="26">
        <f ca="1">'Preventative costs A'!H246-'Preventative costs B'!H246</f>
        <v>0</v>
      </c>
      <c r="I246" s="26">
        <f ca="1">'Preventative costs A'!I246-'Preventative costs B'!I246</f>
        <v>0</v>
      </c>
      <c r="J246" s="26">
        <f ca="1">'Preventative costs A'!J246-'Preventative costs B'!J246</f>
        <v>0</v>
      </c>
      <c r="K246" s="26">
        <f ca="1">'Preventative costs A'!K246-'Preventative costs B'!K246</f>
        <v>0</v>
      </c>
      <c r="M246" s="4" t="str">
        <f>'Library data'!$G$138</f>
        <v>% relative to RCP8.5</v>
      </c>
    </row>
    <row r="247" spans="1:15" s="6" customFormat="1" x14ac:dyDescent="0.2">
      <c r="A247" s="4" t="str">
        <v>OT CO2</v>
      </c>
      <c r="B247" s="26">
        <f ca="1">'Preventative costs A'!B247-'Preventative costs B'!B247</f>
        <v>0</v>
      </c>
      <c r="C247" s="26">
        <f ca="1">'Preventative costs A'!C247-'Preventative costs B'!C247</f>
        <v>0</v>
      </c>
      <c r="D247" s="26">
        <f ca="1">'Preventative costs A'!D247-'Preventative costs B'!D247</f>
        <v>0</v>
      </c>
      <c r="E247" s="26">
        <f ca="1">'Preventative costs A'!E247-'Preventative costs B'!E247</f>
        <v>0</v>
      </c>
      <c r="F247" s="26">
        <f ca="1">'Preventative costs A'!F247-'Preventative costs B'!F247</f>
        <v>0</v>
      </c>
      <c r="G247" s="26">
        <f ca="1">'Preventative costs A'!G247-'Preventative costs B'!G247</f>
        <v>0</v>
      </c>
      <c r="H247" s="26">
        <f ca="1">'Preventative costs A'!H247-'Preventative costs B'!H247</f>
        <v>0</v>
      </c>
      <c r="I247" s="26">
        <f ca="1">'Preventative costs A'!I247-'Preventative costs B'!I247</f>
        <v>0</v>
      </c>
      <c r="J247" s="26">
        <f ca="1">'Preventative costs A'!J247-'Preventative costs B'!J247</f>
        <v>0</v>
      </c>
      <c r="K247" s="26">
        <f ca="1">'Preventative costs A'!K247-'Preventative costs B'!K247</f>
        <v>0</v>
      </c>
      <c r="M247" s="4" t="str">
        <f>'Library data'!$G$138</f>
        <v>% relative to RCP8.5</v>
      </c>
    </row>
    <row r="248" spans="1:15" s="6" customFormat="1" x14ac:dyDescent="0.2">
      <c r="A248" s="4" t="str">
        <v>EE CO2</v>
      </c>
      <c r="B248" s="26">
        <f ca="1">'Preventative costs A'!B248-'Preventative costs B'!B248</f>
        <v>0</v>
      </c>
      <c r="C248" s="26">
        <f ca="1">'Preventative costs A'!C248-'Preventative costs B'!C248</f>
        <v>0</v>
      </c>
      <c r="D248" s="26">
        <f ca="1">'Preventative costs A'!D248-'Preventative costs B'!D248</f>
        <v>0</v>
      </c>
      <c r="E248" s="26">
        <f ca="1">'Preventative costs A'!E248-'Preventative costs B'!E248</f>
        <v>0</v>
      </c>
      <c r="F248" s="26">
        <f ca="1">'Preventative costs A'!F248-'Preventative costs B'!F248</f>
        <v>0</v>
      </c>
      <c r="G248" s="26">
        <f ca="1">'Preventative costs A'!G248-'Preventative costs B'!G248</f>
        <v>0</v>
      </c>
      <c r="H248" s="26">
        <f ca="1">'Preventative costs A'!H248-'Preventative costs B'!H248</f>
        <v>0</v>
      </c>
      <c r="I248" s="26">
        <f ca="1">'Preventative costs A'!I248-'Preventative costs B'!I248</f>
        <v>0</v>
      </c>
      <c r="J248" s="26">
        <f ca="1">'Preventative costs A'!J248-'Preventative costs B'!J248</f>
        <v>0</v>
      </c>
      <c r="K248" s="26">
        <f ca="1">'Preventative costs A'!K248-'Preventative costs B'!K248</f>
        <v>0</v>
      </c>
      <c r="M248" s="4" t="str">
        <f>'Library data'!$G$138</f>
        <v>% relative to RCP8.5</v>
      </c>
    </row>
    <row r="249" spans="1:15" s="6" customFormat="1" x14ac:dyDescent="0.2">
      <c r="A249" s="4" t="str">
        <v>CA CO2</v>
      </c>
      <c r="B249" s="26">
        <f ca="1">'Preventative costs A'!B249-'Preventative costs B'!B249</f>
        <v>0</v>
      </c>
      <c r="C249" s="26">
        <f ca="1">'Preventative costs A'!C249-'Preventative costs B'!C249</f>
        <v>0</v>
      </c>
      <c r="D249" s="26">
        <f ca="1">'Preventative costs A'!D249-'Preventative costs B'!D249</f>
        <v>0</v>
      </c>
      <c r="E249" s="26">
        <f ca="1">'Preventative costs A'!E249-'Preventative costs B'!E249</f>
        <v>0</v>
      </c>
      <c r="F249" s="26">
        <f ca="1">'Preventative costs A'!F249-'Preventative costs B'!F249</f>
        <v>0</v>
      </c>
      <c r="G249" s="26">
        <f ca="1">'Preventative costs A'!G249-'Preventative costs B'!G249</f>
        <v>0</v>
      </c>
      <c r="H249" s="26">
        <f ca="1">'Preventative costs A'!H249-'Preventative costs B'!H249</f>
        <v>0</v>
      </c>
      <c r="I249" s="26">
        <f ca="1">'Preventative costs A'!I249-'Preventative costs B'!I249</f>
        <v>0</v>
      </c>
      <c r="J249" s="26">
        <f ca="1">'Preventative costs A'!J249-'Preventative costs B'!J249</f>
        <v>0</v>
      </c>
      <c r="K249" s="26">
        <f ca="1">'Preventative costs A'!K249-'Preventative costs B'!K249</f>
        <v>0</v>
      </c>
      <c r="M249" s="4" t="str">
        <f>'Library data'!$G$138</f>
        <v>% relative to RCP8.5</v>
      </c>
    </row>
    <row r="250" spans="1:15" s="6" customFormat="1" x14ac:dyDescent="0.2">
      <c r="A250" s="4" t="str">
        <v>IA CO2</v>
      </c>
      <c r="B250" s="26">
        <f ca="1">'Preventative costs A'!B250-'Preventative costs B'!B250</f>
        <v>0</v>
      </c>
      <c r="C250" s="26">
        <f ca="1">'Preventative costs A'!C250-'Preventative costs B'!C250</f>
        <v>0</v>
      </c>
      <c r="D250" s="26">
        <f ca="1">'Preventative costs A'!D250-'Preventative costs B'!D250</f>
        <v>0</v>
      </c>
      <c r="E250" s="26">
        <f ca="1">'Preventative costs A'!E250-'Preventative costs B'!E250</f>
        <v>0</v>
      </c>
      <c r="F250" s="26">
        <f ca="1">'Preventative costs A'!F250-'Preventative costs B'!F250</f>
        <v>0</v>
      </c>
      <c r="G250" s="26">
        <f ca="1">'Preventative costs A'!G250-'Preventative costs B'!G250</f>
        <v>0</v>
      </c>
      <c r="H250" s="26">
        <f ca="1">'Preventative costs A'!H250-'Preventative costs B'!H250</f>
        <v>0</v>
      </c>
      <c r="I250" s="26">
        <f ca="1">'Preventative costs A'!I250-'Preventative costs B'!I250</f>
        <v>0</v>
      </c>
      <c r="J250" s="26">
        <f ca="1">'Preventative costs A'!J250-'Preventative costs B'!J250</f>
        <v>0</v>
      </c>
      <c r="K250" s="26">
        <f ca="1">'Preventative costs A'!K250-'Preventative costs B'!K250</f>
        <v>0</v>
      </c>
      <c r="M250" s="4" t="str">
        <f>'Library data'!$G$138</f>
        <v>% relative to RCP8.5</v>
      </c>
    </row>
    <row r="251" spans="1:15" s="6" customFormat="1" x14ac:dyDescent="0.2">
      <c r="A251" s="4" t="str">
        <v>AF CO2</v>
      </c>
      <c r="B251" s="26">
        <f ca="1">'Preventative costs A'!B251-'Preventative costs B'!B251</f>
        <v>0</v>
      </c>
      <c r="C251" s="26">
        <f ca="1">'Preventative costs A'!C251-'Preventative costs B'!C251</f>
        <v>0</v>
      </c>
      <c r="D251" s="26">
        <f ca="1">'Preventative costs A'!D251-'Preventative costs B'!D251</f>
        <v>0</v>
      </c>
      <c r="E251" s="26">
        <f ca="1">'Preventative costs A'!E251-'Preventative costs B'!E251</f>
        <v>0</v>
      </c>
      <c r="F251" s="26">
        <f ca="1">'Preventative costs A'!F251-'Preventative costs B'!F251</f>
        <v>0</v>
      </c>
      <c r="G251" s="26">
        <f ca="1">'Preventative costs A'!G251-'Preventative costs B'!G251</f>
        <v>0</v>
      </c>
      <c r="H251" s="26">
        <f ca="1">'Preventative costs A'!H251-'Preventative costs B'!H251</f>
        <v>0</v>
      </c>
      <c r="I251" s="26">
        <f ca="1">'Preventative costs A'!I251-'Preventative costs B'!I251</f>
        <v>0</v>
      </c>
      <c r="J251" s="26">
        <f ca="1">'Preventative costs A'!J251-'Preventative costs B'!J251</f>
        <v>0</v>
      </c>
      <c r="K251" s="26">
        <f ca="1">'Preventative costs A'!K251-'Preventative costs B'!K251</f>
        <v>0</v>
      </c>
      <c r="M251" s="4" t="str">
        <f>'Library data'!$G$138</f>
        <v>% relative to RCP8.5</v>
      </c>
    </row>
    <row r="252" spans="1:15" s="6" customFormat="1" ht="13.5" thickBot="1" x14ac:dyDescent="0.25">
      <c r="A252" s="4" t="str">
        <v>LA CO2</v>
      </c>
      <c r="B252" s="35">
        <f ca="1">'Preventative costs A'!B252-'Preventative costs B'!B252</f>
        <v>0</v>
      </c>
      <c r="C252" s="35">
        <f ca="1">'Preventative costs A'!C252-'Preventative costs B'!C252</f>
        <v>0</v>
      </c>
      <c r="D252" s="35">
        <f ca="1">'Preventative costs A'!D252-'Preventative costs B'!D252</f>
        <v>0</v>
      </c>
      <c r="E252" s="35">
        <f ca="1">'Preventative costs A'!E252-'Preventative costs B'!E252</f>
        <v>0</v>
      </c>
      <c r="F252" s="35">
        <f ca="1">'Preventative costs A'!F252-'Preventative costs B'!F252</f>
        <v>0</v>
      </c>
      <c r="G252" s="35">
        <f ca="1">'Preventative costs A'!G252-'Preventative costs B'!G252</f>
        <v>0</v>
      </c>
      <c r="H252" s="35">
        <f ca="1">'Preventative costs A'!H252-'Preventative costs B'!H252</f>
        <v>0</v>
      </c>
      <c r="I252" s="35">
        <f ca="1">'Preventative costs A'!I252-'Preventative costs B'!I252</f>
        <v>0</v>
      </c>
      <c r="J252" s="35">
        <f ca="1">'Preventative costs A'!J252-'Preventative costs B'!J252</f>
        <v>0</v>
      </c>
      <c r="K252" s="35">
        <f ca="1">'Preventative costs A'!K252-'Preventative costs B'!K252</f>
        <v>0</v>
      </c>
      <c r="M252" s="4" t="str">
        <f>'Library data'!$G$138</f>
        <v>% relative to RCP8.5</v>
      </c>
      <c r="O252" s="7"/>
    </row>
    <row r="253" spans="1:15" s="8" customFormat="1" ht="15" thickTop="1" x14ac:dyDescent="0.25">
      <c r="A253" s="2" t="s">
        <v>299</v>
      </c>
      <c r="B253" s="2" t="s">
        <v>301</v>
      </c>
    </row>
    <row r="254" spans="1:15" s="7" customFormat="1" x14ac:dyDescent="0.2">
      <c r="A254" s="4" t="str">
        <f t="array" ref="A254:A261">R_CODE&amp;" "&amp;'Base data'!$C$12</f>
        <v>EU CH4</v>
      </c>
      <c r="B254" s="29">
        <f ca="1">'Preventative costs A'!B254-'Preventative costs B'!B254</f>
        <v>0</v>
      </c>
      <c r="C254" s="29">
        <f ca="1">'Preventative costs A'!C254-'Preventative costs B'!C254</f>
        <v>0</v>
      </c>
      <c r="D254" s="29">
        <f ca="1">'Preventative costs A'!D254-'Preventative costs B'!D254</f>
        <v>0</v>
      </c>
      <c r="E254" s="29">
        <f ca="1">'Preventative costs A'!E254-'Preventative costs B'!E254</f>
        <v>0</v>
      </c>
      <c r="F254" s="29">
        <f ca="1">'Preventative costs A'!F254-'Preventative costs B'!F254</f>
        <v>0</v>
      </c>
      <c r="G254" s="29">
        <f ca="1">'Preventative costs A'!G254-'Preventative costs B'!G254</f>
        <v>0</v>
      </c>
      <c r="H254" s="29">
        <f ca="1">'Preventative costs A'!H254-'Preventative costs B'!H254</f>
        <v>0</v>
      </c>
      <c r="I254" s="29">
        <f ca="1">'Preventative costs A'!I254-'Preventative costs B'!I254</f>
        <v>0</v>
      </c>
      <c r="J254" s="29">
        <f ca="1">'Preventative costs A'!J254-'Preventative costs B'!J254</f>
        <v>0</v>
      </c>
      <c r="K254" s="29">
        <f ca="1">'Preventative costs A'!K254-'Preventative costs B'!K254</f>
        <v>0</v>
      </c>
      <c r="M254" s="4" t="str">
        <f>'Library data'!$G$138</f>
        <v>% relative to RCP8.5</v>
      </c>
    </row>
    <row r="255" spans="1:15" s="7" customFormat="1" x14ac:dyDescent="0.2">
      <c r="A255" s="4" t="str">
        <v>US CH4</v>
      </c>
      <c r="B255" s="26">
        <f ca="1">'Preventative costs A'!B255-'Preventative costs B'!B255</f>
        <v>0</v>
      </c>
      <c r="C255" s="26">
        <f ca="1">'Preventative costs A'!C255-'Preventative costs B'!C255</f>
        <v>0</v>
      </c>
      <c r="D255" s="26">
        <f ca="1">'Preventative costs A'!D255-'Preventative costs B'!D255</f>
        <v>0</v>
      </c>
      <c r="E255" s="26">
        <f ca="1">'Preventative costs A'!E255-'Preventative costs B'!E255</f>
        <v>0</v>
      </c>
      <c r="F255" s="26">
        <f ca="1">'Preventative costs A'!F255-'Preventative costs B'!F255</f>
        <v>0</v>
      </c>
      <c r="G255" s="26">
        <f ca="1">'Preventative costs A'!G255-'Preventative costs B'!G255</f>
        <v>0</v>
      </c>
      <c r="H255" s="26">
        <f ca="1">'Preventative costs A'!H255-'Preventative costs B'!H255</f>
        <v>0</v>
      </c>
      <c r="I255" s="26">
        <f ca="1">'Preventative costs A'!I255-'Preventative costs B'!I255</f>
        <v>0</v>
      </c>
      <c r="J255" s="26">
        <f ca="1">'Preventative costs A'!J255-'Preventative costs B'!J255</f>
        <v>0</v>
      </c>
      <c r="K255" s="26">
        <f ca="1">'Preventative costs A'!K255-'Preventative costs B'!K255</f>
        <v>0</v>
      </c>
      <c r="M255" s="4" t="str">
        <f>'Library data'!$G$138</f>
        <v>% relative to RCP8.5</v>
      </c>
    </row>
    <row r="256" spans="1:15" s="7" customFormat="1" x14ac:dyDescent="0.2">
      <c r="A256" s="4" t="str">
        <v>OT CH4</v>
      </c>
      <c r="B256" s="26">
        <f ca="1">'Preventative costs A'!B256-'Preventative costs B'!B256</f>
        <v>0</v>
      </c>
      <c r="C256" s="26">
        <f ca="1">'Preventative costs A'!C256-'Preventative costs B'!C256</f>
        <v>0</v>
      </c>
      <c r="D256" s="26">
        <f ca="1">'Preventative costs A'!D256-'Preventative costs B'!D256</f>
        <v>0</v>
      </c>
      <c r="E256" s="26">
        <f ca="1">'Preventative costs A'!E256-'Preventative costs B'!E256</f>
        <v>0</v>
      </c>
      <c r="F256" s="26">
        <f ca="1">'Preventative costs A'!F256-'Preventative costs B'!F256</f>
        <v>0</v>
      </c>
      <c r="G256" s="26">
        <f ca="1">'Preventative costs A'!G256-'Preventative costs B'!G256</f>
        <v>0</v>
      </c>
      <c r="H256" s="26">
        <f ca="1">'Preventative costs A'!H256-'Preventative costs B'!H256</f>
        <v>0</v>
      </c>
      <c r="I256" s="26">
        <f ca="1">'Preventative costs A'!I256-'Preventative costs B'!I256</f>
        <v>0</v>
      </c>
      <c r="J256" s="26">
        <f ca="1">'Preventative costs A'!J256-'Preventative costs B'!J256</f>
        <v>0</v>
      </c>
      <c r="K256" s="26">
        <f ca="1">'Preventative costs A'!K256-'Preventative costs B'!K256</f>
        <v>0</v>
      </c>
      <c r="M256" s="4" t="str">
        <f>'Library data'!$G$138</f>
        <v>% relative to RCP8.5</v>
      </c>
    </row>
    <row r="257" spans="1:13" s="7" customFormat="1" x14ac:dyDescent="0.2">
      <c r="A257" s="4" t="str">
        <v>EE CH4</v>
      </c>
      <c r="B257" s="26">
        <f ca="1">'Preventative costs A'!B257-'Preventative costs B'!B257</f>
        <v>0</v>
      </c>
      <c r="C257" s="26">
        <f ca="1">'Preventative costs A'!C257-'Preventative costs B'!C257</f>
        <v>0</v>
      </c>
      <c r="D257" s="26">
        <f ca="1">'Preventative costs A'!D257-'Preventative costs B'!D257</f>
        <v>0</v>
      </c>
      <c r="E257" s="26">
        <f ca="1">'Preventative costs A'!E257-'Preventative costs B'!E257</f>
        <v>0</v>
      </c>
      <c r="F257" s="26">
        <f ca="1">'Preventative costs A'!F257-'Preventative costs B'!F257</f>
        <v>0</v>
      </c>
      <c r="G257" s="26">
        <f ca="1">'Preventative costs A'!G257-'Preventative costs B'!G257</f>
        <v>0</v>
      </c>
      <c r="H257" s="26">
        <f ca="1">'Preventative costs A'!H257-'Preventative costs B'!H257</f>
        <v>0</v>
      </c>
      <c r="I257" s="26">
        <f ca="1">'Preventative costs A'!I257-'Preventative costs B'!I257</f>
        <v>0</v>
      </c>
      <c r="J257" s="26">
        <f ca="1">'Preventative costs A'!J257-'Preventative costs B'!J257</f>
        <v>0</v>
      </c>
      <c r="K257" s="26">
        <f ca="1">'Preventative costs A'!K257-'Preventative costs B'!K257</f>
        <v>0</v>
      </c>
      <c r="M257" s="4" t="str">
        <f>'Library data'!$G$138</f>
        <v>% relative to RCP8.5</v>
      </c>
    </row>
    <row r="258" spans="1:13" s="7" customFormat="1" x14ac:dyDescent="0.2">
      <c r="A258" s="4" t="str">
        <v>CA CH4</v>
      </c>
      <c r="B258" s="26">
        <f ca="1">'Preventative costs A'!B258-'Preventative costs B'!B258</f>
        <v>0</v>
      </c>
      <c r="C258" s="26">
        <f ca="1">'Preventative costs A'!C258-'Preventative costs B'!C258</f>
        <v>0</v>
      </c>
      <c r="D258" s="26">
        <f ca="1">'Preventative costs A'!D258-'Preventative costs B'!D258</f>
        <v>0</v>
      </c>
      <c r="E258" s="26">
        <f ca="1">'Preventative costs A'!E258-'Preventative costs B'!E258</f>
        <v>0</v>
      </c>
      <c r="F258" s="26">
        <f ca="1">'Preventative costs A'!F258-'Preventative costs B'!F258</f>
        <v>0</v>
      </c>
      <c r="G258" s="26">
        <f ca="1">'Preventative costs A'!G258-'Preventative costs B'!G258</f>
        <v>0</v>
      </c>
      <c r="H258" s="26">
        <f ca="1">'Preventative costs A'!H258-'Preventative costs B'!H258</f>
        <v>0</v>
      </c>
      <c r="I258" s="26">
        <f ca="1">'Preventative costs A'!I258-'Preventative costs B'!I258</f>
        <v>0</v>
      </c>
      <c r="J258" s="26">
        <f ca="1">'Preventative costs A'!J258-'Preventative costs B'!J258</f>
        <v>0</v>
      </c>
      <c r="K258" s="26">
        <f ca="1">'Preventative costs A'!K258-'Preventative costs B'!K258</f>
        <v>0</v>
      </c>
      <c r="M258" s="4" t="str">
        <f>'Library data'!$G$138</f>
        <v>% relative to RCP8.5</v>
      </c>
    </row>
    <row r="259" spans="1:13" s="7" customFormat="1" x14ac:dyDescent="0.2">
      <c r="A259" s="4" t="str">
        <v>IA CH4</v>
      </c>
      <c r="B259" s="26">
        <f ca="1">'Preventative costs A'!B259-'Preventative costs B'!B259</f>
        <v>0</v>
      </c>
      <c r="C259" s="26">
        <f ca="1">'Preventative costs A'!C259-'Preventative costs B'!C259</f>
        <v>0</v>
      </c>
      <c r="D259" s="26">
        <f ca="1">'Preventative costs A'!D259-'Preventative costs B'!D259</f>
        <v>0</v>
      </c>
      <c r="E259" s="26">
        <f ca="1">'Preventative costs A'!E259-'Preventative costs B'!E259</f>
        <v>0</v>
      </c>
      <c r="F259" s="26">
        <f ca="1">'Preventative costs A'!F259-'Preventative costs B'!F259</f>
        <v>0</v>
      </c>
      <c r="G259" s="26">
        <f ca="1">'Preventative costs A'!G259-'Preventative costs B'!G259</f>
        <v>0</v>
      </c>
      <c r="H259" s="26">
        <f ca="1">'Preventative costs A'!H259-'Preventative costs B'!H259</f>
        <v>0</v>
      </c>
      <c r="I259" s="26">
        <f ca="1">'Preventative costs A'!I259-'Preventative costs B'!I259</f>
        <v>0</v>
      </c>
      <c r="J259" s="26">
        <f ca="1">'Preventative costs A'!J259-'Preventative costs B'!J259</f>
        <v>0</v>
      </c>
      <c r="K259" s="26">
        <f ca="1">'Preventative costs A'!K259-'Preventative costs B'!K259</f>
        <v>0</v>
      </c>
      <c r="M259" s="4" t="str">
        <f>'Library data'!$G$138</f>
        <v>% relative to RCP8.5</v>
      </c>
    </row>
    <row r="260" spans="1:13" s="7" customFormat="1" x14ac:dyDescent="0.2">
      <c r="A260" s="4" t="str">
        <v>AF CH4</v>
      </c>
      <c r="B260" s="26">
        <f ca="1">'Preventative costs A'!B260-'Preventative costs B'!B260</f>
        <v>0</v>
      </c>
      <c r="C260" s="26">
        <f ca="1">'Preventative costs A'!C260-'Preventative costs B'!C260</f>
        <v>0</v>
      </c>
      <c r="D260" s="26">
        <f ca="1">'Preventative costs A'!D260-'Preventative costs B'!D260</f>
        <v>0</v>
      </c>
      <c r="E260" s="26">
        <f ca="1">'Preventative costs A'!E260-'Preventative costs B'!E260</f>
        <v>0</v>
      </c>
      <c r="F260" s="26">
        <f ca="1">'Preventative costs A'!F260-'Preventative costs B'!F260</f>
        <v>0</v>
      </c>
      <c r="G260" s="26">
        <f ca="1">'Preventative costs A'!G260-'Preventative costs B'!G260</f>
        <v>0</v>
      </c>
      <c r="H260" s="26">
        <f ca="1">'Preventative costs A'!H260-'Preventative costs B'!H260</f>
        <v>0</v>
      </c>
      <c r="I260" s="26">
        <f ca="1">'Preventative costs A'!I260-'Preventative costs B'!I260</f>
        <v>0</v>
      </c>
      <c r="J260" s="26">
        <f ca="1">'Preventative costs A'!J260-'Preventative costs B'!J260</f>
        <v>0</v>
      </c>
      <c r="K260" s="26">
        <f ca="1">'Preventative costs A'!K260-'Preventative costs B'!K260</f>
        <v>0</v>
      </c>
      <c r="M260" s="4" t="str">
        <f>'Library data'!$G$138</f>
        <v>% relative to RCP8.5</v>
      </c>
    </row>
    <row r="261" spans="1:13" s="7" customFormat="1" ht="13.5" thickBot="1" x14ac:dyDescent="0.25">
      <c r="A261" s="4" t="str">
        <v>LA CH4</v>
      </c>
      <c r="B261" s="35">
        <f ca="1">'Preventative costs A'!B261-'Preventative costs B'!B261</f>
        <v>0</v>
      </c>
      <c r="C261" s="35">
        <f ca="1">'Preventative costs A'!C261-'Preventative costs B'!C261</f>
        <v>0</v>
      </c>
      <c r="D261" s="35">
        <f ca="1">'Preventative costs A'!D261-'Preventative costs B'!D261</f>
        <v>0</v>
      </c>
      <c r="E261" s="35">
        <f ca="1">'Preventative costs A'!E261-'Preventative costs B'!E261</f>
        <v>0</v>
      </c>
      <c r="F261" s="35">
        <f ca="1">'Preventative costs A'!F261-'Preventative costs B'!F261</f>
        <v>0</v>
      </c>
      <c r="G261" s="35">
        <f ca="1">'Preventative costs A'!G261-'Preventative costs B'!G261</f>
        <v>0</v>
      </c>
      <c r="H261" s="35">
        <f ca="1">'Preventative costs A'!H261-'Preventative costs B'!H261</f>
        <v>0</v>
      </c>
      <c r="I261" s="35">
        <f ca="1">'Preventative costs A'!I261-'Preventative costs B'!I261</f>
        <v>0</v>
      </c>
      <c r="J261" s="35">
        <f ca="1">'Preventative costs A'!J261-'Preventative costs B'!J261</f>
        <v>0</v>
      </c>
      <c r="K261" s="35">
        <f ca="1">'Preventative costs A'!K261-'Preventative costs B'!K261</f>
        <v>0</v>
      </c>
      <c r="M261" s="4" t="str">
        <f>'Library data'!$G$138</f>
        <v>% relative to RCP8.5</v>
      </c>
    </row>
    <row r="262" spans="1:13" s="8" customFormat="1" ht="15" thickTop="1" x14ac:dyDescent="0.25">
      <c r="A262" s="2" t="s">
        <v>299</v>
      </c>
      <c r="B262" s="2" t="s">
        <v>302</v>
      </c>
    </row>
    <row r="263" spans="1:13" s="7" customFormat="1" x14ac:dyDescent="0.2">
      <c r="A263" s="4" t="str">
        <f t="array" ref="A263:A270">R_CODE&amp;" "&amp;'Base data'!$D$12</f>
        <v>EU N2O</v>
      </c>
      <c r="B263" s="29">
        <f ca="1">'Preventative costs A'!B263-'Preventative costs B'!B263</f>
        <v>0</v>
      </c>
      <c r="C263" s="29">
        <f ca="1">'Preventative costs A'!C263-'Preventative costs B'!C263</f>
        <v>0</v>
      </c>
      <c r="D263" s="29">
        <f ca="1">'Preventative costs A'!D263-'Preventative costs B'!D263</f>
        <v>0</v>
      </c>
      <c r="E263" s="29">
        <f ca="1">'Preventative costs A'!E263-'Preventative costs B'!E263</f>
        <v>0</v>
      </c>
      <c r="F263" s="29">
        <f ca="1">'Preventative costs A'!F263-'Preventative costs B'!F263</f>
        <v>0</v>
      </c>
      <c r="G263" s="29">
        <f ca="1">'Preventative costs A'!G263-'Preventative costs B'!G263</f>
        <v>0</v>
      </c>
      <c r="H263" s="29">
        <f ca="1">'Preventative costs A'!H263-'Preventative costs B'!H263</f>
        <v>0</v>
      </c>
      <c r="I263" s="29">
        <f ca="1">'Preventative costs A'!I263-'Preventative costs B'!I263</f>
        <v>0</v>
      </c>
      <c r="J263" s="29">
        <f ca="1">'Preventative costs A'!J263-'Preventative costs B'!J263</f>
        <v>0</v>
      </c>
      <c r="K263" s="29">
        <f ca="1">'Preventative costs A'!K263-'Preventative costs B'!K263</f>
        <v>0</v>
      </c>
      <c r="M263" s="4" t="str">
        <f>'Library data'!$G$138</f>
        <v>% relative to RCP8.5</v>
      </c>
    </row>
    <row r="264" spans="1:13" s="7" customFormat="1" x14ac:dyDescent="0.2">
      <c r="A264" s="4" t="str">
        <v>US N2O</v>
      </c>
      <c r="B264" s="26">
        <f ca="1">'Preventative costs A'!B264-'Preventative costs B'!B264</f>
        <v>0</v>
      </c>
      <c r="C264" s="26">
        <f ca="1">'Preventative costs A'!C264-'Preventative costs B'!C264</f>
        <v>0</v>
      </c>
      <c r="D264" s="26">
        <f ca="1">'Preventative costs A'!D264-'Preventative costs B'!D264</f>
        <v>0</v>
      </c>
      <c r="E264" s="26">
        <f ca="1">'Preventative costs A'!E264-'Preventative costs B'!E264</f>
        <v>0</v>
      </c>
      <c r="F264" s="26">
        <f ca="1">'Preventative costs A'!F264-'Preventative costs B'!F264</f>
        <v>0</v>
      </c>
      <c r="G264" s="26">
        <f ca="1">'Preventative costs A'!G264-'Preventative costs B'!G264</f>
        <v>0</v>
      </c>
      <c r="H264" s="26">
        <f ca="1">'Preventative costs A'!H264-'Preventative costs B'!H264</f>
        <v>0</v>
      </c>
      <c r="I264" s="26">
        <f ca="1">'Preventative costs A'!I264-'Preventative costs B'!I264</f>
        <v>0</v>
      </c>
      <c r="J264" s="26">
        <f ca="1">'Preventative costs A'!J264-'Preventative costs B'!J264</f>
        <v>0</v>
      </c>
      <c r="K264" s="26">
        <f ca="1">'Preventative costs A'!K264-'Preventative costs B'!K264</f>
        <v>0</v>
      </c>
      <c r="M264" s="4" t="str">
        <f>'Library data'!$G$138</f>
        <v>% relative to RCP8.5</v>
      </c>
    </row>
    <row r="265" spans="1:13" s="7" customFormat="1" x14ac:dyDescent="0.2">
      <c r="A265" s="4" t="str">
        <v>OT N2O</v>
      </c>
      <c r="B265" s="26">
        <f ca="1">'Preventative costs A'!B265-'Preventative costs B'!B265</f>
        <v>0</v>
      </c>
      <c r="C265" s="26">
        <f ca="1">'Preventative costs A'!C265-'Preventative costs B'!C265</f>
        <v>0</v>
      </c>
      <c r="D265" s="26">
        <f ca="1">'Preventative costs A'!D265-'Preventative costs B'!D265</f>
        <v>0</v>
      </c>
      <c r="E265" s="26">
        <f ca="1">'Preventative costs A'!E265-'Preventative costs B'!E265</f>
        <v>0</v>
      </c>
      <c r="F265" s="26">
        <f ca="1">'Preventative costs A'!F265-'Preventative costs B'!F265</f>
        <v>0</v>
      </c>
      <c r="G265" s="26">
        <f ca="1">'Preventative costs A'!G265-'Preventative costs B'!G265</f>
        <v>0</v>
      </c>
      <c r="H265" s="26">
        <f ca="1">'Preventative costs A'!H265-'Preventative costs B'!H265</f>
        <v>0</v>
      </c>
      <c r="I265" s="26">
        <f ca="1">'Preventative costs A'!I265-'Preventative costs B'!I265</f>
        <v>0</v>
      </c>
      <c r="J265" s="26">
        <f ca="1">'Preventative costs A'!J265-'Preventative costs B'!J265</f>
        <v>0</v>
      </c>
      <c r="K265" s="26">
        <f ca="1">'Preventative costs A'!K265-'Preventative costs B'!K265</f>
        <v>0</v>
      </c>
      <c r="M265" s="4" t="str">
        <f>'Library data'!$G$138</f>
        <v>% relative to RCP8.5</v>
      </c>
    </row>
    <row r="266" spans="1:13" s="7" customFormat="1" x14ac:dyDescent="0.2">
      <c r="A266" s="4" t="str">
        <v>EE N2O</v>
      </c>
      <c r="B266" s="26">
        <f ca="1">'Preventative costs A'!B266-'Preventative costs B'!B266</f>
        <v>0</v>
      </c>
      <c r="C266" s="26">
        <f ca="1">'Preventative costs A'!C266-'Preventative costs B'!C266</f>
        <v>0</v>
      </c>
      <c r="D266" s="26">
        <f ca="1">'Preventative costs A'!D266-'Preventative costs B'!D266</f>
        <v>0</v>
      </c>
      <c r="E266" s="26">
        <f ca="1">'Preventative costs A'!E266-'Preventative costs B'!E266</f>
        <v>0</v>
      </c>
      <c r="F266" s="26">
        <f ca="1">'Preventative costs A'!F266-'Preventative costs B'!F266</f>
        <v>0</v>
      </c>
      <c r="G266" s="26">
        <f ca="1">'Preventative costs A'!G266-'Preventative costs B'!G266</f>
        <v>0</v>
      </c>
      <c r="H266" s="26">
        <f ca="1">'Preventative costs A'!H266-'Preventative costs B'!H266</f>
        <v>0</v>
      </c>
      <c r="I266" s="26">
        <f ca="1">'Preventative costs A'!I266-'Preventative costs B'!I266</f>
        <v>0</v>
      </c>
      <c r="J266" s="26">
        <f ca="1">'Preventative costs A'!J266-'Preventative costs B'!J266</f>
        <v>0</v>
      </c>
      <c r="K266" s="26">
        <f ca="1">'Preventative costs A'!K266-'Preventative costs B'!K266</f>
        <v>0</v>
      </c>
      <c r="M266" s="4" t="str">
        <f>'Library data'!$G$138</f>
        <v>% relative to RCP8.5</v>
      </c>
    </row>
    <row r="267" spans="1:13" s="7" customFormat="1" x14ac:dyDescent="0.2">
      <c r="A267" s="4" t="str">
        <v>CA N2O</v>
      </c>
      <c r="B267" s="26">
        <f ca="1">'Preventative costs A'!B267-'Preventative costs B'!B267</f>
        <v>0</v>
      </c>
      <c r="C267" s="26">
        <f ca="1">'Preventative costs A'!C267-'Preventative costs B'!C267</f>
        <v>0</v>
      </c>
      <c r="D267" s="26">
        <f ca="1">'Preventative costs A'!D267-'Preventative costs B'!D267</f>
        <v>0</v>
      </c>
      <c r="E267" s="26">
        <f ca="1">'Preventative costs A'!E267-'Preventative costs B'!E267</f>
        <v>0</v>
      </c>
      <c r="F267" s="26">
        <f ca="1">'Preventative costs A'!F267-'Preventative costs B'!F267</f>
        <v>0</v>
      </c>
      <c r="G267" s="26">
        <f ca="1">'Preventative costs A'!G267-'Preventative costs B'!G267</f>
        <v>0</v>
      </c>
      <c r="H267" s="26">
        <f ca="1">'Preventative costs A'!H267-'Preventative costs B'!H267</f>
        <v>0</v>
      </c>
      <c r="I267" s="26">
        <f ca="1">'Preventative costs A'!I267-'Preventative costs B'!I267</f>
        <v>0</v>
      </c>
      <c r="J267" s="26">
        <f ca="1">'Preventative costs A'!J267-'Preventative costs B'!J267</f>
        <v>0</v>
      </c>
      <c r="K267" s="26">
        <f ca="1">'Preventative costs A'!K267-'Preventative costs B'!K267</f>
        <v>0</v>
      </c>
      <c r="M267" s="4" t="str">
        <f>'Library data'!$G$138</f>
        <v>% relative to RCP8.5</v>
      </c>
    </row>
    <row r="268" spans="1:13" s="7" customFormat="1" x14ac:dyDescent="0.2">
      <c r="A268" s="4" t="str">
        <v>IA N2O</v>
      </c>
      <c r="B268" s="26">
        <f ca="1">'Preventative costs A'!B268-'Preventative costs B'!B268</f>
        <v>0</v>
      </c>
      <c r="C268" s="26">
        <f ca="1">'Preventative costs A'!C268-'Preventative costs B'!C268</f>
        <v>0</v>
      </c>
      <c r="D268" s="26">
        <f ca="1">'Preventative costs A'!D268-'Preventative costs B'!D268</f>
        <v>0</v>
      </c>
      <c r="E268" s="26">
        <f ca="1">'Preventative costs A'!E268-'Preventative costs B'!E268</f>
        <v>0</v>
      </c>
      <c r="F268" s="26">
        <f ca="1">'Preventative costs A'!F268-'Preventative costs B'!F268</f>
        <v>0</v>
      </c>
      <c r="G268" s="26">
        <f ca="1">'Preventative costs A'!G268-'Preventative costs B'!G268</f>
        <v>0</v>
      </c>
      <c r="H268" s="26">
        <f ca="1">'Preventative costs A'!H268-'Preventative costs B'!H268</f>
        <v>0</v>
      </c>
      <c r="I268" s="26">
        <f ca="1">'Preventative costs A'!I268-'Preventative costs B'!I268</f>
        <v>0</v>
      </c>
      <c r="J268" s="26">
        <f ca="1">'Preventative costs A'!J268-'Preventative costs B'!J268</f>
        <v>0</v>
      </c>
      <c r="K268" s="26">
        <f ca="1">'Preventative costs A'!K268-'Preventative costs B'!K268</f>
        <v>0</v>
      </c>
      <c r="M268" s="4" t="str">
        <f>'Library data'!$G$138</f>
        <v>% relative to RCP8.5</v>
      </c>
    </row>
    <row r="269" spans="1:13" s="7" customFormat="1" x14ac:dyDescent="0.2">
      <c r="A269" s="4" t="str">
        <v>AF N2O</v>
      </c>
      <c r="B269" s="26">
        <f ca="1">'Preventative costs A'!B269-'Preventative costs B'!B269</f>
        <v>0</v>
      </c>
      <c r="C269" s="26">
        <f ca="1">'Preventative costs A'!C269-'Preventative costs B'!C269</f>
        <v>0</v>
      </c>
      <c r="D269" s="26">
        <f ca="1">'Preventative costs A'!D269-'Preventative costs B'!D269</f>
        <v>0</v>
      </c>
      <c r="E269" s="26">
        <f ca="1">'Preventative costs A'!E269-'Preventative costs B'!E269</f>
        <v>0</v>
      </c>
      <c r="F269" s="26">
        <f ca="1">'Preventative costs A'!F269-'Preventative costs B'!F269</f>
        <v>0</v>
      </c>
      <c r="G269" s="26">
        <f ca="1">'Preventative costs A'!G269-'Preventative costs B'!G269</f>
        <v>0</v>
      </c>
      <c r="H269" s="26">
        <f ca="1">'Preventative costs A'!H269-'Preventative costs B'!H269</f>
        <v>0</v>
      </c>
      <c r="I269" s="26">
        <f ca="1">'Preventative costs A'!I269-'Preventative costs B'!I269</f>
        <v>0</v>
      </c>
      <c r="J269" s="26">
        <f ca="1">'Preventative costs A'!J269-'Preventative costs B'!J269</f>
        <v>0</v>
      </c>
      <c r="K269" s="26">
        <f ca="1">'Preventative costs A'!K269-'Preventative costs B'!K269</f>
        <v>0</v>
      </c>
      <c r="M269" s="4" t="str">
        <f>'Library data'!$G$138</f>
        <v>% relative to RCP8.5</v>
      </c>
    </row>
    <row r="270" spans="1:13" s="7" customFormat="1" ht="13.5" thickBot="1" x14ac:dyDescent="0.25">
      <c r="A270" s="4" t="str">
        <v>LA N2O</v>
      </c>
      <c r="B270" s="35">
        <f ca="1">'Preventative costs A'!B270-'Preventative costs B'!B270</f>
        <v>0</v>
      </c>
      <c r="C270" s="35">
        <f ca="1">'Preventative costs A'!C270-'Preventative costs B'!C270</f>
        <v>0</v>
      </c>
      <c r="D270" s="35">
        <f ca="1">'Preventative costs A'!D270-'Preventative costs B'!D270</f>
        <v>0</v>
      </c>
      <c r="E270" s="35">
        <f ca="1">'Preventative costs A'!E270-'Preventative costs B'!E270</f>
        <v>0</v>
      </c>
      <c r="F270" s="35">
        <f ca="1">'Preventative costs A'!F270-'Preventative costs B'!F270</f>
        <v>0</v>
      </c>
      <c r="G270" s="35">
        <f ca="1">'Preventative costs A'!G270-'Preventative costs B'!G270</f>
        <v>0</v>
      </c>
      <c r="H270" s="35">
        <f ca="1">'Preventative costs A'!H270-'Preventative costs B'!H270</f>
        <v>0</v>
      </c>
      <c r="I270" s="35">
        <f ca="1">'Preventative costs A'!I270-'Preventative costs B'!I270</f>
        <v>0</v>
      </c>
      <c r="J270" s="35">
        <f ca="1">'Preventative costs A'!J270-'Preventative costs B'!J270</f>
        <v>0</v>
      </c>
      <c r="K270" s="35">
        <f ca="1">'Preventative costs A'!K270-'Preventative costs B'!K270</f>
        <v>0</v>
      </c>
      <c r="M270" s="4" t="str">
        <f>'Library data'!$G$138</f>
        <v>% relative to RCP8.5</v>
      </c>
    </row>
    <row r="271" spans="1:13" s="8" customFormat="1" ht="15" thickTop="1" x14ac:dyDescent="0.25">
      <c r="A271" s="2" t="s">
        <v>299</v>
      </c>
      <c r="B271" s="2" t="s">
        <v>303</v>
      </c>
    </row>
    <row r="272" spans="1:13" s="7" customFormat="1" x14ac:dyDescent="0.2">
      <c r="A272" s="4" t="str">
        <f t="array" ref="A272:A279">R_CODE&amp;" "&amp;GLIN_NAME</f>
        <v>EU Lin</v>
      </c>
      <c r="B272" s="29">
        <f ca="1">'Preventative costs A'!B272-'Preventative costs B'!B272</f>
        <v>0</v>
      </c>
      <c r="C272" s="29">
        <f ca="1">'Preventative costs A'!C272-'Preventative costs B'!C272</f>
        <v>0</v>
      </c>
      <c r="D272" s="29">
        <f ca="1">'Preventative costs A'!D272-'Preventative costs B'!D272</f>
        <v>0</v>
      </c>
      <c r="E272" s="29">
        <f ca="1">'Preventative costs A'!E272-'Preventative costs B'!E272</f>
        <v>0</v>
      </c>
      <c r="F272" s="29">
        <f ca="1">'Preventative costs A'!F272-'Preventative costs B'!F272</f>
        <v>0</v>
      </c>
      <c r="G272" s="29">
        <f ca="1">'Preventative costs A'!G272-'Preventative costs B'!G272</f>
        <v>0</v>
      </c>
      <c r="H272" s="29">
        <f ca="1">'Preventative costs A'!H272-'Preventative costs B'!H272</f>
        <v>0</v>
      </c>
      <c r="I272" s="29">
        <f ca="1">'Preventative costs A'!I272-'Preventative costs B'!I272</f>
        <v>0</v>
      </c>
      <c r="J272" s="29">
        <f ca="1">'Preventative costs A'!J272-'Preventative costs B'!J272</f>
        <v>0</v>
      </c>
      <c r="K272" s="29">
        <f ca="1">'Preventative costs A'!K272-'Preventative costs B'!K272</f>
        <v>0</v>
      </c>
      <c r="M272" s="4" t="str">
        <f>'Library data'!$G$138</f>
        <v>% relative to RCP8.5</v>
      </c>
    </row>
    <row r="273" spans="1:13" s="7" customFormat="1" x14ac:dyDescent="0.2">
      <c r="A273" s="4" t="str">
        <v>US Lin</v>
      </c>
      <c r="B273" s="26">
        <f ca="1">'Preventative costs A'!B273-'Preventative costs B'!B273</f>
        <v>0</v>
      </c>
      <c r="C273" s="26">
        <f ca="1">'Preventative costs A'!C273-'Preventative costs B'!C273</f>
        <v>0</v>
      </c>
      <c r="D273" s="26">
        <f ca="1">'Preventative costs A'!D273-'Preventative costs B'!D273</f>
        <v>0</v>
      </c>
      <c r="E273" s="26">
        <f ca="1">'Preventative costs A'!E273-'Preventative costs B'!E273</f>
        <v>0</v>
      </c>
      <c r="F273" s="26">
        <f ca="1">'Preventative costs A'!F273-'Preventative costs B'!F273</f>
        <v>0</v>
      </c>
      <c r="G273" s="26">
        <f ca="1">'Preventative costs A'!G273-'Preventative costs B'!G273</f>
        <v>0</v>
      </c>
      <c r="H273" s="26">
        <f ca="1">'Preventative costs A'!H273-'Preventative costs B'!H273</f>
        <v>0</v>
      </c>
      <c r="I273" s="26">
        <f ca="1">'Preventative costs A'!I273-'Preventative costs B'!I273</f>
        <v>0</v>
      </c>
      <c r="J273" s="26">
        <f ca="1">'Preventative costs A'!J273-'Preventative costs B'!J273</f>
        <v>0</v>
      </c>
      <c r="K273" s="26">
        <f ca="1">'Preventative costs A'!K273-'Preventative costs B'!K273</f>
        <v>0</v>
      </c>
      <c r="M273" s="4" t="str">
        <f>'Library data'!$G$138</f>
        <v>% relative to RCP8.5</v>
      </c>
    </row>
    <row r="274" spans="1:13" s="7" customFormat="1" x14ac:dyDescent="0.2">
      <c r="A274" s="4" t="str">
        <v>OT Lin</v>
      </c>
      <c r="B274" s="26">
        <f ca="1">'Preventative costs A'!B274-'Preventative costs B'!B274</f>
        <v>0</v>
      </c>
      <c r="C274" s="26">
        <f ca="1">'Preventative costs A'!C274-'Preventative costs B'!C274</f>
        <v>0</v>
      </c>
      <c r="D274" s="26">
        <f ca="1">'Preventative costs A'!D274-'Preventative costs B'!D274</f>
        <v>0</v>
      </c>
      <c r="E274" s="26">
        <f ca="1">'Preventative costs A'!E274-'Preventative costs B'!E274</f>
        <v>0</v>
      </c>
      <c r="F274" s="26">
        <f ca="1">'Preventative costs A'!F274-'Preventative costs B'!F274</f>
        <v>0</v>
      </c>
      <c r="G274" s="26">
        <f ca="1">'Preventative costs A'!G274-'Preventative costs B'!G274</f>
        <v>0</v>
      </c>
      <c r="H274" s="26">
        <f ca="1">'Preventative costs A'!H274-'Preventative costs B'!H274</f>
        <v>0</v>
      </c>
      <c r="I274" s="26">
        <f ca="1">'Preventative costs A'!I274-'Preventative costs B'!I274</f>
        <v>0</v>
      </c>
      <c r="J274" s="26">
        <f ca="1">'Preventative costs A'!J274-'Preventative costs B'!J274</f>
        <v>0</v>
      </c>
      <c r="K274" s="26">
        <f ca="1">'Preventative costs A'!K274-'Preventative costs B'!K274</f>
        <v>0</v>
      </c>
      <c r="M274" s="4" t="str">
        <f>'Library data'!$G$138</f>
        <v>% relative to RCP8.5</v>
      </c>
    </row>
    <row r="275" spans="1:13" s="7" customFormat="1" x14ac:dyDescent="0.2">
      <c r="A275" s="4" t="str">
        <v>EE Lin</v>
      </c>
      <c r="B275" s="26">
        <f ca="1">'Preventative costs A'!B275-'Preventative costs B'!B275</f>
        <v>0</v>
      </c>
      <c r="C275" s="26">
        <f ca="1">'Preventative costs A'!C275-'Preventative costs B'!C275</f>
        <v>0</v>
      </c>
      <c r="D275" s="26">
        <f ca="1">'Preventative costs A'!D275-'Preventative costs B'!D275</f>
        <v>0</v>
      </c>
      <c r="E275" s="26">
        <f ca="1">'Preventative costs A'!E275-'Preventative costs B'!E275</f>
        <v>0</v>
      </c>
      <c r="F275" s="26">
        <f ca="1">'Preventative costs A'!F275-'Preventative costs B'!F275</f>
        <v>0</v>
      </c>
      <c r="G275" s="26">
        <f ca="1">'Preventative costs A'!G275-'Preventative costs B'!G275</f>
        <v>0</v>
      </c>
      <c r="H275" s="26">
        <f ca="1">'Preventative costs A'!H275-'Preventative costs B'!H275</f>
        <v>0</v>
      </c>
      <c r="I275" s="26">
        <f ca="1">'Preventative costs A'!I275-'Preventative costs B'!I275</f>
        <v>0</v>
      </c>
      <c r="J275" s="26">
        <f ca="1">'Preventative costs A'!J275-'Preventative costs B'!J275</f>
        <v>0</v>
      </c>
      <c r="K275" s="26">
        <f ca="1">'Preventative costs A'!K275-'Preventative costs B'!K275</f>
        <v>0</v>
      </c>
      <c r="M275" s="4" t="str">
        <f>'Library data'!$G$138</f>
        <v>% relative to RCP8.5</v>
      </c>
    </row>
    <row r="276" spans="1:13" s="7" customFormat="1" x14ac:dyDescent="0.2">
      <c r="A276" s="4" t="str">
        <v>CA Lin</v>
      </c>
      <c r="B276" s="26">
        <f ca="1">'Preventative costs A'!B276-'Preventative costs B'!B276</f>
        <v>0</v>
      </c>
      <c r="C276" s="26">
        <f ca="1">'Preventative costs A'!C276-'Preventative costs B'!C276</f>
        <v>0</v>
      </c>
      <c r="D276" s="26">
        <f ca="1">'Preventative costs A'!D276-'Preventative costs B'!D276</f>
        <v>0</v>
      </c>
      <c r="E276" s="26">
        <f ca="1">'Preventative costs A'!E276-'Preventative costs B'!E276</f>
        <v>0</v>
      </c>
      <c r="F276" s="26">
        <f ca="1">'Preventative costs A'!F276-'Preventative costs B'!F276</f>
        <v>0</v>
      </c>
      <c r="G276" s="26">
        <f ca="1">'Preventative costs A'!G276-'Preventative costs B'!G276</f>
        <v>0</v>
      </c>
      <c r="H276" s="26">
        <f ca="1">'Preventative costs A'!H276-'Preventative costs B'!H276</f>
        <v>0</v>
      </c>
      <c r="I276" s="26">
        <f ca="1">'Preventative costs A'!I276-'Preventative costs B'!I276</f>
        <v>0</v>
      </c>
      <c r="J276" s="26">
        <f ca="1">'Preventative costs A'!J276-'Preventative costs B'!J276</f>
        <v>0</v>
      </c>
      <c r="K276" s="26">
        <f ca="1">'Preventative costs A'!K276-'Preventative costs B'!K276</f>
        <v>0</v>
      </c>
      <c r="M276" s="4" t="str">
        <f>'Library data'!$G$138</f>
        <v>% relative to RCP8.5</v>
      </c>
    </row>
    <row r="277" spans="1:13" s="7" customFormat="1" x14ac:dyDescent="0.2">
      <c r="A277" s="4" t="str">
        <v>IA Lin</v>
      </c>
      <c r="B277" s="26">
        <f ca="1">'Preventative costs A'!B277-'Preventative costs B'!B277</f>
        <v>0</v>
      </c>
      <c r="C277" s="26">
        <f ca="1">'Preventative costs A'!C277-'Preventative costs B'!C277</f>
        <v>0</v>
      </c>
      <c r="D277" s="26">
        <f ca="1">'Preventative costs A'!D277-'Preventative costs B'!D277</f>
        <v>0</v>
      </c>
      <c r="E277" s="26">
        <f ca="1">'Preventative costs A'!E277-'Preventative costs B'!E277</f>
        <v>0</v>
      </c>
      <c r="F277" s="26">
        <f ca="1">'Preventative costs A'!F277-'Preventative costs B'!F277</f>
        <v>0</v>
      </c>
      <c r="G277" s="26">
        <f ca="1">'Preventative costs A'!G277-'Preventative costs B'!G277</f>
        <v>0</v>
      </c>
      <c r="H277" s="26">
        <f ca="1">'Preventative costs A'!H277-'Preventative costs B'!H277</f>
        <v>0</v>
      </c>
      <c r="I277" s="26">
        <f ca="1">'Preventative costs A'!I277-'Preventative costs B'!I277</f>
        <v>0</v>
      </c>
      <c r="J277" s="26">
        <f ca="1">'Preventative costs A'!J277-'Preventative costs B'!J277</f>
        <v>0</v>
      </c>
      <c r="K277" s="26">
        <f ca="1">'Preventative costs A'!K277-'Preventative costs B'!K277</f>
        <v>0</v>
      </c>
      <c r="M277" s="4" t="str">
        <f>'Library data'!$G$138</f>
        <v>% relative to RCP8.5</v>
      </c>
    </row>
    <row r="278" spans="1:13" s="7" customFormat="1" x14ac:dyDescent="0.2">
      <c r="A278" s="4" t="str">
        <v>AF Lin</v>
      </c>
      <c r="B278" s="26">
        <f ca="1">'Preventative costs A'!B278-'Preventative costs B'!B278</f>
        <v>0</v>
      </c>
      <c r="C278" s="26">
        <f ca="1">'Preventative costs A'!C278-'Preventative costs B'!C278</f>
        <v>0</v>
      </c>
      <c r="D278" s="26">
        <f ca="1">'Preventative costs A'!D278-'Preventative costs B'!D278</f>
        <v>0</v>
      </c>
      <c r="E278" s="26">
        <f ca="1">'Preventative costs A'!E278-'Preventative costs B'!E278</f>
        <v>0</v>
      </c>
      <c r="F278" s="26">
        <f ca="1">'Preventative costs A'!F278-'Preventative costs B'!F278</f>
        <v>0</v>
      </c>
      <c r="G278" s="26">
        <f ca="1">'Preventative costs A'!G278-'Preventative costs B'!G278</f>
        <v>0</v>
      </c>
      <c r="H278" s="26">
        <f ca="1">'Preventative costs A'!H278-'Preventative costs B'!H278</f>
        <v>0</v>
      </c>
      <c r="I278" s="26">
        <f ca="1">'Preventative costs A'!I278-'Preventative costs B'!I278</f>
        <v>0</v>
      </c>
      <c r="J278" s="26">
        <f ca="1">'Preventative costs A'!J278-'Preventative costs B'!J278</f>
        <v>0</v>
      </c>
      <c r="K278" s="26">
        <f ca="1">'Preventative costs A'!K278-'Preventative costs B'!K278</f>
        <v>0</v>
      </c>
      <c r="M278" s="4" t="str">
        <f>'Library data'!$G$138</f>
        <v>% relative to RCP8.5</v>
      </c>
    </row>
    <row r="279" spans="1:13" s="7" customFormat="1" ht="13.5" thickBot="1" x14ac:dyDescent="0.25">
      <c r="A279" s="4" t="str">
        <v>LA Lin</v>
      </c>
      <c r="B279" s="35">
        <f ca="1">'Preventative costs A'!B279-'Preventative costs B'!B279</f>
        <v>0</v>
      </c>
      <c r="C279" s="35">
        <f ca="1">'Preventative costs A'!C279-'Preventative costs B'!C279</f>
        <v>0</v>
      </c>
      <c r="D279" s="35">
        <f ca="1">'Preventative costs A'!D279-'Preventative costs B'!D279</f>
        <v>0</v>
      </c>
      <c r="E279" s="35">
        <f ca="1">'Preventative costs A'!E279-'Preventative costs B'!E279</f>
        <v>0</v>
      </c>
      <c r="F279" s="35">
        <f ca="1">'Preventative costs A'!F279-'Preventative costs B'!F279</f>
        <v>0</v>
      </c>
      <c r="G279" s="35">
        <f ca="1">'Preventative costs A'!G279-'Preventative costs B'!G279</f>
        <v>0</v>
      </c>
      <c r="H279" s="35">
        <f ca="1">'Preventative costs A'!H279-'Preventative costs B'!H279</f>
        <v>0</v>
      </c>
      <c r="I279" s="35">
        <f ca="1">'Preventative costs A'!I279-'Preventative costs B'!I279</f>
        <v>0</v>
      </c>
      <c r="J279" s="35">
        <f ca="1">'Preventative costs A'!J279-'Preventative costs B'!J279</f>
        <v>0</v>
      </c>
      <c r="K279" s="35">
        <f ca="1">'Preventative costs A'!K279-'Preventative costs B'!K279</f>
        <v>0</v>
      </c>
      <c r="M279" s="4" t="str">
        <f>'Library data'!$G$138</f>
        <v>% relative to RCP8.5</v>
      </c>
    </row>
    <row r="280" spans="1:13" s="2" customFormat="1" ht="15" thickTop="1" x14ac:dyDescent="0.25">
      <c r="A280" s="2" t="s">
        <v>299</v>
      </c>
      <c r="B280" s="2" t="s">
        <v>304</v>
      </c>
    </row>
    <row r="281" spans="1:13" s="6" customFormat="1" x14ac:dyDescent="0.2">
      <c r="A281" s="4" t="str">
        <f t="array" ref="A281:A288">R_CODE&amp;" "&amp;'Base data'!$B$12</f>
        <v>EU CO2</v>
      </c>
      <c r="B281" s="29">
        <f ca="1">'Preventative costs A'!B281-'Preventative costs B'!B281</f>
        <v>0</v>
      </c>
      <c r="C281" s="29">
        <f ca="1">'Preventative costs A'!C281-'Preventative costs B'!C281</f>
        <v>0</v>
      </c>
      <c r="D281" s="29">
        <f ca="1">'Preventative costs A'!D281-'Preventative costs B'!D281</f>
        <v>0</v>
      </c>
      <c r="E281" s="29">
        <f ca="1">'Preventative costs A'!E281-'Preventative costs B'!E281</f>
        <v>0</v>
      </c>
      <c r="F281" s="29">
        <f ca="1">'Preventative costs A'!F281-'Preventative costs B'!F281</f>
        <v>0</v>
      </c>
      <c r="G281" s="29">
        <f ca="1">'Preventative costs A'!G281-'Preventative costs B'!G281</f>
        <v>0</v>
      </c>
      <c r="H281" s="29">
        <f ca="1">'Preventative costs A'!H281-'Preventative costs B'!H281</f>
        <v>0</v>
      </c>
      <c r="I281" s="29">
        <f ca="1">'Preventative costs A'!I281-'Preventative costs B'!I281</f>
        <v>0</v>
      </c>
      <c r="J281" s="29">
        <f ca="1">'Preventative costs A'!J281-'Preventative costs B'!J281</f>
        <v>0</v>
      </c>
      <c r="K281" s="29">
        <f ca="1">'Preventative costs A'!K281-'Preventative costs B'!K281</f>
        <v>0</v>
      </c>
      <c r="M281" s="4" t="str">
        <f t="shared" ref="M281:M288" si="8">EMIT_NAME</f>
        <v>Mtonne</v>
      </c>
    </row>
    <row r="282" spans="1:13" s="6" customFormat="1" x14ac:dyDescent="0.2">
      <c r="A282" s="4" t="str">
        <v>US CO2</v>
      </c>
      <c r="B282" s="26">
        <f ca="1">'Preventative costs A'!B282-'Preventative costs B'!B282</f>
        <v>0</v>
      </c>
      <c r="C282" s="26">
        <f ca="1">'Preventative costs A'!C282-'Preventative costs B'!C282</f>
        <v>0</v>
      </c>
      <c r="D282" s="26">
        <f ca="1">'Preventative costs A'!D282-'Preventative costs B'!D282</f>
        <v>0</v>
      </c>
      <c r="E282" s="26">
        <f ca="1">'Preventative costs A'!E282-'Preventative costs B'!E282</f>
        <v>0</v>
      </c>
      <c r="F282" s="26">
        <f ca="1">'Preventative costs A'!F282-'Preventative costs B'!F282</f>
        <v>0</v>
      </c>
      <c r="G282" s="26">
        <f ca="1">'Preventative costs A'!G282-'Preventative costs B'!G282</f>
        <v>0</v>
      </c>
      <c r="H282" s="26">
        <f ca="1">'Preventative costs A'!H282-'Preventative costs B'!H282</f>
        <v>0</v>
      </c>
      <c r="I282" s="26">
        <f ca="1">'Preventative costs A'!I282-'Preventative costs B'!I282</f>
        <v>0</v>
      </c>
      <c r="J282" s="26">
        <f ca="1">'Preventative costs A'!J282-'Preventative costs B'!J282</f>
        <v>0</v>
      </c>
      <c r="K282" s="26">
        <f ca="1">'Preventative costs A'!K282-'Preventative costs B'!K282</f>
        <v>0</v>
      </c>
      <c r="M282" s="4" t="str">
        <f t="shared" si="8"/>
        <v>Mtonne</v>
      </c>
    </row>
    <row r="283" spans="1:13" s="6" customFormat="1" x14ac:dyDescent="0.2">
      <c r="A283" s="4" t="str">
        <v>OT CO2</v>
      </c>
      <c r="B283" s="26">
        <f ca="1">'Preventative costs A'!B283-'Preventative costs B'!B283</f>
        <v>0</v>
      </c>
      <c r="C283" s="26">
        <f ca="1">'Preventative costs A'!C283-'Preventative costs B'!C283</f>
        <v>0</v>
      </c>
      <c r="D283" s="26">
        <f ca="1">'Preventative costs A'!D283-'Preventative costs B'!D283</f>
        <v>0</v>
      </c>
      <c r="E283" s="26">
        <f ca="1">'Preventative costs A'!E283-'Preventative costs B'!E283</f>
        <v>0</v>
      </c>
      <c r="F283" s="26">
        <f ca="1">'Preventative costs A'!F283-'Preventative costs B'!F283</f>
        <v>0</v>
      </c>
      <c r="G283" s="26">
        <f ca="1">'Preventative costs A'!G283-'Preventative costs B'!G283</f>
        <v>0</v>
      </c>
      <c r="H283" s="26">
        <f ca="1">'Preventative costs A'!H283-'Preventative costs B'!H283</f>
        <v>0</v>
      </c>
      <c r="I283" s="26">
        <f ca="1">'Preventative costs A'!I283-'Preventative costs B'!I283</f>
        <v>0</v>
      </c>
      <c r="J283" s="26">
        <f ca="1">'Preventative costs A'!J283-'Preventative costs B'!J283</f>
        <v>0</v>
      </c>
      <c r="K283" s="26">
        <f ca="1">'Preventative costs A'!K283-'Preventative costs B'!K283</f>
        <v>0</v>
      </c>
      <c r="M283" s="4" t="str">
        <f t="shared" si="8"/>
        <v>Mtonne</v>
      </c>
    </row>
    <row r="284" spans="1:13" s="6" customFormat="1" x14ac:dyDescent="0.2">
      <c r="A284" s="4" t="str">
        <v>EE CO2</v>
      </c>
      <c r="B284" s="26">
        <f ca="1">'Preventative costs A'!B284-'Preventative costs B'!B284</f>
        <v>0</v>
      </c>
      <c r="C284" s="26">
        <f ca="1">'Preventative costs A'!C284-'Preventative costs B'!C284</f>
        <v>0</v>
      </c>
      <c r="D284" s="26">
        <f ca="1">'Preventative costs A'!D284-'Preventative costs B'!D284</f>
        <v>0</v>
      </c>
      <c r="E284" s="26">
        <f ca="1">'Preventative costs A'!E284-'Preventative costs B'!E284</f>
        <v>0</v>
      </c>
      <c r="F284" s="26">
        <f ca="1">'Preventative costs A'!F284-'Preventative costs B'!F284</f>
        <v>0</v>
      </c>
      <c r="G284" s="26">
        <f ca="1">'Preventative costs A'!G284-'Preventative costs B'!G284</f>
        <v>0</v>
      </c>
      <c r="H284" s="26">
        <f ca="1">'Preventative costs A'!H284-'Preventative costs B'!H284</f>
        <v>0</v>
      </c>
      <c r="I284" s="26">
        <f ca="1">'Preventative costs A'!I284-'Preventative costs B'!I284</f>
        <v>0</v>
      </c>
      <c r="J284" s="26">
        <f ca="1">'Preventative costs A'!J284-'Preventative costs B'!J284</f>
        <v>0</v>
      </c>
      <c r="K284" s="26">
        <f ca="1">'Preventative costs A'!K284-'Preventative costs B'!K284</f>
        <v>0</v>
      </c>
      <c r="M284" s="4" t="str">
        <f t="shared" si="8"/>
        <v>Mtonne</v>
      </c>
    </row>
    <row r="285" spans="1:13" s="6" customFormat="1" x14ac:dyDescent="0.2">
      <c r="A285" s="4" t="str">
        <v>CA CO2</v>
      </c>
      <c r="B285" s="26">
        <f ca="1">'Preventative costs A'!B285-'Preventative costs B'!B285</f>
        <v>0</v>
      </c>
      <c r="C285" s="26">
        <f ca="1">'Preventative costs A'!C285-'Preventative costs B'!C285</f>
        <v>0</v>
      </c>
      <c r="D285" s="26">
        <f ca="1">'Preventative costs A'!D285-'Preventative costs B'!D285</f>
        <v>0</v>
      </c>
      <c r="E285" s="26">
        <f ca="1">'Preventative costs A'!E285-'Preventative costs B'!E285</f>
        <v>0</v>
      </c>
      <c r="F285" s="26">
        <f ca="1">'Preventative costs A'!F285-'Preventative costs B'!F285</f>
        <v>0</v>
      </c>
      <c r="G285" s="26">
        <f ca="1">'Preventative costs A'!G285-'Preventative costs B'!G285</f>
        <v>0</v>
      </c>
      <c r="H285" s="26">
        <f ca="1">'Preventative costs A'!H285-'Preventative costs B'!H285</f>
        <v>0</v>
      </c>
      <c r="I285" s="26">
        <f ca="1">'Preventative costs A'!I285-'Preventative costs B'!I285</f>
        <v>0</v>
      </c>
      <c r="J285" s="26">
        <f ca="1">'Preventative costs A'!J285-'Preventative costs B'!J285</f>
        <v>0</v>
      </c>
      <c r="K285" s="26">
        <f ca="1">'Preventative costs A'!K285-'Preventative costs B'!K285</f>
        <v>0</v>
      </c>
      <c r="M285" s="4" t="str">
        <f t="shared" si="8"/>
        <v>Mtonne</v>
      </c>
    </row>
    <row r="286" spans="1:13" s="6" customFormat="1" x14ac:dyDescent="0.2">
      <c r="A286" s="4" t="str">
        <v>IA CO2</v>
      </c>
      <c r="B286" s="26">
        <f ca="1">'Preventative costs A'!B286-'Preventative costs B'!B286</f>
        <v>0</v>
      </c>
      <c r="C286" s="26">
        <f ca="1">'Preventative costs A'!C286-'Preventative costs B'!C286</f>
        <v>0</v>
      </c>
      <c r="D286" s="26">
        <f ca="1">'Preventative costs A'!D286-'Preventative costs B'!D286</f>
        <v>0</v>
      </c>
      <c r="E286" s="26">
        <f ca="1">'Preventative costs A'!E286-'Preventative costs B'!E286</f>
        <v>0</v>
      </c>
      <c r="F286" s="26">
        <f ca="1">'Preventative costs A'!F286-'Preventative costs B'!F286</f>
        <v>0</v>
      </c>
      <c r="G286" s="26">
        <f ca="1">'Preventative costs A'!G286-'Preventative costs B'!G286</f>
        <v>0</v>
      </c>
      <c r="H286" s="26">
        <f ca="1">'Preventative costs A'!H286-'Preventative costs B'!H286</f>
        <v>0</v>
      </c>
      <c r="I286" s="26">
        <f ca="1">'Preventative costs A'!I286-'Preventative costs B'!I286</f>
        <v>0</v>
      </c>
      <c r="J286" s="26">
        <f ca="1">'Preventative costs A'!J286-'Preventative costs B'!J286</f>
        <v>0</v>
      </c>
      <c r="K286" s="26">
        <f ca="1">'Preventative costs A'!K286-'Preventative costs B'!K286</f>
        <v>0</v>
      </c>
      <c r="M286" s="4" t="str">
        <f t="shared" si="8"/>
        <v>Mtonne</v>
      </c>
    </row>
    <row r="287" spans="1:13" s="6" customFormat="1" x14ac:dyDescent="0.2">
      <c r="A287" s="4" t="str">
        <v>AF CO2</v>
      </c>
      <c r="B287" s="26">
        <f ca="1">'Preventative costs A'!B287-'Preventative costs B'!B287</f>
        <v>0</v>
      </c>
      <c r="C287" s="26">
        <f ca="1">'Preventative costs A'!C287-'Preventative costs B'!C287</f>
        <v>0</v>
      </c>
      <c r="D287" s="26">
        <f ca="1">'Preventative costs A'!D287-'Preventative costs B'!D287</f>
        <v>0</v>
      </c>
      <c r="E287" s="26">
        <f ca="1">'Preventative costs A'!E287-'Preventative costs B'!E287</f>
        <v>0</v>
      </c>
      <c r="F287" s="26">
        <f ca="1">'Preventative costs A'!F287-'Preventative costs B'!F287</f>
        <v>0</v>
      </c>
      <c r="G287" s="26">
        <f ca="1">'Preventative costs A'!G287-'Preventative costs B'!G287</f>
        <v>0</v>
      </c>
      <c r="H287" s="26">
        <f ca="1">'Preventative costs A'!H287-'Preventative costs B'!H287</f>
        <v>0</v>
      </c>
      <c r="I287" s="26">
        <f ca="1">'Preventative costs A'!I287-'Preventative costs B'!I287</f>
        <v>0</v>
      </c>
      <c r="J287" s="26">
        <f ca="1">'Preventative costs A'!J287-'Preventative costs B'!J287</f>
        <v>0</v>
      </c>
      <c r="K287" s="26">
        <f ca="1">'Preventative costs A'!K287-'Preventative costs B'!K287</f>
        <v>0</v>
      </c>
      <c r="M287" s="4" t="str">
        <f t="shared" si="8"/>
        <v>Mtonne</v>
      </c>
    </row>
    <row r="288" spans="1:13" s="6" customFormat="1" ht="13.5" thickBot="1" x14ac:dyDescent="0.25">
      <c r="A288" s="4" t="str">
        <v>LA CO2</v>
      </c>
      <c r="B288" s="35">
        <f ca="1">'Preventative costs A'!B288-'Preventative costs B'!B288</f>
        <v>0</v>
      </c>
      <c r="C288" s="35">
        <f ca="1">'Preventative costs A'!C288-'Preventative costs B'!C288</f>
        <v>0</v>
      </c>
      <c r="D288" s="35">
        <f ca="1">'Preventative costs A'!D288-'Preventative costs B'!D288</f>
        <v>0</v>
      </c>
      <c r="E288" s="35">
        <f ca="1">'Preventative costs A'!E288-'Preventative costs B'!E288</f>
        <v>0</v>
      </c>
      <c r="F288" s="35">
        <f ca="1">'Preventative costs A'!F288-'Preventative costs B'!F288</f>
        <v>0</v>
      </c>
      <c r="G288" s="35">
        <f ca="1">'Preventative costs A'!G288-'Preventative costs B'!G288</f>
        <v>0</v>
      </c>
      <c r="H288" s="35">
        <f ca="1">'Preventative costs A'!H288-'Preventative costs B'!H288</f>
        <v>0</v>
      </c>
      <c r="I288" s="35">
        <f ca="1">'Preventative costs A'!I288-'Preventative costs B'!I288</f>
        <v>0</v>
      </c>
      <c r="J288" s="35">
        <f ca="1">'Preventative costs A'!J288-'Preventative costs B'!J288</f>
        <v>0</v>
      </c>
      <c r="K288" s="35">
        <f ca="1">'Preventative costs A'!K288-'Preventative costs B'!K288</f>
        <v>0</v>
      </c>
      <c r="M288" s="4" t="str">
        <f t="shared" si="8"/>
        <v>Mtonne</v>
      </c>
    </row>
    <row r="289" spans="1:13" s="8" customFormat="1" ht="15" thickTop="1" x14ac:dyDescent="0.25">
      <c r="A289" s="2" t="s">
        <v>299</v>
      </c>
      <c r="B289" s="2" t="s">
        <v>305</v>
      </c>
    </row>
    <row r="290" spans="1:13" s="7" customFormat="1" x14ac:dyDescent="0.2">
      <c r="A290" s="4" t="str">
        <f t="array" ref="A290:A297">R_CODE&amp;" "&amp;'Base data'!$C$12</f>
        <v>EU CH4</v>
      </c>
      <c r="B290" s="29">
        <f ca="1">'Preventative costs A'!B290-'Preventative costs B'!B290</f>
        <v>0</v>
      </c>
      <c r="C290" s="29">
        <f ca="1">'Preventative costs A'!C290-'Preventative costs B'!C290</f>
        <v>0</v>
      </c>
      <c r="D290" s="29">
        <f ca="1">'Preventative costs A'!D290-'Preventative costs B'!D290</f>
        <v>0</v>
      </c>
      <c r="E290" s="29">
        <f ca="1">'Preventative costs A'!E290-'Preventative costs B'!E290</f>
        <v>0</v>
      </c>
      <c r="F290" s="29">
        <f ca="1">'Preventative costs A'!F290-'Preventative costs B'!F290</f>
        <v>0</v>
      </c>
      <c r="G290" s="29">
        <f ca="1">'Preventative costs A'!G290-'Preventative costs B'!G290</f>
        <v>0</v>
      </c>
      <c r="H290" s="29">
        <f ca="1">'Preventative costs A'!H290-'Preventative costs B'!H290</f>
        <v>0</v>
      </c>
      <c r="I290" s="29">
        <f ca="1">'Preventative costs A'!I290-'Preventative costs B'!I290</f>
        <v>0</v>
      </c>
      <c r="J290" s="29">
        <f ca="1">'Preventative costs A'!J290-'Preventative costs B'!J290</f>
        <v>0</v>
      </c>
      <c r="K290" s="29">
        <f ca="1">'Preventative costs A'!K290-'Preventative costs B'!K290</f>
        <v>0</v>
      </c>
      <c r="M290" s="4" t="str">
        <f t="shared" ref="M290:M297" si="9">EMIT_NAME</f>
        <v>Mtonne</v>
      </c>
    </row>
    <row r="291" spans="1:13" s="7" customFormat="1" x14ac:dyDescent="0.2">
      <c r="A291" s="4" t="str">
        <v>US CH4</v>
      </c>
      <c r="B291" s="26">
        <f ca="1">'Preventative costs A'!B291-'Preventative costs B'!B291</f>
        <v>0</v>
      </c>
      <c r="C291" s="26">
        <f ca="1">'Preventative costs A'!C291-'Preventative costs B'!C291</f>
        <v>0</v>
      </c>
      <c r="D291" s="26">
        <f ca="1">'Preventative costs A'!D291-'Preventative costs B'!D291</f>
        <v>0</v>
      </c>
      <c r="E291" s="26">
        <f ca="1">'Preventative costs A'!E291-'Preventative costs B'!E291</f>
        <v>0</v>
      </c>
      <c r="F291" s="26">
        <f ca="1">'Preventative costs A'!F291-'Preventative costs B'!F291</f>
        <v>0</v>
      </c>
      <c r="G291" s="26">
        <f ca="1">'Preventative costs A'!G291-'Preventative costs B'!G291</f>
        <v>0</v>
      </c>
      <c r="H291" s="26">
        <f ca="1">'Preventative costs A'!H291-'Preventative costs B'!H291</f>
        <v>0</v>
      </c>
      <c r="I291" s="26">
        <f ca="1">'Preventative costs A'!I291-'Preventative costs B'!I291</f>
        <v>0</v>
      </c>
      <c r="J291" s="26">
        <f ca="1">'Preventative costs A'!J291-'Preventative costs B'!J291</f>
        <v>0</v>
      </c>
      <c r="K291" s="26">
        <f ca="1">'Preventative costs A'!K291-'Preventative costs B'!K291</f>
        <v>0</v>
      </c>
      <c r="M291" s="4" t="str">
        <f t="shared" si="9"/>
        <v>Mtonne</v>
      </c>
    </row>
    <row r="292" spans="1:13" s="7" customFormat="1" x14ac:dyDescent="0.2">
      <c r="A292" s="4" t="str">
        <v>OT CH4</v>
      </c>
      <c r="B292" s="26">
        <f ca="1">'Preventative costs A'!B292-'Preventative costs B'!B292</f>
        <v>0</v>
      </c>
      <c r="C292" s="26">
        <f ca="1">'Preventative costs A'!C292-'Preventative costs B'!C292</f>
        <v>0</v>
      </c>
      <c r="D292" s="26">
        <f ca="1">'Preventative costs A'!D292-'Preventative costs B'!D292</f>
        <v>0</v>
      </c>
      <c r="E292" s="26">
        <f ca="1">'Preventative costs A'!E292-'Preventative costs B'!E292</f>
        <v>0</v>
      </c>
      <c r="F292" s="26">
        <f ca="1">'Preventative costs A'!F292-'Preventative costs B'!F292</f>
        <v>0</v>
      </c>
      <c r="G292" s="26">
        <f ca="1">'Preventative costs A'!G292-'Preventative costs B'!G292</f>
        <v>0</v>
      </c>
      <c r="H292" s="26">
        <f ca="1">'Preventative costs A'!H292-'Preventative costs B'!H292</f>
        <v>0</v>
      </c>
      <c r="I292" s="26">
        <f ca="1">'Preventative costs A'!I292-'Preventative costs B'!I292</f>
        <v>0</v>
      </c>
      <c r="J292" s="26">
        <f ca="1">'Preventative costs A'!J292-'Preventative costs B'!J292</f>
        <v>0</v>
      </c>
      <c r="K292" s="26">
        <f ca="1">'Preventative costs A'!K292-'Preventative costs B'!K292</f>
        <v>0</v>
      </c>
      <c r="M292" s="4" t="str">
        <f t="shared" si="9"/>
        <v>Mtonne</v>
      </c>
    </row>
    <row r="293" spans="1:13" s="7" customFormat="1" x14ac:dyDescent="0.2">
      <c r="A293" s="4" t="str">
        <v>EE CH4</v>
      </c>
      <c r="B293" s="26">
        <f ca="1">'Preventative costs A'!B293-'Preventative costs B'!B293</f>
        <v>0</v>
      </c>
      <c r="C293" s="26">
        <f ca="1">'Preventative costs A'!C293-'Preventative costs B'!C293</f>
        <v>0</v>
      </c>
      <c r="D293" s="26">
        <f ca="1">'Preventative costs A'!D293-'Preventative costs B'!D293</f>
        <v>0</v>
      </c>
      <c r="E293" s="26">
        <f ca="1">'Preventative costs A'!E293-'Preventative costs B'!E293</f>
        <v>0</v>
      </c>
      <c r="F293" s="26">
        <f ca="1">'Preventative costs A'!F293-'Preventative costs B'!F293</f>
        <v>0</v>
      </c>
      <c r="G293" s="26">
        <f ca="1">'Preventative costs A'!G293-'Preventative costs B'!G293</f>
        <v>0</v>
      </c>
      <c r="H293" s="26">
        <f ca="1">'Preventative costs A'!H293-'Preventative costs B'!H293</f>
        <v>0</v>
      </c>
      <c r="I293" s="26">
        <f ca="1">'Preventative costs A'!I293-'Preventative costs B'!I293</f>
        <v>0</v>
      </c>
      <c r="J293" s="26">
        <f ca="1">'Preventative costs A'!J293-'Preventative costs B'!J293</f>
        <v>0</v>
      </c>
      <c r="K293" s="26">
        <f ca="1">'Preventative costs A'!K293-'Preventative costs B'!K293</f>
        <v>0</v>
      </c>
      <c r="M293" s="4" t="str">
        <f t="shared" si="9"/>
        <v>Mtonne</v>
      </c>
    </row>
    <row r="294" spans="1:13" s="7" customFormat="1" x14ac:dyDescent="0.2">
      <c r="A294" s="4" t="str">
        <v>CA CH4</v>
      </c>
      <c r="B294" s="26">
        <f ca="1">'Preventative costs A'!B294-'Preventative costs B'!B294</f>
        <v>0</v>
      </c>
      <c r="C294" s="26">
        <f ca="1">'Preventative costs A'!C294-'Preventative costs B'!C294</f>
        <v>0</v>
      </c>
      <c r="D294" s="26">
        <f ca="1">'Preventative costs A'!D294-'Preventative costs B'!D294</f>
        <v>0</v>
      </c>
      <c r="E294" s="26">
        <f ca="1">'Preventative costs A'!E294-'Preventative costs B'!E294</f>
        <v>0</v>
      </c>
      <c r="F294" s="26">
        <f ca="1">'Preventative costs A'!F294-'Preventative costs B'!F294</f>
        <v>0</v>
      </c>
      <c r="G294" s="26">
        <f ca="1">'Preventative costs A'!G294-'Preventative costs B'!G294</f>
        <v>0</v>
      </c>
      <c r="H294" s="26">
        <f ca="1">'Preventative costs A'!H294-'Preventative costs B'!H294</f>
        <v>0</v>
      </c>
      <c r="I294" s="26">
        <f ca="1">'Preventative costs A'!I294-'Preventative costs B'!I294</f>
        <v>0</v>
      </c>
      <c r="J294" s="26">
        <f ca="1">'Preventative costs A'!J294-'Preventative costs B'!J294</f>
        <v>0</v>
      </c>
      <c r="K294" s="26">
        <f ca="1">'Preventative costs A'!K294-'Preventative costs B'!K294</f>
        <v>0</v>
      </c>
      <c r="M294" s="4" t="str">
        <f t="shared" si="9"/>
        <v>Mtonne</v>
      </c>
    </row>
    <row r="295" spans="1:13" s="7" customFormat="1" x14ac:dyDescent="0.2">
      <c r="A295" s="4" t="str">
        <v>IA CH4</v>
      </c>
      <c r="B295" s="26">
        <f ca="1">'Preventative costs A'!B295-'Preventative costs B'!B295</f>
        <v>0</v>
      </c>
      <c r="C295" s="26">
        <f ca="1">'Preventative costs A'!C295-'Preventative costs B'!C295</f>
        <v>0</v>
      </c>
      <c r="D295" s="26">
        <f ca="1">'Preventative costs A'!D295-'Preventative costs B'!D295</f>
        <v>0</v>
      </c>
      <c r="E295" s="26">
        <f ca="1">'Preventative costs A'!E295-'Preventative costs B'!E295</f>
        <v>0</v>
      </c>
      <c r="F295" s="26">
        <f ca="1">'Preventative costs A'!F295-'Preventative costs B'!F295</f>
        <v>0</v>
      </c>
      <c r="G295" s="26">
        <f ca="1">'Preventative costs A'!G295-'Preventative costs B'!G295</f>
        <v>0</v>
      </c>
      <c r="H295" s="26">
        <f ca="1">'Preventative costs A'!H295-'Preventative costs B'!H295</f>
        <v>0</v>
      </c>
      <c r="I295" s="26">
        <f ca="1">'Preventative costs A'!I295-'Preventative costs B'!I295</f>
        <v>0</v>
      </c>
      <c r="J295" s="26">
        <f ca="1">'Preventative costs A'!J295-'Preventative costs B'!J295</f>
        <v>0</v>
      </c>
      <c r="K295" s="26">
        <f ca="1">'Preventative costs A'!K295-'Preventative costs B'!K295</f>
        <v>0</v>
      </c>
      <c r="M295" s="4" t="str">
        <f t="shared" si="9"/>
        <v>Mtonne</v>
      </c>
    </row>
    <row r="296" spans="1:13" s="7" customFormat="1" x14ac:dyDescent="0.2">
      <c r="A296" s="4" t="str">
        <v>AF CH4</v>
      </c>
      <c r="B296" s="26">
        <f ca="1">'Preventative costs A'!B296-'Preventative costs B'!B296</f>
        <v>0</v>
      </c>
      <c r="C296" s="26">
        <f ca="1">'Preventative costs A'!C296-'Preventative costs B'!C296</f>
        <v>0</v>
      </c>
      <c r="D296" s="26">
        <f ca="1">'Preventative costs A'!D296-'Preventative costs B'!D296</f>
        <v>0</v>
      </c>
      <c r="E296" s="26">
        <f ca="1">'Preventative costs A'!E296-'Preventative costs B'!E296</f>
        <v>0</v>
      </c>
      <c r="F296" s="26">
        <f ca="1">'Preventative costs A'!F296-'Preventative costs B'!F296</f>
        <v>0</v>
      </c>
      <c r="G296" s="26">
        <f ca="1">'Preventative costs A'!G296-'Preventative costs B'!G296</f>
        <v>0</v>
      </c>
      <c r="H296" s="26">
        <f ca="1">'Preventative costs A'!H296-'Preventative costs B'!H296</f>
        <v>0</v>
      </c>
      <c r="I296" s="26">
        <f ca="1">'Preventative costs A'!I296-'Preventative costs B'!I296</f>
        <v>0</v>
      </c>
      <c r="J296" s="26">
        <f ca="1">'Preventative costs A'!J296-'Preventative costs B'!J296</f>
        <v>0</v>
      </c>
      <c r="K296" s="26">
        <f ca="1">'Preventative costs A'!K296-'Preventative costs B'!K296</f>
        <v>0</v>
      </c>
      <c r="M296" s="4" t="str">
        <f t="shared" si="9"/>
        <v>Mtonne</v>
      </c>
    </row>
    <row r="297" spans="1:13" s="7" customFormat="1" ht="13.5" thickBot="1" x14ac:dyDescent="0.25">
      <c r="A297" s="4" t="str">
        <v>LA CH4</v>
      </c>
      <c r="B297" s="35">
        <f ca="1">'Preventative costs A'!B297-'Preventative costs B'!B297</f>
        <v>0</v>
      </c>
      <c r="C297" s="35">
        <f ca="1">'Preventative costs A'!C297-'Preventative costs B'!C297</f>
        <v>0</v>
      </c>
      <c r="D297" s="35">
        <f ca="1">'Preventative costs A'!D297-'Preventative costs B'!D297</f>
        <v>0</v>
      </c>
      <c r="E297" s="35">
        <f ca="1">'Preventative costs A'!E297-'Preventative costs B'!E297</f>
        <v>0</v>
      </c>
      <c r="F297" s="35">
        <f ca="1">'Preventative costs A'!F297-'Preventative costs B'!F297</f>
        <v>0</v>
      </c>
      <c r="G297" s="35">
        <f ca="1">'Preventative costs A'!G297-'Preventative costs B'!G297</f>
        <v>0</v>
      </c>
      <c r="H297" s="35">
        <f ca="1">'Preventative costs A'!H297-'Preventative costs B'!H297</f>
        <v>0</v>
      </c>
      <c r="I297" s="35">
        <f ca="1">'Preventative costs A'!I297-'Preventative costs B'!I297</f>
        <v>0</v>
      </c>
      <c r="J297" s="35">
        <f ca="1">'Preventative costs A'!J297-'Preventative costs B'!J297</f>
        <v>0</v>
      </c>
      <c r="K297" s="35">
        <f ca="1">'Preventative costs A'!K297-'Preventative costs B'!K297</f>
        <v>0</v>
      </c>
      <c r="M297" s="4" t="str">
        <f t="shared" si="9"/>
        <v>Mtonne</v>
      </c>
    </row>
    <row r="298" spans="1:13" s="8" customFormat="1" ht="15" thickTop="1" x14ac:dyDescent="0.25">
      <c r="A298" s="2" t="s">
        <v>299</v>
      </c>
      <c r="B298" s="2" t="s">
        <v>306</v>
      </c>
    </row>
    <row r="299" spans="1:13" s="7" customFormat="1" x14ac:dyDescent="0.2">
      <c r="A299" s="4" t="str">
        <f t="array" ref="A299:A306">R_CODE&amp;" "&amp;'Base data'!$D$12</f>
        <v>EU N2O</v>
      </c>
      <c r="B299" s="29">
        <f ca="1">'Preventative costs A'!B299-'Preventative costs B'!B299</f>
        <v>0</v>
      </c>
      <c r="C299" s="29">
        <f ca="1">'Preventative costs A'!C299-'Preventative costs B'!C299</f>
        <v>0</v>
      </c>
      <c r="D299" s="29">
        <f ca="1">'Preventative costs A'!D299-'Preventative costs B'!D299</f>
        <v>0</v>
      </c>
      <c r="E299" s="29">
        <f ca="1">'Preventative costs A'!E299-'Preventative costs B'!E299</f>
        <v>0</v>
      </c>
      <c r="F299" s="29">
        <f ca="1">'Preventative costs A'!F299-'Preventative costs B'!F299</f>
        <v>0</v>
      </c>
      <c r="G299" s="29">
        <f ca="1">'Preventative costs A'!G299-'Preventative costs B'!G299</f>
        <v>0</v>
      </c>
      <c r="H299" s="29">
        <f ca="1">'Preventative costs A'!H299-'Preventative costs B'!H299</f>
        <v>0</v>
      </c>
      <c r="I299" s="29">
        <f ca="1">'Preventative costs A'!I299-'Preventative costs B'!I299</f>
        <v>0</v>
      </c>
      <c r="J299" s="29">
        <f ca="1">'Preventative costs A'!J299-'Preventative costs B'!J299</f>
        <v>0</v>
      </c>
      <c r="K299" s="29">
        <f ca="1">'Preventative costs A'!K299-'Preventative costs B'!K299</f>
        <v>0</v>
      </c>
      <c r="M299" s="4" t="str">
        <f t="shared" ref="M299:M306" si="10">EMIT_NAME</f>
        <v>Mtonne</v>
      </c>
    </row>
    <row r="300" spans="1:13" s="7" customFormat="1" x14ac:dyDescent="0.2">
      <c r="A300" s="4" t="str">
        <v>US N2O</v>
      </c>
      <c r="B300" s="26">
        <f ca="1">'Preventative costs A'!B300-'Preventative costs B'!B300</f>
        <v>0</v>
      </c>
      <c r="C300" s="26">
        <f ca="1">'Preventative costs A'!C300-'Preventative costs B'!C300</f>
        <v>0</v>
      </c>
      <c r="D300" s="26">
        <f ca="1">'Preventative costs A'!D300-'Preventative costs B'!D300</f>
        <v>0</v>
      </c>
      <c r="E300" s="26">
        <f ca="1">'Preventative costs A'!E300-'Preventative costs B'!E300</f>
        <v>0</v>
      </c>
      <c r="F300" s="26">
        <f ca="1">'Preventative costs A'!F300-'Preventative costs B'!F300</f>
        <v>0</v>
      </c>
      <c r="G300" s="26">
        <f ca="1">'Preventative costs A'!G300-'Preventative costs B'!G300</f>
        <v>0</v>
      </c>
      <c r="H300" s="26">
        <f ca="1">'Preventative costs A'!H300-'Preventative costs B'!H300</f>
        <v>0</v>
      </c>
      <c r="I300" s="26">
        <f ca="1">'Preventative costs A'!I300-'Preventative costs B'!I300</f>
        <v>0</v>
      </c>
      <c r="J300" s="26">
        <f ca="1">'Preventative costs A'!J300-'Preventative costs B'!J300</f>
        <v>0</v>
      </c>
      <c r="K300" s="26">
        <f ca="1">'Preventative costs A'!K300-'Preventative costs B'!K300</f>
        <v>0</v>
      </c>
      <c r="M300" s="4" t="str">
        <f t="shared" si="10"/>
        <v>Mtonne</v>
      </c>
    </row>
    <row r="301" spans="1:13" s="7" customFormat="1" x14ac:dyDescent="0.2">
      <c r="A301" s="4" t="str">
        <v>OT N2O</v>
      </c>
      <c r="B301" s="26">
        <f ca="1">'Preventative costs A'!B301-'Preventative costs B'!B301</f>
        <v>0</v>
      </c>
      <c r="C301" s="26">
        <f ca="1">'Preventative costs A'!C301-'Preventative costs B'!C301</f>
        <v>0</v>
      </c>
      <c r="D301" s="26">
        <f ca="1">'Preventative costs A'!D301-'Preventative costs B'!D301</f>
        <v>0</v>
      </c>
      <c r="E301" s="26">
        <f ca="1">'Preventative costs A'!E301-'Preventative costs B'!E301</f>
        <v>0</v>
      </c>
      <c r="F301" s="26">
        <f ca="1">'Preventative costs A'!F301-'Preventative costs B'!F301</f>
        <v>0</v>
      </c>
      <c r="G301" s="26">
        <f ca="1">'Preventative costs A'!G301-'Preventative costs B'!G301</f>
        <v>0</v>
      </c>
      <c r="H301" s="26">
        <f ca="1">'Preventative costs A'!H301-'Preventative costs B'!H301</f>
        <v>0</v>
      </c>
      <c r="I301" s="26">
        <f ca="1">'Preventative costs A'!I301-'Preventative costs B'!I301</f>
        <v>0</v>
      </c>
      <c r="J301" s="26">
        <f ca="1">'Preventative costs A'!J301-'Preventative costs B'!J301</f>
        <v>0</v>
      </c>
      <c r="K301" s="26">
        <f ca="1">'Preventative costs A'!K301-'Preventative costs B'!K301</f>
        <v>0</v>
      </c>
      <c r="M301" s="4" t="str">
        <f t="shared" si="10"/>
        <v>Mtonne</v>
      </c>
    </row>
    <row r="302" spans="1:13" s="7" customFormat="1" x14ac:dyDescent="0.2">
      <c r="A302" s="4" t="str">
        <v>EE N2O</v>
      </c>
      <c r="B302" s="26">
        <f ca="1">'Preventative costs A'!B302-'Preventative costs B'!B302</f>
        <v>0</v>
      </c>
      <c r="C302" s="26">
        <f ca="1">'Preventative costs A'!C302-'Preventative costs B'!C302</f>
        <v>0</v>
      </c>
      <c r="D302" s="26">
        <f ca="1">'Preventative costs A'!D302-'Preventative costs B'!D302</f>
        <v>0</v>
      </c>
      <c r="E302" s="26">
        <f ca="1">'Preventative costs A'!E302-'Preventative costs B'!E302</f>
        <v>0</v>
      </c>
      <c r="F302" s="26">
        <f ca="1">'Preventative costs A'!F302-'Preventative costs B'!F302</f>
        <v>0</v>
      </c>
      <c r="G302" s="26">
        <f ca="1">'Preventative costs A'!G302-'Preventative costs B'!G302</f>
        <v>0</v>
      </c>
      <c r="H302" s="26">
        <f ca="1">'Preventative costs A'!H302-'Preventative costs B'!H302</f>
        <v>0</v>
      </c>
      <c r="I302" s="26">
        <f ca="1">'Preventative costs A'!I302-'Preventative costs B'!I302</f>
        <v>0</v>
      </c>
      <c r="J302" s="26">
        <f ca="1">'Preventative costs A'!J302-'Preventative costs B'!J302</f>
        <v>0</v>
      </c>
      <c r="K302" s="26">
        <f ca="1">'Preventative costs A'!K302-'Preventative costs B'!K302</f>
        <v>0</v>
      </c>
      <c r="M302" s="4" t="str">
        <f t="shared" si="10"/>
        <v>Mtonne</v>
      </c>
    </row>
    <row r="303" spans="1:13" s="7" customFormat="1" x14ac:dyDescent="0.2">
      <c r="A303" s="4" t="str">
        <v>CA N2O</v>
      </c>
      <c r="B303" s="26">
        <f ca="1">'Preventative costs A'!B303-'Preventative costs B'!B303</f>
        <v>0</v>
      </c>
      <c r="C303" s="26">
        <f ca="1">'Preventative costs A'!C303-'Preventative costs B'!C303</f>
        <v>0</v>
      </c>
      <c r="D303" s="26">
        <f ca="1">'Preventative costs A'!D303-'Preventative costs B'!D303</f>
        <v>0</v>
      </c>
      <c r="E303" s="26">
        <f ca="1">'Preventative costs A'!E303-'Preventative costs B'!E303</f>
        <v>0</v>
      </c>
      <c r="F303" s="26">
        <f ca="1">'Preventative costs A'!F303-'Preventative costs B'!F303</f>
        <v>0</v>
      </c>
      <c r="G303" s="26">
        <f ca="1">'Preventative costs A'!G303-'Preventative costs B'!G303</f>
        <v>0</v>
      </c>
      <c r="H303" s="26">
        <f ca="1">'Preventative costs A'!H303-'Preventative costs B'!H303</f>
        <v>0</v>
      </c>
      <c r="I303" s="26">
        <f ca="1">'Preventative costs A'!I303-'Preventative costs B'!I303</f>
        <v>0</v>
      </c>
      <c r="J303" s="26">
        <f ca="1">'Preventative costs A'!J303-'Preventative costs B'!J303</f>
        <v>0</v>
      </c>
      <c r="K303" s="26">
        <f ca="1">'Preventative costs A'!K303-'Preventative costs B'!K303</f>
        <v>0</v>
      </c>
      <c r="M303" s="4" t="str">
        <f t="shared" si="10"/>
        <v>Mtonne</v>
      </c>
    </row>
    <row r="304" spans="1:13" s="7" customFormat="1" x14ac:dyDescent="0.2">
      <c r="A304" s="4" t="str">
        <v>IA N2O</v>
      </c>
      <c r="B304" s="26">
        <f ca="1">'Preventative costs A'!B304-'Preventative costs B'!B304</f>
        <v>0</v>
      </c>
      <c r="C304" s="26">
        <f ca="1">'Preventative costs A'!C304-'Preventative costs B'!C304</f>
        <v>0</v>
      </c>
      <c r="D304" s="26">
        <f ca="1">'Preventative costs A'!D304-'Preventative costs B'!D304</f>
        <v>0</v>
      </c>
      <c r="E304" s="26">
        <f ca="1">'Preventative costs A'!E304-'Preventative costs B'!E304</f>
        <v>0</v>
      </c>
      <c r="F304" s="26">
        <f ca="1">'Preventative costs A'!F304-'Preventative costs B'!F304</f>
        <v>0</v>
      </c>
      <c r="G304" s="26">
        <f ca="1">'Preventative costs A'!G304-'Preventative costs B'!G304</f>
        <v>0</v>
      </c>
      <c r="H304" s="26">
        <f ca="1">'Preventative costs A'!H304-'Preventative costs B'!H304</f>
        <v>0</v>
      </c>
      <c r="I304" s="26">
        <f ca="1">'Preventative costs A'!I304-'Preventative costs B'!I304</f>
        <v>0</v>
      </c>
      <c r="J304" s="26">
        <f ca="1">'Preventative costs A'!J304-'Preventative costs B'!J304</f>
        <v>0</v>
      </c>
      <c r="K304" s="26">
        <f ca="1">'Preventative costs A'!K304-'Preventative costs B'!K304</f>
        <v>0</v>
      </c>
      <c r="M304" s="4" t="str">
        <f t="shared" si="10"/>
        <v>Mtonne</v>
      </c>
    </row>
    <row r="305" spans="1:13" s="7" customFormat="1" x14ac:dyDescent="0.2">
      <c r="A305" s="4" t="str">
        <v>AF N2O</v>
      </c>
      <c r="B305" s="26">
        <f ca="1">'Preventative costs A'!B305-'Preventative costs B'!B305</f>
        <v>0</v>
      </c>
      <c r="C305" s="26">
        <f ca="1">'Preventative costs A'!C305-'Preventative costs B'!C305</f>
        <v>0</v>
      </c>
      <c r="D305" s="26">
        <f ca="1">'Preventative costs A'!D305-'Preventative costs B'!D305</f>
        <v>0</v>
      </c>
      <c r="E305" s="26">
        <f ca="1">'Preventative costs A'!E305-'Preventative costs B'!E305</f>
        <v>0</v>
      </c>
      <c r="F305" s="26">
        <f ca="1">'Preventative costs A'!F305-'Preventative costs B'!F305</f>
        <v>0</v>
      </c>
      <c r="G305" s="26">
        <f ca="1">'Preventative costs A'!G305-'Preventative costs B'!G305</f>
        <v>0</v>
      </c>
      <c r="H305" s="26">
        <f ca="1">'Preventative costs A'!H305-'Preventative costs B'!H305</f>
        <v>0</v>
      </c>
      <c r="I305" s="26">
        <f ca="1">'Preventative costs A'!I305-'Preventative costs B'!I305</f>
        <v>0</v>
      </c>
      <c r="J305" s="26">
        <f ca="1">'Preventative costs A'!J305-'Preventative costs B'!J305</f>
        <v>0</v>
      </c>
      <c r="K305" s="26">
        <f ca="1">'Preventative costs A'!K305-'Preventative costs B'!K305</f>
        <v>0</v>
      </c>
      <c r="M305" s="4" t="str">
        <f t="shared" si="10"/>
        <v>Mtonne</v>
      </c>
    </row>
    <row r="306" spans="1:13" s="7" customFormat="1" ht="13.5" thickBot="1" x14ac:dyDescent="0.25">
      <c r="A306" s="4" t="str">
        <v>LA N2O</v>
      </c>
      <c r="B306" s="35">
        <f ca="1">'Preventative costs A'!B306-'Preventative costs B'!B306</f>
        <v>0</v>
      </c>
      <c r="C306" s="35">
        <f ca="1">'Preventative costs A'!C306-'Preventative costs B'!C306</f>
        <v>0</v>
      </c>
      <c r="D306" s="35">
        <f ca="1">'Preventative costs A'!D306-'Preventative costs B'!D306</f>
        <v>0</v>
      </c>
      <c r="E306" s="35">
        <f ca="1">'Preventative costs A'!E306-'Preventative costs B'!E306</f>
        <v>0</v>
      </c>
      <c r="F306" s="35">
        <f ca="1">'Preventative costs A'!F306-'Preventative costs B'!F306</f>
        <v>0</v>
      </c>
      <c r="G306" s="35">
        <f ca="1">'Preventative costs A'!G306-'Preventative costs B'!G306</f>
        <v>0</v>
      </c>
      <c r="H306" s="35">
        <f ca="1">'Preventative costs A'!H306-'Preventative costs B'!H306</f>
        <v>0</v>
      </c>
      <c r="I306" s="35">
        <f ca="1">'Preventative costs A'!I306-'Preventative costs B'!I306</f>
        <v>0</v>
      </c>
      <c r="J306" s="35">
        <f ca="1">'Preventative costs A'!J306-'Preventative costs B'!J306</f>
        <v>0</v>
      </c>
      <c r="K306" s="35">
        <f ca="1">'Preventative costs A'!K306-'Preventative costs B'!K306</f>
        <v>0</v>
      </c>
      <c r="M306" s="4" t="str">
        <f t="shared" si="10"/>
        <v>Mtonne</v>
      </c>
    </row>
    <row r="307" spans="1:13" s="8" customFormat="1" ht="15" thickTop="1" x14ac:dyDescent="0.25">
      <c r="A307" s="2" t="s">
        <v>299</v>
      </c>
      <c r="B307" s="2" t="s">
        <v>307</v>
      </c>
    </row>
    <row r="308" spans="1:13" s="7" customFormat="1" x14ac:dyDescent="0.2">
      <c r="A308" s="4" t="str">
        <f t="array" ref="A308:A315">R_CODE&amp;" "&amp;GLIN_NAME</f>
        <v>EU Lin</v>
      </c>
      <c r="B308" s="29">
        <f ca="1">'Preventative costs A'!B308-'Preventative costs B'!B308</f>
        <v>0</v>
      </c>
      <c r="C308" s="29">
        <f ca="1">'Preventative costs A'!C308-'Preventative costs B'!C308</f>
        <v>0</v>
      </c>
      <c r="D308" s="29">
        <f ca="1">'Preventative costs A'!D308-'Preventative costs B'!D308</f>
        <v>0</v>
      </c>
      <c r="E308" s="29">
        <f ca="1">'Preventative costs A'!E308-'Preventative costs B'!E308</f>
        <v>0</v>
      </c>
      <c r="F308" s="29">
        <f ca="1">'Preventative costs A'!F308-'Preventative costs B'!F308</f>
        <v>0</v>
      </c>
      <c r="G308" s="29">
        <f ca="1">'Preventative costs A'!G308-'Preventative costs B'!G308</f>
        <v>0</v>
      </c>
      <c r="H308" s="29">
        <f ca="1">'Preventative costs A'!H308-'Preventative costs B'!H308</f>
        <v>0</v>
      </c>
      <c r="I308" s="29">
        <f ca="1">'Preventative costs A'!I308-'Preventative costs B'!I308</f>
        <v>0</v>
      </c>
      <c r="J308" s="29">
        <f ca="1">'Preventative costs A'!J308-'Preventative costs B'!J308</f>
        <v>0</v>
      </c>
      <c r="K308" s="29">
        <f ca="1">'Preventative costs A'!K308-'Preventative costs B'!K308</f>
        <v>0</v>
      </c>
      <c r="M308" s="4" t="str">
        <f t="shared" ref="M308:M315" si="11">EMIT_NAME</f>
        <v>Mtonne</v>
      </c>
    </row>
    <row r="309" spans="1:13" s="7" customFormat="1" x14ac:dyDescent="0.2">
      <c r="A309" s="4" t="str">
        <v>US Lin</v>
      </c>
      <c r="B309" s="26">
        <f ca="1">'Preventative costs A'!B309-'Preventative costs B'!B309</f>
        <v>0</v>
      </c>
      <c r="C309" s="26">
        <f ca="1">'Preventative costs A'!C309-'Preventative costs B'!C309</f>
        <v>0</v>
      </c>
      <c r="D309" s="26">
        <f ca="1">'Preventative costs A'!D309-'Preventative costs B'!D309</f>
        <v>0</v>
      </c>
      <c r="E309" s="26">
        <f ca="1">'Preventative costs A'!E309-'Preventative costs B'!E309</f>
        <v>0</v>
      </c>
      <c r="F309" s="26">
        <f ca="1">'Preventative costs A'!F309-'Preventative costs B'!F309</f>
        <v>0</v>
      </c>
      <c r="G309" s="26">
        <f ca="1">'Preventative costs A'!G309-'Preventative costs B'!G309</f>
        <v>0</v>
      </c>
      <c r="H309" s="26">
        <f ca="1">'Preventative costs A'!H309-'Preventative costs B'!H309</f>
        <v>0</v>
      </c>
      <c r="I309" s="26">
        <f ca="1">'Preventative costs A'!I309-'Preventative costs B'!I309</f>
        <v>0</v>
      </c>
      <c r="J309" s="26">
        <f ca="1">'Preventative costs A'!J309-'Preventative costs B'!J309</f>
        <v>0</v>
      </c>
      <c r="K309" s="26">
        <f ca="1">'Preventative costs A'!K309-'Preventative costs B'!K309</f>
        <v>0</v>
      </c>
      <c r="M309" s="4" t="str">
        <f t="shared" si="11"/>
        <v>Mtonne</v>
      </c>
    </row>
    <row r="310" spans="1:13" s="7" customFormat="1" x14ac:dyDescent="0.2">
      <c r="A310" s="4" t="str">
        <v>OT Lin</v>
      </c>
      <c r="B310" s="26">
        <f ca="1">'Preventative costs A'!B310-'Preventative costs B'!B310</f>
        <v>0</v>
      </c>
      <c r="C310" s="26">
        <f ca="1">'Preventative costs A'!C310-'Preventative costs B'!C310</f>
        <v>0</v>
      </c>
      <c r="D310" s="26">
        <f ca="1">'Preventative costs A'!D310-'Preventative costs B'!D310</f>
        <v>0</v>
      </c>
      <c r="E310" s="26">
        <f ca="1">'Preventative costs A'!E310-'Preventative costs B'!E310</f>
        <v>0</v>
      </c>
      <c r="F310" s="26">
        <f ca="1">'Preventative costs A'!F310-'Preventative costs B'!F310</f>
        <v>0</v>
      </c>
      <c r="G310" s="26">
        <f ca="1">'Preventative costs A'!G310-'Preventative costs B'!G310</f>
        <v>0</v>
      </c>
      <c r="H310" s="26">
        <f ca="1">'Preventative costs A'!H310-'Preventative costs B'!H310</f>
        <v>0</v>
      </c>
      <c r="I310" s="26">
        <f ca="1">'Preventative costs A'!I310-'Preventative costs B'!I310</f>
        <v>0</v>
      </c>
      <c r="J310" s="26">
        <f ca="1">'Preventative costs A'!J310-'Preventative costs B'!J310</f>
        <v>0</v>
      </c>
      <c r="K310" s="26">
        <f ca="1">'Preventative costs A'!K310-'Preventative costs B'!K310</f>
        <v>0</v>
      </c>
      <c r="M310" s="4" t="str">
        <f t="shared" si="11"/>
        <v>Mtonne</v>
      </c>
    </row>
    <row r="311" spans="1:13" s="7" customFormat="1" x14ac:dyDescent="0.2">
      <c r="A311" s="4" t="str">
        <v>EE Lin</v>
      </c>
      <c r="B311" s="26">
        <f ca="1">'Preventative costs A'!B311-'Preventative costs B'!B311</f>
        <v>0</v>
      </c>
      <c r="C311" s="26">
        <f ca="1">'Preventative costs A'!C311-'Preventative costs B'!C311</f>
        <v>0</v>
      </c>
      <c r="D311" s="26">
        <f ca="1">'Preventative costs A'!D311-'Preventative costs B'!D311</f>
        <v>0</v>
      </c>
      <c r="E311" s="26">
        <f ca="1">'Preventative costs A'!E311-'Preventative costs B'!E311</f>
        <v>0</v>
      </c>
      <c r="F311" s="26">
        <f ca="1">'Preventative costs A'!F311-'Preventative costs B'!F311</f>
        <v>0</v>
      </c>
      <c r="G311" s="26">
        <f ca="1">'Preventative costs A'!G311-'Preventative costs B'!G311</f>
        <v>0</v>
      </c>
      <c r="H311" s="26">
        <f ca="1">'Preventative costs A'!H311-'Preventative costs B'!H311</f>
        <v>0</v>
      </c>
      <c r="I311" s="26">
        <f ca="1">'Preventative costs A'!I311-'Preventative costs B'!I311</f>
        <v>0</v>
      </c>
      <c r="J311" s="26">
        <f ca="1">'Preventative costs A'!J311-'Preventative costs B'!J311</f>
        <v>0</v>
      </c>
      <c r="K311" s="26">
        <f ca="1">'Preventative costs A'!K311-'Preventative costs B'!K311</f>
        <v>0</v>
      </c>
      <c r="M311" s="4" t="str">
        <f t="shared" si="11"/>
        <v>Mtonne</v>
      </c>
    </row>
    <row r="312" spans="1:13" s="7" customFormat="1" x14ac:dyDescent="0.2">
      <c r="A312" s="4" t="str">
        <v>CA Lin</v>
      </c>
      <c r="B312" s="26">
        <f ca="1">'Preventative costs A'!B312-'Preventative costs B'!B312</f>
        <v>0</v>
      </c>
      <c r="C312" s="26">
        <f ca="1">'Preventative costs A'!C312-'Preventative costs B'!C312</f>
        <v>0</v>
      </c>
      <c r="D312" s="26">
        <f ca="1">'Preventative costs A'!D312-'Preventative costs B'!D312</f>
        <v>0</v>
      </c>
      <c r="E312" s="26">
        <f ca="1">'Preventative costs A'!E312-'Preventative costs B'!E312</f>
        <v>0</v>
      </c>
      <c r="F312" s="26">
        <f ca="1">'Preventative costs A'!F312-'Preventative costs B'!F312</f>
        <v>0</v>
      </c>
      <c r="G312" s="26">
        <f ca="1">'Preventative costs A'!G312-'Preventative costs B'!G312</f>
        <v>0</v>
      </c>
      <c r="H312" s="26">
        <f ca="1">'Preventative costs A'!H312-'Preventative costs B'!H312</f>
        <v>0</v>
      </c>
      <c r="I312" s="26">
        <f ca="1">'Preventative costs A'!I312-'Preventative costs B'!I312</f>
        <v>0</v>
      </c>
      <c r="J312" s="26">
        <f ca="1">'Preventative costs A'!J312-'Preventative costs B'!J312</f>
        <v>0</v>
      </c>
      <c r="K312" s="26">
        <f ca="1">'Preventative costs A'!K312-'Preventative costs B'!K312</f>
        <v>0</v>
      </c>
      <c r="M312" s="4" t="str">
        <f t="shared" si="11"/>
        <v>Mtonne</v>
      </c>
    </row>
    <row r="313" spans="1:13" s="7" customFormat="1" x14ac:dyDescent="0.2">
      <c r="A313" s="4" t="str">
        <v>IA Lin</v>
      </c>
      <c r="B313" s="26">
        <f ca="1">'Preventative costs A'!B313-'Preventative costs B'!B313</f>
        <v>0</v>
      </c>
      <c r="C313" s="26">
        <f ca="1">'Preventative costs A'!C313-'Preventative costs B'!C313</f>
        <v>0</v>
      </c>
      <c r="D313" s="26">
        <f ca="1">'Preventative costs A'!D313-'Preventative costs B'!D313</f>
        <v>0</v>
      </c>
      <c r="E313" s="26">
        <f ca="1">'Preventative costs A'!E313-'Preventative costs B'!E313</f>
        <v>0</v>
      </c>
      <c r="F313" s="26">
        <f ca="1">'Preventative costs A'!F313-'Preventative costs B'!F313</f>
        <v>0</v>
      </c>
      <c r="G313" s="26">
        <f ca="1">'Preventative costs A'!G313-'Preventative costs B'!G313</f>
        <v>0</v>
      </c>
      <c r="H313" s="26">
        <f ca="1">'Preventative costs A'!H313-'Preventative costs B'!H313</f>
        <v>0</v>
      </c>
      <c r="I313" s="26">
        <f ca="1">'Preventative costs A'!I313-'Preventative costs B'!I313</f>
        <v>0</v>
      </c>
      <c r="J313" s="26">
        <f ca="1">'Preventative costs A'!J313-'Preventative costs B'!J313</f>
        <v>0</v>
      </c>
      <c r="K313" s="26">
        <f ca="1">'Preventative costs A'!K313-'Preventative costs B'!K313</f>
        <v>0</v>
      </c>
      <c r="M313" s="4" t="str">
        <f t="shared" si="11"/>
        <v>Mtonne</v>
      </c>
    </row>
    <row r="314" spans="1:13" s="7" customFormat="1" x14ac:dyDescent="0.2">
      <c r="A314" s="4" t="str">
        <v>AF Lin</v>
      </c>
      <c r="B314" s="26">
        <f ca="1">'Preventative costs A'!B314-'Preventative costs B'!B314</f>
        <v>0</v>
      </c>
      <c r="C314" s="26">
        <f ca="1">'Preventative costs A'!C314-'Preventative costs B'!C314</f>
        <v>0</v>
      </c>
      <c r="D314" s="26">
        <f ca="1">'Preventative costs A'!D314-'Preventative costs B'!D314</f>
        <v>0</v>
      </c>
      <c r="E314" s="26">
        <f ca="1">'Preventative costs A'!E314-'Preventative costs B'!E314</f>
        <v>0</v>
      </c>
      <c r="F314" s="26">
        <f ca="1">'Preventative costs A'!F314-'Preventative costs B'!F314</f>
        <v>0</v>
      </c>
      <c r="G314" s="26">
        <f ca="1">'Preventative costs A'!G314-'Preventative costs B'!G314</f>
        <v>0</v>
      </c>
      <c r="H314" s="26">
        <f ca="1">'Preventative costs A'!H314-'Preventative costs B'!H314</f>
        <v>0</v>
      </c>
      <c r="I314" s="26">
        <f ca="1">'Preventative costs A'!I314-'Preventative costs B'!I314</f>
        <v>0</v>
      </c>
      <c r="J314" s="26">
        <f ca="1">'Preventative costs A'!J314-'Preventative costs B'!J314</f>
        <v>0</v>
      </c>
      <c r="K314" s="26">
        <f ca="1">'Preventative costs A'!K314-'Preventative costs B'!K314</f>
        <v>0</v>
      </c>
      <c r="M314" s="4" t="str">
        <f t="shared" si="11"/>
        <v>Mtonne</v>
      </c>
    </row>
    <row r="315" spans="1:13" s="7" customFormat="1" ht="13.5" thickBot="1" x14ac:dyDescent="0.25">
      <c r="A315" s="4" t="str">
        <v>LA Lin</v>
      </c>
      <c r="B315" s="35">
        <f ca="1">'Preventative costs A'!B315-'Preventative costs B'!B315</f>
        <v>0</v>
      </c>
      <c r="C315" s="35">
        <f ca="1">'Preventative costs A'!C315-'Preventative costs B'!C315</f>
        <v>0</v>
      </c>
      <c r="D315" s="35">
        <f ca="1">'Preventative costs A'!D315-'Preventative costs B'!D315</f>
        <v>0</v>
      </c>
      <c r="E315" s="35">
        <f ca="1">'Preventative costs A'!E315-'Preventative costs B'!E315</f>
        <v>0</v>
      </c>
      <c r="F315" s="35">
        <f ca="1">'Preventative costs A'!F315-'Preventative costs B'!F315</f>
        <v>0</v>
      </c>
      <c r="G315" s="35">
        <f ca="1">'Preventative costs A'!G315-'Preventative costs B'!G315</f>
        <v>0</v>
      </c>
      <c r="H315" s="35">
        <f ca="1">'Preventative costs A'!H315-'Preventative costs B'!H315</f>
        <v>0</v>
      </c>
      <c r="I315" s="35">
        <f ca="1">'Preventative costs A'!I315-'Preventative costs B'!I315</f>
        <v>0</v>
      </c>
      <c r="J315" s="35">
        <f ca="1">'Preventative costs A'!J315-'Preventative costs B'!J315</f>
        <v>0</v>
      </c>
      <c r="K315" s="35">
        <f ca="1">'Preventative costs A'!K315-'Preventative costs B'!K315</f>
        <v>0</v>
      </c>
      <c r="M315" s="4" t="str">
        <f t="shared" si="11"/>
        <v>Mtonne</v>
      </c>
    </row>
    <row r="316" spans="1:13" s="2" customFormat="1" ht="15" thickTop="1" x14ac:dyDescent="0.25">
      <c r="A316" s="2" t="s">
        <v>312</v>
      </c>
      <c r="B316" s="2" t="s">
        <v>313</v>
      </c>
    </row>
    <row r="317" spans="1:13" s="6" customFormat="1" x14ac:dyDescent="0.2">
      <c r="A317" s="4" t="str">
        <f t="array" ref="A317:A324">R_CODE&amp;" "&amp;'Base data'!$B$12</f>
        <v>EU CO2</v>
      </c>
      <c r="B317" s="29">
        <f ca="1">'Preventative costs A'!B317-'Preventative costs B'!B317</f>
        <v>0</v>
      </c>
      <c r="C317" s="29">
        <f ca="1">'Preventative costs A'!C317-'Preventative costs B'!C317</f>
        <v>0</v>
      </c>
      <c r="D317" s="29">
        <f ca="1">'Preventative costs A'!D317-'Preventative costs B'!D317</f>
        <v>0</v>
      </c>
      <c r="E317" s="29">
        <f ca="1">'Preventative costs A'!E317-'Preventative costs B'!E317</f>
        <v>0</v>
      </c>
      <c r="F317" s="29">
        <f ca="1">'Preventative costs A'!F317-'Preventative costs B'!F317</f>
        <v>0</v>
      </c>
      <c r="G317" s="29">
        <f ca="1">'Preventative costs A'!G317-'Preventative costs B'!G317</f>
        <v>0</v>
      </c>
      <c r="H317" s="29">
        <f ca="1">'Preventative costs A'!H317-'Preventative costs B'!H317</f>
        <v>0</v>
      </c>
      <c r="I317" s="29">
        <f ca="1">'Preventative costs A'!I317-'Preventative costs B'!I317</f>
        <v>0</v>
      </c>
      <c r="J317" s="29">
        <f ca="1">'Preventative costs A'!J317-'Preventative costs B'!J317</f>
        <v>0</v>
      </c>
      <c r="K317" s="29">
        <f ca="1">'Preventative costs A'!K317-'Preventative costs B'!K317</f>
        <v>0</v>
      </c>
      <c r="M317" s="4" t="str">
        <f t="shared" ref="M317:M324" si="12">EMIT_NAME</f>
        <v>Mtonne</v>
      </c>
    </row>
    <row r="318" spans="1:13" s="6" customFormat="1" x14ac:dyDescent="0.2">
      <c r="A318" s="4" t="str">
        <v>US CO2</v>
      </c>
      <c r="B318" s="26">
        <f ca="1">'Preventative costs A'!B318-'Preventative costs B'!B318</f>
        <v>0</v>
      </c>
      <c r="C318" s="26">
        <f ca="1">'Preventative costs A'!C318-'Preventative costs B'!C318</f>
        <v>0</v>
      </c>
      <c r="D318" s="26">
        <f ca="1">'Preventative costs A'!D318-'Preventative costs B'!D318</f>
        <v>0</v>
      </c>
      <c r="E318" s="26">
        <f ca="1">'Preventative costs A'!E318-'Preventative costs B'!E318</f>
        <v>0</v>
      </c>
      <c r="F318" s="26">
        <f ca="1">'Preventative costs A'!F318-'Preventative costs B'!F318</f>
        <v>0</v>
      </c>
      <c r="G318" s="26">
        <f ca="1">'Preventative costs A'!G318-'Preventative costs B'!G318</f>
        <v>0</v>
      </c>
      <c r="H318" s="26">
        <f ca="1">'Preventative costs A'!H318-'Preventative costs B'!H318</f>
        <v>0</v>
      </c>
      <c r="I318" s="26">
        <f ca="1">'Preventative costs A'!I318-'Preventative costs B'!I318</f>
        <v>0</v>
      </c>
      <c r="J318" s="26">
        <f ca="1">'Preventative costs A'!J318-'Preventative costs B'!J318</f>
        <v>0</v>
      </c>
      <c r="K318" s="26">
        <f ca="1">'Preventative costs A'!K318-'Preventative costs B'!K318</f>
        <v>0</v>
      </c>
      <c r="M318" s="4" t="str">
        <f t="shared" si="12"/>
        <v>Mtonne</v>
      </c>
    </row>
    <row r="319" spans="1:13" s="6" customFormat="1" x14ac:dyDescent="0.2">
      <c r="A319" s="4" t="str">
        <v>OT CO2</v>
      </c>
      <c r="B319" s="26">
        <f ca="1">'Preventative costs A'!B319-'Preventative costs B'!B319</f>
        <v>0</v>
      </c>
      <c r="C319" s="26">
        <f ca="1">'Preventative costs A'!C319-'Preventative costs B'!C319</f>
        <v>0</v>
      </c>
      <c r="D319" s="26">
        <f ca="1">'Preventative costs A'!D319-'Preventative costs B'!D319</f>
        <v>0</v>
      </c>
      <c r="E319" s="26">
        <f ca="1">'Preventative costs A'!E319-'Preventative costs B'!E319</f>
        <v>0</v>
      </c>
      <c r="F319" s="26">
        <f ca="1">'Preventative costs A'!F319-'Preventative costs B'!F319</f>
        <v>0</v>
      </c>
      <c r="G319" s="26">
        <f ca="1">'Preventative costs A'!G319-'Preventative costs B'!G319</f>
        <v>0</v>
      </c>
      <c r="H319" s="26">
        <f ca="1">'Preventative costs A'!H319-'Preventative costs B'!H319</f>
        <v>0</v>
      </c>
      <c r="I319" s="26">
        <f ca="1">'Preventative costs A'!I319-'Preventative costs B'!I319</f>
        <v>0</v>
      </c>
      <c r="J319" s="26">
        <f ca="1">'Preventative costs A'!J319-'Preventative costs B'!J319</f>
        <v>0</v>
      </c>
      <c r="K319" s="26">
        <f ca="1">'Preventative costs A'!K319-'Preventative costs B'!K319</f>
        <v>0</v>
      </c>
      <c r="M319" s="4" t="str">
        <f t="shared" si="12"/>
        <v>Mtonne</v>
      </c>
    </row>
    <row r="320" spans="1:13" s="6" customFormat="1" x14ac:dyDescent="0.2">
      <c r="A320" s="4" t="str">
        <v>EE CO2</v>
      </c>
      <c r="B320" s="26">
        <f ca="1">'Preventative costs A'!B320-'Preventative costs B'!B320</f>
        <v>0</v>
      </c>
      <c r="C320" s="26">
        <f ca="1">'Preventative costs A'!C320-'Preventative costs B'!C320</f>
        <v>0</v>
      </c>
      <c r="D320" s="26">
        <f ca="1">'Preventative costs A'!D320-'Preventative costs B'!D320</f>
        <v>0</v>
      </c>
      <c r="E320" s="26">
        <f ca="1">'Preventative costs A'!E320-'Preventative costs B'!E320</f>
        <v>0</v>
      </c>
      <c r="F320" s="26">
        <f ca="1">'Preventative costs A'!F320-'Preventative costs B'!F320</f>
        <v>0</v>
      </c>
      <c r="G320" s="26">
        <f ca="1">'Preventative costs A'!G320-'Preventative costs B'!G320</f>
        <v>0</v>
      </c>
      <c r="H320" s="26">
        <f ca="1">'Preventative costs A'!H320-'Preventative costs B'!H320</f>
        <v>0</v>
      </c>
      <c r="I320" s="26">
        <f ca="1">'Preventative costs A'!I320-'Preventative costs B'!I320</f>
        <v>0</v>
      </c>
      <c r="J320" s="26">
        <f ca="1">'Preventative costs A'!J320-'Preventative costs B'!J320</f>
        <v>0</v>
      </c>
      <c r="K320" s="26">
        <f ca="1">'Preventative costs A'!K320-'Preventative costs B'!K320</f>
        <v>0</v>
      </c>
      <c r="M320" s="4" t="str">
        <f t="shared" si="12"/>
        <v>Mtonne</v>
      </c>
    </row>
    <row r="321" spans="1:13" s="6" customFormat="1" x14ac:dyDescent="0.2">
      <c r="A321" s="4" t="str">
        <v>CA CO2</v>
      </c>
      <c r="B321" s="26">
        <f ca="1">'Preventative costs A'!B321-'Preventative costs B'!B321</f>
        <v>0</v>
      </c>
      <c r="C321" s="26">
        <f ca="1">'Preventative costs A'!C321-'Preventative costs B'!C321</f>
        <v>0</v>
      </c>
      <c r="D321" s="26">
        <f ca="1">'Preventative costs A'!D321-'Preventative costs B'!D321</f>
        <v>0</v>
      </c>
      <c r="E321" s="26">
        <f ca="1">'Preventative costs A'!E321-'Preventative costs B'!E321</f>
        <v>0</v>
      </c>
      <c r="F321" s="26">
        <f ca="1">'Preventative costs A'!F321-'Preventative costs B'!F321</f>
        <v>0</v>
      </c>
      <c r="G321" s="26">
        <f ca="1">'Preventative costs A'!G321-'Preventative costs B'!G321</f>
        <v>0</v>
      </c>
      <c r="H321" s="26">
        <f ca="1">'Preventative costs A'!H321-'Preventative costs B'!H321</f>
        <v>0</v>
      </c>
      <c r="I321" s="26">
        <f ca="1">'Preventative costs A'!I321-'Preventative costs B'!I321</f>
        <v>0</v>
      </c>
      <c r="J321" s="26">
        <f ca="1">'Preventative costs A'!J321-'Preventative costs B'!J321</f>
        <v>0</v>
      </c>
      <c r="K321" s="26">
        <f ca="1">'Preventative costs A'!K321-'Preventative costs B'!K321</f>
        <v>0</v>
      </c>
      <c r="M321" s="4" t="str">
        <f t="shared" si="12"/>
        <v>Mtonne</v>
      </c>
    </row>
    <row r="322" spans="1:13" s="6" customFormat="1" x14ac:dyDescent="0.2">
      <c r="A322" s="4" t="str">
        <v>IA CO2</v>
      </c>
      <c r="B322" s="26">
        <f ca="1">'Preventative costs A'!B322-'Preventative costs B'!B322</f>
        <v>0</v>
      </c>
      <c r="C322" s="26">
        <f ca="1">'Preventative costs A'!C322-'Preventative costs B'!C322</f>
        <v>0</v>
      </c>
      <c r="D322" s="26">
        <f ca="1">'Preventative costs A'!D322-'Preventative costs B'!D322</f>
        <v>0</v>
      </c>
      <c r="E322" s="26">
        <f ca="1">'Preventative costs A'!E322-'Preventative costs B'!E322</f>
        <v>0</v>
      </c>
      <c r="F322" s="26">
        <f ca="1">'Preventative costs A'!F322-'Preventative costs B'!F322</f>
        <v>0</v>
      </c>
      <c r="G322" s="26">
        <f ca="1">'Preventative costs A'!G322-'Preventative costs B'!G322</f>
        <v>0</v>
      </c>
      <c r="H322" s="26">
        <f ca="1">'Preventative costs A'!H322-'Preventative costs B'!H322</f>
        <v>0</v>
      </c>
      <c r="I322" s="26">
        <f ca="1">'Preventative costs A'!I322-'Preventative costs B'!I322</f>
        <v>0</v>
      </c>
      <c r="J322" s="26">
        <f ca="1">'Preventative costs A'!J322-'Preventative costs B'!J322</f>
        <v>0</v>
      </c>
      <c r="K322" s="26">
        <f ca="1">'Preventative costs A'!K322-'Preventative costs B'!K322</f>
        <v>0</v>
      </c>
      <c r="M322" s="4" t="str">
        <f t="shared" si="12"/>
        <v>Mtonne</v>
      </c>
    </row>
    <row r="323" spans="1:13" s="6" customFormat="1" x14ac:dyDescent="0.2">
      <c r="A323" s="4" t="str">
        <v>AF CO2</v>
      </c>
      <c r="B323" s="26">
        <f ca="1">'Preventative costs A'!B323-'Preventative costs B'!B323</f>
        <v>0</v>
      </c>
      <c r="C323" s="26">
        <f ca="1">'Preventative costs A'!C323-'Preventative costs B'!C323</f>
        <v>0</v>
      </c>
      <c r="D323" s="26">
        <f ca="1">'Preventative costs A'!D323-'Preventative costs B'!D323</f>
        <v>0</v>
      </c>
      <c r="E323" s="26">
        <f ca="1">'Preventative costs A'!E323-'Preventative costs B'!E323</f>
        <v>0</v>
      </c>
      <c r="F323" s="26">
        <f ca="1">'Preventative costs A'!F323-'Preventative costs B'!F323</f>
        <v>0</v>
      </c>
      <c r="G323" s="26">
        <f ca="1">'Preventative costs A'!G323-'Preventative costs B'!G323</f>
        <v>0</v>
      </c>
      <c r="H323" s="26">
        <f ca="1">'Preventative costs A'!H323-'Preventative costs B'!H323</f>
        <v>0</v>
      </c>
      <c r="I323" s="26">
        <f ca="1">'Preventative costs A'!I323-'Preventative costs B'!I323</f>
        <v>0</v>
      </c>
      <c r="J323" s="26">
        <f ca="1">'Preventative costs A'!J323-'Preventative costs B'!J323</f>
        <v>0</v>
      </c>
      <c r="K323" s="26">
        <f ca="1">'Preventative costs A'!K323-'Preventative costs B'!K323</f>
        <v>0</v>
      </c>
      <c r="M323" s="4" t="str">
        <f t="shared" si="12"/>
        <v>Mtonne</v>
      </c>
    </row>
    <row r="324" spans="1:13" s="6" customFormat="1" ht="13.5" thickBot="1" x14ac:dyDescent="0.25">
      <c r="A324" s="4" t="str">
        <v>LA CO2</v>
      </c>
      <c r="B324" s="35">
        <f ca="1">'Preventative costs A'!B324-'Preventative costs B'!B324</f>
        <v>0</v>
      </c>
      <c r="C324" s="35">
        <f ca="1">'Preventative costs A'!C324-'Preventative costs B'!C324</f>
        <v>0</v>
      </c>
      <c r="D324" s="35">
        <f ca="1">'Preventative costs A'!D324-'Preventative costs B'!D324</f>
        <v>0</v>
      </c>
      <c r="E324" s="35">
        <f ca="1">'Preventative costs A'!E324-'Preventative costs B'!E324</f>
        <v>0</v>
      </c>
      <c r="F324" s="35">
        <f ca="1">'Preventative costs A'!F324-'Preventative costs B'!F324</f>
        <v>0</v>
      </c>
      <c r="G324" s="35">
        <f ca="1">'Preventative costs A'!G324-'Preventative costs B'!G324</f>
        <v>0</v>
      </c>
      <c r="H324" s="35">
        <f ca="1">'Preventative costs A'!H324-'Preventative costs B'!H324</f>
        <v>0</v>
      </c>
      <c r="I324" s="35">
        <f ca="1">'Preventative costs A'!I324-'Preventative costs B'!I324</f>
        <v>0</v>
      </c>
      <c r="J324" s="35">
        <f ca="1">'Preventative costs A'!J324-'Preventative costs B'!J324</f>
        <v>0</v>
      </c>
      <c r="K324" s="35">
        <f ca="1">'Preventative costs A'!K324-'Preventative costs B'!K324</f>
        <v>0</v>
      </c>
      <c r="M324" s="4" t="str">
        <f t="shared" si="12"/>
        <v>Mtonne</v>
      </c>
    </row>
    <row r="325" spans="1:13" s="2" customFormat="1" ht="15" thickTop="1" x14ac:dyDescent="0.25">
      <c r="A325" s="2" t="s">
        <v>312</v>
      </c>
      <c r="B325" s="2" t="s">
        <v>314</v>
      </c>
    </row>
    <row r="326" spans="1:13" s="7" customFormat="1" x14ac:dyDescent="0.2">
      <c r="A326" s="4" t="str">
        <f t="array" ref="A326:A333">R_CODE&amp;" "&amp;'Base data'!$C$12</f>
        <v>EU CH4</v>
      </c>
      <c r="B326" s="29">
        <f ca="1">'Preventative costs A'!B326-'Preventative costs B'!B326</f>
        <v>0</v>
      </c>
      <c r="C326" s="29">
        <f ca="1">'Preventative costs A'!C326-'Preventative costs B'!C326</f>
        <v>0</v>
      </c>
      <c r="D326" s="29">
        <f ca="1">'Preventative costs A'!D326-'Preventative costs B'!D326</f>
        <v>0</v>
      </c>
      <c r="E326" s="29">
        <f ca="1">'Preventative costs A'!E326-'Preventative costs B'!E326</f>
        <v>0</v>
      </c>
      <c r="F326" s="29">
        <f ca="1">'Preventative costs A'!F326-'Preventative costs B'!F326</f>
        <v>0</v>
      </c>
      <c r="G326" s="29">
        <f ca="1">'Preventative costs A'!G326-'Preventative costs B'!G326</f>
        <v>0</v>
      </c>
      <c r="H326" s="29">
        <f ca="1">'Preventative costs A'!H326-'Preventative costs B'!H326</f>
        <v>0</v>
      </c>
      <c r="I326" s="29">
        <f ca="1">'Preventative costs A'!I326-'Preventative costs B'!I326</f>
        <v>0</v>
      </c>
      <c r="J326" s="29">
        <f ca="1">'Preventative costs A'!J326-'Preventative costs B'!J326</f>
        <v>0</v>
      </c>
      <c r="K326" s="29">
        <f ca="1">'Preventative costs A'!K326-'Preventative costs B'!K326</f>
        <v>0</v>
      </c>
      <c r="M326" s="4" t="str">
        <f t="shared" ref="M326:M333" si="13">EMIT_NAME</f>
        <v>Mtonne</v>
      </c>
    </row>
    <row r="327" spans="1:13" s="7" customFormat="1" x14ac:dyDescent="0.2">
      <c r="A327" s="4" t="str">
        <v>US CH4</v>
      </c>
      <c r="B327" s="26">
        <f ca="1">'Preventative costs A'!B327-'Preventative costs B'!B327</f>
        <v>0</v>
      </c>
      <c r="C327" s="26">
        <f ca="1">'Preventative costs A'!C327-'Preventative costs B'!C327</f>
        <v>0</v>
      </c>
      <c r="D327" s="26">
        <f ca="1">'Preventative costs A'!D327-'Preventative costs B'!D327</f>
        <v>0</v>
      </c>
      <c r="E327" s="26">
        <f ca="1">'Preventative costs A'!E327-'Preventative costs B'!E327</f>
        <v>0</v>
      </c>
      <c r="F327" s="26">
        <f ca="1">'Preventative costs A'!F327-'Preventative costs B'!F327</f>
        <v>0</v>
      </c>
      <c r="G327" s="26">
        <f ca="1">'Preventative costs A'!G327-'Preventative costs B'!G327</f>
        <v>0</v>
      </c>
      <c r="H327" s="26">
        <f ca="1">'Preventative costs A'!H327-'Preventative costs B'!H327</f>
        <v>0</v>
      </c>
      <c r="I327" s="26">
        <f ca="1">'Preventative costs A'!I327-'Preventative costs B'!I327</f>
        <v>0</v>
      </c>
      <c r="J327" s="26">
        <f ca="1">'Preventative costs A'!J327-'Preventative costs B'!J327</f>
        <v>0</v>
      </c>
      <c r="K327" s="26">
        <f ca="1">'Preventative costs A'!K327-'Preventative costs B'!K327</f>
        <v>0</v>
      </c>
      <c r="M327" s="4" t="str">
        <f t="shared" si="13"/>
        <v>Mtonne</v>
      </c>
    </row>
    <row r="328" spans="1:13" s="7" customFormat="1" x14ac:dyDescent="0.2">
      <c r="A328" s="4" t="str">
        <v>OT CH4</v>
      </c>
      <c r="B328" s="26">
        <f ca="1">'Preventative costs A'!B328-'Preventative costs B'!B328</f>
        <v>0</v>
      </c>
      <c r="C328" s="26">
        <f ca="1">'Preventative costs A'!C328-'Preventative costs B'!C328</f>
        <v>0</v>
      </c>
      <c r="D328" s="26">
        <f ca="1">'Preventative costs A'!D328-'Preventative costs B'!D328</f>
        <v>0</v>
      </c>
      <c r="E328" s="26">
        <f ca="1">'Preventative costs A'!E328-'Preventative costs B'!E328</f>
        <v>0</v>
      </c>
      <c r="F328" s="26">
        <f ca="1">'Preventative costs A'!F328-'Preventative costs B'!F328</f>
        <v>0</v>
      </c>
      <c r="G328" s="26">
        <f ca="1">'Preventative costs A'!G328-'Preventative costs B'!G328</f>
        <v>0</v>
      </c>
      <c r="H328" s="26">
        <f ca="1">'Preventative costs A'!H328-'Preventative costs B'!H328</f>
        <v>0</v>
      </c>
      <c r="I328" s="26">
        <f ca="1">'Preventative costs A'!I328-'Preventative costs B'!I328</f>
        <v>0</v>
      </c>
      <c r="J328" s="26">
        <f ca="1">'Preventative costs A'!J328-'Preventative costs B'!J328</f>
        <v>0</v>
      </c>
      <c r="K328" s="26">
        <f ca="1">'Preventative costs A'!K328-'Preventative costs B'!K328</f>
        <v>0</v>
      </c>
      <c r="M328" s="4" t="str">
        <f t="shared" si="13"/>
        <v>Mtonne</v>
      </c>
    </row>
    <row r="329" spans="1:13" s="7" customFormat="1" x14ac:dyDescent="0.2">
      <c r="A329" s="4" t="str">
        <v>EE CH4</v>
      </c>
      <c r="B329" s="26">
        <f ca="1">'Preventative costs A'!B329-'Preventative costs B'!B329</f>
        <v>0</v>
      </c>
      <c r="C329" s="26">
        <f ca="1">'Preventative costs A'!C329-'Preventative costs B'!C329</f>
        <v>0</v>
      </c>
      <c r="D329" s="26">
        <f ca="1">'Preventative costs A'!D329-'Preventative costs B'!D329</f>
        <v>0</v>
      </c>
      <c r="E329" s="26">
        <f ca="1">'Preventative costs A'!E329-'Preventative costs B'!E329</f>
        <v>0</v>
      </c>
      <c r="F329" s="26">
        <f ca="1">'Preventative costs A'!F329-'Preventative costs B'!F329</f>
        <v>0</v>
      </c>
      <c r="G329" s="26">
        <f ca="1">'Preventative costs A'!G329-'Preventative costs B'!G329</f>
        <v>0</v>
      </c>
      <c r="H329" s="26">
        <f ca="1">'Preventative costs A'!H329-'Preventative costs B'!H329</f>
        <v>0</v>
      </c>
      <c r="I329" s="26">
        <f ca="1">'Preventative costs A'!I329-'Preventative costs B'!I329</f>
        <v>0</v>
      </c>
      <c r="J329" s="26">
        <f ca="1">'Preventative costs A'!J329-'Preventative costs B'!J329</f>
        <v>0</v>
      </c>
      <c r="K329" s="26">
        <f ca="1">'Preventative costs A'!K329-'Preventative costs B'!K329</f>
        <v>0</v>
      </c>
      <c r="M329" s="4" t="str">
        <f t="shared" si="13"/>
        <v>Mtonne</v>
      </c>
    </row>
    <row r="330" spans="1:13" s="7" customFormat="1" x14ac:dyDescent="0.2">
      <c r="A330" s="4" t="str">
        <v>CA CH4</v>
      </c>
      <c r="B330" s="26">
        <f ca="1">'Preventative costs A'!B330-'Preventative costs B'!B330</f>
        <v>0</v>
      </c>
      <c r="C330" s="26">
        <f ca="1">'Preventative costs A'!C330-'Preventative costs B'!C330</f>
        <v>0</v>
      </c>
      <c r="D330" s="26">
        <f ca="1">'Preventative costs A'!D330-'Preventative costs B'!D330</f>
        <v>0</v>
      </c>
      <c r="E330" s="26">
        <f ca="1">'Preventative costs A'!E330-'Preventative costs B'!E330</f>
        <v>0</v>
      </c>
      <c r="F330" s="26">
        <f ca="1">'Preventative costs A'!F330-'Preventative costs B'!F330</f>
        <v>0</v>
      </c>
      <c r="G330" s="26">
        <f ca="1">'Preventative costs A'!G330-'Preventative costs B'!G330</f>
        <v>0</v>
      </c>
      <c r="H330" s="26">
        <f ca="1">'Preventative costs A'!H330-'Preventative costs B'!H330</f>
        <v>0</v>
      </c>
      <c r="I330" s="26">
        <f ca="1">'Preventative costs A'!I330-'Preventative costs B'!I330</f>
        <v>0</v>
      </c>
      <c r="J330" s="26">
        <f ca="1">'Preventative costs A'!J330-'Preventative costs B'!J330</f>
        <v>0</v>
      </c>
      <c r="K330" s="26">
        <f ca="1">'Preventative costs A'!K330-'Preventative costs B'!K330</f>
        <v>0</v>
      </c>
      <c r="M330" s="4" t="str">
        <f t="shared" si="13"/>
        <v>Mtonne</v>
      </c>
    </row>
    <row r="331" spans="1:13" s="7" customFormat="1" x14ac:dyDescent="0.2">
      <c r="A331" s="4" t="str">
        <v>IA CH4</v>
      </c>
      <c r="B331" s="26">
        <f ca="1">'Preventative costs A'!B331-'Preventative costs B'!B331</f>
        <v>0</v>
      </c>
      <c r="C331" s="26">
        <f ca="1">'Preventative costs A'!C331-'Preventative costs B'!C331</f>
        <v>0</v>
      </c>
      <c r="D331" s="26">
        <f ca="1">'Preventative costs A'!D331-'Preventative costs B'!D331</f>
        <v>0</v>
      </c>
      <c r="E331" s="26">
        <f ca="1">'Preventative costs A'!E331-'Preventative costs B'!E331</f>
        <v>0</v>
      </c>
      <c r="F331" s="26">
        <f ca="1">'Preventative costs A'!F331-'Preventative costs B'!F331</f>
        <v>0</v>
      </c>
      <c r="G331" s="26">
        <f ca="1">'Preventative costs A'!G331-'Preventative costs B'!G331</f>
        <v>0</v>
      </c>
      <c r="H331" s="26">
        <f ca="1">'Preventative costs A'!H331-'Preventative costs B'!H331</f>
        <v>0</v>
      </c>
      <c r="I331" s="26">
        <f ca="1">'Preventative costs A'!I331-'Preventative costs B'!I331</f>
        <v>0</v>
      </c>
      <c r="J331" s="26">
        <f ca="1">'Preventative costs A'!J331-'Preventative costs B'!J331</f>
        <v>0</v>
      </c>
      <c r="K331" s="26">
        <f ca="1">'Preventative costs A'!K331-'Preventative costs B'!K331</f>
        <v>0</v>
      </c>
      <c r="M331" s="4" t="str">
        <f t="shared" si="13"/>
        <v>Mtonne</v>
      </c>
    </row>
    <row r="332" spans="1:13" s="7" customFormat="1" x14ac:dyDescent="0.2">
      <c r="A332" s="4" t="str">
        <v>AF CH4</v>
      </c>
      <c r="B332" s="26">
        <f ca="1">'Preventative costs A'!B332-'Preventative costs B'!B332</f>
        <v>0</v>
      </c>
      <c r="C332" s="26">
        <f ca="1">'Preventative costs A'!C332-'Preventative costs B'!C332</f>
        <v>0</v>
      </c>
      <c r="D332" s="26">
        <f ca="1">'Preventative costs A'!D332-'Preventative costs B'!D332</f>
        <v>0</v>
      </c>
      <c r="E332" s="26">
        <f ca="1">'Preventative costs A'!E332-'Preventative costs B'!E332</f>
        <v>0</v>
      </c>
      <c r="F332" s="26">
        <f ca="1">'Preventative costs A'!F332-'Preventative costs B'!F332</f>
        <v>0</v>
      </c>
      <c r="G332" s="26">
        <f ca="1">'Preventative costs A'!G332-'Preventative costs B'!G332</f>
        <v>0</v>
      </c>
      <c r="H332" s="26">
        <f ca="1">'Preventative costs A'!H332-'Preventative costs B'!H332</f>
        <v>0</v>
      </c>
      <c r="I332" s="26">
        <f ca="1">'Preventative costs A'!I332-'Preventative costs B'!I332</f>
        <v>0</v>
      </c>
      <c r="J332" s="26">
        <f ca="1">'Preventative costs A'!J332-'Preventative costs B'!J332</f>
        <v>0</v>
      </c>
      <c r="K332" s="26">
        <f ca="1">'Preventative costs A'!K332-'Preventative costs B'!K332</f>
        <v>0</v>
      </c>
      <c r="M332" s="4" t="str">
        <f t="shared" si="13"/>
        <v>Mtonne</v>
      </c>
    </row>
    <row r="333" spans="1:13" s="7" customFormat="1" ht="13.5" thickBot="1" x14ac:dyDescent="0.25">
      <c r="A333" s="4" t="str">
        <v>LA CH4</v>
      </c>
      <c r="B333" s="35">
        <f ca="1">'Preventative costs A'!B333-'Preventative costs B'!B333</f>
        <v>0</v>
      </c>
      <c r="C333" s="35">
        <f ca="1">'Preventative costs A'!C333-'Preventative costs B'!C333</f>
        <v>0</v>
      </c>
      <c r="D333" s="35">
        <f ca="1">'Preventative costs A'!D333-'Preventative costs B'!D333</f>
        <v>0</v>
      </c>
      <c r="E333" s="35">
        <f ca="1">'Preventative costs A'!E333-'Preventative costs B'!E333</f>
        <v>0</v>
      </c>
      <c r="F333" s="35">
        <f ca="1">'Preventative costs A'!F333-'Preventative costs B'!F333</f>
        <v>0</v>
      </c>
      <c r="G333" s="35">
        <f ca="1">'Preventative costs A'!G333-'Preventative costs B'!G333</f>
        <v>0</v>
      </c>
      <c r="H333" s="35">
        <f ca="1">'Preventative costs A'!H333-'Preventative costs B'!H333</f>
        <v>0</v>
      </c>
      <c r="I333" s="35">
        <f ca="1">'Preventative costs A'!I333-'Preventative costs B'!I333</f>
        <v>0</v>
      </c>
      <c r="J333" s="35">
        <f ca="1">'Preventative costs A'!J333-'Preventative costs B'!J333</f>
        <v>0</v>
      </c>
      <c r="K333" s="35">
        <f ca="1">'Preventative costs A'!K333-'Preventative costs B'!K333</f>
        <v>0</v>
      </c>
      <c r="M333" s="4" t="str">
        <f t="shared" si="13"/>
        <v>Mtonne</v>
      </c>
    </row>
    <row r="334" spans="1:13" s="2" customFormat="1" ht="15" thickTop="1" x14ac:dyDescent="0.25">
      <c r="A334" s="2" t="s">
        <v>312</v>
      </c>
      <c r="B334" s="2" t="s">
        <v>315</v>
      </c>
    </row>
    <row r="335" spans="1:13" s="7" customFormat="1" x14ac:dyDescent="0.2">
      <c r="A335" s="4" t="str">
        <f t="array" ref="A335:A342">R_CODE&amp;" "&amp;'Base data'!$D$12</f>
        <v>EU N2O</v>
      </c>
      <c r="B335" s="29">
        <f ca="1">'Preventative costs A'!B335-'Preventative costs B'!B335</f>
        <v>0</v>
      </c>
      <c r="C335" s="29">
        <f ca="1">'Preventative costs A'!C335-'Preventative costs B'!C335</f>
        <v>0</v>
      </c>
      <c r="D335" s="29">
        <f ca="1">'Preventative costs A'!D335-'Preventative costs B'!D335</f>
        <v>0</v>
      </c>
      <c r="E335" s="29">
        <f ca="1">'Preventative costs A'!E335-'Preventative costs B'!E335</f>
        <v>0</v>
      </c>
      <c r="F335" s="29">
        <f ca="1">'Preventative costs A'!F335-'Preventative costs B'!F335</f>
        <v>0</v>
      </c>
      <c r="G335" s="29">
        <f ca="1">'Preventative costs A'!G335-'Preventative costs B'!G335</f>
        <v>0</v>
      </c>
      <c r="H335" s="29">
        <f ca="1">'Preventative costs A'!H335-'Preventative costs B'!H335</f>
        <v>0</v>
      </c>
      <c r="I335" s="29">
        <f ca="1">'Preventative costs A'!I335-'Preventative costs B'!I335</f>
        <v>0</v>
      </c>
      <c r="J335" s="29">
        <f ca="1">'Preventative costs A'!J335-'Preventative costs B'!J335</f>
        <v>0</v>
      </c>
      <c r="K335" s="29">
        <f ca="1">'Preventative costs A'!K335-'Preventative costs B'!K335</f>
        <v>0</v>
      </c>
      <c r="M335" s="4" t="str">
        <f t="shared" ref="M335:M342" si="14">EMIT_NAME</f>
        <v>Mtonne</v>
      </c>
    </row>
    <row r="336" spans="1:13" s="7" customFormat="1" x14ac:dyDescent="0.2">
      <c r="A336" s="4" t="str">
        <v>US N2O</v>
      </c>
      <c r="B336" s="26">
        <f ca="1">'Preventative costs A'!B336-'Preventative costs B'!B336</f>
        <v>0</v>
      </c>
      <c r="C336" s="26">
        <f ca="1">'Preventative costs A'!C336-'Preventative costs B'!C336</f>
        <v>0</v>
      </c>
      <c r="D336" s="26">
        <f ca="1">'Preventative costs A'!D336-'Preventative costs B'!D336</f>
        <v>0</v>
      </c>
      <c r="E336" s="26">
        <f ca="1">'Preventative costs A'!E336-'Preventative costs B'!E336</f>
        <v>0</v>
      </c>
      <c r="F336" s="26">
        <f ca="1">'Preventative costs A'!F336-'Preventative costs B'!F336</f>
        <v>0</v>
      </c>
      <c r="G336" s="26">
        <f ca="1">'Preventative costs A'!G336-'Preventative costs B'!G336</f>
        <v>0</v>
      </c>
      <c r="H336" s="26">
        <f ca="1">'Preventative costs A'!H336-'Preventative costs B'!H336</f>
        <v>0</v>
      </c>
      <c r="I336" s="26">
        <f ca="1">'Preventative costs A'!I336-'Preventative costs B'!I336</f>
        <v>0</v>
      </c>
      <c r="J336" s="26">
        <f ca="1">'Preventative costs A'!J336-'Preventative costs B'!J336</f>
        <v>0</v>
      </c>
      <c r="K336" s="26">
        <f ca="1">'Preventative costs A'!K336-'Preventative costs B'!K336</f>
        <v>0</v>
      </c>
      <c r="M336" s="4" t="str">
        <f t="shared" si="14"/>
        <v>Mtonne</v>
      </c>
    </row>
    <row r="337" spans="1:13" s="7" customFormat="1" x14ac:dyDescent="0.2">
      <c r="A337" s="4" t="str">
        <v>OT N2O</v>
      </c>
      <c r="B337" s="26">
        <f ca="1">'Preventative costs A'!B337-'Preventative costs B'!B337</f>
        <v>0</v>
      </c>
      <c r="C337" s="26">
        <f ca="1">'Preventative costs A'!C337-'Preventative costs B'!C337</f>
        <v>0</v>
      </c>
      <c r="D337" s="26">
        <f ca="1">'Preventative costs A'!D337-'Preventative costs B'!D337</f>
        <v>0</v>
      </c>
      <c r="E337" s="26">
        <f ca="1">'Preventative costs A'!E337-'Preventative costs B'!E337</f>
        <v>0</v>
      </c>
      <c r="F337" s="26">
        <f ca="1">'Preventative costs A'!F337-'Preventative costs B'!F337</f>
        <v>0</v>
      </c>
      <c r="G337" s="26">
        <f ca="1">'Preventative costs A'!G337-'Preventative costs B'!G337</f>
        <v>0</v>
      </c>
      <c r="H337" s="26">
        <f ca="1">'Preventative costs A'!H337-'Preventative costs B'!H337</f>
        <v>0</v>
      </c>
      <c r="I337" s="26">
        <f ca="1">'Preventative costs A'!I337-'Preventative costs B'!I337</f>
        <v>0</v>
      </c>
      <c r="J337" s="26">
        <f ca="1">'Preventative costs A'!J337-'Preventative costs B'!J337</f>
        <v>0</v>
      </c>
      <c r="K337" s="26">
        <f ca="1">'Preventative costs A'!K337-'Preventative costs B'!K337</f>
        <v>0</v>
      </c>
      <c r="M337" s="4" t="str">
        <f t="shared" si="14"/>
        <v>Mtonne</v>
      </c>
    </row>
    <row r="338" spans="1:13" s="7" customFormat="1" x14ac:dyDescent="0.2">
      <c r="A338" s="4" t="str">
        <v>EE N2O</v>
      </c>
      <c r="B338" s="26">
        <f ca="1">'Preventative costs A'!B338-'Preventative costs B'!B338</f>
        <v>0</v>
      </c>
      <c r="C338" s="26">
        <f ca="1">'Preventative costs A'!C338-'Preventative costs B'!C338</f>
        <v>0</v>
      </c>
      <c r="D338" s="26">
        <f ca="1">'Preventative costs A'!D338-'Preventative costs B'!D338</f>
        <v>0</v>
      </c>
      <c r="E338" s="26">
        <f ca="1">'Preventative costs A'!E338-'Preventative costs B'!E338</f>
        <v>0</v>
      </c>
      <c r="F338" s="26">
        <f ca="1">'Preventative costs A'!F338-'Preventative costs B'!F338</f>
        <v>0</v>
      </c>
      <c r="G338" s="26">
        <f ca="1">'Preventative costs A'!G338-'Preventative costs B'!G338</f>
        <v>0</v>
      </c>
      <c r="H338" s="26">
        <f ca="1">'Preventative costs A'!H338-'Preventative costs B'!H338</f>
        <v>0</v>
      </c>
      <c r="I338" s="26">
        <f ca="1">'Preventative costs A'!I338-'Preventative costs B'!I338</f>
        <v>0</v>
      </c>
      <c r="J338" s="26">
        <f ca="1">'Preventative costs A'!J338-'Preventative costs B'!J338</f>
        <v>0</v>
      </c>
      <c r="K338" s="26">
        <f ca="1">'Preventative costs A'!K338-'Preventative costs B'!K338</f>
        <v>0</v>
      </c>
      <c r="M338" s="4" t="str">
        <f t="shared" si="14"/>
        <v>Mtonne</v>
      </c>
    </row>
    <row r="339" spans="1:13" s="7" customFormat="1" x14ac:dyDescent="0.2">
      <c r="A339" s="4" t="str">
        <v>CA N2O</v>
      </c>
      <c r="B339" s="26">
        <f ca="1">'Preventative costs A'!B339-'Preventative costs B'!B339</f>
        <v>0</v>
      </c>
      <c r="C339" s="26">
        <f ca="1">'Preventative costs A'!C339-'Preventative costs B'!C339</f>
        <v>0</v>
      </c>
      <c r="D339" s="26">
        <f ca="1">'Preventative costs A'!D339-'Preventative costs B'!D339</f>
        <v>0</v>
      </c>
      <c r="E339" s="26">
        <f ca="1">'Preventative costs A'!E339-'Preventative costs B'!E339</f>
        <v>0</v>
      </c>
      <c r="F339" s="26">
        <f ca="1">'Preventative costs A'!F339-'Preventative costs B'!F339</f>
        <v>0</v>
      </c>
      <c r="G339" s="26">
        <f ca="1">'Preventative costs A'!G339-'Preventative costs B'!G339</f>
        <v>0</v>
      </c>
      <c r="H339" s="26">
        <f ca="1">'Preventative costs A'!H339-'Preventative costs B'!H339</f>
        <v>0</v>
      </c>
      <c r="I339" s="26">
        <f ca="1">'Preventative costs A'!I339-'Preventative costs B'!I339</f>
        <v>0</v>
      </c>
      <c r="J339" s="26">
        <f ca="1">'Preventative costs A'!J339-'Preventative costs B'!J339</f>
        <v>0</v>
      </c>
      <c r="K339" s="26">
        <f ca="1">'Preventative costs A'!K339-'Preventative costs B'!K339</f>
        <v>0</v>
      </c>
      <c r="M339" s="4" t="str">
        <f t="shared" si="14"/>
        <v>Mtonne</v>
      </c>
    </row>
    <row r="340" spans="1:13" s="7" customFormat="1" x14ac:dyDescent="0.2">
      <c r="A340" s="4" t="str">
        <v>IA N2O</v>
      </c>
      <c r="B340" s="26">
        <f ca="1">'Preventative costs A'!B340-'Preventative costs B'!B340</f>
        <v>0</v>
      </c>
      <c r="C340" s="26">
        <f ca="1">'Preventative costs A'!C340-'Preventative costs B'!C340</f>
        <v>0</v>
      </c>
      <c r="D340" s="26">
        <f ca="1">'Preventative costs A'!D340-'Preventative costs B'!D340</f>
        <v>0</v>
      </c>
      <c r="E340" s="26">
        <f ca="1">'Preventative costs A'!E340-'Preventative costs B'!E340</f>
        <v>0</v>
      </c>
      <c r="F340" s="26">
        <f ca="1">'Preventative costs A'!F340-'Preventative costs B'!F340</f>
        <v>0</v>
      </c>
      <c r="G340" s="26">
        <f ca="1">'Preventative costs A'!G340-'Preventative costs B'!G340</f>
        <v>0</v>
      </c>
      <c r="H340" s="26">
        <f ca="1">'Preventative costs A'!H340-'Preventative costs B'!H340</f>
        <v>0</v>
      </c>
      <c r="I340" s="26">
        <f ca="1">'Preventative costs A'!I340-'Preventative costs B'!I340</f>
        <v>0</v>
      </c>
      <c r="J340" s="26">
        <f ca="1">'Preventative costs A'!J340-'Preventative costs B'!J340</f>
        <v>0</v>
      </c>
      <c r="K340" s="26">
        <f ca="1">'Preventative costs A'!K340-'Preventative costs B'!K340</f>
        <v>0</v>
      </c>
      <c r="M340" s="4" t="str">
        <f t="shared" si="14"/>
        <v>Mtonne</v>
      </c>
    </row>
    <row r="341" spans="1:13" s="7" customFormat="1" x14ac:dyDescent="0.2">
      <c r="A341" s="4" t="str">
        <v>AF N2O</v>
      </c>
      <c r="B341" s="26">
        <f ca="1">'Preventative costs A'!B341-'Preventative costs B'!B341</f>
        <v>0</v>
      </c>
      <c r="C341" s="26">
        <f ca="1">'Preventative costs A'!C341-'Preventative costs B'!C341</f>
        <v>0</v>
      </c>
      <c r="D341" s="26">
        <f ca="1">'Preventative costs A'!D341-'Preventative costs B'!D341</f>
        <v>0</v>
      </c>
      <c r="E341" s="26">
        <f ca="1">'Preventative costs A'!E341-'Preventative costs B'!E341</f>
        <v>0</v>
      </c>
      <c r="F341" s="26">
        <f ca="1">'Preventative costs A'!F341-'Preventative costs B'!F341</f>
        <v>0</v>
      </c>
      <c r="G341" s="26">
        <f ca="1">'Preventative costs A'!G341-'Preventative costs B'!G341</f>
        <v>0</v>
      </c>
      <c r="H341" s="26">
        <f ca="1">'Preventative costs A'!H341-'Preventative costs B'!H341</f>
        <v>0</v>
      </c>
      <c r="I341" s="26">
        <f ca="1">'Preventative costs A'!I341-'Preventative costs B'!I341</f>
        <v>0</v>
      </c>
      <c r="J341" s="26">
        <f ca="1">'Preventative costs A'!J341-'Preventative costs B'!J341</f>
        <v>0</v>
      </c>
      <c r="K341" s="26">
        <f ca="1">'Preventative costs A'!K341-'Preventative costs B'!K341</f>
        <v>0</v>
      </c>
      <c r="M341" s="4" t="str">
        <f t="shared" si="14"/>
        <v>Mtonne</v>
      </c>
    </row>
    <row r="342" spans="1:13" s="7" customFormat="1" ht="13.5" thickBot="1" x14ac:dyDescent="0.25">
      <c r="A342" s="4" t="str">
        <v>LA N2O</v>
      </c>
      <c r="B342" s="35">
        <f ca="1">'Preventative costs A'!B342-'Preventative costs B'!B342</f>
        <v>0</v>
      </c>
      <c r="C342" s="35">
        <f ca="1">'Preventative costs A'!C342-'Preventative costs B'!C342</f>
        <v>0</v>
      </c>
      <c r="D342" s="35">
        <f ca="1">'Preventative costs A'!D342-'Preventative costs B'!D342</f>
        <v>0</v>
      </c>
      <c r="E342" s="35">
        <f ca="1">'Preventative costs A'!E342-'Preventative costs B'!E342</f>
        <v>0</v>
      </c>
      <c r="F342" s="35">
        <f ca="1">'Preventative costs A'!F342-'Preventative costs B'!F342</f>
        <v>0</v>
      </c>
      <c r="G342" s="35">
        <f ca="1">'Preventative costs A'!G342-'Preventative costs B'!G342</f>
        <v>0</v>
      </c>
      <c r="H342" s="35">
        <f ca="1">'Preventative costs A'!H342-'Preventative costs B'!H342</f>
        <v>0</v>
      </c>
      <c r="I342" s="35">
        <f ca="1">'Preventative costs A'!I342-'Preventative costs B'!I342</f>
        <v>0</v>
      </c>
      <c r="J342" s="35">
        <f ca="1">'Preventative costs A'!J342-'Preventative costs B'!J342</f>
        <v>0</v>
      </c>
      <c r="K342" s="35">
        <f ca="1">'Preventative costs A'!K342-'Preventative costs B'!K342</f>
        <v>0</v>
      </c>
      <c r="M342" s="4" t="str">
        <f t="shared" si="14"/>
        <v>Mtonne</v>
      </c>
    </row>
    <row r="343" spans="1:13" s="2" customFormat="1" ht="15" thickTop="1" x14ac:dyDescent="0.25">
      <c r="A343" s="2" t="s">
        <v>312</v>
      </c>
      <c r="B343" s="2" t="s">
        <v>316</v>
      </c>
    </row>
    <row r="344" spans="1:13" s="7" customFormat="1" x14ac:dyDescent="0.2">
      <c r="A344" s="4" t="str">
        <f t="array" ref="A344:A351">R_CODE&amp;" "&amp;GLIN_NAME</f>
        <v>EU Lin</v>
      </c>
      <c r="B344" s="29">
        <f ca="1">'Preventative costs A'!B344-'Preventative costs B'!B344</f>
        <v>0</v>
      </c>
      <c r="C344" s="29">
        <f ca="1">'Preventative costs A'!C344-'Preventative costs B'!C344</f>
        <v>0</v>
      </c>
      <c r="D344" s="29">
        <f ca="1">'Preventative costs A'!D344-'Preventative costs B'!D344</f>
        <v>0</v>
      </c>
      <c r="E344" s="29">
        <f ca="1">'Preventative costs A'!E344-'Preventative costs B'!E344</f>
        <v>0</v>
      </c>
      <c r="F344" s="29">
        <f ca="1">'Preventative costs A'!F344-'Preventative costs B'!F344</f>
        <v>0</v>
      </c>
      <c r="G344" s="29">
        <f ca="1">'Preventative costs A'!G344-'Preventative costs B'!G344</f>
        <v>0</v>
      </c>
      <c r="H344" s="29">
        <f ca="1">'Preventative costs A'!H344-'Preventative costs B'!H344</f>
        <v>0</v>
      </c>
      <c r="I344" s="29">
        <f ca="1">'Preventative costs A'!I344-'Preventative costs B'!I344</f>
        <v>0</v>
      </c>
      <c r="J344" s="29">
        <f ca="1">'Preventative costs A'!J344-'Preventative costs B'!J344</f>
        <v>0</v>
      </c>
      <c r="K344" s="29">
        <f ca="1">'Preventative costs A'!K344-'Preventative costs B'!K344</f>
        <v>0</v>
      </c>
      <c r="M344" s="4" t="str">
        <f t="shared" ref="M344:M351" si="15">EMIT_NAME</f>
        <v>Mtonne</v>
      </c>
    </row>
    <row r="345" spans="1:13" s="7" customFormat="1" x14ac:dyDescent="0.2">
      <c r="A345" s="4" t="str">
        <v>US Lin</v>
      </c>
      <c r="B345" s="26">
        <f ca="1">'Preventative costs A'!B345-'Preventative costs B'!B345</f>
        <v>0</v>
      </c>
      <c r="C345" s="26">
        <f ca="1">'Preventative costs A'!C345-'Preventative costs B'!C345</f>
        <v>0</v>
      </c>
      <c r="D345" s="26">
        <f ca="1">'Preventative costs A'!D345-'Preventative costs B'!D345</f>
        <v>0</v>
      </c>
      <c r="E345" s="26">
        <f ca="1">'Preventative costs A'!E345-'Preventative costs B'!E345</f>
        <v>0</v>
      </c>
      <c r="F345" s="26">
        <f ca="1">'Preventative costs A'!F345-'Preventative costs B'!F345</f>
        <v>0</v>
      </c>
      <c r="G345" s="26">
        <f ca="1">'Preventative costs A'!G345-'Preventative costs B'!G345</f>
        <v>0</v>
      </c>
      <c r="H345" s="26">
        <f ca="1">'Preventative costs A'!H345-'Preventative costs B'!H345</f>
        <v>0</v>
      </c>
      <c r="I345" s="26">
        <f ca="1">'Preventative costs A'!I345-'Preventative costs B'!I345</f>
        <v>0</v>
      </c>
      <c r="J345" s="26">
        <f ca="1">'Preventative costs A'!J345-'Preventative costs B'!J345</f>
        <v>0</v>
      </c>
      <c r="K345" s="26">
        <f ca="1">'Preventative costs A'!K345-'Preventative costs B'!K345</f>
        <v>0</v>
      </c>
      <c r="M345" s="4" t="str">
        <f t="shared" si="15"/>
        <v>Mtonne</v>
      </c>
    </row>
    <row r="346" spans="1:13" s="7" customFormat="1" x14ac:dyDescent="0.2">
      <c r="A346" s="4" t="str">
        <v>OT Lin</v>
      </c>
      <c r="B346" s="26">
        <f ca="1">'Preventative costs A'!B346-'Preventative costs B'!B346</f>
        <v>0</v>
      </c>
      <c r="C346" s="26">
        <f ca="1">'Preventative costs A'!C346-'Preventative costs B'!C346</f>
        <v>0</v>
      </c>
      <c r="D346" s="26">
        <f ca="1">'Preventative costs A'!D346-'Preventative costs B'!D346</f>
        <v>0</v>
      </c>
      <c r="E346" s="26">
        <f ca="1">'Preventative costs A'!E346-'Preventative costs B'!E346</f>
        <v>0</v>
      </c>
      <c r="F346" s="26">
        <f ca="1">'Preventative costs A'!F346-'Preventative costs B'!F346</f>
        <v>0</v>
      </c>
      <c r="G346" s="26">
        <f ca="1">'Preventative costs A'!G346-'Preventative costs B'!G346</f>
        <v>0</v>
      </c>
      <c r="H346" s="26">
        <f ca="1">'Preventative costs A'!H346-'Preventative costs B'!H346</f>
        <v>0</v>
      </c>
      <c r="I346" s="26">
        <f ca="1">'Preventative costs A'!I346-'Preventative costs B'!I346</f>
        <v>0</v>
      </c>
      <c r="J346" s="26">
        <f ca="1">'Preventative costs A'!J346-'Preventative costs B'!J346</f>
        <v>0</v>
      </c>
      <c r="K346" s="26">
        <f ca="1">'Preventative costs A'!K346-'Preventative costs B'!K346</f>
        <v>0</v>
      </c>
      <c r="M346" s="4" t="str">
        <f t="shared" si="15"/>
        <v>Mtonne</v>
      </c>
    </row>
    <row r="347" spans="1:13" s="7" customFormat="1" x14ac:dyDescent="0.2">
      <c r="A347" s="4" t="str">
        <v>EE Lin</v>
      </c>
      <c r="B347" s="26">
        <f ca="1">'Preventative costs A'!B347-'Preventative costs B'!B347</f>
        <v>0</v>
      </c>
      <c r="C347" s="26">
        <f ca="1">'Preventative costs A'!C347-'Preventative costs B'!C347</f>
        <v>0</v>
      </c>
      <c r="D347" s="26">
        <f ca="1">'Preventative costs A'!D347-'Preventative costs B'!D347</f>
        <v>0</v>
      </c>
      <c r="E347" s="26">
        <f ca="1">'Preventative costs A'!E347-'Preventative costs B'!E347</f>
        <v>0</v>
      </c>
      <c r="F347" s="26">
        <f ca="1">'Preventative costs A'!F347-'Preventative costs B'!F347</f>
        <v>0</v>
      </c>
      <c r="G347" s="26">
        <f ca="1">'Preventative costs A'!G347-'Preventative costs B'!G347</f>
        <v>0</v>
      </c>
      <c r="H347" s="26">
        <f ca="1">'Preventative costs A'!H347-'Preventative costs B'!H347</f>
        <v>0</v>
      </c>
      <c r="I347" s="26">
        <f ca="1">'Preventative costs A'!I347-'Preventative costs B'!I347</f>
        <v>0</v>
      </c>
      <c r="J347" s="26">
        <f ca="1">'Preventative costs A'!J347-'Preventative costs B'!J347</f>
        <v>0</v>
      </c>
      <c r="K347" s="26">
        <f ca="1">'Preventative costs A'!K347-'Preventative costs B'!K347</f>
        <v>0</v>
      </c>
      <c r="M347" s="4" t="str">
        <f t="shared" si="15"/>
        <v>Mtonne</v>
      </c>
    </row>
    <row r="348" spans="1:13" s="7" customFormat="1" x14ac:dyDescent="0.2">
      <c r="A348" s="4" t="str">
        <v>CA Lin</v>
      </c>
      <c r="B348" s="26">
        <f ca="1">'Preventative costs A'!B348-'Preventative costs B'!B348</f>
        <v>0</v>
      </c>
      <c r="C348" s="26">
        <f ca="1">'Preventative costs A'!C348-'Preventative costs B'!C348</f>
        <v>0</v>
      </c>
      <c r="D348" s="26">
        <f ca="1">'Preventative costs A'!D348-'Preventative costs B'!D348</f>
        <v>0</v>
      </c>
      <c r="E348" s="26">
        <f ca="1">'Preventative costs A'!E348-'Preventative costs B'!E348</f>
        <v>0</v>
      </c>
      <c r="F348" s="26">
        <f ca="1">'Preventative costs A'!F348-'Preventative costs B'!F348</f>
        <v>0</v>
      </c>
      <c r="G348" s="26">
        <f ca="1">'Preventative costs A'!G348-'Preventative costs B'!G348</f>
        <v>0</v>
      </c>
      <c r="H348" s="26">
        <f ca="1">'Preventative costs A'!H348-'Preventative costs B'!H348</f>
        <v>0</v>
      </c>
      <c r="I348" s="26">
        <f ca="1">'Preventative costs A'!I348-'Preventative costs B'!I348</f>
        <v>0</v>
      </c>
      <c r="J348" s="26">
        <f ca="1">'Preventative costs A'!J348-'Preventative costs B'!J348</f>
        <v>0</v>
      </c>
      <c r="K348" s="26">
        <f ca="1">'Preventative costs A'!K348-'Preventative costs B'!K348</f>
        <v>0</v>
      </c>
      <c r="M348" s="4" t="str">
        <f t="shared" si="15"/>
        <v>Mtonne</v>
      </c>
    </row>
    <row r="349" spans="1:13" s="7" customFormat="1" x14ac:dyDescent="0.2">
      <c r="A349" s="4" t="str">
        <v>IA Lin</v>
      </c>
      <c r="B349" s="26">
        <f ca="1">'Preventative costs A'!B349-'Preventative costs B'!B349</f>
        <v>0</v>
      </c>
      <c r="C349" s="26">
        <f ca="1">'Preventative costs A'!C349-'Preventative costs B'!C349</f>
        <v>0</v>
      </c>
      <c r="D349" s="26">
        <f ca="1">'Preventative costs A'!D349-'Preventative costs B'!D349</f>
        <v>0</v>
      </c>
      <c r="E349" s="26">
        <f ca="1">'Preventative costs A'!E349-'Preventative costs B'!E349</f>
        <v>0</v>
      </c>
      <c r="F349" s="26">
        <f ca="1">'Preventative costs A'!F349-'Preventative costs B'!F349</f>
        <v>0</v>
      </c>
      <c r="G349" s="26">
        <f ca="1">'Preventative costs A'!G349-'Preventative costs B'!G349</f>
        <v>0</v>
      </c>
      <c r="H349" s="26">
        <f ca="1">'Preventative costs A'!H349-'Preventative costs B'!H349</f>
        <v>0</v>
      </c>
      <c r="I349" s="26">
        <f ca="1">'Preventative costs A'!I349-'Preventative costs B'!I349</f>
        <v>0</v>
      </c>
      <c r="J349" s="26">
        <f ca="1">'Preventative costs A'!J349-'Preventative costs B'!J349</f>
        <v>0</v>
      </c>
      <c r="K349" s="26">
        <f ca="1">'Preventative costs A'!K349-'Preventative costs B'!K349</f>
        <v>0</v>
      </c>
      <c r="M349" s="4" t="str">
        <f t="shared" si="15"/>
        <v>Mtonne</v>
      </c>
    </row>
    <row r="350" spans="1:13" s="7" customFormat="1" x14ac:dyDescent="0.2">
      <c r="A350" s="4" t="str">
        <v>AF Lin</v>
      </c>
      <c r="B350" s="26">
        <f ca="1">'Preventative costs A'!B350-'Preventative costs B'!B350</f>
        <v>0</v>
      </c>
      <c r="C350" s="26">
        <f ca="1">'Preventative costs A'!C350-'Preventative costs B'!C350</f>
        <v>0</v>
      </c>
      <c r="D350" s="26">
        <f ca="1">'Preventative costs A'!D350-'Preventative costs B'!D350</f>
        <v>0</v>
      </c>
      <c r="E350" s="26">
        <f ca="1">'Preventative costs A'!E350-'Preventative costs B'!E350</f>
        <v>0</v>
      </c>
      <c r="F350" s="26">
        <f ca="1">'Preventative costs A'!F350-'Preventative costs B'!F350</f>
        <v>0</v>
      </c>
      <c r="G350" s="26">
        <f ca="1">'Preventative costs A'!G350-'Preventative costs B'!G350</f>
        <v>0</v>
      </c>
      <c r="H350" s="26">
        <f ca="1">'Preventative costs A'!H350-'Preventative costs B'!H350</f>
        <v>0</v>
      </c>
      <c r="I350" s="26">
        <f ca="1">'Preventative costs A'!I350-'Preventative costs B'!I350</f>
        <v>0</v>
      </c>
      <c r="J350" s="26">
        <f ca="1">'Preventative costs A'!J350-'Preventative costs B'!J350</f>
        <v>0</v>
      </c>
      <c r="K350" s="26">
        <f ca="1">'Preventative costs A'!K350-'Preventative costs B'!K350</f>
        <v>0</v>
      </c>
      <c r="M350" s="4" t="str">
        <f t="shared" si="15"/>
        <v>Mtonne</v>
      </c>
    </row>
    <row r="351" spans="1:13" s="7" customFormat="1" ht="13.5" thickBot="1" x14ac:dyDescent="0.25">
      <c r="A351" s="4" t="str">
        <v>LA Lin</v>
      </c>
      <c r="B351" s="35">
        <f ca="1">'Preventative costs A'!B351-'Preventative costs B'!B351</f>
        <v>0</v>
      </c>
      <c r="C351" s="35">
        <f ca="1">'Preventative costs A'!C351-'Preventative costs B'!C351</f>
        <v>0</v>
      </c>
      <c r="D351" s="35">
        <f ca="1">'Preventative costs A'!D351-'Preventative costs B'!D351</f>
        <v>0</v>
      </c>
      <c r="E351" s="35">
        <f ca="1">'Preventative costs A'!E351-'Preventative costs B'!E351</f>
        <v>0</v>
      </c>
      <c r="F351" s="35">
        <f ca="1">'Preventative costs A'!F351-'Preventative costs B'!F351</f>
        <v>0</v>
      </c>
      <c r="G351" s="35">
        <f ca="1">'Preventative costs A'!G351-'Preventative costs B'!G351</f>
        <v>0</v>
      </c>
      <c r="H351" s="35">
        <f ca="1">'Preventative costs A'!H351-'Preventative costs B'!H351</f>
        <v>0</v>
      </c>
      <c r="I351" s="35">
        <f ca="1">'Preventative costs A'!I351-'Preventative costs B'!I351</f>
        <v>0</v>
      </c>
      <c r="J351" s="35">
        <f ca="1">'Preventative costs A'!J351-'Preventative costs B'!J351</f>
        <v>0</v>
      </c>
      <c r="K351" s="35">
        <f ca="1">'Preventative costs A'!K351-'Preventative costs B'!K351</f>
        <v>0</v>
      </c>
      <c r="M351" s="4" t="str">
        <f t="shared" si="15"/>
        <v>Mtonne</v>
      </c>
    </row>
    <row r="352" spans="1:13" s="2" customFormat="1" ht="15" thickTop="1" x14ac:dyDescent="0.25">
      <c r="A352" s="2" t="s">
        <v>317</v>
      </c>
      <c r="B352" s="2" t="s">
        <v>318</v>
      </c>
    </row>
    <row r="353" spans="1:13" s="6" customFormat="1" x14ac:dyDescent="0.2">
      <c r="A353" s="4" t="str">
        <f t="array" ref="A353:A360">R_CODE&amp;" "&amp;'Base data'!$B$12</f>
        <v>EU CO2</v>
      </c>
      <c r="B353" s="29">
        <f ca="1">'Preventative costs A'!B353-'Preventative costs B'!B353</f>
        <v>0</v>
      </c>
      <c r="C353" s="29">
        <f ca="1">'Preventative costs A'!C353-'Preventative costs B'!C353</f>
        <v>0</v>
      </c>
      <c r="D353" s="29">
        <f ca="1">'Preventative costs A'!D353-'Preventative costs B'!D353</f>
        <v>0</v>
      </c>
      <c r="E353" s="29">
        <f ca="1">'Preventative costs A'!E353-'Preventative costs B'!E353</f>
        <v>0</v>
      </c>
      <c r="F353" s="29">
        <f ca="1">'Preventative costs A'!F353-'Preventative costs B'!F353</f>
        <v>0</v>
      </c>
      <c r="G353" s="29">
        <f ca="1">'Preventative costs A'!G353-'Preventative costs B'!G353</f>
        <v>-12.085268964371437</v>
      </c>
      <c r="H353" s="29">
        <f ca="1">'Preventative costs A'!H353-'Preventative costs B'!H353</f>
        <v>-26.574345932029445</v>
      </c>
      <c r="I353" s="29">
        <f ca="1">'Preventative costs A'!I353-'Preventative costs B'!I353</f>
        <v>-33.161764440768671</v>
      </c>
      <c r="J353" s="29">
        <f ca="1">'Preventative costs A'!J353-'Preventative costs B'!J353</f>
        <v>-35.214076049870748</v>
      </c>
      <c r="K353" s="29">
        <f ca="1">'Preventative costs A'!K353-'Preventative costs B'!K353</f>
        <v>-35.00343385298747</v>
      </c>
      <c r="M353" s="4" t="str">
        <f t="shared" ref="M353:M360" si="16">CURRENCY_NAME&amp;" per "&amp;EMIT_NAME</f>
        <v>$M(2015) per Mtonne</v>
      </c>
    </row>
    <row r="354" spans="1:13" s="6" customFormat="1" x14ac:dyDescent="0.2">
      <c r="A354" s="4" t="str">
        <v>US CO2</v>
      </c>
      <c r="B354" s="26">
        <f ca="1">'Preventative costs A'!B354-'Preventative costs B'!B354</f>
        <v>0</v>
      </c>
      <c r="C354" s="26">
        <f ca="1">'Preventative costs A'!C354-'Preventative costs B'!C354</f>
        <v>0</v>
      </c>
      <c r="D354" s="26">
        <f ca="1">'Preventative costs A'!D354-'Preventative costs B'!D354</f>
        <v>0</v>
      </c>
      <c r="E354" s="26">
        <f ca="1">'Preventative costs A'!E354-'Preventative costs B'!E354</f>
        <v>0</v>
      </c>
      <c r="F354" s="26">
        <f ca="1">'Preventative costs A'!F354-'Preventative costs B'!F354</f>
        <v>0</v>
      </c>
      <c r="G354" s="26">
        <f ca="1">'Preventative costs A'!G354-'Preventative costs B'!G354</f>
        <v>-13.738712575300383</v>
      </c>
      <c r="H354" s="26">
        <f ca="1">'Preventative costs A'!H354-'Preventative costs B'!H354</f>
        <v>-28.825735216967225</v>
      </c>
      <c r="I354" s="26">
        <f ca="1">'Preventative costs A'!I354-'Preventative costs B'!I354</f>
        <v>-35.050094961506211</v>
      </c>
      <c r="J354" s="26">
        <f ca="1">'Preventative costs A'!J354-'Preventative costs B'!J354</f>
        <v>-36.765120524971096</v>
      </c>
      <c r="K354" s="26">
        <f ca="1">'Preventative costs A'!K354-'Preventative costs B'!K354</f>
        <v>-36.262920240788688</v>
      </c>
      <c r="M354" s="4" t="str">
        <f t="shared" si="16"/>
        <v>$M(2015) per Mtonne</v>
      </c>
    </row>
    <row r="355" spans="1:13" s="6" customFormat="1" x14ac:dyDescent="0.2">
      <c r="A355" s="4" t="str">
        <v>OT CO2</v>
      </c>
      <c r="B355" s="26">
        <f ca="1">'Preventative costs A'!B355-'Preventative costs B'!B355</f>
        <v>0</v>
      </c>
      <c r="C355" s="26">
        <f ca="1">'Preventative costs A'!C355-'Preventative costs B'!C355</f>
        <v>0</v>
      </c>
      <c r="D355" s="26">
        <f ca="1">'Preventative costs A'!D355-'Preventative costs B'!D355</f>
        <v>0</v>
      </c>
      <c r="E355" s="26">
        <f ca="1">'Preventative costs A'!E355-'Preventative costs B'!E355</f>
        <v>0</v>
      </c>
      <c r="F355" s="26">
        <f ca="1">'Preventative costs A'!F355-'Preventative costs B'!F355</f>
        <v>0</v>
      </c>
      <c r="G355" s="26">
        <f ca="1">'Preventative costs A'!G355-'Preventative costs B'!G355</f>
        <v>-14.780699607814157</v>
      </c>
      <c r="H355" s="26">
        <f ca="1">'Preventative costs A'!H355-'Preventative costs B'!H355</f>
        <v>-32.583851915777146</v>
      </c>
      <c r="I355" s="26">
        <f ca="1">'Preventative costs A'!I355-'Preventative costs B'!I355</f>
        <v>-40.717981967898027</v>
      </c>
      <c r="J355" s="26">
        <f ca="1">'Preventative costs A'!J355-'Preventative costs B'!J355</f>
        <v>-43.272110931795972</v>
      </c>
      <c r="K355" s="26">
        <f ca="1">'Preventative costs A'!K355-'Preventative costs B'!K355</f>
        <v>-43.032800286653917</v>
      </c>
      <c r="M355" s="4" t="str">
        <f t="shared" si="16"/>
        <v>$M(2015) per Mtonne</v>
      </c>
    </row>
    <row r="356" spans="1:13" s="6" customFormat="1" x14ac:dyDescent="0.2">
      <c r="A356" s="4" t="str">
        <v>EE CO2</v>
      </c>
      <c r="B356" s="26">
        <f ca="1">'Preventative costs A'!B356-'Preventative costs B'!B356</f>
        <v>0</v>
      </c>
      <c r="C356" s="26">
        <f ca="1">'Preventative costs A'!C356-'Preventative costs B'!C356</f>
        <v>0</v>
      </c>
      <c r="D356" s="26">
        <f ca="1">'Preventative costs A'!D356-'Preventative costs B'!D356</f>
        <v>0</v>
      </c>
      <c r="E356" s="26">
        <f ca="1">'Preventative costs A'!E356-'Preventative costs B'!E356</f>
        <v>0</v>
      </c>
      <c r="F356" s="26">
        <f ca="1">'Preventative costs A'!F356-'Preventative costs B'!F356</f>
        <v>0</v>
      </c>
      <c r="G356" s="26">
        <f ca="1">'Preventative costs A'!G356-'Preventative costs B'!G356</f>
        <v>-8.9492161206056196</v>
      </c>
      <c r="H356" s="26">
        <f ca="1">'Preventative costs A'!H356-'Preventative costs B'!H356</f>
        <v>-18.986660006393898</v>
      </c>
      <c r="I356" s="26">
        <f ca="1">'Preventative costs A'!I356-'Preventative costs B'!I356</f>
        <v>-23.37294264674707</v>
      </c>
      <c r="J356" s="26">
        <f ca="1">'Preventative costs A'!J356-'Preventative costs B'!J356</f>
        <v>-24.654073475460375</v>
      </c>
      <c r="K356" s="26">
        <f ca="1">'Preventative costs A'!K356-'Preventative costs B'!K356</f>
        <v>-24.411161100726115</v>
      </c>
      <c r="M356" s="4" t="str">
        <f t="shared" si="16"/>
        <v>$M(2015) per Mtonne</v>
      </c>
    </row>
    <row r="357" spans="1:13" s="6" customFormat="1" x14ac:dyDescent="0.2">
      <c r="A357" s="4" t="str">
        <v>CA CO2</v>
      </c>
      <c r="B357" s="26">
        <f ca="1">'Preventative costs A'!B357-'Preventative costs B'!B357</f>
        <v>0</v>
      </c>
      <c r="C357" s="26">
        <f ca="1">'Preventative costs A'!C357-'Preventative costs B'!C357</f>
        <v>0</v>
      </c>
      <c r="D357" s="26">
        <f ca="1">'Preventative costs A'!D357-'Preventative costs B'!D357</f>
        <v>0</v>
      </c>
      <c r="E357" s="26">
        <f ca="1">'Preventative costs A'!E357-'Preventative costs B'!E357</f>
        <v>0</v>
      </c>
      <c r="F357" s="26">
        <f ca="1">'Preventative costs A'!F357-'Preventative costs B'!F357</f>
        <v>0</v>
      </c>
      <c r="G357" s="26">
        <f ca="1">'Preventative costs A'!G357-'Preventative costs B'!G357</f>
        <v>-15.543388646092922</v>
      </c>
      <c r="H357" s="26">
        <f ca="1">'Preventative costs A'!H357-'Preventative costs B'!H357</f>
        <v>-30.41377949026316</v>
      </c>
      <c r="I357" s="26">
        <f ca="1">'Preventative costs A'!I357-'Preventative costs B'!I357</f>
        <v>-36.186322656147304</v>
      </c>
      <c r="J357" s="26">
        <f ca="1">'Preventative costs A'!J357-'Preventative costs B'!J357</f>
        <v>-37.482593725834917</v>
      </c>
      <c r="K357" s="26">
        <f ca="1">'Preventative costs A'!K357-'Preventative costs B'!K357</f>
        <v>-36.690313252726632</v>
      </c>
      <c r="M357" s="4" t="str">
        <f t="shared" si="16"/>
        <v>$M(2015) per Mtonne</v>
      </c>
    </row>
    <row r="358" spans="1:13" s="6" customFormat="1" x14ac:dyDescent="0.2">
      <c r="A358" s="4" t="str">
        <v>IA CO2</v>
      </c>
      <c r="B358" s="26">
        <f ca="1">'Preventative costs A'!B358-'Preventative costs B'!B358</f>
        <v>0</v>
      </c>
      <c r="C358" s="26">
        <f ca="1">'Preventative costs A'!C358-'Preventative costs B'!C358</f>
        <v>0</v>
      </c>
      <c r="D358" s="26">
        <f ca="1">'Preventative costs A'!D358-'Preventative costs B'!D358</f>
        <v>0</v>
      </c>
      <c r="E358" s="26">
        <f ca="1">'Preventative costs A'!E358-'Preventative costs B'!E358</f>
        <v>0</v>
      </c>
      <c r="F358" s="26">
        <f ca="1">'Preventative costs A'!F358-'Preventative costs B'!F358</f>
        <v>0</v>
      </c>
      <c r="G358" s="26">
        <f ca="1">'Preventative costs A'!G358-'Preventative costs B'!G358</f>
        <v>-20.03088997630239</v>
      </c>
      <c r="H358" s="26">
        <f ca="1">'Preventative costs A'!H358-'Preventative costs B'!H358</f>
        <v>-39.119536014424384</v>
      </c>
      <c r="I358" s="26">
        <f ca="1">'Preventative costs A'!I358-'Preventative costs B'!I358</f>
        <v>-46.526697462095782</v>
      </c>
      <c r="J358" s="26">
        <f ca="1">'Preventative costs A'!J358-'Preventative costs B'!J358</f>
        <v>-48.274698729803745</v>
      </c>
      <c r="K358" s="26">
        <f ca="1">'Preventative costs A'!K358-'Preventative costs B'!K358</f>
        <v>-47.337552461714843</v>
      </c>
      <c r="M358" s="4" t="str">
        <f t="shared" si="16"/>
        <v>$M(2015) per Mtonne</v>
      </c>
    </row>
    <row r="359" spans="1:13" s="6" customFormat="1" x14ac:dyDescent="0.2">
      <c r="A359" s="4" t="str">
        <v>AF CO2</v>
      </c>
      <c r="B359" s="26">
        <f ca="1">'Preventative costs A'!B359-'Preventative costs B'!B359</f>
        <v>0</v>
      </c>
      <c r="C359" s="26">
        <f ca="1">'Preventative costs A'!C359-'Preventative costs B'!C359</f>
        <v>0</v>
      </c>
      <c r="D359" s="26">
        <f ca="1">'Preventative costs A'!D359-'Preventative costs B'!D359</f>
        <v>0</v>
      </c>
      <c r="E359" s="26">
        <f ca="1">'Preventative costs A'!E359-'Preventative costs B'!E359</f>
        <v>0</v>
      </c>
      <c r="F359" s="26">
        <f ca="1">'Preventative costs A'!F359-'Preventative costs B'!F359</f>
        <v>0</v>
      </c>
      <c r="G359" s="26">
        <f ca="1">'Preventative costs A'!G359-'Preventative costs B'!G359</f>
        <v>-21.731405746087106</v>
      </c>
      <c r="H359" s="26">
        <f ca="1">'Preventative costs A'!H359-'Preventative costs B'!H359</f>
        <v>-41.712314825003745</v>
      </c>
      <c r="I359" s="26">
        <f ca="1">'Preventative costs A'!I359-'Preventative costs B'!I359</f>
        <v>-48.969945007936033</v>
      </c>
      <c r="J359" s="26">
        <f ca="1">'Preventative costs A'!J359-'Preventative costs B'!J359</f>
        <v>-50.489581043980571</v>
      </c>
      <c r="K359" s="26">
        <f ca="1">'Preventative costs A'!K359-'Preventative costs B'!K359</f>
        <v>-49.355478429400229</v>
      </c>
      <c r="M359" s="4" t="str">
        <f t="shared" si="16"/>
        <v>$M(2015) per Mtonne</v>
      </c>
    </row>
    <row r="360" spans="1:13" s="6" customFormat="1" ht="13.5" thickBot="1" x14ac:dyDescent="0.25">
      <c r="A360" s="4" t="str">
        <v>LA CO2</v>
      </c>
      <c r="B360" s="35">
        <f ca="1">'Preventative costs A'!B360-'Preventative costs B'!B360</f>
        <v>0</v>
      </c>
      <c r="C360" s="35">
        <f ca="1">'Preventative costs A'!C360-'Preventative costs B'!C360</f>
        <v>0</v>
      </c>
      <c r="D360" s="35">
        <f ca="1">'Preventative costs A'!D360-'Preventative costs B'!D360</f>
        <v>0</v>
      </c>
      <c r="E360" s="35">
        <f ca="1">'Preventative costs A'!E360-'Preventative costs B'!E360</f>
        <v>0</v>
      </c>
      <c r="F360" s="35">
        <f ca="1">'Preventative costs A'!F360-'Preventative costs B'!F360</f>
        <v>0</v>
      </c>
      <c r="G360" s="35">
        <f ca="1">'Preventative costs A'!G360-'Preventative costs B'!G360</f>
        <v>-8.8547785433391724</v>
      </c>
      <c r="H360" s="35">
        <f ca="1">'Preventative costs A'!H360-'Preventative costs B'!H360</f>
        <v>-19.236419691735279</v>
      </c>
      <c r="I360" s="35">
        <f ca="1">'Preventative costs A'!I360-'Preventative costs B'!I360</f>
        <v>-23.769698984237223</v>
      </c>
      <c r="J360" s="35">
        <f ca="1">'Preventative costs A'!J360-'Preventative costs B'!J360</f>
        <v>-25.116158846375381</v>
      </c>
      <c r="K360" s="35">
        <f ca="1">'Preventative costs A'!K360-'Preventative costs B'!K360</f>
        <v>-24.880625596068722</v>
      </c>
      <c r="M360" s="4" t="str">
        <f t="shared" si="16"/>
        <v>$M(2015) per Mtonne</v>
      </c>
    </row>
    <row r="361" spans="1:13" s="2" customFormat="1" ht="15" thickTop="1" x14ac:dyDescent="0.25">
      <c r="A361" s="2" t="s">
        <v>317</v>
      </c>
      <c r="B361" s="2" t="s">
        <v>319</v>
      </c>
    </row>
    <row r="362" spans="1:13" s="6" customFormat="1" x14ac:dyDescent="0.2">
      <c r="A362" s="4" t="str">
        <f t="array" ref="A362:A369">R_CODE&amp;" "&amp;'Base data'!$C$12</f>
        <v>EU CH4</v>
      </c>
      <c r="B362" s="29">
        <f ca="1">'Preventative costs A'!B362-'Preventative costs B'!B362</f>
        <v>0</v>
      </c>
      <c r="C362" s="29">
        <f ca="1">'Preventative costs A'!C362-'Preventative costs B'!C362</f>
        <v>0</v>
      </c>
      <c r="D362" s="29">
        <f ca="1">'Preventative costs A'!D362-'Preventative costs B'!D362</f>
        <v>0</v>
      </c>
      <c r="E362" s="29">
        <f ca="1">'Preventative costs A'!E362-'Preventative costs B'!E362</f>
        <v>0</v>
      </c>
      <c r="F362" s="29">
        <f ca="1">'Preventative costs A'!F362-'Preventative costs B'!F362</f>
        <v>0</v>
      </c>
      <c r="G362" s="29">
        <f ca="1">'Preventative costs A'!G362-'Preventative costs B'!G362</f>
        <v>-393.25140859962175</v>
      </c>
      <c r="H362" s="29">
        <f ca="1">'Preventative costs A'!H362-'Preventative costs B'!H362</f>
        <v>-668.19532225951298</v>
      </c>
      <c r="I362" s="29">
        <f ca="1">'Preventative costs A'!I362-'Preventative costs B'!I362</f>
        <v>-810.63555032271552</v>
      </c>
      <c r="J362" s="29">
        <f ca="1">'Preventative costs A'!J362-'Preventative costs B'!J362</f>
        <v>-867.46533422470975</v>
      </c>
      <c r="K362" s="29">
        <f ca="1">'Preventative costs A'!K362-'Preventative costs B'!K362</f>
        <v>-875.55057333453897</v>
      </c>
      <c r="M362" s="4" t="str">
        <f t="shared" ref="M362:M369" si="17">CURRENCY_NAME&amp;" per "&amp;EMIT_NAME</f>
        <v>$M(2015) per Mtonne</v>
      </c>
    </row>
    <row r="363" spans="1:13" s="6" customFormat="1" x14ac:dyDescent="0.2">
      <c r="A363" s="4" t="str">
        <v>US CH4</v>
      </c>
      <c r="B363" s="26">
        <f ca="1">'Preventative costs A'!B363-'Preventative costs B'!B363</f>
        <v>0</v>
      </c>
      <c r="C363" s="26">
        <f ca="1">'Preventative costs A'!C363-'Preventative costs B'!C363</f>
        <v>0</v>
      </c>
      <c r="D363" s="26">
        <f ca="1">'Preventative costs A'!D363-'Preventative costs B'!D363</f>
        <v>0</v>
      </c>
      <c r="E363" s="26">
        <f ca="1">'Preventative costs A'!E363-'Preventative costs B'!E363</f>
        <v>0</v>
      </c>
      <c r="F363" s="26">
        <f ca="1">'Preventative costs A'!F363-'Preventative costs B'!F363</f>
        <v>0</v>
      </c>
      <c r="G363" s="26">
        <f ca="1">'Preventative costs A'!G363-'Preventative costs B'!G363</f>
        <v>-431.62207583828422</v>
      </c>
      <c r="H363" s="26">
        <f ca="1">'Preventative costs A'!H363-'Preventative costs B'!H363</f>
        <v>-723.39162001375826</v>
      </c>
      <c r="I363" s="26">
        <f ca="1">'Preventative costs A'!I363-'Preventative costs B'!I363</f>
        <v>-871.56697957690267</v>
      </c>
      <c r="J363" s="26">
        <f ca="1">'Preventative costs A'!J363-'Preventative costs B'!J363</f>
        <v>-927.38746502309777</v>
      </c>
      <c r="K363" s="26">
        <f ca="1">'Preventative costs A'!K363-'Preventative costs B'!K363</f>
        <v>-925.97426248110423</v>
      </c>
      <c r="M363" s="4" t="str">
        <f t="shared" si="17"/>
        <v>$M(2015) per Mtonne</v>
      </c>
    </row>
    <row r="364" spans="1:13" s="6" customFormat="1" x14ac:dyDescent="0.2">
      <c r="A364" s="4" t="str">
        <v>OT CH4</v>
      </c>
      <c r="B364" s="26">
        <f ca="1">'Preventative costs A'!B364-'Preventative costs B'!B364</f>
        <v>0</v>
      </c>
      <c r="C364" s="26">
        <f ca="1">'Preventative costs A'!C364-'Preventative costs B'!C364</f>
        <v>0</v>
      </c>
      <c r="D364" s="26">
        <f ca="1">'Preventative costs A'!D364-'Preventative costs B'!D364</f>
        <v>0</v>
      </c>
      <c r="E364" s="26">
        <f ca="1">'Preventative costs A'!E364-'Preventative costs B'!E364</f>
        <v>0</v>
      </c>
      <c r="F364" s="26">
        <f ca="1">'Preventative costs A'!F364-'Preventative costs B'!F364</f>
        <v>0</v>
      </c>
      <c r="G364" s="26">
        <f ca="1">'Preventative costs A'!G364-'Preventative costs B'!G364</f>
        <v>-466.84941722915846</v>
      </c>
      <c r="H364" s="26">
        <f ca="1">'Preventative costs A'!H364-'Preventative costs B'!H364</f>
        <v>-827.68291380066876</v>
      </c>
      <c r="I364" s="26">
        <f ca="1">'Preventative costs A'!I364-'Preventative costs B'!I364</f>
        <v>-1019.9983094366521</v>
      </c>
      <c r="J364" s="26">
        <f ca="1">'Preventative costs A'!J364-'Preventative costs B'!J364</f>
        <v>-1099.7683853406884</v>
      </c>
      <c r="K364" s="26">
        <f ca="1">'Preventative costs A'!K364-'Preventative costs B'!K364</f>
        <v>-1111.4738810993026</v>
      </c>
      <c r="M364" s="4" t="str">
        <f t="shared" si="17"/>
        <v>$M(2015) per Mtonne</v>
      </c>
    </row>
    <row r="365" spans="1:13" s="6" customFormat="1" x14ac:dyDescent="0.2">
      <c r="A365" s="4" t="str">
        <v>EE CH4</v>
      </c>
      <c r="B365" s="26">
        <f ca="1">'Preventative costs A'!B365-'Preventative costs B'!B365</f>
        <v>0</v>
      </c>
      <c r="C365" s="26">
        <f ca="1">'Preventative costs A'!C365-'Preventative costs B'!C365</f>
        <v>0</v>
      </c>
      <c r="D365" s="26">
        <f ca="1">'Preventative costs A'!D365-'Preventative costs B'!D365</f>
        <v>0</v>
      </c>
      <c r="E365" s="26">
        <f ca="1">'Preventative costs A'!E365-'Preventative costs B'!E365</f>
        <v>0</v>
      </c>
      <c r="F365" s="26">
        <f ca="1">'Preventative costs A'!F365-'Preventative costs B'!F365</f>
        <v>0</v>
      </c>
      <c r="G365" s="26">
        <f ca="1">'Preventative costs A'!G365-'Preventative costs B'!G365</f>
        <v>-323.61605689461112</v>
      </c>
      <c r="H365" s="26">
        <f ca="1">'Preventative costs A'!H365-'Preventative costs B'!H365</f>
        <v>-559.69002505066373</v>
      </c>
      <c r="I365" s="26">
        <f ca="1">'Preventative costs A'!I365-'Preventative costs B'!I365</f>
        <v>-682.50667817021576</v>
      </c>
      <c r="J365" s="26">
        <f ca="1">'Preventative costs A'!J365-'Preventative costs B'!J365</f>
        <v>-735.33648116293557</v>
      </c>
      <c r="K365" s="26">
        <f ca="1">'Preventative costs A'!K365-'Preventative costs B'!K365</f>
        <v>-743.397365425207</v>
      </c>
      <c r="M365" s="4" t="str">
        <f t="shared" si="17"/>
        <v>$M(2015) per Mtonne</v>
      </c>
    </row>
    <row r="366" spans="1:13" s="6" customFormat="1" x14ac:dyDescent="0.2">
      <c r="A366" s="4" t="str">
        <v>CA CH4</v>
      </c>
      <c r="B366" s="26">
        <f ca="1">'Preventative costs A'!B366-'Preventative costs B'!B366</f>
        <v>0</v>
      </c>
      <c r="C366" s="26">
        <f ca="1">'Preventative costs A'!C366-'Preventative costs B'!C366</f>
        <v>0</v>
      </c>
      <c r="D366" s="26">
        <f ca="1">'Preventative costs A'!D366-'Preventative costs B'!D366</f>
        <v>0</v>
      </c>
      <c r="E366" s="26">
        <f ca="1">'Preventative costs A'!E366-'Preventative costs B'!E366</f>
        <v>0</v>
      </c>
      <c r="F366" s="26">
        <f ca="1">'Preventative costs A'!F366-'Preventative costs B'!F366</f>
        <v>0</v>
      </c>
      <c r="G366" s="26">
        <f ca="1">'Preventative costs A'!G366-'Preventative costs B'!G366</f>
        <v>-423.38935578418568</v>
      </c>
      <c r="H366" s="26">
        <f ca="1">'Preventative costs A'!H366-'Preventative costs B'!H366</f>
        <v>-723.41615240596911</v>
      </c>
      <c r="I366" s="26">
        <f ca="1">'Preventative costs A'!I366-'Preventative costs B'!I366</f>
        <v>-881.00830626377956</v>
      </c>
      <c r="J366" s="26">
        <f ca="1">'Preventative costs A'!J366-'Preventative costs B'!J366</f>
        <v>-940.11244206308174</v>
      </c>
      <c r="K366" s="26">
        <f ca="1">'Preventative costs A'!K366-'Preventative costs B'!K366</f>
        <v>-944.41831725548718</v>
      </c>
      <c r="M366" s="4" t="str">
        <f t="shared" si="17"/>
        <v>$M(2015) per Mtonne</v>
      </c>
    </row>
    <row r="367" spans="1:13" s="6" customFormat="1" x14ac:dyDescent="0.2">
      <c r="A367" s="4" t="str">
        <v>IA CH4</v>
      </c>
      <c r="B367" s="26">
        <f ca="1">'Preventative costs A'!B367-'Preventative costs B'!B367</f>
        <v>0</v>
      </c>
      <c r="C367" s="26">
        <f ca="1">'Preventative costs A'!C367-'Preventative costs B'!C367</f>
        <v>0</v>
      </c>
      <c r="D367" s="26">
        <f ca="1">'Preventative costs A'!D367-'Preventative costs B'!D367</f>
        <v>0</v>
      </c>
      <c r="E367" s="26">
        <f ca="1">'Preventative costs A'!E367-'Preventative costs B'!E367</f>
        <v>0</v>
      </c>
      <c r="F367" s="26">
        <f ca="1">'Preventative costs A'!F367-'Preventative costs B'!F367</f>
        <v>0</v>
      </c>
      <c r="G367" s="26">
        <f ca="1">'Preventative costs A'!G367-'Preventative costs B'!G367</f>
        <v>-633.35242400658353</v>
      </c>
      <c r="H367" s="26">
        <f ca="1">'Preventative costs A'!H367-'Preventative costs B'!H367</f>
        <v>-986.06154594837153</v>
      </c>
      <c r="I367" s="26">
        <f ca="1">'Preventative costs A'!I367-'Preventative costs B'!I367</f>
        <v>-1145.529083516109</v>
      </c>
      <c r="J367" s="26">
        <f ca="1">'Preventative costs A'!J367-'Preventative costs B'!J367</f>
        <v>-1197.4040689999952</v>
      </c>
      <c r="K367" s="26">
        <f ca="1">'Preventative costs A'!K367-'Preventative costs B'!K367</f>
        <v>-1190.7199597959548</v>
      </c>
      <c r="M367" s="4" t="str">
        <f t="shared" si="17"/>
        <v>$M(2015) per Mtonne</v>
      </c>
    </row>
    <row r="368" spans="1:13" s="6" customFormat="1" x14ac:dyDescent="0.2">
      <c r="A368" s="4" t="str">
        <v>AF CH4</v>
      </c>
      <c r="B368" s="26">
        <f ca="1">'Preventative costs A'!B368-'Preventative costs B'!B368</f>
        <v>0</v>
      </c>
      <c r="C368" s="26">
        <f ca="1">'Preventative costs A'!C368-'Preventative costs B'!C368</f>
        <v>0</v>
      </c>
      <c r="D368" s="26">
        <f ca="1">'Preventative costs A'!D368-'Preventative costs B'!D368</f>
        <v>0</v>
      </c>
      <c r="E368" s="26">
        <f ca="1">'Preventative costs A'!E368-'Preventative costs B'!E368</f>
        <v>0</v>
      </c>
      <c r="F368" s="26">
        <f ca="1">'Preventative costs A'!F368-'Preventative costs B'!F368</f>
        <v>0</v>
      </c>
      <c r="G368" s="26">
        <f ca="1">'Preventative costs A'!G368-'Preventative costs B'!G368</f>
        <v>-832.02499981018991</v>
      </c>
      <c r="H368" s="26">
        <f ca="1">'Preventative costs A'!H368-'Preventative costs B'!H368</f>
        <v>-1393.9599688706621</v>
      </c>
      <c r="I368" s="26">
        <f ca="1">'Preventative costs A'!I368-'Preventative costs B'!I368</f>
        <v>-1637.7853207264238</v>
      </c>
      <c r="J368" s="26">
        <f ca="1">'Preventative costs A'!J368-'Preventative costs B'!J368</f>
        <v>-1703.7418472440909</v>
      </c>
      <c r="K368" s="26">
        <f ca="1">'Preventative costs A'!K368-'Preventative costs B'!K368</f>
        <v>-1670.3764119007892</v>
      </c>
      <c r="M368" s="4" t="str">
        <f t="shared" si="17"/>
        <v>$M(2015) per Mtonne</v>
      </c>
    </row>
    <row r="369" spans="1:13" s="6" customFormat="1" ht="13.5" thickBot="1" x14ac:dyDescent="0.25">
      <c r="A369" s="4" t="str">
        <v>LA CH4</v>
      </c>
      <c r="B369" s="35">
        <f ca="1">'Preventative costs A'!B369-'Preventative costs B'!B369</f>
        <v>0</v>
      </c>
      <c r="C369" s="35">
        <f ca="1">'Preventative costs A'!C369-'Preventative costs B'!C369</f>
        <v>0</v>
      </c>
      <c r="D369" s="35">
        <f ca="1">'Preventative costs A'!D369-'Preventative costs B'!D369</f>
        <v>0</v>
      </c>
      <c r="E369" s="35">
        <f ca="1">'Preventative costs A'!E369-'Preventative costs B'!E369</f>
        <v>0</v>
      </c>
      <c r="F369" s="35">
        <f ca="1">'Preventative costs A'!F369-'Preventative costs B'!F369</f>
        <v>0</v>
      </c>
      <c r="G369" s="35">
        <f ca="1">'Preventative costs A'!G369-'Preventative costs B'!G369</f>
        <v>-309.00726988966289</v>
      </c>
      <c r="H369" s="35">
        <f ca="1">'Preventative costs A'!H369-'Preventative costs B'!H369</f>
        <v>-531.75820906302442</v>
      </c>
      <c r="I369" s="35">
        <f ca="1">'Preventative costs A'!I369-'Preventative costs B'!I369</f>
        <v>-645.0901791930969</v>
      </c>
      <c r="J369" s="35">
        <f ca="1">'Preventative costs A'!J369-'Preventative costs B'!J369</f>
        <v>-689.05102195613995</v>
      </c>
      <c r="K369" s="35">
        <f ca="1">'Preventative costs A'!K369-'Preventative costs B'!K369</f>
        <v>-689.09921190319619</v>
      </c>
      <c r="M369" s="4" t="str">
        <f t="shared" si="17"/>
        <v>$M(2015) per Mtonne</v>
      </c>
    </row>
    <row r="370" spans="1:13" s="2" customFormat="1" ht="15" thickTop="1" x14ac:dyDescent="0.25">
      <c r="A370" s="2" t="s">
        <v>317</v>
      </c>
      <c r="B370" s="2" t="s">
        <v>320</v>
      </c>
    </row>
    <row r="371" spans="1:13" s="7" customFormat="1" x14ac:dyDescent="0.2">
      <c r="A371" s="4" t="str">
        <f t="array" ref="A371:A378">R_CODE&amp;" "&amp;'Base data'!$D$12</f>
        <v>EU N2O</v>
      </c>
      <c r="B371" s="29">
        <f ca="1">'Preventative costs A'!B371-'Preventative costs B'!B371</f>
        <v>0</v>
      </c>
      <c r="C371" s="29">
        <f ca="1">'Preventative costs A'!C371-'Preventative costs B'!C371</f>
        <v>0</v>
      </c>
      <c r="D371" s="29">
        <f ca="1">'Preventative costs A'!D371-'Preventative costs B'!D371</f>
        <v>0</v>
      </c>
      <c r="E371" s="29">
        <f ca="1">'Preventative costs A'!E371-'Preventative costs B'!E371</f>
        <v>0</v>
      </c>
      <c r="F371" s="29">
        <f ca="1">'Preventative costs A'!F371-'Preventative costs B'!F371</f>
        <v>0</v>
      </c>
      <c r="G371" s="29">
        <f ca="1">'Preventative costs A'!G371-'Preventative costs B'!G371</f>
        <v>-1027.6834934706494</v>
      </c>
      <c r="H371" s="29">
        <f ca="1">'Preventative costs A'!H371-'Preventative costs B'!H371</f>
        <v>-1127.0500213618725</v>
      </c>
      <c r="I371" s="29">
        <f ca="1">'Preventative costs A'!I371-'Preventative costs B'!I371</f>
        <v>-1037.2171411611798</v>
      </c>
      <c r="J371" s="29">
        <f ca="1">'Preventative costs A'!J371-'Preventative costs B'!J371</f>
        <v>-1033.5154378060379</v>
      </c>
      <c r="K371" s="29">
        <f ca="1">'Preventative costs A'!K371-'Preventative costs B'!K371</f>
        <v>-1044.719034352227</v>
      </c>
      <c r="M371" s="4" t="str">
        <f t="shared" ref="M371:M378" si="18">CURRENCY_NAME&amp;" per "&amp;EMIT_NAME</f>
        <v>$M(2015) per Mtonne</v>
      </c>
    </row>
    <row r="372" spans="1:13" s="7" customFormat="1" x14ac:dyDescent="0.2">
      <c r="A372" s="4" t="str">
        <v>US N2O</v>
      </c>
      <c r="B372" s="26">
        <f ca="1">'Preventative costs A'!B372-'Preventative costs B'!B372</f>
        <v>0</v>
      </c>
      <c r="C372" s="26">
        <f ca="1">'Preventative costs A'!C372-'Preventative costs B'!C372</f>
        <v>0</v>
      </c>
      <c r="D372" s="26">
        <f ca="1">'Preventative costs A'!D372-'Preventative costs B'!D372</f>
        <v>0</v>
      </c>
      <c r="E372" s="26">
        <f ca="1">'Preventative costs A'!E372-'Preventative costs B'!E372</f>
        <v>0</v>
      </c>
      <c r="F372" s="26">
        <f ca="1">'Preventative costs A'!F372-'Preventative costs B'!F372</f>
        <v>0</v>
      </c>
      <c r="G372" s="26">
        <f ca="1">'Preventative costs A'!G372-'Preventative costs B'!G372</f>
        <v>-991.2093653724769</v>
      </c>
      <c r="H372" s="26">
        <f ca="1">'Preventative costs A'!H372-'Preventative costs B'!H372</f>
        <v>-1087.8968121914077</v>
      </c>
      <c r="I372" s="26">
        <f ca="1">'Preventative costs A'!I372-'Preventative costs B'!I372</f>
        <v>-1001.2422835596517</v>
      </c>
      <c r="J372" s="26">
        <f ca="1">'Preventative costs A'!J372-'Preventative costs B'!J372</f>
        <v>-998.10722175114824</v>
      </c>
      <c r="K372" s="26">
        <f ca="1">'Preventative costs A'!K372-'Preventative costs B'!K372</f>
        <v>-1009.4876189886618</v>
      </c>
      <c r="M372" s="4" t="str">
        <f t="shared" si="18"/>
        <v>$M(2015) per Mtonne</v>
      </c>
    </row>
    <row r="373" spans="1:13" s="7" customFormat="1" x14ac:dyDescent="0.2">
      <c r="A373" s="4" t="str">
        <v>OT N2O</v>
      </c>
      <c r="B373" s="26">
        <f ca="1">'Preventative costs A'!B373-'Preventative costs B'!B373</f>
        <v>0</v>
      </c>
      <c r="C373" s="26">
        <f ca="1">'Preventative costs A'!C373-'Preventative costs B'!C373</f>
        <v>0</v>
      </c>
      <c r="D373" s="26">
        <f ca="1">'Preventative costs A'!D373-'Preventative costs B'!D373</f>
        <v>0</v>
      </c>
      <c r="E373" s="26">
        <f ca="1">'Preventative costs A'!E373-'Preventative costs B'!E373</f>
        <v>0</v>
      </c>
      <c r="F373" s="26">
        <f ca="1">'Preventative costs A'!F373-'Preventative costs B'!F373</f>
        <v>0</v>
      </c>
      <c r="G373" s="26">
        <f ca="1">'Preventative costs A'!G373-'Preventative costs B'!G373</f>
        <v>-1064.2339211474282</v>
      </c>
      <c r="H373" s="26">
        <f ca="1">'Preventative costs A'!H373-'Preventative costs B'!H373</f>
        <v>-1171.2778052514514</v>
      </c>
      <c r="I373" s="26">
        <f ca="1">'Preventative costs A'!I373-'Preventative costs B'!I373</f>
        <v>-1078.2022035629307</v>
      </c>
      <c r="J373" s="26">
        <f ca="1">'Preventative costs A'!J373-'Preventative costs B'!J373</f>
        <v>-1076.5080869828125</v>
      </c>
      <c r="K373" s="26">
        <f ca="1">'Preventative costs A'!K373-'Preventative costs B'!K373</f>
        <v>-1090.9441355661675</v>
      </c>
      <c r="M373" s="4" t="str">
        <f t="shared" si="18"/>
        <v>$M(2015) per Mtonne</v>
      </c>
    </row>
    <row r="374" spans="1:13" s="7" customFormat="1" x14ac:dyDescent="0.2">
      <c r="A374" s="4" t="str">
        <v>EE N2O</v>
      </c>
      <c r="B374" s="26">
        <f ca="1">'Preventative costs A'!B374-'Preventative costs B'!B374</f>
        <v>0</v>
      </c>
      <c r="C374" s="26">
        <f ca="1">'Preventative costs A'!C374-'Preventative costs B'!C374</f>
        <v>0</v>
      </c>
      <c r="D374" s="26">
        <f ca="1">'Preventative costs A'!D374-'Preventative costs B'!D374</f>
        <v>0</v>
      </c>
      <c r="E374" s="26">
        <f ca="1">'Preventative costs A'!E374-'Preventative costs B'!E374</f>
        <v>0</v>
      </c>
      <c r="F374" s="26">
        <f ca="1">'Preventative costs A'!F374-'Preventative costs B'!F374</f>
        <v>0</v>
      </c>
      <c r="G374" s="26">
        <f ca="1">'Preventative costs A'!G374-'Preventative costs B'!G374</f>
        <v>-570.57790645388013</v>
      </c>
      <c r="H374" s="26">
        <f ca="1">'Preventative costs A'!H374-'Preventative costs B'!H374</f>
        <v>-628.62070020425017</v>
      </c>
      <c r="I374" s="26">
        <f ca="1">'Preventative costs A'!I374-'Preventative costs B'!I374</f>
        <v>-578.71192085388066</v>
      </c>
      <c r="J374" s="26">
        <f ca="1">'Preventative costs A'!J374-'Preventative costs B'!J374</f>
        <v>-578.14347644802547</v>
      </c>
      <c r="K374" s="26">
        <f ca="1">'Preventative costs A'!K374-'Preventative costs B'!K374</f>
        <v>-586.33625318926897</v>
      </c>
      <c r="M374" s="4" t="str">
        <f t="shared" si="18"/>
        <v>$M(2015) per Mtonne</v>
      </c>
    </row>
    <row r="375" spans="1:13" s="7" customFormat="1" x14ac:dyDescent="0.2">
      <c r="A375" s="4" t="str">
        <v>CA N2O</v>
      </c>
      <c r="B375" s="26">
        <f ca="1">'Preventative costs A'!B375-'Preventative costs B'!B375</f>
        <v>0</v>
      </c>
      <c r="C375" s="26">
        <f ca="1">'Preventative costs A'!C375-'Preventative costs B'!C375</f>
        <v>0</v>
      </c>
      <c r="D375" s="26">
        <f ca="1">'Preventative costs A'!D375-'Preventative costs B'!D375</f>
        <v>0</v>
      </c>
      <c r="E375" s="26">
        <f ca="1">'Preventative costs A'!E375-'Preventative costs B'!E375</f>
        <v>0</v>
      </c>
      <c r="F375" s="26">
        <f ca="1">'Preventative costs A'!F375-'Preventative costs B'!F375</f>
        <v>0</v>
      </c>
      <c r="G375" s="26">
        <f ca="1">'Preventative costs A'!G375-'Preventative costs B'!G375</f>
        <v>-1240.7241072826437</v>
      </c>
      <c r="H375" s="26">
        <f ca="1">'Preventative costs A'!H375-'Preventative costs B'!H375</f>
        <v>-1354.5837362353559</v>
      </c>
      <c r="I375" s="26">
        <f ca="1">'Preventative costs A'!I375-'Preventative costs B'!I375</f>
        <v>-1246.2027461565867</v>
      </c>
      <c r="J375" s="26">
        <f ca="1">'Preventative costs A'!J375-'Preventative costs B'!J375</f>
        <v>-1238.6302010280524</v>
      </c>
      <c r="K375" s="26">
        <f ca="1">'Preventative costs A'!K375-'Preventative costs B'!K375</f>
        <v>-1248.0895878037391</v>
      </c>
      <c r="M375" s="4" t="str">
        <f t="shared" si="18"/>
        <v>$M(2015) per Mtonne</v>
      </c>
    </row>
    <row r="376" spans="1:13" s="7" customFormat="1" x14ac:dyDescent="0.2">
      <c r="A376" s="4" t="str">
        <v>IA N2O</v>
      </c>
      <c r="B376" s="26">
        <f ca="1">'Preventative costs A'!B376-'Preventative costs B'!B376</f>
        <v>0</v>
      </c>
      <c r="C376" s="26">
        <f ca="1">'Preventative costs A'!C376-'Preventative costs B'!C376</f>
        <v>0</v>
      </c>
      <c r="D376" s="26">
        <f ca="1">'Preventative costs A'!D376-'Preventative costs B'!D376</f>
        <v>0</v>
      </c>
      <c r="E376" s="26">
        <f ca="1">'Preventative costs A'!E376-'Preventative costs B'!E376</f>
        <v>0</v>
      </c>
      <c r="F376" s="26">
        <f ca="1">'Preventative costs A'!F376-'Preventative costs B'!F376</f>
        <v>0</v>
      </c>
      <c r="G376" s="26">
        <f ca="1">'Preventative costs A'!G376-'Preventative costs B'!G376</f>
        <v>-1197.5098138112626</v>
      </c>
      <c r="H376" s="26">
        <f ca="1">'Preventative costs A'!H376-'Preventative costs B'!H376</f>
        <v>-1314.8914208274655</v>
      </c>
      <c r="I376" s="26">
        <f ca="1">'Preventative costs A'!I376-'Preventative costs B'!I376</f>
        <v>-1210.1948331728345</v>
      </c>
      <c r="J376" s="26">
        <f ca="1">'Preventative costs A'!J376-'Preventative costs B'!J376</f>
        <v>-1206.7009821881038</v>
      </c>
      <c r="K376" s="26">
        <f ca="1">'Preventative costs A'!K376-'Preventative costs B'!K376</f>
        <v>-1220.8382471081804</v>
      </c>
      <c r="M376" s="4" t="str">
        <f t="shared" si="18"/>
        <v>$M(2015) per Mtonne</v>
      </c>
    </row>
    <row r="377" spans="1:13" s="7" customFormat="1" x14ac:dyDescent="0.2">
      <c r="A377" s="4" t="str">
        <v>AF N2O</v>
      </c>
      <c r="B377" s="26">
        <f ca="1">'Preventative costs A'!B377-'Preventative costs B'!B377</f>
        <v>0</v>
      </c>
      <c r="C377" s="26">
        <f ca="1">'Preventative costs A'!C377-'Preventative costs B'!C377</f>
        <v>0</v>
      </c>
      <c r="D377" s="26">
        <f ca="1">'Preventative costs A'!D377-'Preventative costs B'!D377</f>
        <v>0</v>
      </c>
      <c r="E377" s="26">
        <f ca="1">'Preventative costs A'!E377-'Preventative costs B'!E377</f>
        <v>0</v>
      </c>
      <c r="F377" s="26">
        <f ca="1">'Preventative costs A'!F377-'Preventative costs B'!F377</f>
        <v>0</v>
      </c>
      <c r="G377" s="26">
        <f ca="1">'Preventative costs A'!G377-'Preventative costs B'!G377</f>
        <v>-1429.7718395351367</v>
      </c>
      <c r="H377" s="26">
        <f ca="1">'Preventative costs A'!H377-'Preventative costs B'!H377</f>
        <v>-1563.6491650724674</v>
      </c>
      <c r="I377" s="26">
        <f ca="1">'Preventative costs A'!I377-'Preventative costs B'!I377</f>
        <v>-1438.7211490230438</v>
      </c>
      <c r="J377" s="26">
        <f ca="1">'Preventative costs A'!J377-'Preventative costs B'!J377</f>
        <v>-1431.3440593002597</v>
      </c>
      <c r="K377" s="26">
        <f ca="1">'Preventative costs A'!K377-'Preventative costs B'!K377</f>
        <v>-1444.0061495800092</v>
      </c>
      <c r="M377" s="4" t="str">
        <f t="shared" si="18"/>
        <v>$M(2015) per Mtonne</v>
      </c>
    </row>
    <row r="378" spans="1:13" s="7" customFormat="1" ht="13.5" thickBot="1" x14ac:dyDescent="0.25">
      <c r="A378" s="4" t="str">
        <v>LA N2O</v>
      </c>
      <c r="B378" s="35">
        <f ca="1">'Preventative costs A'!B378-'Preventative costs B'!B378</f>
        <v>0</v>
      </c>
      <c r="C378" s="35">
        <f ca="1">'Preventative costs A'!C378-'Preventative costs B'!C378</f>
        <v>0</v>
      </c>
      <c r="D378" s="35">
        <f ca="1">'Preventative costs A'!D378-'Preventative costs B'!D378</f>
        <v>0</v>
      </c>
      <c r="E378" s="35">
        <f ca="1">'Preventative costs A'!E378-'Preventative costs B'!E378</f>
        <v>0</v>
      </c>
      <c r="F378" s="35">
        <f ca="1">'Preventative costs A'!F378-'Preventative costs B'!F378</f>
        <v>0</v>
      </c>
      <c r="G378" s="35">
        <f ca="1">'Preventative costs A'!G378-'Preventative costs B'!G378</f>
        <v>-800.01674344887761</v>
      </c>
      <c r="H378" s="35">
        <f ca="1">'Preventative costs A'!H378-'Preventative costs B'!H378</f>
        <v>-875.22900142414073</v>
      </c>
      <c r="I378" s="35">
        <f ca="1">'Preventative costs A'!I378-'Preventative costs B'!I378</f>
        <v>-805.32288364351552</v>
      </c>
      <c r="J378" s="35">
        <f ca="1">'Preventative costs A'!J378-'Preventative costs B'!J378</f>
        <v>-801.34854384261052</v>
      </c>
      <c r="K378" s="35">
        <f ca="1">'Preventative costs A'!K378-'Preventative costs B'!K378</f>
        <v>-808.63437896510732</v>
      </c>
      <c r="M378" s="4" t="str">
        <f t="shared" si="18"/>
        <v>$M(2015) per Mtonne</v>
      </c>
    </row>
    <row r="379" spans="1:13" s="2" customFormat="1" ht="15" thickTop="1" x14ac:dyDescent="0.25">
      <c r="A379" s="2" t="s">
        <v>317</v>
      </c>
      <c r="B379" s="2" t="s">
        <v>321</v>
      </c>
    </row>
    <row r="380" spans="1:13" s="7" customFormat="1" x14ac:dyDescent="0.2">
      <c r="A380" s="4" t="str">
        <f t="array" ref="A380:A387">R_CODE&amp;" "&amp;GLIN_NAME</f>
        <v>EU Lin</v>
      </c>
      <c r="B380" s="29">
        <f ca="1">'Preventative costs A'!B380-'Preventative costs B'!B380</f>
        <v>0</v>
      </c>
      <c r="C380" s="29">
        <f ca="1">'Preventative costs A'!C380-'Preventative costs B'!C380</f>
        <v>0</v>
      </c>
      <c r="D380" s="29">
        <f ca="1">'Preventative costs A'!D380-'Preventative costs B'!D380</f>
        <v>0</v>
      </c>
      <c r="E380" s="29">
        <f ca="1">'Preventative costs A'!E380-'Preventative costs B'!E380</f>
        <v>0</v>
      </c>
      <c r="F380" s="29">
        <f ca="1">'Preventative costs A'!F380-'Preventative costs B'!F380</f>
        <v>0</v>
      </c>
      <c r="G380" s="29">
        <f ca="1">'Preventative costs A'!G380-'Preventative costs B'!G380</f>
        <v>-37.689405300868458</v>
      </c>
      <c r="H380" s="29">
        <f ca="1">'Preventative costs A'!H380-'Preventative costs B'!H380</f>
        <v>-70.536199520090037</v>
      </c>
      <c r="I380" s="29">
        <f ca="1">'Preventative costs A'!I380-'Preventative costs B'!I380</f>
        <v>-82.657166317642364</v>
      </c>
      <c r="J380" s="29">
        <f ca="1">'Preventative costs A'!J380-'Preventative costs B'!J380</f>
        <v>-85.96443685344893</v>
      </c>
      <c r="K380" s="29">
        <f ca="1">'Preventative costs A'!K380-'Preventative costs B'!K380</f>
        <v>-84.726065780154599</v>
      </c>
      <c r="M380" s="4" t="str">
        <f t="shared" ref="M380:M387" si="19">CURRENCY_NAME&amp;" per "&amp;EMIT_NAME</f>
        <v>$M(2015) per Mtonne</v>
      </c>
    </row>
    <row r="381" spans="1:13" s="7" customFormat="1" x14ac:dyDescent="0.2">
      <c r="A381" s="4" t="str">
        <v>US Lin</v>
      </c>
      <c r="B381" s="26">
        <f ca="1">'Preventative costs A'!B381-'Preventative costs B'!B381</f>
        <v>0</v>
      </c>
      <c r="C381" s="26">
        <f ca="1">'Preventative costs A'!C381-'Preventative costs B'!C381</f>
        <v>0</v>
      </c>
      <c r="D381" s="26">
        <f ca="1">'Preventative costs A'!D381-'Preventative costs B'!D381</f>
        <v>0</v>
      </c>
      <c r="E381" s="26">
        <f ca="1">'Preventative costs A'!E381-'Preventative costs B'!E381</f>
        <v>0</v>
      </c>
      <c r="F381" s="26">
        <f ca="1">'Preventative costs A'!F381-'Preventative costs B'!F381</f>
        <v>0</v>
      </c>
      <c r="G381" s="26">
        <f ca="1">'Preventative costs A'!G381-'Preventative costs B'!G381</f>
        <v>-50.848216036885901</v>
      </c>
      <c r="H381" s="26">
        <f ca="1">'Preventative costs A'!H381-'Preventative costs B'!H381</f>
        <v>-85.882095731394003</v>
      </c>
      <c r="I381" s="26">
        <f ca="1">'Preventative costs A'!I381-'Preventative costs B'!I381</f>
        <v>-96.318453540269644</v>
      </c>
      <c r="J381" s="26">
        <f ca="1">'Preventative costs A'!J381-'Preventative costs B'!J381</f>
        <v>-97.777049609800827</v>
      </c>
      <c r="K381" s="26">
        <f ca="1">'Preventative costs A'!K381-'Preventative costs B'!K381</f>
        <v>-94.963722723283198</v>
      </c>
      <c r="M381" s="4" t="str">
        <f t="shared" si="19"/>
        <v>$M(2015) per Mtonne</v>
      </c>
    </row>
    <row r="382" spans="1:13" s="7" customFormat="1" x14ac:dyDescent="0.2">
      <c r="A382" s="4" t="str">
        <v>OT Lin</v>
      </c>
      <c r="B382" s="26">
        <f ca="1">'Preventative costs A'!B382-'Preventative costs B'!B382</f>
        <v>0</v>
      </c>
      <c r="C382" s="26">
        <f ca="1">'Preventative costs A'!C382-'Preventative costs B'!C382</f>
        <v>0</v>
      </c>
      <c r="D382" s="26">
        <f ca="1">'Preventative costs A'!D382-'Preventative costs B'!D382</f>
        <v>0</v>
      </c>
      <c r="E382" s="26">
        <f ca="1">'Preventative costs A'!E382-'Preventative costs B'!E382</f>
        <v>0</v>
      </c>
      <c r="F382" s="26">
        <f ca="1">'Preventative costs A'!F382-'Preventative costs B'!F382</f>
        <v>0</v>
      </c>
      <c r="G382" s="26">
        <f ca="1">'Preventative costs A'!G382-'Preventative costs B'!G382</f>
        <v>-45.75746975695273</v>
      </c>
      <c r="H382" s="26">
        <f ca="1">'Preventative costs A'!H382-'Preventative costs B'!H382</f>
        <v>-86.07049915385096</v>
      </c>
      <c r="I382" s="26">
        <f ca="1">'Preventative costs A'!I382-'Preventative costs B'!I382</f>
        <v>-101.09483688129151</v>
      </c>
      <c r="J382" s="26">
        <f ca="1">'Preventative costs A'!J382-'Preventative costs B'!J382</f>
        <v>-105.27743632977055</v>
      </c>
      <c r="K382" s="26">
        <f ca="1">'Preventative costs A'!K382-'Preventative costs B'!K382</f>
        <v>-103.84408321760547</v>
      </c>
      <c r="M382" s="4" t="str">
        <f t="shared" si="19"/>
        <v>$M(2015) per Mtonne</v>
      </c>
    </row>
    <row r="383" spans="1:13" s="7" customFormat="1" x14ac:dyDescent="0.2">
      <c r="A383" s="4" t="str">
        <v>EE Lin</v>
      </c>
      <c r="B383" s="26">
        <f ca="1">'Preventative costs A'!B383-'Preventative costs B'!B383</f>
        <v>0</v>
      </c>
      <c r="C383" s="26">
        <f ca="1">'Preventative costs A'!C383-'Preventative costs B'!C383</f>
        <v>0</v>
      </c>
      <c r="D383" s="26">
        <f ca="1">'Preventative costs A'!D383-'Preventative costs B'!D383</f>
        <v>0</v>
      </c>
      <c r="E383" s="26">
        <f ca="1">'Preventative costs A'!E383-'Preventative costs B'!E383</f>
        <v>0</v>
      </c>
      <c r="F383" s="26">
        <f ca="1">'Preventative costs A'!F383-'Preventative costs B'!F383</f>
        <v>0</v>
      </c>
      <c r="G383" s="26">
        <f ca="1">'Preventative costs A'!G383-'Preventative costs B'!G383</f>
        <v>-21.734290915981859</v>
      </c>
      <c r="H383" s="26">
        <f ca="1">'Preventative costs A'!H383-'Preventative costs B'!H383</f>
        <v>-43.187905410449346</v>
      </c>
      <c r="I383" s="26">
        <f ca="1">'Preventative costs A'!I383-'Preventative costs B'!I383</f>
        <v>-52.071104665419327</v>
      </c>
      <c r="J383" s="26">
        <f ca="1">'Preventative costs A'!J383-'Preventative costs B'!J383</f>
        <v>-55.045525056530337</v>
      </c>
      <c r="K383" s="26">
        <f ca="1">'Preventative costs A'!K383-'Preventative costs B'!K383</f>
        <v>-54.801982675049885</v>
      </c>
      <c r="M383" s="4" t="str">
        <f t="shared" si="19"/>
        <v>$M(2015) per Mtonne</v>
      </c>
    </row>
    <row r="384" spans="1:13" s="7" customFormat="1" x14ac:dyDescent="0.2">
      <c r="A384" s="4" t="str">
        <v>CA Lin</v>
      </c>
      <c r="B384" s="26">
        <f ca="1">'Preventative costs A'!B384-'Preventative costs B'!B384</f>
        <v>0</v>
      </c>
      <c r="C384" s="26">
        <f ca="1">'Preventative costs A'!C384-'Preventative costs B'!C384</f>
        <v>0</v>
      </c>
      <c r="D384" s="26">
        <f ca="1">'Preventative costs A'!D384-'Preventative costs B'!D384</f>
        <v>0</v>
      </c>
      <c r="E384" s="26">
        <f ca="1">'Preventative costs A'!E384-'Preventative costs B'!E384</f>
        <v>0</v>
      </c>
      <c r="F384" s="26">
        <f ca="1">'Preventative costs A'!F384-'Preventative costs B'!F384</f>
        <v>0</v>
      </c>
      <c r="G384" s="26">
        <f ca="1">'Preventative costs A'!G384-'Preventative costs B'!G384</f>
        <v>-38.070384550703864</v>
      </c>
      <c r="H384" s="26">
        <f ca="1">'Preventative costs A'!H384-'Preventative costs B'!H384</f>
        <v>-71.017793673767017</v>
      </c>
      <c r="I384" s="26">
        <f ca="1">'Preventative costs A'!I384-'Preventative costs B'!I384</f>
        <v>-83.098441370735543</v>
      </c>
      <c r="J384" s="26">
        <f ca="1">'Preventative costs A'!J384-'Preventative costs B'!J384</f>
        <v>-86.351343281753373</v>
      </c>
      <c r="K384" s="26">
        <f ca="1">'Preventative costs A'!K384-'Preventative costs B'!K384</f>
        <v>-85.063948751097485</v>
      </c>
      <c r="M384" s="4" t="str">
        <f t="shared" si="19"/>
        <v>$M(2015) per Mtonne</v>
      </c>
    </row>
    <row r="385" spans="1:13" s="7" customFormat="1" x14ac:dyDescent="0.2">
      <c r="A385" s="4" t="str">
        <v>IA Lin</v>
      </c>
      <c r="B385" s="26">
        <f ca="1">'Preventative costs A'!B385-'Preventative costs B'!B385</f>
        <v>0</v>
      </c>
      <c r="C385" s="26">
        <f ca="1">'Preventative costs A'!C385-'Preventative costs B'!C385</f>
        <v>0</v>
      </c>
      <c r="D385" s="26">
        <f ca="1">'Preventative costs A'!D385-'Preventative costs B'!D385</f>
        <v>0</v>
      </c>
      <c r="E385" s="26">
        <f ca="1">'Preventative costs A'!E385-'Preventative costs B'!E385</f>
        <v>0</v>
      </c>
      <c r="F385" s="26">
        <f ca="1">'Preventative costs A'!F385-'Preventative costs B'!F385</f>
        <v>0</v>
      </c>
      <c r="G385" s="26">
        <f ca="1">'Preventative costs A'!G385-'Preventative costs B'!G385</f>
        <v>-44.13513443846756</v>
      </c>
      <c r="H385" s="26">
        <f ca="1">'Preventative costs A'!H385-'Preventative costs B'!H385</f>
        <v>-83.977597741463882</v>
      </c>
      <c r="I385" s="26">
        <f ca="1">'Preventative costs A'!I385-'Preventative costs B'!I385</f>
        <v>-99.161897016201493</v>
      </c>
      <c r="J385" s="26">
        <f ca="1">'Preventative costs A'!J385-'Preventative costs B'!J385</f>
        <v>-103.57593808374658</v>
      </c>
      <c r="K385" s="26">
        <f ca="1">'Preventative costs A'!K385-'Preventative costs B'!K385</f>
        <v>-102.35490330560512</v>
      </c>
      <c r="M385" s="4" t="str">
        <f t="shared" si="19"/>
        <v>$M(2015) per Mtonne</v>
      </c>
    </row>
    <row r="386" spans="1:13" s="7" customFormat="1" x14ac:dyDescent="0.2">
      <c r="A386" s="4" t="str">
        <v>AF Lin</v>
      </c>
      <c r="B386" s="26">
        <f ca="1">'Preventative costs A'!B386-'Preventative costs B'!B386</f>
        <v>0</v>
      </c>
      <c r="C386" s="26">
        <f ca="1">'Preventative costs A'!C386-'Preventative costs B'!C386</f>
        <v>0</v>
      </c>
      <c r="D386" s="26">
        <f ca="1">'Preventative costs A'!D386-'Preventative costs B'!D386</f>
        <v>0</v>
      </c>
      <c r="E386" s="26">
        <f ca="1">'Preventative costs A'!E386-'Preventative costs B'!E386</f>
        <v>0</v>
      </c>
      <c r="F386" s="26">
        <f ca="1">'Preventative costs A'!F386-'Preventative costs B'!F386</f>
        <v>0</v>
      </c>
      <c r="G386" s="26">
        <f ca="1">'Preventative costs A'!G386-'Preventative costs B'!G386</f>
        <v>-40.044268455068618</v>
      </c>
      <c r="H386" s="26">
        <f ca="1">'Preventative costs A'!H386-'Preventative costs B'!H386</f>
        <v>-78.516383800289361</v>
      </c>
      <c r="I386" s="26">
        <f ca="1">'Preventative costs A'!I386-'Preventative costs B'!I386</f>
        <v>-94.047992858722409</v>
      </c>
      <c r="J386" s="26">
        <f ca="1">'Preventative costs A'!J386-'Preventative costs B'!J386</f>
        <v>-99.042796194847057</v>
      </c>
      <c r="K386" s="26">
        <f ca="1">'Preventative costs A'!K386-'Preventative costs B'!K386</f>
        <v>-98.371850137675736</v>
      </c>
      <c r="M386" s="4" t="str">
        <f t="shared" si="19"/>
        <v>$M(2015) per Mtonne</v>
      </c>
    </row>
    <row r="387" spans="1:13" s="7" customFormat="1" ht="13.5" thickBot="1" x14ac:dyDescent="0.25">
      <c r="A387" s="4" t="str">
        <v>LA Lin</v>
      </c>
      <c r="B387" s="35">
        <f ca="1">'Preventative costs A'!B387-'Preventative costs B'!B387</f>
        <v>0</v>
      </c>
      <c r="C387" s="35">
        <f ca="1">'Preventative costs A'!C387-'Preventative costs B'!C387</f>
        <v>0</v>
      </c>
      <c r="D387" s="35">
        <f ca="1">'Preventative costs A'!D387-'Preventative costs B'!D387</f>
        <v>0</v>
      </c>
      <c r="E387" s="35">
        <f ca="1">'Preventative costs A'!E387-'Preventative costs B'!E387</f>
        <v>0</v>
      </c>
      <c r="F387" s="35">
        <f ca="1">'Preventative costs A'!F387-'Preventative costs B'!F387</f>
        <v>0</v>
      </c>
      <c r="G387" s="35">
        <f ca="1">'Preventative costs A'!G387-'Preventative costs B'!G387</f>
        <v>-22.229086862972878</v>
      </c>
      <c r="H387" s="35">
        <f ca="1">'Preventative costs A'!H387-'Preventative costs B'!H387</f>
        <v>-43.876761426503407</v>
      </c>
      <c r="I387" s="35">
        <f ca="1">'Preventative costs A'!I387-'Preventative costs B'!I387</f>
        <v>-52.727481231199022</v>
      </c>
      <c r="J387" s="35">
        <f ca="1">'Preventative costs A'!J387-'Preventative costs B'!J387</f>
        <v>-55.632574413436018</v>
      </c>
      <c r="K387" s="35">
        <f ca="1">'Preventative costs A'!K387-'Preventative costs B'!K387</f>
        <v>-55.320398938994153</v>
      </c>
      <c r="M387" s="4" t="str">
        <f t="shared" si="19"/>
        <v>$M(2015) per Mtonne</v>
      </c>
    </row>
    <row r="388" spans="1:13" s="2" customFormat="1" ht="15" thickTop="1" x14ac:dyDescent="0.25">
      <c r="A388" s="2" t="s">
        <v>323</v>
      </c>
      <c r="B388" s="2" t="s">
        <v>324</v>
      </c>
    </row>
    <row r="389" spans="1:13" s="6" customFormat="1" x14ac:dyDescent="0.2">
      <c r="A389" s="4" t="str">
        <f t="array" ref="A389:A396">R_CODE&amp;" "&amp;'Base data'!$B$12</f>
        <v>EU CO2</v>
      </c>
      <c r="B389" s="29">
        <f ca="1">'Preventative costs A'!B389-'Preventative costs B'!B389</f>
        <v>0</v>
      </c>
      <c r="C389" s="29">
        <f ca="1">'Preventative costs A'!C389-'Preventative costs B'!C389</f>
        <v>0</v>
      </c>
      <c r="D389" s="29">
        <f ca="1">'Preventative costs A'!D389-'Preventative costs B'!D389</f>
        <v>0</v>
      </c>
      <c r="E389" s="29">
        <f ca="1">'Preventative costs A'!E389-'Preventative costs B'!E389</f>
        <v>0</v>
      </c>
      <c r="F389" s="29">
        <f ca="1">'Preventative costs A'!F389-'Preventative costs B'!F389</f>
        <v>0</v>
      </c>
      <c r="G389" s="29">
        <f ca="1">'Preventative costs A'!G389-'Preventative costs B'!G389</f>
        <v>0</v>
      </c>
      <c r="H389" s="29">
        <f ca="1">'Preventative costs A'!H389-'Preventative costs B'!H389</f>
        <v>0</v>
      </c>
      <c r="I389" s="29">
        <f ca="1">'Preventative costs A'!I389-'Preventative costs B'!I389</f>
        <v>0</v>
      </c>
      <c r="J389" s="29">
        <f ca="1">'Preventative costs A'!J389-'Preventative costs B'!J389</f>
        <v>0</v>
      </c>
      <c r="K389" s="29">
        <f ca="1">'Preventative costs A'!K389-'Preventative costs B'!K389</f>
        <v>0</v>
      </c>
      <c r="M389" s="4" t="str">
        <f t="shared" ref="M389:M396" si="20">"per "&amp;EMIT_NAME</f>
        <v>per Mtonne</v>
      </c>
    </row>
    <row r="390" spans="1:13" s="6" customFormat="1" x14ac:dyDescent="0.2">
      <c r="A390" s="4" t="str">
        <v>US CO2</v>
      </c>
      <c r="B390" s="26">
        <f ca="1">'Preventative costs A'!B390-'Preventative costs B'!B390</f>
        <v>0</v>
      </c>
      <c r="C390" s="26">
        <f ca="1">'Preventative costs A'!C390-'Preventative costs B'!C390</f>
        <v>0</v>
      </c>
      <c r="D390" s="26">
        <f ca="1">'Preventative costs A'!D390-'Preventative costs B'!D390</f>
        <v>0</v>
      </c>
      <c r="E390" s="26">
        <f ca="1">'Preventative costs A'!E390-'Preventative costs B'!E390</f>
        <v>0</v>
      </c>
      <c r="F390" s="26">
        <f ca="1">'Preventative costs A'!F390-'Preventative costs B'!F390</f>
        <v>0</v>
      </c>
      <c r="G390" s="26">
        <f ca="1">'Preventative costs A'!G390-'Preventative costs B'!G390</f>
        <v>0</v>
      </c>
      <c r="H390" s="26">
        <f ca="1">'Preventative costs A'!H390-'Preventative costs B'!H390</f>
        <v>0</v>
      </c>
      <c r="I390" s="26">
        <f ca="1">'Preventative costs A'!I390-'Preventative costs B'!I390</f>
        <v>0</v>
      </c>
      <c r="J390" s="26">
        <f ca="1">'Preventative costs A'!J390-'Preventative costs B'!J390</f>
        <v>0</v>
      </c>
      <c r="K390" s="26">
        <f ca="1">'Preventative costs A'!K390-'Preventative costs B'!K390</f>
        <v>0</v>
      </c>
      <c r="M390" s="4" t="str">
        <f t="shared" si="20"/>
        <v>per Mtonne</v>
      </c>
    </row>
    <row r="391" spans="1:13" s="6" customFormat="1" x14ac:dyDescent="0.2">
      <c r="A391" s="4" t="str">
        <v>OT CO2</v>
      </c>
      <c r="B391" s="26">
        <f ca="1">'Preventative costs A'!B391-'Preventative costs B'!B391</f>
        <v>0</v>
      </c>
      <c r="C391" s="26">
        <f ca="1">'Preventative costs A'!C391-'Preventative costs B'!C391</f>
        <v>0</v>
      </c>
      <c r="D391" s="26">
        <f ca="1">'Preventative costs A'!D391-'Preventative costs B'!D391</f>
        <v>0</v>
      </c>
      <c r="E391" s="26">
        <f ca="1">'Preventative costs A'!E391-'Preventative costs B'!E391</f>
        <v>0</v>
      </c>
      <c r="F391" s="26">
        <f ca="1">'Preventative costs A'!F391-'Preventative costs B'!F391</f>
        <v>0</v>
      </c>
      <c r="G391" s="26">
        <f ca="1">'Preventative costs A'!G391-'Preventative costs B'!G391</f>
        <v>0</v>
      </c>
      <c r="H391" s="26">
        <f ca="1">'Preventative costs A'!H391-'Preventative costs B'!H391</f>
        <v>0</v>
      </c>
      <c r="I391" s="26">
        <f ca="1">'Preventative costs A'!I391-'Preventative costs B'!I391</f>
        <v>0</v>
      </c>
      <c r="J391" s="26">
        <f ca="1">'Preventative costs A'!J391-'Preventative costs B'!J391</f>
        <v>0</v>
      </c>
      <c r="K391" s="26">
        <f ca="1">'Preventative costs A'!K391-'Preventative costs B'!K391</f>
        <v>0</v>
      </c>
      <c r="M391" s="4" t="str">
        <f t="shared" si="20"/>
        <v>per Mtonne</v>
      </c>
    </row>
    <row r="392" spans="1:13" s="6" customFormat="1" x14ac:dyDescent="0.2">
      <c r="A392" s="4" t="str">
        <v>EE CO2</v>
      </c>
      <c r="B392" s="26">
        <f ca="1">'Preventative costs A'!B392-'Preventative costs B'!B392</f>
        <v>0</v>
      </c>
      <c r="C392" s="26">
        <f ca="1">'Preventative costs A'!C392-'Preventative costs B'!C392</f>
        <v>0</v>
      </c>
      <c r="D392" s="26">
        <f ca="1">'Preventative costs A'!D392-'Preventative costs B'!D392</f>
        <v>0</v>
      </c>
      <c r="E392" s="26">
        <f ca="1">'Preventative costs A'!E392-'Preventative costs B'!E392</f>
        <v>0</v>
      </c>
      <c r="F392" s="26">
        <f ca="1">'Preventative costs A'!F392-'Preventative costs B'!F392</f>
        <v>0</v>
      </c>
      <c r="G392" s="26">
        <f ca="1">'Preventative costs A'!G392-'Preventative costs B'!G392</f>
        <v>0</v>
      </c>
      <c r="H392" s="26">
        <f ca="1">'Preventative costs A'!H392-'Preventative costs B'!H392</f>
        <v>0</v>
      </c>
      <c r="I392" s="26">
        <f ca="1">'Preventative costs A'!I392-'Preventative costs B'!I392</f>
        <v>0</v>
      </c>
      <c r="J392" s="26">
        <f ca="1">'Preventative costs A'!J392-'Preventative costs B'!J392</f>
        <v>0</v>
      </c>
      <c r="K392" s="26">
        <f ca="1">'Preventative costs A'!K392-'Preventative costs B'!K392</f>
        <v>0</v>
      </c>
      <c r="M392" s="4" t="str">
        <f t="shared" si="20"/>
        <v>per Mtonne</v>
      </c>
    </row>
    <row r="393" spans="1:13" s="6" customFormat="1" x14ac:dyDescent="0.2">
      <c r="A393" s="4" t="str">
        <v>CA CO2</v>
      </c>
      <c r="B393" s="26">
        <f ca="1">'Preventative costs A'!B393-'Preventative costs B'!B393</f>
        <v>0</v>
      </c>
      <c r="C393" s="26">
        <f ca="1">'Preventative costs A'!C393-'Preventative costs B'!C393</f>
        <v>0</v>
      </c>
      <c r="D393" s="26">
        <f ca="1">'Preventative costs A'!D393-'Preventative costs B'!D393</f>
        <v>0</v>
      </c>
      <c r="E393" s="26">
        <f ca="1">'Preventative costs A'!E393-'Preventative costs B'!E393</f>
        <v>0</v>
      </c>
      <c r="F393" s="26">
        <f ca="1">'Preventative costs A'!F393-'Preventative costs B'!F393</f>
        <v>0</v>
      </c>
      <c r="G393" s="26">
        <f ca="1">'Preventative costs A'!G393-'Preventative costs B'!G393</f>
        <v>0</v>
      </c>
      <c r="H393" s="26">
        <f ca="1">'Preventative costs A'!H393-'Preventative costs B'!H393</f>
        <v>0</v>
      </c>
      <c r="I393" s="26">
        <f ca="1">'Preventative costs A'!I393-'Preventative costs B'!I393</f>
        <v>0</v>
      </c>
      <c r="J393" s="26">
        <f ca="1">'Preventative costs A'!J393-'Preventative costs B'!J393</f>
        <v>0</v>
      </c>
      <c r="K393" s="26">
        <f ca="1">'Preventative costs A'!K393-'Preventative costs B'!K393</f>
        <v>0</v>
      </c>
      <c r="M393" s="4" t="str">
        <f t="shared" si="20"/>
        <v>per Mtonne</v>
      </c>
    </row>
    <row r="394" spans="1:13" s="6" customFormat="1" x14ac:dyDescent="0.2">
      <c r="A394" s="4" t="str">
        <v>IA CO2</v>
      </c>
      <c r="B394" s="26">
        <f ca="1">'Preventative costs A'!B394-'Preventative costs B'!B394</f>
        <v>0</v>
      </c>
      <c r="C394" s="26">
        <f ca="1">'Preventative costs A'!C394-'Preventative costs B'!C394</f>
        <v>0</v>
      </c>
      <c r="D394" s="26">
        <f ca="1">'Preventative costs A'!D394-'Preventative costs B'!D394</f>
        <v>0</v>
      </c>
      <c r="E394" s="26">
        <f ca="1">'Preventative costs A'!E394-'Preventative costs B'!E394</f>
        <v>0</v>
      </c>
      <c r="F394" s="26">
        <f ca="1">'Preventative costs A'!F394-'Preventative costs B'!F394</f>
        <v>0</v>
      </c>
      <c r="G394" s="26">
        <f ca="1">'Preventative costs A'!G394-'Preventative costs B'!G394</f>
        <v>0</v>
      </c>
      <c r="H394" s="26">
        <f ca="1">'Preventative costs A'!H394-'Preventative costs B'!H394</f>
        <v>0</v>
      </c>
      <c r="I394" s="26">
        <f ca="1">'Preventative costs A'!I394-'Preventative costs B'!I394</f>
        <v>0</v>
      </c>
      <c r="J394" s="26">
        <f ca="1">'Preventative costs A'!J394-'Preventative costs B'!J394</f>
        <v>0</v>
      </c>
      <c r="K394" s="26">
        <f ca="1">'Preventative costs A'!K394-'Preventative costs B'!K394</f>
        <v>0</v>
      </c>
      <c r="M394" s="4" t="str">
        <f t="shared" si="20"/>
        <v>per Mtonne</v>
      </c>
    </row>
    <row r="395" spans="1:13" s="6" customFormat="1" x14ac:dyDescent="0.2">
      <c r="A395" s="4" t="str">
        <v>AF CO2</v>
      </c>
      <c r="B395" s="26">
        <f ca="1">'Preventative costs A'!B395-'Preventative costs B'!B395</f>
        <v>0</v>
      </c>
      <c r="C395" s="26">
        <f ca="1">'Preventative costs A'!C395-'Preventative costs B'!C395</f>
        <v>0</v>
      </c>
      <c r="D395" s="26">
        <f ca="1">'Preventative costs A'!D395-'Preventative costs B'!D395</f>
        <v>0</v>
      </c>
      <c r="E395" s="26">
        <f ca="1">'Preventative costs A'!E395-'Preventative costs B'!E395</f>
        <v>0</v>
      </c>
      <c r="F395" s="26">
        <f ca="1">'Preventative costs A'!F395-'Preventative costs B'!F395</f>
        <v>0</v>
      </c>
      <c r="G395" s="26">
        <f ca="1">'Preventative costs A'!G395-'Preventative costs B'!G395</f>
        <v>0</v>
      </c>
      <c r="H395" s="26">
        <f ca="1">'Preventative costs A'!H395-'Preventative costs B'!H395</f>
        <v>0</v>
      </c>
      <c r="I395" s="26">
        <f ca="1">'Preventative costs A'!I395-'Preventative costs B'!I395</f>
        <v>0</v>
      </c>
      <c r="J395" s="26">
        <f ca="1">'Preventative costs A'!J395-'Preventative costs B'!J395</f>
        <v>0</v>
      </c>
      <c r="K395" s="26">
        <f ca="1">'Preventative costs A'!K395-'Preventative costs B'!K395</f>
        <v>0</v>
      </c>
      <c r="M395" s="4" t="str">
        <f t="shared" si="20"/>
        <v>per Mtonne</v>
      </c>
    </row>
    <row r="396" spans="1:13" s="6" customFormat="1" ht="13.5" thickBot="1" x14ac:dyDescent="0.25">
      <c r="A396" s="4" t="str">
        <v>LA CO2</v>
      </c>
      <c r="B396" s="35">
        <f ca="1">'Preventative costs A'!B396-'Preventative costs B'!B396</f>
        <v>0</v>
      </c>
      <c r="C396" s="35">
        <f ca="1">'Preventative costs A'!C396-'Preventative costs B'!C396</f>
        <v>0</v>
      </c>
      <c r="D396" s="35">
        <f ca="1">'Preventative costs A'!D396-'Preventative costs B'!D396</f>
        <v>0</v>
      </c>
      <c r="E396" s="35">
        <f ca="1">'Preventative costs A'!E396-'Preventative costs B'!E396</f>
        <v>0</v>
      </c>
      <c r="F396" s="35">
        <f ca="1">'Preventative costs A'!F396-'Preventative costs B'!F396</f>
        <v>0</v>
      </c>
      <c r="G396" s="35">
        <f ca="1">'Preventative costs A'!G396-'Preventative costs B'!G396</f>
        <v>0</v>
      </c>
      <c r="H396" s="35">
        <f ca="1">'Preventative costs A'!H396-'Preventative costs B'!H396</f>
        <v>0</v>
      </c>
      <c r="I396" s="35">
        <f ca="1">'Preventative costs A'!I396-'Preventative costs B'!I396</f>
        <v>0</v>
      </c>
      <c r="J396" s="35">
        <f ca="1">'Preventative costs A'!J396-'Preventative costs B'!J396</f>
        <v>0</v>
      </c>
      <c r="K396" s="35">
        <f ca="1">'Preventative costs A'!K396-'Preventative costs B'!K396</f>
        <v>0</v>
      </c>
      <c r="M396" s="4" t="str">
        <f t="shared" si="20"/>
        <v>per Mtonne</v>
      </c>
    </row>
    <row r="397" spans="1:13" s="2" customFormat="1" ht="15" thickTop="1" x14ac:dyDescent="0.25">
      <c r="A397" s="2" t="s">
        <v>323</v>
      </c>
      <c r="B397" s="2" t="s">
        <v>325</v>
      </c>
    </row>
    <row r="398" spans="1:13" s="7" customFormat="1" x14ac:dyDescent="0.2">
      <c r="A398" s="4" t="str">
        <f t="array" ref="A398:A405">R_CODE&amp;" "&amp;'Base data'!$C$12</f>
        <v>EU CH4</v>
      </c>
      <c r="B398" s="29">
        <f ca="1">'Preventative costs A'!B398-'Preventative costs B'!B398</f>
        <v>0</v>
      </c>
      <c r="C398" s="29">
        <f ca="1">'Preventative costs A'!C398-'Preventative costs B'!C398</f>
        <v>0</v>
      </c>
      <c r="D398" s="29">
        <f ca="1">'Preventative costs A'!D398-'Preventative costs B'!D398</f>
        <v>0</v>
      </c>
      <c r="E398" s="29">
        <f ca="1">'Preventative costs A'!E398-'Preventative costs B'!E398</f>
        <v>0</v>
      </c>
      <c r="F398" s="29">
        <f ca="1">'Preventative costs A'!F398-'Preventative costs B'!F398</f>
        <v>0</v>
      </c>
      <c r="G398" s="29">
        <f ca="1">'Preventative costs A'!G398-'Preventative costs B'!G398</f>
        <v>0</v>
      </c>
      <c r="H398" s="29">
        <f ca="1">'Preventative costs A'!H398-'Preventative costs B'!H398</f>
        <v>0</v>
      </c>
      <c r="I398" s="29">
        <f ca="1">'Preventative costs A'!I398-'Preventative costs B'!I398</f>
        <v>0</v>
      </c>
      <c r="J398" s="29">
        <f ca="1">'Preventative costs A'!J398-'Preventative costs B'!J398</f>
        <v>0</v>
      </c>
      <c r="K398" s="29">
        <f ca="1">'Preventative costs A'!K398-'Preventative costs B'!K398</f>
        <v>0</v>
      </c>
      <c r="M398" s="4" t="str">
        <f t="shared" ref="M398:M405" si="21">"per "&amp;EMIT_NAME</f>
        <v>per Mtonne</v>
      </c>
    </row>
    <row r="399" spans="1:13" s="7" customFormat="1" x14ac:dyDescent="0.2">
      <c r="A399" s="4" t="str">
        <v>US CH4</v>
      </c>
      <c r="B399" s="26">
        <f ca="1">'Preventative costs A'!B399-'Preventative costs B'!B399</f>
        <v>0</v>
      </c>
      <c r="C399" s="26">
        <f ca="1">'Preventative costs A'!C399-'Preventative costs B'!C399</f>
        <v>0</v>
      </c>
      <c r="D399" s="26">
        <f ca="1">'Preventative costs A'!D399-'Preventative costs B'!D399</f>
        <v>0</v>
      </c>
      <c r="E399" s="26">
        <f ca="1">'Preventative costs A'!E399-'Preventative costs B'!E399</f>
        <v>0</v>
      </c>
      <c r="F399" s="26">
        <f ca="1">'Preventative costs A'!F399-'Preventative costs B'!F399</f>
        <v>0</v>
      </c>
      <c r="G399" s="26">
        <f ca="1">'Preventative costs A'!G399-'Preventative costs B'!G399</f>
        <v>0</v>
      </c>
      <c r="H399" s="26">
        <f ca="1">'Preventative costs A'!H399-'Preventative costs B'!H399</f>
        <v>0</v>
      </c>
      <c r="I399" s="26">
        <f ca="1">'Preventative costs A'!I399-'Preventative costs B'!I399</f>
        <v>0</v>
      </c>
      <c r="J399" s="26">
        <f ca="1">'Preventative costs A'!J399-'Preventative costs B'!J399</f>
        <v>0</v>
      </c>
      <c r="K399" s="26">
        <f ca="1">'Preventative costs A'!K399-'Preventative costs B'!K399</f>
        <v>0</v>
      </c>
      <c r="M399" s="4" t="str">
        <f t="shared" si="21"/>
        <v>per Mtonne</v>
      </c>
    </row>
    <row r="400" spans="1:13" s="7" customFormat="1" x14ac:dyDescent="0.2">
      <c r="A400" s="4" t="str">
        <v>OT CH4</v>
      </c>
      <c r="B400" s="26">
        <f ca="1">'Preventative costs A'!B400-'Preventative costs B'!B400</f>
        <v>0</v>
      </c>
      <c r="C400" s="26">
        <f ca="1">'Preventative costs A'!C400-'Preventative costs B'!C400</f>
        <v>0</v>
      </c>
      <c r="D400" s="26">
        <f ca="1">'Preventative costs A'!D400-'Preventative costs B'!D400</f>
        <v>0</v>
      </c>
      <c r="E400" s="26">
        <f ca="1">'Preventative costs A'!E400-'Preventative costs B'!E400</f>
        <v>0</v>
      </c>
      <c r="F400" s="26">
        <f ca="1">'Preventative costs A'!F400-'Preventative costs B'!F400</f>
        <v>0</v>
      </c>
      <c r="G400" s="26">
        <f ca="1">'Preventative costs A'!G400-'Preventative costs B'!G400</f>
        <v>0</v>
      </c>
      <c r="H400" s="26">
        <f ca="1">'Preventative costs A'!H400-'Preventative costs B'!H400</f>
        <v>0</v>
      </c>
      <c r="I400" s="26">
        <f ca="1">'Preventative costs A'!I400-'Preventative costs B'!I400</f>
        <v>0</v>
      </c>
      <c r="J400" s="26">
        <f ca="1">'Preventative costs A'!J400-'Preventative costs B'!J400</f>
        <v>0</v>
      </c>
      <c r="K400" s="26">
        <f ca="1">'Preventative costs A'!K400-'Preventative costs B'!K400</f>
        <v>0</v>
      </c>
      <c r="M400" s="4" t="str">
        <f t="shared" si="21"/>
        <v>per Mtonne</v>
      </c>
    </row>
    <row r="401" spans="1:13" s="7" customFormat="1" x14ac:dyDescent="0.2">
      <c r="A401" s="4" t="str">
        <v>EE CH4</v>
      </c>
      <c r="B401" s="26">
        <f ca="1">'Preventative costs A'!B401-'Preventative costs B'!B401</f>
        <v>0</v>
      </c>
      <c r="C401" s="26">
        <f ca="1">'Preventative costs A'!C401-'Preventative costs B'!C401</f>
        <v>0</v>
      </c>
      <c r="D401" s="26">
        <f ca="1">'Preventative costs A'!D401-'Preventative costs B'!D401</f>
        <v>0</v>
      </c>
      <c r="E401" s="26">
        <f ca="1">'Preventative costs A'!E401-'Preventative costs B'!E401</f>
        <v>0</v>
      </c>
      <c r="F401" s="26">
        <f ca="1">'Preventative costs A'!F401-'Preventative costs B'!F401</f>
        <v>0</v>
      </c>
      <c r="G401" s="26">
        <f ca="1">'Preventative costs A'!G401-'Preventative costs B'!G401</f>
        <v>0</v>
      </c>
      <c r="H401" s="26">
        <f ca="1">'Preventative costs A'!H401-'Preventative costs B'!H401</f>
        <v>0</v>
      </c>
      <c r="I401" s="26">
        <f ca="1">'Preventative costs A'!I401-'Preventative costs B'!I401</f>
        <v>0</v>
      </c>
      <c r="J401" s="26">
        <f ca="1">'Preventative costs A'!J401-'Preventative costs B'!J401</f>
        <v>0</v>
      </c>
      <c r="K401" s="26">
        <f ca="1">'Preventative costs A'!K401-'Preventative costs B'!K401</f>
        <v>0</v>
      </c>
      <c r="M401" s="4" t="str">
        <f t="shared" si="21"/>
        <v>per Mtonne</v>
      </c>
    </row>
    <row r="402" spans="1:13" s="7" customFormat="1" x14ac:dyDescent="0.2">
      <c r="A402" s="4" t="str">
        <v>CA CH4</v>
      </c>
      <c r="B402" s="26">
        <f ca="1">'Preventative costs A'!B402-'Preventative costs B'!B402</f>
        <v>0</v>
      </c>
      <c r="C402" s="26">
        <f ca="1">'Preventative costs A'!C402-'Preventative costs B'!C402</f>
        <v>0</v>
      </c>
      <c r="D402" s="26">
        <f ca="1">'Preventative costs A'!D402-'Preventative costs B'!D402</f>
        <v>0</v>
      </c>
      <c r="E402" s="26">
        <f ca="1">'Preventative costs A'!E402-'Preventative costs B'!E402</f>
        <v>0</v>
      </c>
      <c r="F402" s="26">
        <f ca="1">'Preventative costs A'!F402-'Preventative costs B'!F402</f>
        <v>0</v>
      </c>
      <c r="G402" s="26">
        <f ca="1">'Preventative costs A'!G402-'Preventative costs B'!G402</f>
        <v>0</v>
      </c>
      <c r="H402" s="26">
        <f ca="1">'Preventative costs A'!H402-'Preventative costs B'!H402</f>
        <v>0</v>
      </c>
      <c r="I402" s="26">
        <f ca="1">'Preventative costs A'!I402-'Preventative costs B'!I402</f>
        <v>0</v>
      </c>
      <c r="J402" s="26">
        <f ca="1">'Preventative costs A'!J402-'Preventative costs B'!J402</f>
        <v>0</v>
      </c>
      <c r="K402" s="26">
        <f ca="1">'Preventative costs A'!K402-'Preventative costs B'!K402</f>
        <v>0</v>
      </c>
      <c r="M402" s="4" t="str">
        <f t="shared" si="21"/>
        <v>per Mtonne</v>
      </c>
    </row>
    <row r="403" spans="1:13" s="7" customFormat="1" x14ac:dyDescent="0.2">
      <c r="A403" s="4" t="str">
        <v>IA CH4</v>
      </c>
      <c r="B403" s="26">
        <f ca="1">'Preventative costs A'!B403-'Preventative costs B'!B403</f>
        <v>0</v>
      </c>
      <c r="C403" s="26">
        <f ca="1">'Preventative costs A'!C403-'Preventative costs B'!C403</f>
        <v>0</v>
      </c>
      <c r="D403" s="26">
        <f ca="1">'Preventative costs A'!D403-'Preventative costs B'!D403</f>
        <v>0</v>
      </c>
      <c r="E403" s="26">
        <f ca="1">'Preventative costs A'!E403-'Preventative costs B'!E403</f>
        <v>0</v>
      </c>
      <c r="F403" s="26">
        <f ca="1">'Preventative costs A'!F403-'Preventative costs B'!F403</f>
        <v>0</v>
      </c>
      <c r="G403" s="26">
        <f ca="1">'Preventative costs A'!G403-'Preventative costs B'!G403</f>
        <v>0</v>
      </c>
      <c r="H403" s="26">
        <f ca="1">'Preventative costs A'!H403-'Preventative costs B'!H403</f>
        <v>0</v>
      </c>
      <c r="I403" s="26">
        <f ca="1">'Preventative costs A'!I403-'Preventative costs B'!I403</f>
        <v>0</v>
      </c>
      <c r="J403" s="26">
        <f ca="1">'Preventative costs A'!J403-'Preventative costs B'!J403</f>
        <v>0</v>
      </c>
      <c r="K403" s="26">
        <f ca="1">'Preventative costs A'!K403-'Preventative costs B'!K403</f>
        <v>0</v>
      </c>
      <c r="M403" s="4" t="str">
        <f t="shared" si="21"/>
        <v>per Mtonne</v>
      </c>
    </row>
    <row r="404" spans="1:13" s="7" customFormat="1" x14ac:dyDescent="0.2">
      <c r="A404" s="4" t="str">
        <v>AF CH4</v>
      </c>
      <c r="B404" s="26">
        <f ca="1">'Preventative costs A'!B404-'Preventative costs B'!B404</f>
        <v>0</v>
      </c>
      <c r="C404" s="26">
        <f ca="1">'Preventative costs A'!C404-'Preventative costs B'!C404</f>
        <v>0</v>
      </c>
      <c r="D404" s="26">
        <f ca="1">'Preventative costs A'!D404-'Preventative costs B'!D404</f>
        <v>0</v>
      </c>
      <c r="E404" s="26">
        <f ca="1">'Preventative costs A'!E404-'Preventative costs B'!E404</f>
        <v>0</v>
      </c>
      <c r="F404" s="26">
        <f ca="1">'Preventative costs A'!F404-'Preventative costs B'!F404</f>
        <v>0</v>
      </c>
      <c r="G404" s="26">
        <f ca="1">'Preventative costs A'!G404-'Preventative costs B'!G404</f>
        <v>0</v>
      </c>
      <c r="H404" s="26">
        <f ca="1">'Preventative costs A'!H404-'Preventative costs B'!H404</f>
        <v>0</v>
      </c>
      <c r="I404" s="26">
        <f ca="1">'Preventative costs A'!I404-'Preventative costs B'!I404</f>
        <v>0</v>
      </c>
      <c r="J404" s="26">
        <f ca="1">'Preventative costs A'!J404-'Preventative costs B'!J404</f>
        <v>0</v>
      </c>
      <c r="K404" s="26">
        <f ca="1">'Preventative costs A'!K404-'Preventative costs B'!K404</f>
        <v>0</v>
      </c>
      <c r="M404" s="4" t="str">
        <f t="shared" si="21"/>
        <v>per Mtonne</v>
      </c>
    </row>
    <row r="405" spans="1:13" s="7" customFormat="1" ht="13.5" thickBot="1" x14ac:dyDescent="0.25">
      <c r="A405" s="4" t="str">
        <v>LA CH4</v>
      </c>
      <c r="B405" s="35">
        <f ca="1">'Preventative costs A'!B405-'Preventative costs B'!B405</f>
        <v>0</v>
      </c>
      <c r="C405" s="35">
        <f ca="1">'Preventative costs A'!C405-'Preventative costs B'!C405</f>
        <v>0</v>
      </c>
      <c r="D405" s="35">
        <f ca="1">'Preventative costs A'!D405-'Preventative costs B'!D405</f>
        <v>0</v>
      </c>
      <c r="E405" s="35">
        <f ca="1">'Preventative costs A'!E405-'Preventative costs B'!E405</f>
        <v>0</v>
      </c>
      <c r="F405" s="35">
        <f ca="1">'Preventative costs A'!F405-'Preventative costs B'!F405</f>
        <v>0</v>
      </c>
      <c r="G405" s="35">
        <f ca="1">'Preventative costs A'!G405-'Preventative costs B'!G405</f>
        <v>0</v>
      </c>
      <c r="H405" s="35">
        <f ca="1">'Preventative costs A'!H405-'Preventative costs B'!H405</f>
        <v>0</v>
      </c>
      <c r="I405" s="35">
        <f ca="1">'Preventative costs A'!I405-'Preventative costs B'!I405</f>
        <v>0</v>
      </c>
      <c r="J405" s="35">
        <f ca="1">'Preventative costs A'!J405-'Preventative costs B'!J405</f>
        <v>0</v>
      </c>
      <c r="K405" s="35">
        <f ca="1">'Preventative costs A'!K405-'Preventative costs B'!K405</f>
        <v>0</v>
      </c>
      <c r="M405" s="4" t="str">
        <f t="shared" si="21"/>
        <v>per Mtonne</v>
      </c>
    </row>
    <row r="406" spans="1:13" s="2" customFormat="1" ht="15" thickTop="1" x14ac:dyDescent="0.25">
      <c r="A406" s="2" t="s">
        <v>323</v>
      </c>
      <c r="B406" s="2" t="s">
        <v>326</v>
      </c>
    </row>
    <row r="407" spans="1:13" s="7" customFormat="1" x14ac:dyDescent="0.2">
      <c r="A407" s="4" t="str">
        <f t="array" ref="A407:A414">R_CODE&amp;" "&amp;'Base data'!$D$12</f>
        <v>EU N2O</v>
      </c>
      <c r="B407" s="29">
        <f ca="1">'Preventative costs A'!B407-'Preventative costs B'!B407</f>
        <v>0</v>
      </c>
      <c r="C407" s="29">
        <f ca="1">'Preventative costs A'!C407-'Preventative costs B'!C407</f>
        <v>0</v>
      </c>
      <c r="D407" s="29">
        <f ca="1">'Preventative costs A'!D407-'Preventative costs B'!D407</f>
        <v>0</v>
      </c>
      <c r="E407" s="29">
        <f ca="1">'Preventative costs A'!E407-'Preventative costs B'!E407</f>
        <v>0</v>
      </c>
      <c r="F407" s="29">
        <f ca="1">'Preventative costs A'!F407-'Preventative costs B'!F407</f>
        <v>0</v>
      </c>
      <c r="G407" s="29">
        <f ca="1">'Preventative costs A'!G407-'Preventative costs B'!G407</f>
        <v>0</v>
      </c>
      <c r="H407" s="29">
        <f ca="1">'Preventative costs A'!H407-'Preventative costs B'!H407</f>
        <v>0</v>
      </c>
      <c r="I407" s="29">
        <f ca="1">'Preventative costs A'!I407-'Preventative costs B'!I407</f>
        <v>0</v>
      </c>
      <c r="J407" s="29">
        <f ca="1">'Preventative costs A'!J407-'Preventative costs B'!J407</f>
        <v>0</v>
      </c>
      <c r="K407" s="29">
        <f ca="1">'Preventative costs A'!K407-'Preventative costs B'!K407</f>
        <v>0</v>
      </c>
      <c r="M407" s="4" t="str">
        <f t="shared" ref="M407:M414" si="22">"per "&amp;EMIT_NAME</f>
        <v>per Mtonne</v>
      </c>
    </row>
    <row r="408" spans="1:13" s="7" customFormat="1" x14ac:dyDescent="0.2">
      <c r="A408" s="4" t="str">
        <v>US N2O</v>
      </c>
      <c r="B408" s="26">
        <f ca="1">'Preventative costs A'!B408-'Preventative costs B'!B408</f>
        <v>0</v>
      </c>
      <c r="C408" s="26">
        <f ca="1">'Preventative costs A'!C408-'Preventative costs B'!C408</f>
        <v>0</v>
      </c>
      <c r="D408" s="26">
        <f ca="1">'Preventative costs A'!D408-'Preventative costs B'!D408</f>
        <v>0</v>
      </c>
      <c r="E408" s="26">
        <f ca="1">'Preventative costs A'!E408-'Preventative costs B'!E408</f>
        <v>0</v>
      </c>
      <c r="F408" s="26">
        <f ca="1">'Preventative costs A'!F408-'Preventative costs B'!F408</f>
        <v>0</v>
      </c>
      <c r="G408" s="26">
        <f ca="1">'Preventative costs A'!G408-'Preventative costs B'!G408</f>
        <v>0</v>
      </c>
      <c r="H408" s="26">
        <f ca="1">'Preventative costs A'!H408-'Preventative costs B'!H408</f>
        <v>0</v>
      </c>
      <c r="I408" s="26">
        <f ca="1">'Preventative costs A'!I408-'Preventative costs B'!I408</f>
        <v>0</v>
      </c>
      <c r="J408" s="26">
        <f ca="1">'Preventative costs A'!J408-'Preventative costs B'!J408</f>
        <v>0</v>
      </c>
      <c r="K408" s="26">
        <f ca="1">'Preventative costs A'!K408-'Preventative costs B'!K408</f>
        <v>0</v>
      </c>
      <c r="M408" s="4" t="str">
        <f t="shared" si="22"/>
        <v>per Mtonne</v>
      </c>
    </row>
    <row r="409" spans="1:13" s="7" customFormat="1" x14ac:dyDescent="0.2">
      <c r="A409" s="4" t="str">
        <v>OT N2O</v>
      </c>
      <c r="B409" s="26">
        <f ca="1">'Preventative costs A'!B409-'Preventative costs B'!B409</f>
        <v>0</v>
      </c>
      <c r="C409" s="26">
        <f ca="1">'Preventative costs A'!C409-'Preventative costs B'!C409</f>
        <v>0</v>
      </c>
      <c r="D409" s="26">
        <f ca="1">'Preventative costs A'!D409-'Preventative costs B'!D409</f>
        <v>0</v>
      </c>
      <c r="E409" s="26">
        <f ca="1">'Preventative costs A'!E409-'Preventative costs B'!E409</f>
        <v>0</v>
      </c>
      <c r="F409" s="26">
        <f ca="1">'Preventative costs A'!F409-'Preventative costs B'!F409</f>
        <v>0</v>
      </c>
      <c r="G409" s="26">
        <f ca="1">'Preventative costs A'!G409-'Preventative costs B'!G409</f>
        <v>0</v>
      </c>
      <c r="H409" s="26">
        <f ca="1">'Preventative costs A'!H409-'Preventative costs B'!H409</f>
        <v>0</v>
      </c>
      <c r="I409" s="26">
        <f ca="1">'Preventative costs A'!I409-'Preventative costs B'!I409</f>
        <v>0</v>
      </c>
      <c r="J409" s="26">
        <f ca="1">'Preventative costs A'!J409-'Preventative costs B'!J409</f>
        <v>0</v>
      </c>
      <c r="K409" s="26">
        <f ca="1">'Preventative costs A'!K409-'Preventative costs B'!K409</f>
        <v>0</v>
      </c>
      <c r="M409" s="4" t="str">
        <f t="shared" si="22"/>
        <v>per Mtonne</v>
      </c>
    </row>
    <row r="410" spans="1:13" s="7" customFormat="1" x14ac:dyDescent="0.2">
      <c r="A410" s="4" t="str">
        <v>EE N2O</v>
      </c>
      <c r="B410" s="26">
        <f ca="1">'Preventative costs A'!B410-'Preventative costs B'!B410</f>
        <v>0</v>
      </c>
      <c r="C410" s="26">
        <f ca="1">'Preventative costs A'!C410-'Preventative costs B'!C410</f>
        <v>0</v>
      </c>
      <c r="D410" s="26">
        <f ca="1">'Preventative costs A'!D410-'Preventative costs B'!D410</f>
        <v>0</v>
      </c>
      <c r="E410" s="26">
        <f ca="1">'Preventative costs A'!E410-'Preventative costs B'!E410</f>
        <v>0</v>
      </c>
      <c r="F410" s="26">
        <f ca="1">'Preventative costs A'!F410-'Preventative costs B'!F410</f>
        <v>0</v>
      </c>
      <c r="G410" s="26">
        <f ca="1">'Preventative costs A'!G410-'Preventative costs B'!G410</f>
        <v>0</v>
      </c>
      <c r="H410" s="26">
        <f ca="1">'Preventative costs A'!H410-'Preventative costs B'!H410</f>
        <v>0</v>
      </c>
      <c r="I410" s="26">
        <f ca="1">'Preventative costs A'!I410-'Preventative costs B'!I410</f>
        <v>0</v>
      </c>
      <c r="J410" s="26">
        <f ca="1">'Preventative costs A'!J410-'Preventative costs B'!J410</f>
        <v>0</v>
      </c>
      <c r="K410" s="26">
        <f ca="1">'Preventative costs A'!K410-'Preventative costs B'!K410</f>
        <v>0</v>
      </c>
      <c r="M410" s="4" t="str">
        <f t="shared" si="22"/>
        <v>per Mtonne</v>
      </c>
    </row>
    <row r="411" spans="1:13" s="7" customFormat="1" x14ac:dyDescent="0.2">
      <c r="A411" s="4" t="str">
        <v>CA N2O</v>
      </c>
      <c r="B411" s="26">
        <f ca="1">'Preventative costs A'!B411-'Preventative costs B'!B411</f>
        <v>0</v>
      </c>
      <c r="C411" s="26">
        <f ca="1">'Preventative costs A'!C411-'Preventative costs B'!C411</f>
        <v>0</v>
      </c>
      <c r="D411" s="26">
        <f ca="1">'Preventative costs A'!D411-'Preventative costs B'!D411</f>
        <v>0</v>
      </c>
      <c r="E411" s="26">
        <f ca="1">'Preventative costs A'!E411-'Preventative costs B'!E411</f>
        <v>0</v>
      </c>
      <c r="F411" s="26">
        <f ca="1">'Preventative costs A'!F411-'Preventative costs B'!F411</f>
        <v>0</v>
      </c>
      <c r="G411" s="26">
        <f ca="1">'Preventative costs A'!G411-'Preventative costs B'!G411</f>
        <v>0</v>
      </c>
      <c r="H411" s="26">
        <f ca="1">'Preventative costs A'!H411-'Preventative costs B'!H411</f>
        <v>0</v>
      </c>
      <c r="I411" s="26">
        <f ca="1">'Preventative costs A'!I411-'Preventative costs B'!I411</f>
        <v>0</v>
      </c>
      <c r="J411" s="26">
        <f ca="1">'Preventative costs A'!J411-'Preventative costs B'!J411</f>
        <v>0</v>
      </c>
      <c r="K411" s="26">
        <f ca="1">'Preventative costs A'!K411-'Preventative costs B'!K411</f>
        <v>0</v>
      </c>
      <c r="M411" s="4" t="str">
        <f t="shared" si="22"/>
        <v>per Mtonne</v>
      </c>
    </row>
    <row r="412" spans="1:13" s="7" customFormat="1" x14ac:dyDescent="0.2">
      <c r="A412" s="4" t="str">
        <v>IA N2O</v>
      </c>
      <c r="B412" s="26">
        <f ca="1">'Preventative costs A'!B412-'Preventative costs B'!B412</f>
        <v>0</v>
      </c>
      <c r="C412" s="26">
        <f ca="1">'Preventative costs A'!C412-'Preventative costs B'!C412</f>
        <v>0</v>
      </c>
      <c r="D412" s="26">
        <f ca="1">'Preventative costs A'!D412-'Preventative costs B'!D412</f>
        <v>0</v>
      </c>
      <c r="E412" s="26">
        <f ca="1">'Preventative costs A'!E412-'Preventative costs B'!E412</f>
        <v>0</v>
      </c>
      <c r="F412" s="26">
        <f ca="1">'Preventative costs A'!F412-'Preventative costs B'!F412</f>
        <v>0</v>
      </c>
      <c r="G412" s="26">
        <f ca="1">'Preventative costs A'!G412-'Preventative costs B'!G412</f>
        <v>0</v>
      </c>
      <c r="H412" s="26">
        <f ca="1">'Preventative costs A'!H412-'Preventative costs B'!H412</f>
        <v>0</v>
      </c>
      <c r="I412" s="26">
        <f ca="1">'Preventative costs A'!I412-'Preventative costs B'!I412</f>
        <v>0</v>
      </c>
      <c r="J412" s="26">
        <f ca="1">'Preventative costs A'!J412-'Preventative costs B'!J412</f>
        <v>0</v>
      </c>
      <c r="K412" s="26">
        <f ca="1">'Preventative costs A'!K412-'Preventative costs B'!K412</f>
        <v>0</v>
      </c>
      <c r="M412" s="4" t="str">
        <f t="shared" si="22"/>
        <v>per Mtonne</v>
      </c>
    </row>
    <row r="413" spans="1:13" s="7" customFormat="1" x14ac:dyDescent="0.2">
      <c r="A413" s="4" t="str">
        <v>AF N2O</v>
      </c>
      <c r="B413" s="26">
        <f ca="1">'Preventative costs A'!B413-'Preventative costs B'!B413</f>
        <v>0</v>
      </c>
      <c r="C413" s="26">
        <f ca="1">'Preventative costs A'!C413-'Preventative costs B'!C413</f>
        <v>0</v>
      </c>
      <c r="D413" s="26">
        <f ca="1">'Preventative costs A'!D413-'Preventative costs B'!D413</f>
        <v>0</v>
      </c>
      <c r="E413" s="26">
        <f ca="1">'Preventative costs A'!E413-'Preventative costs B'!E413</f>
        <v>0</v>
      </c>
      <c r="F413" s="26">
        <f ca="1">'Preventative costs A'!F413-'Preventative costs B'!F413</f>
        <v>0</v>
      </c>
      <c r="G413" s="26">
        <f ca="1">'Preventative costs A'!G413-'Preventative costs B'!G413</f>
        <v>0</v>
      </c>
      <c r="H413" s="26">
        <f ca="1">'Preventative costs A'!H413-'Preventative costs B'!H413</f>
        <v>0</v>
      </c>
      <c r="I413" s="26">
        <f ca="1">'Preventative costs A'!I413-'Preventative costs B'!I413</f>
        <v>0</v>
      </c>
      <c r="J413" s="26">
        <f ca="1">'Preventative costs A'!J413-'Preventative costs B'!J413</f>
        <v>0</v>
      </c>
      <c r="K413" s="26">
        <f ca="1">'Preventative costs A'!K413-'Preventative costs B'!K413</f>
        <v>0</v>
      </c>
      <c r="M413" s="4" t="str">
        <f t="shared" si="22"/>
        <v>per Mtonne</v>
      </c>
    </row>
    <row r="414" spans="1:13" s="7" customFormat="1" ht="13.5" thickBot="1" x14ac:dyDescent="0.25">
      <c r="A414" s="4" t="str">
        <v>LA N2O</v>
      </c>
      <c r="B414" s="35">
        <f ca="1">'Preventative costs A'!B414-'Preventative costs B'!B414</f>
        <v>0</v>
      </c>
      <c r="C414" s="35">
        <f ca="1">'Preventative costs A'!C414-'Preventative costs B'!C414</f>
        <v>0</v>
      </c>
      <c r="D414" s="35">
        <f ca="1">'Preventative costs A'!D414-'Preventative costs B'!D414</f>
        <v>0</v>
      </c>
      <c r="E414" s="35">
        <f ca="1">'Preventative costs A'!E414-'Preventative costs B'!E414</f>
        <v>0</v>
      </c>
      <c r="F414" s="35">
        <f ca="1">'Preventative costs A'!F414-'Preventative costs B'!F414</f>
        <v>0</v>
      </c>
      <c r="G414" s="35">
        <f ca="1">'Preventative costs A'!G414-'Preventative costs B'!G414</f>
        <v>0</v>
      </c>
      <c r="H414" s="35">
        <f ca="1">'Preventative costs A'!H414-'Preventative costs B'!H414</f>
        <v>0</v>
      </c>
      <c r="I414" s="35">
        <f ca="1">'Preventative costs A'!I414-'Preventative costs B'!I414</f>
        <v>0</v>
      </c>
      <c r="J414" s="35">
        <f ca="1">'Preventative costs A'!J414-'Preventative costs B'!J414</f>
        <v>0</v>
      </c>
      <c r="K414" s="35">
        <f ca="1">'Preventative costs A'!K414-'Preventative costs B'!K414</f>
        <v>0</v>
      </c>
      <c r="M414" s="4" t="str">
        <f t="shared" si="22"/>
        <v>per Mtonne</v>
      </c>
    </row>
    <row r="415" spans="1:13" s="2" customFormat="1" ht="15" thickTop="1" x14ac:dyDescent="0.25">
      <c r="A415" s="2" t="s">
        <v>323</v>
      </c>
      <c r="B415" s="2" t="s">
        <v>327</v>
      </c>
    </row>
    <row r="416" spans="1:13" s="7" customFormat="1" x14ac:dyDescent="0.2">
      <c r="A416" s="4" t="str">
        <f t="array" ref="A416:A423">R_CODE&amp;" "&amp;GLIN_NAME</f>
        <v>EU Lin</v>
      </c>
      <c r="B416" s="29">
        <f ca="1">'Preventative costs A'!B416-'Preventative costs B'!B416</f>
        <v>0</v>
      </c>
      <c r="C416" s="29">
        <f ca="1">'Preventative costs A'!C416-'Preventative costs B'!C416</f>
        <v>0</v>
      </c>
      <c r="D416" s="29">
        <f ca="1">'Preventative costs A'!D416-'Preventative costs B'!D416</f>
        <v>0</v>
      </c>
      <c r="E416" s="29">
        <f ca="1">'Preventative costs A'!E416-'Preventative costs B'!E416</f>
        <v>0</v>
      </c>
      <c r="F416" s="29">
        <f ca="1">'Preventative costs A'!F416-'Preventative costs B'!F416</f>
        <v>0</v>
      </c>
      <c r="G416" s="29">
        <f ca="1">'Preventative costs A'!G416-'Preventative costs B'!G416</f>
        <v>0</v>
      </c>
      <c r="H416" s="29">
        <f ca="1">'Preventative costs A'!H416-'Preventative costs B'!H416</f>
        <v>0</v>
      </c>
      <c r="I416" s="29">
        <f ca="1">'Preventative costs A'!I416-'Preventative costs B'!I416</f>
        <v>0</v>
      </c>
      <c r="J416" s="29">
        <f ca="1">'Preventative costs A'!J416-'Preventative costs B'!J416</f>
        <v>0</v>
      </c>
      <c r="K416" s="29">
        <f ca="1">'Preventative costs A'!K416-'Preventative costs B'!K416</f>
        <v>0</v>
      </c>
      <c r="M416" s="4" t="str">
        <f t="shared" ref="M416:M423" si="23">"per "&amp;EMIT_NAME</f>
        <v>per Mtonne</v>
      </c>
    </row>
    <row r="417" spans="1:13" s="7" customFormat="1" x14ac:dyDescent="0.2">
      <c r="A417" s="4" t="str">
        <v>US Lin</v>
      </c>
      <c r="B417" s="26">
        <f ca="1">'Preventative costs A'!B417-'Preventative costs B'!B417</f>
        <v>0</v>
      </c>
      <c r="C417" s="26">
        <f ca="1">'Preventative costs A'!C417-'Preventative costs B'!C417</f>
        <v>0</v>
      </c>
      <c r="D417" s="26">
        <f ca="1">'Preventative costs A'!D417-'Preventative costs B'!D417</f>
        <v>0</v>
      </c>
      <c r="E417" s="26">
        <f ca="1">'Preventative costs A'!E417-'Preventative costs B'!E417</f>
        <v>0</v>
      </c>
      <c r="F417" s="26">
        <f ca="1">'Preventative costs A'!F417-'Preventative costs B'!F417</f>
        <v>0</v>
      </c>
      <c r="G417" s="26">
        <f ca="1">'Preventative costs A'!G417-'Preventative costs B'!G417</f>
        <v>0</v>
      </c>
      <c r="H417" s="26">
        <f ca="1">'Preventative costs A'!H417-'Preventative costs B'!H417</f>
        <v>0</v>
      </c>
      <c r="I417" s="26">
        <f ca="1">'Preventative costs A'!I417-'Preventative costs B'!I417</f>
        <v>0</v>
      </c>
      <c r="J417" s="26">
        <f ca="1">'Preventative costs A'!J417-'Preventative costs B'!J417</f>
        <v>0</v>
      </c>
      <c r="K417" s="26">
        <f ca="1">'Preventative costs A'!K417-'Preventative costs B'!K417</f>
        <v>0</v>
      </c>
      <c r="M417" s="4" t="str">
        <f t="shared" si="23"/>
        <v>per Mtonne</v>
      </c>
    </row>
    <row r="418" spans="1:13" s="7" customFormat="1" x14ac:dyDescent="0.2">
      <c r="A418" s="4" t="str">
        <v>OT Lin</v>
      </c>
      <c r="B418" s="26">
        <f ca="1">'Preventative costs A'!B418-'Preventative costs B'!B418</f>
        <v>0</v>
      </c>
      <c r="C418" s="26">
        <f ca="1">'Preventative costs A'!C418-'Preventative costs B'!C418</f>
        <v>0</v>
      </c>
      <c r="D418" s="26">
        <f ca="1">'Preventative costs A'!D418-'Preventative costs B'!D418</f>
        <v>0</v>
      </c>
      <c r="E418" s="26">
        <f ca="1">'Preventative costs A'!E418-'Preventative costs B'!E418</f>
        <v>0</v>
      </c>
      <c r="F418" s="26">
        <f ca="1">'Preventative costs A'!F418-'Preventative costs B'!F418</f>
        <v>0</v>
      </c>
      <c r="G418" s="26">
        <f ca="1">'Preventative costs A'!G418-'Preventative costs B'!G418</f>
        <v>0</v>
      </c>
      <c r="H418" s="26">
        <f ca="1">'Preventative costs A'!H418-'Preventative costs B'!H418</f>
        <v>0</v>
      </c>
      <c r="I418" s="26">
        <f ca="1">'Preventative costs A'!I418-'Preventative costs B'!I418</f>
        <v>0</v>
      </c>
      <c r="J418" s="26">
        <f ca="1">'Preventative costs A'!J418-'Preventative costs B'!J418</f>
        <v>0</v>
      </c>
      <c r="K418" s="26">
        <f ca="1">'Preventative costs A'!K418-'Preventative costs B'!K418</f>
        <v>0</v>
      </c>
      <c r="M418" s="4" t="str">
        <f t="shared" si="23"/>
        <v>per Mtonne</v>
      </c>
    </row>
    <row r="419" spans="1:13" s="7" customFormat="1" x14ac:dyDescent="0.2">
      <c r="A419" s="4" t="str">
        <v>EE Lin</v>
      </c>
      <c r="B419" s="26">
        <f ca="1">'Preventative costs A'!B419-'Preventative costs B'!B419</f>
        <v>0</v>
      </c>
      <c r="C419" s="26">
        <f ca="1">'Preventative costs A'!C419-'Preventative costs B'!C419</f>
        <v>0</v>
      </c>
      <c r="D419" s="26">
        <f ca="1">'Preventative costs A'!D419-'Preventative costs B'!D419</f>
        <v>0</v>
      </c>
      <c r="E419" s="26">
        <f ca="1">'Preventative costs A'!E419-'Preventative costs B'!E419</f>
        <v>0</v>
      </c>
      <c r="F419" s="26">
        <f ca="1">'Preventative costs A'!F419-'Preventative costs B'!F419</f>
        <v>0</v>
      </c>
      <c r="G419" s="26">
        <f ca="1">'Preventative costs A'!G419-'Preventative costs B'!G419</f>
        <v>0</v>
      </c>
      <c r="H419" s="26">
        <f ca="1">'Preventative costs A'!H419-'Preventative costs B'!H419</f>
        <v>0</v>
      </c>
      <c r="I419" s="26">
        <f ca="1">'Preventative costs A'!I419-'Preventative costs B'!I419</f>
        <v>0</v>
      </c>
      <c r="J419" s="26">
        <f ca="1">'Preventative costs A'!J419-'Preventative costs B'!J419</f>
        <v>0</v>
      </c>
      <c r="K419" s="26">
        <f ca="1">'Preventative costs A'!K419-'Preventative costs B'!K419</f>
        <v>0</v>
      </c>
      <c r="M419" s="4" t="str">
        <f t="shared" si="23"/>
        <v>per Mtonne</v>
      </c>
    </row>
    <row r="420" spans="1:13" s="7" customFormat="1" x14ac:dyDescent="0.2">
      <c r="A420" s="4" t="str">
        <v>CA Lin</v>
      </c>
      <c r="B420" s="26">
        <f ca="1">'Preventative costs A'!B420-'Preventative costs B'!B420</f>
        <v>0</v>
      </c>
      <c r="C420" s="26">
        <f ca="1">'Preventative costs A'!C420-'Preventative costs B'!C420</f>
        <v>0</v>
      </c>
      <c r="D420" s="26">
        <f ca="1">'Preventative costs A'!D420-'Preventative costs B'!D420</f>
        <v>0</v>
      </c>
      <c r="E420" s="26">
        <f ca="1">'Preventative costs A'!E420-'Preventative costs B'!E420</f>
        <v>0</v>
      </c>
      <c r="F420" s="26">
        <f ca="1">'Preventative costs A'!F420-'Preventative costs B'!F420</f>
        <v>0</v>
      </c>
      <c r="G420" s="26">
        <f ca="1">'Preventative costs A'!G420-'Preventative costs B'!G420</f>
        <v>0</v>
      </c>
      <c r="H420" s="26">
        <f ca="1">'Preventative costs A'!H420-'Preventative costs B'!H420</f>
        <v>0</v>
      </c>
      <c r="I420" s="26">
        <f ca="1">'Preventative costs A'!I420-'Preventative costs B'!I420</f>
        <v>0</v>
      </c>
      <c r="J420" s="26">
        <f ca="1">'Preventative costs A'!J420-'Preventative costs B'!J420</f>
        <v>0</v>
      </c>
      <c r="K420" s="26">
        <f ca="1">'Preventative costs A'!K420-'Preventative costs B'!K420</f>
        <v>0</v>
      </c>
      <c r="M420" s="4" t="str">
        <f t="shared" si="23"/>
        <v>per Mtonne</v>
      </c>
    </row>
    <row r="421" spans="1:13" s="7" customFormat="1" x14ac:dyDescent="0.2">
      <c r="A421" s="4" t="str">
        <v>IA Lin</v>
      </c>
      <c r="B421" s="26">
        <f ca="1">'Preventative costs A'!B421-'Preventative costs B'!B421</f>
        <v>0</v>
      </c>
      <c r="C421" s="26">
        <f ca="1">'Preventative costs A'!C421-'Preventative costs B'!C421</f>
        <v>0</v>
      </c>
      <c r="D421" s="26">
        <f ca="1">'Preventative costs A'!D421-'Preventative costs B'!D421</f>
        <v>0</v>
      </c>
      <c r="E421" s="26">
        <f ca="1">'Preventative costs A'!E421-'Preventative costs B'!E421</f>
        <v>0</v>
      </c>
      <c r="F421" s="26">
        <f ca="1">'Preventative costs A'!F421-'Preventative costs B'!F421</f>
        <v>0</v>
      </c>
      <c r="G421" s="26">
        <f ca="1">'Preventative costs A'!G421-'Preventative costs B'!G421</f>
        <v>0</v>
      </c>
      <c r="H421" s="26">
        <f ca="1">'Preventative costs A'!H421-'Preventative costs B'!H421</f>
        <v>0</v>
      </c>
      <c r="I421" s="26">
        <f ca="1">'Preventative costs A'!I421-'Preventative costs B'!I421</f>
        <v>0</v>
      </c>
      <c r="J421" s="26">
        <f ca="1">'Preventative costs A'!J421-'Preventative costs B'!J421</f>
        <v>0</v>
      </c>
      <c r="K421" s="26">
        <f ca="1">'Preventative costs A'!K421-'Preventative costs B'!K421</f>
        <v>0</v>
      </c>
      <c r="M421" s="4" t="str">
        <f t="shared" si="23"/>
        <v>per Mtonne</v>
      </c>
    </row>
    <row r="422" spans="1:13" s="7" customFormat="1" x14ac:dyDescent="0.2">
      <c r="A422" s="4" t="str">
        <v>AF Lin</v>
      </c>
      <c r="B422" s="26">
        <f ca="1">'Preventative costs A'!B422-'Preventative costs B'!B422</f>
        <v>0</v>
      </c>
      <c r="C422" s="26">
        <f ca="1">'Preventative costs A'!C422-'Preventative costs B'!C422</f>
        <v>0</v>
      </c>
      <c r="D422" s="26">
        <f ca="1">'Preventative costs A'!D422-'Preventative costs B'!D422</f>
        <v>0</v>
      </c>
      <c r="E422" s="26">
        <f ca="1">'Preventative costs A'!E422-'Preventative costs B'!E422</f>
        <v>0</v>
      </c>
      <c r="F422" s="26">
        <f ca="1">'Preventative costs A'!F422-'Preventative costs B'!F422</f>
        <v>0</v>
      </c>
      <c r="G422" s="26">
        <f ca="1">'Preventative costs A'!G422-'Preventative costs B'!G422</f>
        <v>0</v>
      </c>
      <c r="H422" s="26">
        <f ca="1">'Preventative costs A'!H422-'Preventative costs B'!H422</f>
        <v>0</v>
      </c>
      <c r="I422" s="26">
        <f ca="1">'Preventative costs A'!I422-'Preventative costs B'!I422</f>
        <v>0</v>
      </c>
      <c r="J422" s="26">
        <f ca="1">'Preventative costs A'!J422-'Preventative costs B'!J422</f>
        <v>0</v>
      </c>
      <c r="K422" s="26">
        <f ca="1">'Preventative costs A'!K422-'Preventative costs B'!K422</f>
        <v>0</v>
      </c>
      <c r="M422" s="4" t="str">
        <f t="shared" si="23"/>
        <v>per Mtonne</v>
      </c>
    </row>
    <row r="423" spans="1:13" s="7" customFormat="1" ht="13.5" thickBot="1" x14ac:dyDescent="0.25">
      <c r="A423" s="4" t="str">
        <v>LA Lin</v>
      </c>
      <c r="B423" s="35">
        <f ca="1">'Preventative costs A'!B423-'Preventative costs B'!B423</f>
        <v>0</v>
      </c>
      <c r="C423" s="35">
        <f ca="1">'Preventative costs A'!C423-'Preventative costs B'!C423</f>
        <v>0</v>
      </c>
      <c r="D423" s="35">
        <f ca="1">'Preventative costs A'!D423-'Preventative costs B'!D423</f>
        <v>0</v>
      </c>
      <c r="E423" s="35">
        <f ca="1">'Preventative costs A'!E423-'Preventative costs B'!E423</f>
        <v>0</v>
      </c>
      <c r="F423" s="35">
        <f ca="1">'Preventative costs A'!F423-'Preventative costs B'!F423</f>
        <v>0</v>
      </c>
      <c r="G423" s="35">
        <f ca="1">'Preventative costs A'!G423-'Preventative costs B'!G423</f>
        <v>0</v>
      </c>
      <c r="H423" s="35">
        <f ca="1">'Preventative costs A'!H423-'Preventative costs B'!H423</f>
        <v>0</v>
      </c>
      <c r="I423" s="35">
        <f ca="1">'Preventative costs A'!I423-'Preventative costs B'!I423</f>
        <v>0</v>
      </c>
      <c r="J423" s="35">
        <f ca="1">'Preventative costs A'!J423-'Preventative costs B'!J423</f>
        <v>0</v>
      </c>
      <c r="K423" s="35">
        <f ca="1">'Preventative costs A'!K423-'Preventative costs B'!K423</f>
        <v>0</v>
      </c>
      <c r="M423" s="4" t="str">
        <f t="shared" si="23"/>
        <v>per Mtonne</v>
      </c>
    </row>
    <row r="424" spans="1:13" s="2" customFormat="1" ht="15" thickTop="1" x14ac:dyDescent="0.25">
      <c r="A424" s="2" t="s">
        <v>322</v>
      </c>
      <c r="B424" s="2" t="s">
        <v>328</v>
      </c>
    </row>
    <row r="425" spans="1:13" s="6" customFormat="1" x14ac:dyDescent="0.2">
      <c r="A425" s="4" t="str">
        <f t="array" ref="A425:A432">R_CODE&amp;" "&amp;'Base data'!$B$12</f>
        <v>EU CO2</v>
      </c>
      <c r="B425" s="29">
        <f ca="1">'Preventative costs A'!B425-'Preventative costs B'!B425</f>
        <v>0</v>
      </c>
      <c r="C425" s="29">
        <f ca="1">'Preventative costs A'!C425-'Preventative costs B'!C425</f>
        <v>0</v>
      </c>
      <c r="D425" s="29">
        <f ca="1">'Preventative costs A'!D425-'Preventative costs B'!D425</f>
        <v>0</v>
      </c>
      <c r="E425" s="29">
        <f ca="1">'Preventative costs A'!E425-'Preventative costs B'!E425</f>
        <v>0</v>
      </c>
      <c r="F425" s="29">
        <f ca="1">'Preventative costs A'!F425-'Preventative costs B'!F425</f>
        <v>0</v>
      </c>
      <c r="G425" s="29">
        <f ca="1">'Preventative costs A'!G425-'Preventative costs B'!G425</f>
        <v>0</v>
      </c>
      <c r="H425" s="29">
        <f ca="1">'Preventative costs A'!H425-'Preventative costs B'!H425</f>
        <v>0</v>
      </c>
      <c r="I425" s="29">
        <f ca="1">'Preventative costs A'!I425-'Preventative costs B'!I425</f>
        <v>0</v>
      </c>
      <c r="J425" s="29">
        <f ca="1">'Preventative costs A'!J425-'Preventative costs B'!J425</f>
        <v>0</v>
      </c>
      <c r="K425" s="29">
        <f ca="1">'Preventative costs A'!K425-'Preventative costs B'!K425</f>
        <v>0</v>
      </c>
      <c r="M425" s="4" t="str">
        <f t="shared" ref="M425:M432" si="24">CURRENCY_NAME&amp;" per "&amp;EMIT_NAME</f>
        <v>$M(2015) per Mtonne</v>
      </c>
    </row>
    <row r="426" spans="1:13" s="6" customFormat="1" x14ac:dyDescent="0.2">
      <c r="A426" s="4" t="str">
        <v>US CO2</v>
      </c>
      <c r="B426" s="26">
        <f ca="1">'Preventative costs A'!B426-'Preventative costs B'!B426</f>
        <v>0</v>
      </c>
      <c r="C426" s="26">
        <f ca="1">'Preventative costs A'!C426-'Preventative costs B'!C426</f>
        <v>0</v>
      </c>
      <c r="D426" s="26">
        <f ca="1">'Preventative costs A'!D426-'Preventative costs B'!D426</f>
        <v>0</v>
      </c>
      <c r="E426" s="26">
        <f ca="1">'Preventative costs A'!E426-'Preventative costs B'!E426</f>
        <v>0</v>
      </c>
      <c r="F426" s="26">
        <f ca="1">'Preventative costs A'!F426-'Preventative costs B'!F426</f>
        <v>0</v>
      </c>
      <c r="G426" s="26">
        <f ca="1">'Preventative costs A'!G426-'Preventative costs B'!G426</f>
        <v>0</v>
      </c>
      <c r="H426" s="26">
        <f ca="1">'Preventative costs A'!H426-'Preventative costs B'!H426</f>
        <v>0</v>
      </c>
      <c r="I426" s="26">
        <f ca="1">'Preventative costs A'!I426-'Preventative costs B'!I426</f>
        <v>0</v>
      </c>
      <c r="J426" s="26">
        <f ca="1">'Preventative costs A'!J426-'Preventative costs B'!J426</f>
        <v>0</v>
      </c>
      <c r="K426" s="26">
        <f ca="1">'Preventative costs A'!K426-'Preventative costs B'!K426</f>
        <v>0</v>
      </c>
      <c r="M426" s="4" t="str">
        <f t="shared" si="24"/>
        <v>$M(2015) per Mtonne</v>
      </c>
    </row>
    <row r="427" spans="1:13" s="6" customFormat="1" x14ac:dyDescent="0.2">
      <c r="A427" s="4" t="str">
        <v>OT CO2</v>
      </c>
      <c r="B427" s="26">
        <f ca="1">'Preventative costs A'!B427-'Preventative costs B'!B427</f>
        <v>0</v>
      </c>
      <c r="C427" s="26">
        <f ca="1">'Preventative costs A'!C427-'Preventative costs B'!C427</f>
        <v>0</v>
      </c>
      <c r="D427" s="26">
        <f ca="1">'Preventative costs A'!D427-'Preventative costs B'!D427</f>
        <v>0</v>
      </c>
      <c r="E427" s="26">
        <f ca="1">'Preventative costs A'!E427-'Preventative costs B'!E427</f>
        <v>0</v>
      </c>
      <c r="F427" s="26">
        <f ca="1">'Preventative costs A'!F427-'Preventative costs B'!F427</f>
        <v>0</v>
      </c>
      <c r="G427" s="26">
        <f ca="1">'Preventative costs A'!G427-'Preventative costs B'!G427</f>
        <v>0</v>
      </c>
      <c r="H427" s="26">
        <f ca="1">'Preventative costs A'!H427-'Preventative costs B'!H427</f>
        <v>0</v>
      </c>
      <c r="I427" s="26">
        <f ca="1">'Preventative costs A'!I427-'Preventative costs B'!I427</f>
        <v>0</v>
      </c>
      <c r="J427" s="26">
        <f ca="1">'Preventative costs A'!J427-'Preventative costs B'!J427</f>
        <v>0</v>
      </c>
      <c r="K427" s="26">
        <f ca="1">'Preventative costs A'!K427-'Preventative costs B'!K427</f>
        <v>0</v>
      </c>
      <c r="M427" s="4" t="str">
        <f t="shared" si="24"/>
        <v>$M(2015) per Mtonne</v>
      </c>
    </row>
    <row r="428" spans="1:13" s="6" customFormat="1" x14ac:dyDescent="0.2">
      <c r="A428" s="4" t="str">
        <v>EE CO2</v>
      </c>
      <c r="B428" s="26">
        <f ca="1">'Preventative costs A'!B428-'Preventative costs B'!B428</f>
        <v>0</v>
      </c>
      <c r="C428" s="26">
        <f ca="1">'Preventative costs A'!C428-'Preventative costs B'!C428</f>
        <v>0</v>
      </c>
      <c r="D428" s="26">
        <f ca="1">'Preventative costs A'!D428-'Preventative costs B'!D428</f>
        <v>0</v>
      </c>
      <c r="E428" s="26">
        <f ca="1">'Preventative costs A'!E428-'Preventative costs B'!E428</f>
        <v>0</v>
      </c>
      <c r="F428" s="26">
        <f ca="1">'Preventative costs A'!F428-'Preventative costs B'!F428</f>
        <v>0</v>
      </c>
      <c r="G428" s="26">
        <f ca="1">'Preventative costs A'!G428-'Preventative costs B'!G428</f>
        <v>0</v>
      </c>
      <c r="H428" s="26">
        <f ca="1">'Preventative costs A'!H428-'Preventative costs B'!H428</f>
        <v>0</v>
      </c>
      <c r="I428" s="26">
        <f ca="1">'Preventative costs A'!I428-'Preventative costs B'!I428</f>
        <v>0</v>
      </c>
      <c r="J428" s="26">
        <f ca="1">'Preventative costs A'!J428-'Preventative costs B'!J428</f>
        <v>0</v>
      </c>
      <c r="K428" s="26">
        <f ca="1">'Preventative costs A'!K428-'Preventative costs B'!K428</f>
        <v>0</v>
      </c>
      <c r="M428" s="4" t="str">
        <f t="shared" si="24"/>
        <v>$M(2015) per Mtonne</v>
      </c>
    </row>
    <row r="429" spans="1:13" s="6" customFormat="1" x14ac:dyDescent="0.2">
      <c r="A429" s="4" t="str">
        <v>CA CO2</v>
      </c>
      <c r="B429" s="26">
        <f ca="1">'Preventative costs A'!B429-'Preventative costs B'!B429</f>
        <v>0</v>
      </c>
      <c r="C429" s="26">
        <f ca="1">'Preventative costs A'!C429-'Preventative costs B'!C429</f>
        <v>0</v>
      </c>
      <c r="D429" s="26">
        <f ca="1">'Preventative costs A'!D429-'Preventative costs B'!D429</f>
        <v>0</v>
      </c>
      <c r="E429" s="26">
        <f ca="1">'Preventative costs A'!E429-'Preventative costs B'!E429</f>
        <v>0</v>
      </c>
      <c r="F429" s="26">
        <f ca="1">'Preventative costs A'!F429-'Preventative costs B'!F429</f>
        <v>0</v>
      </c>
      <c r="G429" s="26">
        <f ca="1">'Preventative costs A'!G429-'Preventative costs B'!G429</f>
        <v>0</v>
      </c>
      <c r="H429" s="26">
        <f ca="1">'Preventative costs A'!H429-'Preventative costs B'!H429</f>
        <v>0</v>
      </c>
      <c r="I429" s="26">
        <f ca="1">'Preventative costs A'!I429-'Preventative costs B'!I429</f>
        <v>0</v>
      </c>
      <c r="J429" s="26">
        <f ca="1">'Preventative costs A'!J429-'Preventative costs B'!J429</f>
        <v>0</v>
      </c>
      <c r="K429" s="26">
        <f ca="1">'Preventative costs A'!K429-'Preventative costs B'!K429</f>
        <v>0</v>
      </c>
      <c r="M429" s="4" t="str">
        <f t="shared" si="24"/>
        <v>$M(2015) per Mtonne</v>
      </c>
    </row>
    <row r="430" spans="1:13" s="6" customFormat="1" x14ac:dyDescent="0.2">
      <c r="A430" s="4" t="str">
        <v>IA CO2</v>
      </c>
      <c r="B430" s="26">
        <f ca="1">'Preventative costs A'!B430-'Preventative costs B'!B430</f>
        <v>0</v>
      </c>
      <c r="C430" s="26">
        <f ca="1">'Preventative costs A'!C430-'Preventative costs B'!C430</f>
        <v>0</v>
      </c>
      <c r="D430" s="26">
        <f ca="1">'Preventative costs A'!D430-'Preventative costs B'!D430</f>
        <v>0</v>
      </c>
      <c r="E430" s="26">
        <f ca="1">'Preventative costs A'!E430-'Preventative costs B'!E430</f>
        <v>0</v>
      </c>
      <c r="F430" s="26">
        <f ca="1">'Preventative costs A'!F430-'Preventative costs B'!F430</f>
        <v>0</v>
      </c>
      <c r="G430" s="26">
        <f ca="1">'Preventative costs A'!G430-'Preventative costs B'!G430</f>
        <v>0</v>
      </c>
      <c r="H430" s="26">
        <f ca="1">'Preventative costs A'!H430-'Preventative costs B'!H430</f>
        <v>0</v>
      </c>
      <c r="I430" s="26">
        <f ca="1">'Preventative costs A'!I430-'Preventative costs B'!I430</f>
        <v>0</v>
      </c>
      <c r="J430" s="26">
        <f ca="1">'Preventative costs A'!J430-'Preventative costs B'!J430</f>
        <v>0</v>
      </c>
      <c r="K430" s="26">
        <f ca="1">'Preventative costs A'!K430-'Preventative costs B'!K430</f>
        <v>0</v>
      </c>
      <c r="M430" s="4" t="str">
        <f t="shared" si="24"/>
        <v>$M(2015) per Mtonne</v>
      </c>
    </row>
    <row r="431" spans="1:13" s="6" customFormat="1" x14ac:dyDescent="0.2">
      <c r="A431" s="4" t="str">
        <v>AF CO2</v>
      </c>
      <c r="B431" s="26">
        <f ca="1">'Preventative costs A'!B431-'Preventative costs B'!B431</f>
        <v>0</v>
      </c>
      <c r="C431" s="26">
        <f ca="1">'Preventative costs A'!C431-'Preventative costs B'!C431</f>
        <v>0</v>
      </c>
      <c r="D431" s="26">
        <f ca="1">'Preventative costs A'!D431-'Preventative costs B'!D431</f>
        <v>0</v>
      </c>
      <c r="E431" s="26">
        <f ca="1">'Preventative costs A'!E431-'Preventative costs B'!E431</f>
        <v>0</v>
      </c>
      <c r="F431" s="26">
        <f ca="1">'Preventative costs A'!F431-'Preventative costs B'!F431</f>
        <v>0</v>
      </c>
      <c r="G431" s="26">
        <f ca="1">'Preventative costs A'!G431-'Preventative costs B'!G431</f>
        <v>0</v>
      </c>
      <c r="H431" s="26">
        <f ca="1">'Preventative costs A'!H431-'Preventative costs B'!H431</f>
        <v>0</v>
      </c>
      <c r="I431" s="26">
        <f ca="1">'Preventative costs A'!I431-'Preventative costs B'!I431</f>
        <v>0</v>
      </c>
      <c r="J431" s="26">
        <f ca="1">'Preventative costs A'!J431-'Preventative costs B'!J431</f>
        <v>0</v>
      </c>
      <c r="K431" s="26">
        <f ca="1">'Preventative costs A'!K431-'Preventative costs B'!K431</f>
        <v>0</v>
      </c>
      <c r="M431" s="4" t="str">
        <f t="shared" si="24"/>
        <v>$M(2015) per Mtonne</v>
      </c>
    </row>
    <row r="432" spans="1:13" s="6" customFormat="1" ht="13.5" thickBot="1" x14ac:dyDescent="0.25">
      <c r="A432" s="4" t="str">
        <v>LA CO2</v>
      </c>
      <c r="B432" s="35">
        <f ca="1">'Preventative costs A'!B432-'Preventative costs B'!B432</f>
        <v>0</v>
      </c>
      <c r="C432" s="35">
        <f ca="1">'Preventative costs A'!C432-'Preventative costs B'!C432</f>
        <v>0</v>
      </c>
      <c r="D432" s="35">
        <f ca="1">'Preventative costs A'!D432-'Preventative costs B'!D432</f>
        <v>0</v>
      </c>
      <c r="E432" s="35">
        <f ca="1">'Preventative costs A'!E432-'Preventative costs B'!E432</f>
        <v>0</v>
      </c>
      <c r="F432" s="35">
        <f ca="1">'Preventative costs A'!F432-'Preventative costs B'!F432</f>
        <v>0</v>
      </c>
      <c r="G432" s="35">
        <f ca="1">'Preventative costs A'!G432-'Preventative costs B'!G432</f>
        <v>0</v>
      </c>
      <c r="H432" s="35">
        <f ca="1">'Preventative costs A'!H432-'Preventative costs B'!H432</f>
        <v>0</v>
      </c>
      <c r="I432" s="35">
        <f ca="1">'Preventative costs A'!I432-'Preventative costs B'!I432</f>
        <v>0</v>
      </c>
      <c r="J432" s="35">
        <f ca="1">'Preventative costs A'!J432-'Preventative costs B'!J432</f>
        <v>0</v>
      </c>
      <c r="K432" s="35">
        <f ca="1">'Preventative costs A'!K432-'Preventative costs B'!K432</f>
        <v>0</v>
      </c>
      <c r="M432" s="4" t="str">
        <f t="shared" si="24"/>
        <v>$M(2015) per Mtonne</v>
      </c>
    </row>
    <row r="433" spans="1:13" s="2" customFormat="1" ht="15" thickTop="1" x14ac:dyDescent="0.25">
      <c r="A433" s="2" t="s">
        <v>322</v>
      </c>
      <c r="B433" s="2" t="s">
        <v>329</v>
      </c>
    </row>
    <row r="434" spans="1:13" s="7" customFormat="1" x14ac:dyDescent="0.2">
      <c r="A434" s="4" t="str">
        <f t="array" ref="A434:A441">R_CODE&amp;" "&amp;'Base data'!$C$12</f>
        <v>EU CH4</v>
      </c>
      <c r="B434" s="29">
        <f ca="1">'Preventative costs A'!B434-'Preventative costs B'!B434</f>
        <v>0</v>
      </c>
      <c r="C434" s="29">
        <f ca="1">'Preventative costs A'!C434-'Preventative costs B'!C434</f>
        <v>0</v>
      </c>
      <c r="D434" s="29">
        <f ca="1">'Preventative costs A'!D434-'Preventative costs B'!D434</f>
        <v>0</v>
      </c>
      <c r="E434" s="29">
        <f ca="1">'Preventative costs A'!E434-'Preventative costs B'!E434</f>
        <v>0</v>
      </c>
      <c r="F434" s="29">
        <f ca="1">'Preventative costs A'!F434-'Preventative costs B'!F434</f>
        <v>0</v>
      </c>
      <c r="G434" s="29">
        <f ca="1">'Preventative costs A'!G434-'Preventative costs B'!G434</f>
        <v>0</v>
      </c>
      <c r="H434" s="29">
        <f ca="1">'Preventative costs A'!H434-'Preventative costs B'!H434</f>
        <v>0</v>
      </c>
      <c r="I434" s="29">
        <f ca="1">'Preventative costs A'!I434-'Preventative costs B'!I434</f>
        <v>0</v>
      </c>
      <c r="J434" s="29">
        <f ca="1">'Preventative costs A'!J434-'Preventative costs B'!J434</f>
        <v>0</v>
      </c>
      <c r="K434" s="29">
        <f ca="1">'Preventative costs A'!K434-'Preventative costs B'!K434</f>
        <v>0</v>
      </c>
      <c r="M434" s="4" t="str">
        <f t="shared" ref="M434:M441" si="25">CURRENCY_NAME&amp;" per "&amp;EMIT_NAME</f>
        <v>$M(2015) per Mtonne</v>
      </c>
    </row>
    <row r="435" spans="1:13" s="7" customFormat="1" x14ac:dyDescent="0.2">
      <c r="A435" s="4" t="str">
        <v>US CH4</v>
      </c>
      <c r="B435" s="26">
        <f ca="1">'Preventative costs A'!B435-'Preventative costs B'!B435</f>
        <v>0</v>
      </c>
      <c r="C435" s="26">
        <f ca="1">'Preventative costs A'!C435-'Preventative costs B'!C435</f>
        <v>0</v>
      </c>
      <c r="D435" s="26">
        <f ca="1">'Preventative costs A'!D435-'Preventative costs B'!D435</f>
        <v>0</v>
      </c>
      <c r="E435" s="26">
        <f ca="1">'Preventative costs A'!E435-'Preventative costs B'!E435</f>
        <v>0</v>
      </c>
      <c r="F435" s="26">
        <f ca="1">'Preventative costs A'!F435-'Preventative costs B'!F435</f>
        <v>0</v>
      </c>
      <c r="G435" s="26">
        <f ca="1">'Preventative costs A'!G435-'Preventative costs B'!G435</f>
        <v>0</v>
      </c>
      <c r="H435" s="26">
        <f ca="1">'Preventative costs A'!H435-'Preventative costs B'!H435</f>
        <v>0</v>
      </c>
      <c r="I435" s="26">
        <f ca="1">'Preventative costs A'!I435-'Preventative costs B'!I435</f>
        <v>0</v>
      </c>
      <c r="J435" s="26">
        <f ca="1">'Preventative costs A'!J435-'Preventative costs B'!J435</f>
        <v>0</v>
      </c>
      <c r="K435" s="26">
        <f ca="1">'Preventative costs A'!K435-'Preventative costs B'!K435</f>
        <v>0</v>
      </c>
      <c r="M435" s="4" t="str">
        <f t="shared" si="25"/>
        <v>$M(2015) per Mtonne</v>
      </c>
    </row>
    <row r="436" spans="1:13" s="7" customFormat="1" x14ac:dyDescent="0.2">
      <c r="A436" s="4" t="str">
        <v>OT CH4</v>
      </c>
      <c r="B436" s="26">
        <f ca="1">'Preventative costs A'!B436-'Preventative costs B'!B436</f>
        <v>0</v>
      </c>
      <c r="C436" s="26">
        <f ca="1">'Preventative costs A'!C436-'Preventative costs B'!C436</f>
        <v>0</v>
      </c>
      <c r="D436" s="26">
        <f ca="1">'Preventative costs A'!D436-'Preventative costs B'!D436</f>
        <v>0</v>
      </c>
      <c r="E436" s="26">
        <f ca="1">'Preventative costs A'!E436-'Preventative costs B'!E436</f>
        <v>0</v>
      </c>
      <c r="F436" s="26">
        <f ca="1">'Preventative costs A'!F436-'Preventative costs B'!F436</f>
        <v>0</v>
      </c>
      <c r="G436" s="26">
        <f ca="1">'Preventative costs A'!G436-'Preventative costs B'!G436</f>
        <v>0</v>
      </c>
      <c r="H436" s="26">
        <f ca="1">'Preventative costs A'!H436-'Preventative costs B'!H436</f>
        <v>0</v>
      </c>
      <c r="I436" s="26">
        <f ca="1">'Preventative costs A'!I436-'Preventative costs B'!I436</f>
        <v>0</v>
      </c>
      <c r="J436" s="26">
        <f ca="1">'Preventative costs A'!J436-'Preventative costs B'!J436</f>
        <v>0</v>
      </c>
      <c r="K436" s="26">
        <f ca="1">'Preventative costs A'!K436-'Preventative costs B'!K436</f>
        <v>0</v>
      </c>
      <c r="M436" s="4" t="str">
        <f t="shared" si="25"/>
        <v>$M(2015) per Mtonne</v>
      </c>
    </row>
    <row r="437" spans="1:13" s="7" customFormat="1" x14ac:dyDescent="0.2">
      <c r="A437" s="4" t="str">
        <v>EE CH4</v>
      </c>
      <c r="B437" s="26">
        <f ca="1">'Preventative costs A'!B437-'Preventative costs B'!B437</f>
        <v>0</v>
      </c>
      <c r="C437" s="26">
        <f ca="1">'Preventative costs A'!C437-'Preventative costs B'!C437</f>
        <v>0</v>
      </c>
      <c r="D437" s="26">
        <f ca="1">'Preventative costs A'!D437-'Preventative costs B'!D437</f>
        <v>0</v>
      </c>
      <c r="E437" s="26">
        <f ca="1">'Preventative costs A'!E437-'Preventative costs B'!E437</f>
        <v>0</v>
      </c>
      <c r="F437" s="26">
        <f ca="1">'Preventative costs A'!F437-'Preventative costs B'!F437</f>
        <v>0</v>
      </c>
      <c r="G437" s="26">
        <f ca="1">'Preventative costs A'!G437-'Preventative costs B'!G437</f>
        <v>0</v>
      </c>
      <c r="H437" s="26">
        <f ca="1">'Preventative costs A'!H437-'Preventative costs B'!H437</f>
        <v>0</v>
      </c>
      <c r="I437" s="26">
        <f ca="1">'Preventative costs A'!I437-'Preventative costs B'!I437</f>
        <v>0</v>
      </c>
      <c r="J437" s="26">
        <f ca="1">'Preventative costs A'!J437-'Preventative costs B'!J437</f>
        <v>0</v>
      </c>
      <c r="K437" s="26">
        <f ca="1">'Preventative costs A'!K437-'Preventative costs B'!K437</f>
        <v>0</v>
      </c>
      <c r="M437" s="4" t="str">
        <f t="shared" si="25"/>
        <v>$M(2015) per Mtonne</v>
      </c>
    </row>
    <row r="438" spans="1:13" s="7" customFormat="1" x14ac:dyDescent="0.2">
      <c r="A438" s="4" t="str">
        <v>CA CH4</v>
      </c>
      <c r="B438" s="26">
        <f ca="1">'Preventative costs A'!B438-'Preventative costs B'!B438</f>
        <v>0</v>
      </c>
      <c r="C438" s="26">
        <f ca="1">'Preventative costs A'!C438-'Preventative costs B'!C438</f>
        <v>0</v>
      </c>
      <c r="D438" s="26">
        <f ca="1">'Preventative costs A'!D438-'Preventative costs B'!D438</f>
        <v>0</v>
      </c>
      <c r="E438" s="26">
        <f ca="1">'Preventative costs A'!E438-'Preventative costs B'!E438</f>
        <v>0</v>
      </c>
      <c r="F438" s="26">
        <f ca="1">'Preventative costs A'!F438-'Preventative costs B'!F438</f>
        <v>0</v>
      </c>
      <c r="G438" s="26">
        <f ca="1">'Preventative costs A'!G438-'Preventative costs B'!G438</f>
        <v>0</v>
      </c>
      <c r="H438" s="26">
        <f ca="1">'Preventative costs A'!H438-'Preventative costs B'!H438</f>
        <v>0</v>
      </c>
      <c r="I438" s="26">
        <f ca="1">'Preventative costs A'!I438-'Preventative costs B'!I438</f>
        <v>0</v>
      </c>
      <c r="J438" s="26">
        <f ca="1">'Preventative costs A'!J438-'Preventative costs B'!J438</f>
        <v>0</v>
      </c>
      <c r="K438" s="26">
        <f ca="1">'Preventative costs A'!K438-'Preventative costs B'!K438</f>
        <v>0</v>
      </c>
      <c r="M438" s="4" t="str">
        <f t="shared" si="25"/>
        <v>$M(2015) per Mtonne</v>
      </c>
    </row>
    <row r="439" spans="1:13" s="7" customFormat="1" x14ac:dyDescent="0.2">
      <c r="A439" s="4" t="str">
        <v>IA CH4</v>
      </c>
      <c r="B439" s="26">
        <f ca="1">'Preventative costs A'!B439-'Preventative costs B'!B439</f>
        <v>0</v>
      </c>
      <c r="C439" s="26">
        <f ca="1">'Preventative costs A'!C439-'Preventative costs B'!C439</f>
        <v>0</v>
      </c>
      <c r="D439" s="26">
        <f ca="1">'Preventative costs A'!D439-'Preventative costs B'!D439</f>
        <v>0</v>
      </c>
      <c r="E439" s="26">
        <f ca="1">'Preventative costs A'!E439-'Preventative costs B'!E439</f>
        <v>0</v>
      </c>
      <c r="F439" s="26">
        <f ca="1">'Preventative costs A'!F439-'Preventative costs B'!F439</f>
        <v>0</v>
      </c>
      <c r="G439" s="26">
        <f ca="1">'Preventative costs A'!G439-'Preventative costs B'!G439</f>
        <v>0</v>
      </c>
      <c r="H439" s="26">
        <f ca="1">'Preventative costs A'!H439-'Preventative costs B'!H439</f>
        <v>0</v>
      </c>
      <c r="I439" s="26">
        <f ca="1">'Preventative costs A'!I439-'Preventative costs B'!I439</f>
        <v>0</v>
      </c>
      <c r="J439" s="26">
        <f ca="1">'Preventative costs A'!J439-'Preventative costs B'!J439</f>
        <v>0</v>
      </c>
      <c r="K439" s="26">
        <f ca="1">'Preventative costs A'!K439-'Preventative costs B'!K439</f>
        <v>0</v>
      </c>
      <c r="M439" s="4" t="str">
        <f t="shared" si="25"/>
        <v>$M(2015) per Mtonne</v>
      </c>
    </row>
    <row r="440" spans="1:13" s="7" customFormat="1" x14ac:dyDescent="0.2">
      <c r="A440" s="4" t="str">
        <v>AF CH4</v>
      </c>
      <c r="B440" s="26">
        <f ca="1">'Preventative costs A'!B440-'Preventative costs B'!B440</f>
        <v>0</v>
      </c>
      <c r="C440" s="26">
        <f ca="1">'Preventative costs A'!C440-'Preventative costs B'!C440</f>
        <v>0</v>
      </c>
      <c r="D440" s="26">
        <f ca="1">'Preventative costs A'!D440-'Preventative costs B'!D440</f>
        <v>0</v>
      </c>
      <c r="E440" s="26">
        <f ca="1">'Preventative costs A'!E440-'Preventative costs B'!E440</f>
        <v>0</v>
      </c>
      <c r="F440" s="26">
        <f ca="1">'Preventative costs A'!F440-'Preventative costs B'!F440</f>
        <v>0</v>
      </c>
      <c r="G440" s="26">
        <f ca="1">'Preventative costs A'!G440-'Preventative costs B'!G440</f>
        <v>0</v>
      </c>
      <c r="H440" s="26">
        <f ca="1">'Preventative costs A'!H440-'Preventative costs B'!H440</f>
        <v>0</v>
      </c>
      <c r="I440" s="26">
        <f ca="1">'Preventative costs A'!I440-'Preventative costs B'!I440</f>
        <v>0</v>
      </c>
      <c r="J440" s="26">
        <f ca="1">'Preventative costs A'!J440-'Preventative costs B'!J440</f>
        <v>0</v>
      </c>
      <c r="K440" s="26">
        <f ca="1">'Preventative costs A'!K440-'Preventative costs B'!K440</f>
        <v>0</v>
      </c>
      <c r="M440" s="4" t="str">
        <f t="shared" si="25"/>
        <v>$M(2015) per Mtonne</v>
      </c>
    </row>
    <row r="441" spans="1:13" s="7" customFormat="1" ht="13.5" thickBot="1" x14ac:dyDescent="0.25">
      <c r="A441" s="4" t="str">
        <v>LA CH4</v>
      </c>
      <c r="B441" s="35">
        <f ca="1">'Preventative costs A'!B441-'Preventative costs B'!B441</f>
        <v>0</v>
      </c>
      <c r="C441" s="35">
        <f ca="1">'Preventative costs A'!C441-'Preventative costs B'!C441</f>
        <v>0</v>
      </c>
      <c r="D441" s="35">
        <f ca="1">'Preventative costs A'!D441-'Preventative costs B'!D441</f>
        <v>0</v>
      </c>
      <c r="E441" s="35">
        <f ca="1">'Preventative costs A'!E441-'Preventative costs B'!E441</f>
        <v>0</v>
      </c>
      <c r="F441" s="35">
        <f ca="1">'Preventative costs A'!F441-'Preventative costs B'!F441</f>
        <v>0</v>
      </c>
      <c r="G441" s="35">
        <f ca="1">'Preventative costs A'!G441-'Preventative costs B'!G441</f>
        <v>0</v>
      </c>
      <c r="H441" s="35">
        <f ca="1">'Preventative costs A'!H441-'Preventative costs B'!H441</f>
        <v>0</v>
      </c>
      <c r="I441" s="35">
        <f ca="1">'Preventative costs A'!I441-'Preventative costs B'!I441</f>
        <v>0</v>
      </c>
      <c r="J441" s="35">
        <f ca="1">'Preventative costs A'!J441-'Preventative costs B'!J441</f>
        <v>0</v>
      </c>
      <c r="K441" s="35">
        <f ca="1">'Preventative costs A'!K441-'Preventative costs B'!K441</f>
        <v>0</v>
      </c>
      <c r="M441" s="4" t="str">
        <f t="shared" si="25"/>
        <v>$M(2015) per Mtonne</v>
      </c>
    </row>
    <row r="442" spans="1:13" s="2" customFormat="1" ht="15" thickTop="1" x14ac:dyDescent="0.25">
      <c r="A442" s="2" t="s">
        <v>322</v>
      </c>
      <c r="B442" s="2" t="s">
        <v>330</v>
      </c>
    </row>
    <row r="443" spans="1:13" s="7" customFormat="1" x14ac:dyDescent="0.2">
      <c r="A443" s="4" t="str">
        <f t="array" ref="A443:A450">R_CODE&amp;" "&amp;'Base data'!$D$12</f>
        <v>EU N2O</v>
      </c>
      <c r="B443" s="29">
        <f ca="1">'Preventative costs A'!B443-'Preventative costs B'!B443</f>
        <v>0</v>
      </c>
      <c r="C443" s="29">
        <f ca="1">'Preventative costs A'!C443-'Preventative costs B'!C443</f>
        <v>0</v>
      </c>
      <c r="D443" s="29">
        <f ca="1">'Preventative costs A'!D443-'Preventative costs B'!D443</f>
        <v>0</v>
      </c>
      <c r="E443" s="29">
        <f ca="1">'Preventative costs A'!E443-'Preventative costs B'!E443</f>
        <v>0</v>
      </c>
      <c r="F443" s="29">
        <f ca="1">'Preventative costs A'!F443-'Preventative costs B'!F443</f>
        <v>0</v>
      </c>
      <c r="G443" s="29">
        <f ca="1">'Preventative costs A'!G443-'Preventative costs B'!G443</f>
        <v>0</v>
      </c>
      <c r="H443" s="29">
        <f ca="1">'Preventative costs A'!H443-'Preventative costs B'!H443</f>
        <v>0</v>
      </c>
      <c r="I443" s="29">
        <f ca="1">'Preventative costs A'!I443-'Preventative costs B'!I443</f>
        <v>0</v>
      </c>
      <c r="J443" s="29">
        <f ca="1">'Preventative costs A'!J443-'Preventative costs B'!J443</f>
        <v>0</v>
      </c>
      <c r="K443" s="29">
        <f ca="1">'Preventative costs A'!K443-'Preventative costs B'!K443</f>
        <v>0</v>
      </c>
      <c r="M443" s="4" t="str">
        <f t="shared" ref="M443:M450" si="26">CURRENCY_NAME&amp;" per "&amp;EMIT_NAME</f>
        <v>$M(2015) per Mtonne</v>
      </c>
    </row>
    <row r="444" spans="1:13" s="7" customFormat="1" x14ac:dyDescent="0.2">
      <c r="A444" s="4" t="str">
        <v>US N2O</v>
      </c>
      <c r="B444" s="26">
        <f ca="1">'Preventative costs A'!B444-'Preventative costs B'!B444</f>
        <v>0</v>
      </c>
      <c r="C444" s="26">
        <f ca="1">'Preventative costs A'!C444-'Preventative costs B'!C444</f>
        <v>0</v>
      </c>
      <c r="D444" s="26">
        <f ca="1">'Preventative costs A'!D444-'Preventative costs B'!D444</f>
        <v>0</v>
      </c>
      <c r="E444" s="26">
        <f ca="1">'Preventative costs A'!E444-'Preventative costs B'!E444</f>
        <v>0</v>
      </c>
      <c r="F444" s="26">
        <f ca="1">'Preventative costs A'!F444-'Preventative costs B'!F444</f>
        <v>0</v>
      </c>
      <c r="G444" s="26">
        <f ca="1">'Preventative costs A'!G444-'Preventative costs B'!G444</f>
        <v>0</v>
      </c>
      <c r="H444" s="26">
        <f ca="1">'Preventative costs A'!H444-'Preventative costs B'!H444</f>
        <v>0</v>
      </c>
      <c r="I444" s="26">
        <f ca="1">'Preventative costs A'!I444-'Preventative costs B'!I444</f>
        <v>0</v>
      </c>
      <c r="J444" s="26">
        <f ca="1">'Preventative costs A'!J444-'Preventative costs B'!J444</f>
        <v>0</v>
      </c>
      <c r="K444" s="26">
        <f ca="1">'Preventative costs A'!K444-'Preventative costs B'!K444</f>
        <v>0</v>
      </c>
      <c r="M444" s="4" t="str">
        <f t="shared" si="26"/>
        <v>$M(2015) per Mtonne</v>
      </c>
    </row>
    <row r="445" spans="1:13" s="7" customFormat="1" x14ac:dyDescent="0.2">
      <c r="A445" s="4" t="str">
        <v>OT N2O</v>
      </c>
      <c r="B445" s="26">
        <f ca="1">'Preventative costs A'!B445-'Preventative costs B'!B445</f>
        <v>0</v>
      </c>
      <c r="C445" s="26">
        <f ca="1">'Preventative costs A'!C445-'Preventative costs B'!C445</f>
        <v>0</v>
      </c>
      <c r="D445" s="26">
        <f ca="1">'Preventative costs A'!D445-'Preventative costs B'!D445</f>
        <v>0</v>
      </c>
      <c r="E445" s="26">
        <f ca="1">'Preventative costs A'!E445-'Preventative costs B'!E445</f>
        <v>0</v>
      </c>
      <c r="F445" s="26">
        <f ca="1">'Preventative costs A'!F445-'Preventative costs B'!F445</f>
        <v>0</v>
      </c>
      <c r="G445" s="26">
        <f ca="1">'Preventative costs A'!G445-'Preventative costs B'!G445</f>
        <v>0</v>
      </c>
      <c r="H445" s="26">
        <f ca="1">'Preventative costs A'!H445-'Preventative costs B'!H445</f>
        <v>0</v>
      </c>
      <c r="I445" s="26">
        <f ca="1">'Preventative costs A'!I445-'Preventative costs B'!I445</f>
        <v>0</v>
      </c>
      <c r="J445" s="26">
        <f ca="1">'Preventative costs A'!J445-'Preventative costs B'!J445</f>
        <v>0</v>
      </c>
      <c r="K445" s="26">
        <f ca="1">'Preventative costs A'!K445-'Preventative costs B'!K445</f>
        <v>0</v>
      </c>
      <c r="M445" s="4" t="str">
        <f t="shared" si="26"/>
        <v>$M(2015) per Mtonne</v>
      </c>
    </row>
    <row r="446" spans="1:13" s="7" customFormat="1" x14ac:dyDescent="0.2">
      <c r="A446" s="4" t="str">
        <v>EE N2O</v>
      </c>
      <c r="B446" s="26">
        <f ca="1">'Preventative costs A'!B446-'Preventative costs B'!B446</f>
        <v>0</v>
      </c>
      <c r="C446" s="26">
        <f ca="1">'Preventative costs A'!C446-'Preventative costs B'!C446</f>
        <v>0</v>
      </c>
      <c r="D446" s="26">
        <f ca="1">'Preventative costs A'!D446-'Preventative costs B'!D446</f>
        <v>0</v>
      </c>
      <c r="E446" s="26">
        <f ca="1">'Preventative costs A'!E446-'Preventative costs B'!E446</f>
        <v>0</v>
      </c>
      <c r="F446" s="26">
        <f ca="1">'Preventative costs A'!F446-'Preventative costs B'!F446</f>
        <v>0</v>
      </c>
      <c r="G446" s="26">
        <f ca="1">'Preventative costs A'!G446-'Preventative costs B'!G446</f>
        <v>0</v>
      </c>
      <c r="H446" s="26">
        <f ca="1">'Preventative costs A'!H446-'Preventative costs B'!H446</f>
        <v>0</v>
      </c>
      <c r="I446" s="26">
        <f ca="1">'Preventative costs A'!I446-'Preventative costs B'!I446</f>
        <v>0</v>
      </c>
      <c r="J446" s="26">
        <f ca="1">'Preventative costs A'!J446-'Preventative costs B'!J446</f>
        <v>0</v>
      </c>
      <c r="K446" s="26">
        <f ca="1">'Preventative costs A'!K446-'Preventative costs B'!K446</f>
        <v>0</v>
      </c>
      <c r="M446" s="4" t="str">
        <f t="shared" si="26"/>
        <v>$M(2015) per Mtonne</v>
      </c>
    </row>
    <row r="447" spans="1:13" s="7" customFormat="1" x14ac:dyDescent="0.2">
      <c r="A447" s="4" t="str">
        <v>CA N2O</v>
      </c>
      <c r="B447" s="26">
        <f ca="1">'Preventative costs A'!B447-'Preventative costs B'!B447</f>
        <v>0</v>
      </c>
      <c r="C447" s="26">
        <f ca="1">'Preventative costs A'!C447-'Preventative costs B'!C447</f>
        <v>0</v>
      </c>
      <c r="D447" s="26">
        <f ca="1">'Preventative costs A'!D447-'Preventative costs B'!D447</f>
        <v>0</v>
      </c>
      <c r="E447" s="26">
        <f ca="1">'Preventative costs A'!E447-'Preventative costs B'!E447</f>
        <v>0</v>
      </c>
      <c r="F447" s="26">
        <f ca="1">'Preventative costs A'!F447-'Preventative costs B'!F447</f>
        <v>0</v>
      </c>
      <c r="G447" s="26">
        <f ca="1">'Preventative costs A'!G447-'Preventative costs B'!G447</f>
        <v>0</v>
      </c>
      <c r="H447" s="26">
        <f ca="1">'Preventative costs A'!H447-'Preventative costs B'!H447</f>
        <v>0</v>
      </c>
      <c r="I447" s="26">
        <f ca="1">'Preventative costs A'!I447-'Preventative costs B'!I447</f>
        <v>0</v>
      </c>
      <c r="J447" s="26">
        <f ca="1">'Preventative costs A'!J447-'Preventative costs B'!J447</f>
        <v>0</v>
      </c>
      <c r="K447" s="26">
        <f ca="1">'Preventative costs A'!K447-'Preventative costs B'!K447</f>
        <v>0</v>
      </c>
      <c r="M447" s="4" t="str">
        <f t="shared" si="26"/>
        <v>$M(2015) per Mtonne</v>
      </c>
    </row>
    <row r="448" spans="1:13" s="7" customFormat="1" x14ac:dyDescent="0.2">
      <c r="A448" s="4" t="str">
        <v>IA N2O</v>
      </c>
      <c r="B448" s="26">
        <f ca="1">'Preventative costs A'!B448-'Preventative costs B'!B448</f>
        <v>0</v>
      </c>
      <c r="C448" s="26">
        <f ca="1">'Preventative costs A'!C448-'Preventative costs B'!C448</f>
        <v>0</v>
      </c>
      <c r="D448" s="26">
        <f ca="1">'Preventative costs A'!D448-'Preventative costs B'!D448</f>
        <v>0</v>
      </c>
      <c r="E448" s="26">
        <f ca="1">'Preventative costs A'!E448-'Preventative costs B'!E448</f>
        <v>0</v>
      </c>
      <c r="F448" s="26">
        <f ca="1">'Preventative costs A'!F448-'Preventative costs B'!F448</f>
        <v>0</v>
      </c>
      <c r="G448" s="26">
        <f ca="1">'Preventative costs A'!G448-'Preventative costs B'!G448</f>
        <v>0</v>
      </c>
      <c r="H448" s="26">
        <f ca="1">'Preventative costs A'!H448-'Preventative costs B'!H448</f>
        <v>0</v>
      </c>
      <c r="I448" s="26">
        <f ca="1">'Preventative costs A'!I448-'Preventative costs B'!I448</f>
        <v>0</v>
      </c>
      <c r="J448" s="26">
        <f ca="1">'Preventative costs A'!J448-'Preventative costs B'!J448</f>
        <v>0</v>
      </c>
      <c r="K448" s="26">
        <f ca="1">'Preventative costs A'!K448-'Preventative costs B'!K448</f>
        <v>0</v>
      </c>
      <c r="M448" s="4" t="str">
        <f t="shared" si="26"/>
        <v>$M(2015) per Mtonne</v>
      </c>
    </row>
    <row r="449" spans="1:13" s="7" customFormat="1" x14ac:dyDescent="0.2">
      <c r="A449" s="4" t="str">
        <v>AF N2O</v>
      </c>
      <c r="B449" s="26">
        <f ca="1">'Preventative costs A'!B449-'Preventative costs B'!B449</f>
        <v>0</v>
      </c>
      <c r="C449" s="26">
        <f ca="1">'Preventative costs A'!C449-'Preventative costs B'!C449</f>
        <v>0</v>
      </c>
      <c r="D449" s="26">
        <f ca="1">'Preventative costs A'!D449-'Preventative costs B'!D449</f>
        <v>0</v>
      </c>
      <c r="E449" s="26">
        <f ca="1">'Preventative costs A'!E449-'Preventative costs B'!E449</f>
        <v>0</v>
      </c>
      <c r="F449" s="26">
        <f ca="1">'Preventative costs A'!F449-'Preventative costs B'!F449</f>
        <v>0</v>
      </c>
      <c r="G449" s="26">
        <f ca="1">'Preventative costs A'!G449-'Preventative costs B'!G449</f>
        <v>0</v>
      </c>
      <c r="H449" s="26">
        <f ca="1">'Preventative costs A'!H449-'Preventative costs B'!H449</f>
        <v>0</v>
      </c>
      <c r="I449" s="26">
        <f ca="1">'Preventative costs A'!I449-'Preventative costs B'!I449</f>
        <v>0</v>
      </c>
      <c r="J449" s="26">
        <f ca="1">'Preventative costs A'!J449-'Preventative costs B'!J449</f>
        <v>0</v>
      </c>
      <c r="K449" s="26">
        <f ca="1">'Preventative costs A'!K449-'Preventative costs B'!K449</f>
        <v>0</v>
      </c>
      <c r="M449" s="4" t="str">
        <f t="shared" si="26"/>
        <v>$M(2015) per Mtonne</v>
      </c>
    </row>
    <row r="450" spans="1:13" s="7" customFormat="1" ht="13.5" thickBot="1" x14ac:dyDescent="0.25">
      <c r="A450" s="4" t="str">
        <v>LA N2O</v>
      </c>
      <c r="B450" s="35">
        <f ca="1">'Preventative costs A'!B450-'Preventative costs B'!B450</f>
        <v>0</v>
      </c>
      <c r="C450" s="35">
        <f ca="1">'Preventative costs A'!C450-'Preventative costs B'!C450</f>
        <v>0</v>
      </c>
      <c r="D450" s="35">
        <f ca="1">'Preventative costs A'!D450-'Preventative costs B'!D450</f>
        <v>0</v>
      </c>
      <c r="E450" s="35">
        <f ca="1">'Preventative costs A'!E450-'Preventative costs B'!E450</f>
        <v>0</v>
      </c>
      <c r="F450" s="35">
        <f ca="1">'Preventative costs A'!F450-'Preventative costs B'!F450</f>
        <v>0</v>
      </c>
      <c r="G450" s="35">
        <f ca="1">'Preventative costs A'!G450-'Preventative costs B'!G450</f>
        <v>0</v>
      </c>
      <c r="H450" s="35">
        <f ca="1">'Preventative costs A'!H450-'Preventative costs B'!H450</f>
        <v>0</v>
      </c>
      <c r="I450" s="35">
        <f ca="1">'Preventative costs A'!I450-'Preventative costs B'!I450</f>
        <v>0</v>
      </c>
      <c r="J450" s="35">
        <f ca="1">'Preventative costs A'!J450-'Preventative costs B'!J450</f>
        <v>0</v>
      </c>
      <c r="K450" s="35">
        <f ca="1">'Preventative costs A'!K450-'Preventative costs B'!K450</f>
        <v>0</v>
      </c>
      <c r="M450" s="4" t="str">
        <f t="shared" si="26"/>
        <v>$M(2015) per Mtonne</v>
      </c>
    </row>
    <row r="451" spans="1:13" s="2" customFormat="1" ht="15" thickTop="1" x14ac:dyDescent="0.25">
      <c r="A451" s="2" t="s">
        <v>322</v>
      </c>
      <c r="B451" s="2" t="s">
        <v>331</v>
      </c>
    </row>
    <row r="452" spans="1:13" s="7" customFormat="1" x14ac:dyDescent="0.2">
      <c r="A452" s="4" t="str">
        <f t="array" ref="A452:A459">R_CODE&amp;" "&amp;GLIN_NAME</f>
        <v>EU Lin</v>
      </c>
      <c r="B452" s="29">
        <f ca="1">'Preventative costs A'!B452-'Preventative costs B'!B452</f>
        <v>0</v>
      </c>
      <c r="C452" s="29">
        <f ca="1">'Preventative costs A'!C452-'Preventative costs B'!C452</f>
        <v>0</v>
      </c>
      <c r="D452" s="29">
        <f ca="1">'Preventative costs A'!D452-'Preventative costs B'!D452</f>
        <v>0</v>
      </c>
      <c r="E452" s="29">
        <f ca="1">'Preventative costs A'!E452-'Preventative costs B'!E452</f>
        <v>0</v>
      </c>
      <c r="F452" s="29">
        <f ca="1">'Preventative costs A'!F452-'Preventative costs B'!F452</f>
        <v>0</v>
      </c>
      <c r="G452" s="29">
        <f ca="1">'Preventative costs A'!G452-'Preventative costs B'!G452</f>
        <v>0</v>
      </c>
      <c r="H452" s="29">
        <f ca="1">'Preventative costs A'!H452-'Preventative costs B'!H452</f>
        <v>0</v>
      </c>
      <c r="I452" s="29">
        <f ca="1">'Preventative costs A'!I452-'Preventative costs B'!I452</f>
        <v>0</v>
      </c>
      <c r="J452" s="29">
        <f ca="1">'Preventative costs A'!J452-'Preventative costs B'!J452</f>
        <v>0</v>
      </c>
      <c r="K452" s="29">
        <f ca="1">'Preventative costs A'!K452-'Preventative costs B'!K452</f>
        <v>0</v>
      </c>
      <c r="M452" s="4" t="str">
        <f t="shared" ref="M452:M459" si="27">CURRENCY_NAME&amp;" per "&amp;EMIT_NAME</f>
        <v>$M(2015) per Mtonne</v>
      </c>
    </row>
    <row r="453" spans="1:13" s="7" customFormat="1" x14ac:dyDescent="0.2">
      <c r="A453" s="4" t="str">
        <v>US Lin</v>
      </c>
      <c r="B453" s="26">
        <f ca="1">'Preventative costs A'!B453-'Preventative costs B'!B453</f>
        <v>0</v>
      </c>
      <c r="C453" s="26">
        <f ca="1">'Preventative costs A'!C453-'Preventative costs B'!C453</f>
        <v>0</v>
      </c>
      <c r="D453" s="26">
        <f ca="1">'Preventative costs A'!D453-'Preventative costs B'!D453</f>
        <v>0</v>
      </c>
      <c r="E453" s="26">
        <f ca="1">'Preventative costs A'!E453-'Preventative costs B'!E453</f>
        <v>0</v>
      </c>
      <c r="F453" s="26">
        <f ca="1">'Preventative costs A'!F453-'Preventative costs B'!F453</f>
        <v>0</v>
      </c>
      <c r="G453" s="26">
        <f ca="1">'Preventative costs A'!G453-'Preventative costs B'!G453</f>
        <v>0</v>
      </c>
      <c r="H453" s="26">
        <f ca="1">'Preventative costs A'!H453-'Preventative costs B'!H453</f>
        <v>0</v>
      </c>
      <c r="I453" s="26">
        <f ca="1">'Preventative costs A'!I453-'Preventative costs B'!I453</f>
        <v>0</v>
      </c>
      <c r="J453" s="26">
        <f ca="1">'Preventative costs A'!J453-'Preventative costs B'!J453</f>
        <v>0</v>
      </c>
      <c r="K453" s="26">
        <f ca="1">'Preventative costs A'!K453-'Preventative costs B'!K453</f>
        <v>0</v>
      </c>
      <c r="M453" s="4" t="str">
        <f t="shared" si="27"/>
        <v>$M(2015) per Mtonne</v>
      </c>
    </row>
    <row r="454" spans="1:13" s="7" customFormat="1" x14ac:dyDescent="0.2">
      <c r="A454" s="4" t="str">
        <v>OT Lin</v>
      </c>
      <c r="B454" s="26">
        <f ca="1">'Preventative costs A'!B454-'Preventative costs B'!B454</f>
        <v>0</v>
      </c>
      <c r="C454" s="26">
        <f ca="1">'Preventative costs A'!C454-'Preventative costs B'!C454</f>
        <v>0</v>
      </c>
      <c r="D454" s="26">
        <f ca="1">'Preventative costs A'!D454-'Preventative costs B'!D454</f>
        <v>0</v>
      </c>
      <c r="E454" s="26">
        <f ca="1">'Preventative costs A'!E454-'Preventative costs B'!E454</f>
        <v>0</v>
      </c>
      <c r="F454" s="26">
        <f ca="1">'Preventative costs A'!F454-'Preventative costs B'!F454</f>
        <v>0</v>
      </c>
      <c r="G454" s="26">
        <f ca="1">'Preventative costs A'!G454-'Preventative costs B'!G454</f>
        <v>0</v>
      </c>
      <c r="H454" s="26">
        <f ca="1">'Preventative costs A'!H454-'Preventative costs B'!H454</f>
        <v>0</v>
      </c>
      <c r="I454" s="26">
        <f ca="1">'Preventative costs A'!I454-'Preventative costs B'!I454</f>
        <v>0</v>
      </c>
      <c r="J454" s="26">
        <f ca="1">'Preventative costs A'!J454-'Preventative costs B'!J454</f>
        <v>0</v>
      </c>
      <c r="K454" s="26">
        <f ca="1">'Preventative costs A'!K454-'Preventative costs B'!K454</f>
        <v>0</v>
      </c>
      <c r="M454" s="4" t="str">
        <f t="shared" si="27"/>
        <v>$M(2015) per Mtonne</v>
      </c>
    </row>
    <row r="455" spans="1:13" s="7" customFormat="1" x14ac:dyDescent="0.2">
      <c r="A455" s="4" t="str">
        <v>EE Lin</v>
      </c>
      <c r="B455" s="26">
        <f ca="1">'Preventative costs A'!B455-'Preventative costs B'!B455</f>
        <v>0</v>
      </c>
      <c r="C455" s="26">
        <f ca="1">'Preventative costs A'!C455-'Preventative costs B'!C455</f>
        <v>0</v>
      </c>
      <c r="D455" s="26">
        <f ca="1">'Preventative costs A'!D455-'Preventative costs B'!D455</f>
        <v>0</v>
      </c>
      <c r="E455" s="26">
        <f ca="1">'Preventative costs A'!E455-'Preventative costs B'!E455</f>
        <v>0</v>
      </c>
      <c r="F455" s="26">
        <f ca="1">'Preventative costs A'!F455-'Preventative costs B'!F455</f>
        <v>0</v>
      </c>
      <c r="G455" s="26">
        <f ca="1">'Preventative costs A'!G455-'Preventative costs B'!G455</f>
        <v>0</v>
      </c>
      <c r="H455" s="26">
        <f ca="1">'Preventative costs A'!H455-'Preventative costs B'!H455</f>
        <v>0</v>
      </c>
      <c r="I455" s="26">
        <f ca="1">'Preventative costs A'!I455-'Preventative costs B'!I455</f>
        <v>0</v>
      </c>
      <c r="J455" s="26">
        <f ca="1">'Preventative costs A'!J455-'Preventative costs B'!J455</f>
        <v>0</v>
      </c>
      <c r="K455" s="26">
        <f ca="1">'Preventative costs A'!K455-'Preventative costs B'!K455</f>
        <v>0</v>
      </c>
      <c r="M455" s="4" t="str">
        <f t="shared" si="27"/>
        <v>$M(2015) per Mtonne</v>
      </c>
    </row>
    <row r="456" spans="1:13" s="7" customFormat="1" x14ac:dyDescent="0.2">
      <c r="A456" s="4" t="str">
        <v>CA Lin</v>
      </c>
      <c r="B456" s="26">
        <f ca="1">'Preventative costs A'!B456-'Preventative costs B'!B456</f>
        <v>0</v>
      </c>
      <c r="C456" s="26">
        <f ca="1">'Preventative costs A'!C456-'Preventative costs B'!C456</f>
        <v>0</v>
      </c>
      <c r="D456" s="26">
        <f ca="1">'Preventative costs A'!D456-'Preventative costs B'!D456</f>
        <v>0</v>
      </c>
      <c r="E456" s="26">
        <f ca="1">'Preventative costs A'!E456-'Preventative costs B'!E456</f>
        <v>0</v>
      </c>
      <c r="F456" s="26">
        <f ca="1">'Preventative costs A'!F456-'Preventative costs B'!F456</f>
        <v>0</v>
      </c>
      <c r="G456" s="26">
        <f ca="1">'Preventative costs A'!G456-'Preventative costs B'!G456</f>
        <v>0</v>
      </c>
      <c r="H456" s="26">
        <f ca="1">'Preventative costs A'!H456-'Preventative costs B'!H456</f>
        <v>0</v>
      </c>
      <c r="I456" s="26">
        <f ca="1">'Preventative costs A'!I456-'Preventative costs B'!I456</f>
        <v>0</v>
      </c>
      <c r="J456" s="26">
        <f ca="1">'Preventative costs A'!J456-'Preventative costs B'!J456</f>
        <v>0</v>
      </c>
      <c r="K456" s="26">
        <f ca="1">'Preventative costs A'!K456-'Preventative costs B'!K456</f>
        <v>0</v>
      </c>
      <c r="M456" s="4" t="str">
        <f t="shared" si="27"/>
        <v>$M(2015) per Mtonne</v>
      </c>
    </row>
    <row r="457" spans="1:13" s="7" customFormat="1" x14ac:dyDescent="0.2">
      <c r="A457" s="4" t="str">
        <v>IA Lin</v>
      </c>
      <c r="B457" s="26">
        <f ca="1">'Preventative costs A'!B457-'Preventative costs B'!B457</f>
        <v>0</v>
      </c>
      <c r="C457" s="26">
        <f ca="1">'Preventative costs A'!C457-'Preventative costs B'!C457</f>
        <v>0</v>
      </c>
      <c r="D457" s="26">
        <f ca="1">'Preventative costs A'!D457-'Preventative costs B'!D457</f>
        <v>0</v>
      </c>
      <c r="E457" s="26">
        <f ca="1">'Preventative costs A'!E457-'Preventative costs B'!E457</f>
        <v>0</v>
      </c>
      <c r="F457" s="26">
        <f ca="1">'Preventative costs A'!F457-'Preventative costs B'!F457</f>
        <v>0</v>
      </c>
      <c r="G457" s="26">
        <f ca="1">'Preventative costs A'!G457-'Preventative costs B'!G457</f>
        <v>0</v>
      </c>
      <c r="H457" s="26">
        <f ca="1">'Preventative costs A'!H457-'Preventative costs B'!H457</f>
        <v>0</v>
      </c>
      <c r="I457" s="26">
        <f ca="1">'Preventative costs A'!I457-'Preventative costs B'!I457</f>
        <v>0</v>
      </c>
      <c r="J457" s="26">
        <f ca="1">'Preventative costs A'!J457-'Preventative costs B'!J457</f>
        <v>0</v>
      </c>
      <c r="K457" s="26">
        <f ca="1">'Preventative costs A'!K457-'Preventative costs B'!K457</f>
        <v>0</v>
      </c>
      <c r="M457" s="4" t="str">
        <f t="shared" si="27"/>
        <v>$M(2015) per Mtonne</v>
      </c>
    </row>
    <row r="458" spans="1:13" s="7" customFormat="1" x14ac:dyDescent="0.2">
      <c r="A458" s="4" t="str">
        <v>AF Lin</v>
      </c>
      <c r="B458" s="26">
        <f ca="1">'Preventative costs A'!B458-'Preventative costs B'!B458</f>
        <v>0</v>
      </c>
      <c r="C458" s="26">
        <f ca="1">'Preventative costs A'!C458-'Preventative costs B'!C458</f>
        <v>0</v>
      </c>
      <c r="D458" s="26">
        <f ca="1">'Preventative costs A'!D458-'Preventative costs B'!D458</f>
        <v>0</v>
      </c>
      <c r="E458" s="26">
        <f ca="1">'Preventative costs A'!E458-'Preventative costs B'!E458</f>
        <v>0</v>
      </c>
      <c r="F458" s="26">
        <f ca="1">'Preventative costs A'!F458-'Preventative costs B'!F458</f>
        <v>0</v>
      </c>
      <c r="G458" s="26">
        <f ca="1">'Preventative costs A'!G458-'Preventative costs B'!G458</f>
        <v>0</v>
      </c>
      <c r="H458" s="26">
        <f ca="1">'Preventative costs A'!H458-'Preventative costs B'!H458</f>
        <v>0</v>
      </c>
      <c r="I458" s="26">
        <f ca="1">'Preventative costs A'!I458-'Preventative costs B'!I458</f>
        <v>0</v>
      </c>
      <c r="J458" s="26">
        <f ca="1">'Preventative costs A'!J458-'Preventative costs B'!J458</f>
        <v>0</v>
      </c>
      <c r="K458" s="26">
        <f ca="1">'Preventative costs A'!K458-'Preventative costs B'!K458</f>
        <v>0</v>
      </c>
      <c r="M458" s="4" t="str">
        <f t="shared" si="27"/>
        <v>$M(2015) per Mtonne</v>
      </c>
    </row>
    <row r="459" spans="1:13" s="7" customFormat="1" ht="13.5" thickBot="1" x14ac:dyDescent="0.25">
      <c r="A459" s="4" t="str">
        <v>LA Lin</v>
      </c>
      <c r="B459" s="35">
        <f ca="1">'Preventative costs A'!B459-'Preventative costs B'!B459</f>
        <v>0</v>
      </c>
      <c r="C459" s="35">
        <f ca="1">'Preventative costs A'!C459-'Preventative costs B'!C459</f>
        <v>0</v>
      </c>
      <c r="D459" s="35">
        <f ca="1">'Preventative costs A'!D459-'Preventative costs B'!D459</f>
        <v>0</v>
      </c>
      <c r="E459" s="35">
        <f ca="1">'Preventative costs A'!E459-'Preventative costs B'!E459</f>
        <v>0</v>
      </c>
      <c r="F459" s="35">
        <f ca="1">'Preventative costs A'!F459-'Preventative costs B'!F459</f>
        <v>0</v>
      </c>
      <c r="G459" s="35">
        <f ca="1">'Preventative costs A'!G459-'Preventative costs B'!G459</f>
        <v>0</v>
      </c>
      <c r="H459" s="35">
        <f ca="1">'Preventative costs A'!H459-'Preventative costs B'!H459</f>
        <v>0</v>
      </c>
      <c r="I459" s="35">
        <f ca="1">'Preventative costs A'!I459-'Preventative costs B'!I459</f>
        <v>0</v>
      </c>
      <c r="J459" s="35">
        <f ca="1">'Preventative costs A'!J459-'Preventative costs B'!J459</f>
        <v>0</v>
      </c>
      <c r="K459" s="35">
        <f ca="1">'Preventative costs A'!K459-'Preventative costs B'!K459</f>
        <v>0</v>
      </c>
      <c r="M459" s="4" t="str">
        <f t="shared" si="27"/>
        <v>$M(2015) per Mtonne</v>
      </c>
    </row>
    <row r="460" spans="1:13" s="2" customFormat="1" ht="15" thickTop="1" x14ac:dyDescent="0.25">
      <c r="A460" s="2" t="s">
        <v>332</v>
      </c>
      <c r="B460" s="2" t="s">
        <v>333</v>
      </c>
    </row>
    <row r="461" spans="1:13" s="6" customFormat="1" x14ac:dyDescent="0.2">
      <c r="A461" s="4" t="str">
        <f t="array" ref="A461:A468">R_CODE&amp;" "&amp;'Base data'!$B$12</f>
        <v>EU CO2</v>
      </c>
      <c r="B461" s="29">
        <f ca="1">'Preventative costs A'!B461-'Preventative costs B'!B461</f>
        <v>0</v>
      </c>
      <c r="C461" s="29">
        <f ca="1">'Preventative costs A'!C461-'Preventative costs B'!C461</f>
        <v>0</v>
      </c>
      <c r="D461" s="29">
        <f ca="1">'Preventative costs A'!D461-'Preventative costs B'!D461</f>
        <v>0</v>
      </c>
      <c r="E461" s="29">
        <f ca="1">'Preventative costs A'!E461-'Preventative costs B'!E461</f>
        <v>0</v>
      </c>
      <c r="F461" s="29">
        <f ca="1">'Preventative costs A'!F461-'Preventative costs B'!F461</f>
        <v>0</v>
      </c>
      <c r="G461" s="29">
        <f ca="1">'Preventative costs A'!G461-'Preventative costs B'!G461</f>
        <v>0</v>
      </c>
      <c r="H461" s="29">
        <f ca="1">'Preventative costs A'!H461-'Preventative costs B'!H461</f>
        <v>0</v>
      </c>
      <c r="I461" s="29">
        <f ca="1">'Preventative costs A'!I461-'Preventative costs B'!I461</f>
        <v>0</v>
      </c>
      <c r="J461" s="29">
        <f ca="1">'Preventative costs A'!J461-'Preventative costs B'!J461</f>
        <v>0</v>
      </c>
      <c r="K461" s="29">
        <f ca="1">'Preventative costs A'!K461-'Preventative costs B'!K461</f>
        <v>0</v>
      </c>
      <c r="M461" s="4" t="str">
        <f t="shared" ref="M461:M468" si="28">"per "&amp;EMIT_NAME</f>
        <v>per Mtonne</v>
      </c>
    </row>
    <row r="462" spans="1:13" s="6" customFormat="1" x14ac:dyDescent="0.2">
      <c r="A462" s="4" t="str">
        <v>US CO2</v>
      </c>
      <c r="B462" s="26">
        <f ca="1">'Preventative costs A'!B462-'Preventative costs B'!B462</f>
        <v>0</v>
      </c>
      <c r="C462" s="26">
        <f ca="1">'Preventative costs A'!C462-'Preventative costs B'!C462</f>
        <v>0</v>
      </c>
      <c r="D462" s="26">
        <f ca="1">'Preventative costs A'!D462-'Preventative costs B'!D462</f>
        <v>0</v>
      </c>
      <c r="E462" s="26">
        <f ca="1">'Preventative costs A'!E462-'Preventative costs B'!E462</f>
        <v>0</v>
      </c>
      <c r="F462" s="26">
        <f ca="1">'Preventative costs A'!F462-'Preventative costs B'!F462</f>
        <v>0</v>
      </c>
      <c r="G462" s="26">
        <f ca="1">'Preventative costs A'!G462-'Preventative costs B'!G462</f>
        <v>0</v>
      </c>
      <c r="H462" s="26">
        <f ca="1">'Preventative costs A'!H462-'Preventative costs B'!H462</f>
        <v>0</v>
      </c>
      <c r="I462" s="26">
        <f ca="1">'Preventative costs A'!I462-'Preventative costs B'!I462</f>
        <v>0</v>
      </c>
      <c r="J462" s="26">
        <f ca="1">'Preventative costs A'!J462-'Preventative costs B'!J462</f>
        <v>0</v>
      </c>
      <c r="K462" s="26">
        <f ca="1">'Preventative costs A'!K462-'Preventative costs B'!K462</f>
        <v>0</v>
      </c>
      <c r="M462" s="4" t="str">
        <f t="shared" si="28"/>
        <v>per Mtonne</v>
      </c>
    </row>
    <row r="463" spans="1:13" s="6" customFormat="1" x14ac:dyDescent="0.2">
      <c r="A463" s="4" t="str">
        <v>OT CO2</v>
      </c>
      <c r="B463" s="26">
        <f ca="1">'Preventative costs A'!B463-'Preventative costs B'!B463</f>
        <v>0</v>
      </c>
      <c r="C463" s="26">
        <f ca="1">'Preventative costs A'!C463-'Preventative costs B'!C463</f>
        <v>0</v>
      </c>
      <c r="D463" s="26">
        <f ca="1">'Preventative costs A'!D463-'Preventative costs B'!D463</f>
        <v>0</v>
      </c>
      <c r="E463" s="26">
        <f ca="1">'Preventative costs A'!E463-'Preventative costs B'!E463</f>
        <v>0</v>
      </c>
      <c r="F463" s="26">
        <f ca="1">'Preventative costs A'!F463-'Preventative costs B'!F463</f>
        <v>0</v>
      </c>
      <c r="G463" s="26">
        <f ca="1">'Preventative costs A'!G463-'Preventative costs B'!G463</f>
        <v>0</v>
      </c>
      <c r="H463" s="26">
        <f ca="1">'Preventative costs A'!H463-'Preventative costs B'!H463</f>
        <v>0</v>
      </c>
      <c r="I463" s="26">
        <f ca="1">'Preventative costs A'!I463-'Preventative costs B'!I463</f>
        <v>0</v>
      </c>
      <c r="J463" s="26">
        <f ca="1">'Preventative costs A'!J463-'Preventative costs B'!J463</f>
        <v>0</v>
      </c>
      <c r="K463" s="26">
        <f ca="1">'Preventative costs A'!K463-'Preventative costs B'!K463</f>
        <v>0</v>
      </c>
      <c r="M463" s="4" t="str">
        <f t="shared" si="28"/>
        <v>per Mtonne</v>
      </c>
    </row>
    <row r="464" spans="1:13" s="6" customFormat="1" x14ac:dyDescent="0.2">
      <c r="A464" s="4" t="str">
        <v>EE CO2</v>
      </c>
      <c r="B464" s="26">
        <f ca="1">'Preventative costs A'!B464-'Preventative costs B'!B464</f>
        <v>0</v>
      </c>
      <c r="C464" s="26">
        <f ca="1">'Preventative costs A'!C464-'Preventative costs B'!C464</f>
        <v>0</v>
      </c>
      <c r="D464" s="26">
        <f ca="1">'Preventative costs A'!D464-'Preventative costs B'!D464</f>
        <v>0</v>
      </c>
      <c r="E464" s="26">
        <f ca="1">'Preventative costs A'!E464-'Preventative costs B'!E464</f>
        <v>0</v>
      </c>
      <c r="F464" s="26">
        <f ca="1">'Preventative costs A'!F464-'Preventative costs B'!F464</f>
        <v>0</v>
      </c>
      <c r="G464" s="26">
        <f ca="1">'Preventative costs A'!G464-'Preventative costs B'!G464</f>
        <v>0</v>
      </c>
      <c r="H464" s="26">
        <f ca="1">'Preventative costs A'!H464-'Preventative costs B'!H464</f>
        <v>0</v>
      </c>
      <c r="I464" s="26">
        <f ca="1">'Preventative costs A'!I464-'Preventative costs B'!I464</f>
        <v>0</v>
      </c>
      <c r="J464" s="26">
        <f ca="1">'Preventative costs A'!J464-'Preventative costs B'!J464</f>
        <v>0</v>
      </c>
      <c r="K464" s="26">
        <f ca="1">'Preventative costs A'!K464-'Preventative costs B'!K464</f>
        <v>0</v>
      </c>
      <c r="M464" s="4" t="str">
        <f t="shared" si="28"/>
        <v>per Mtonne</v>
      </c>
    </row>
    <row r="465" spans="1:13" s="6" customFormat="1" x14ac:dyDescent="0.2">
      <c r="A465" s="4" t="str">
        <v>CA CO2</v>
      </c>
      <c r="B465" s="26">
        <f ca="1">'Preventative costs A'!B465-'Preventative costs B'!B465</f>
        <v>0</v>
      </c>
      <c r="C465" s="26">
        <f ca="1">'Preventative costs A'!C465-'Preventative costs B'!C465</f>
        <v>0</v>
      </c>
      <c r="D465" s="26">
        <f ca="1">'Preventative costs A'!D465-'Preventative costs B'!D465</f>
        <v>0</v>
      </c>
      <c r="E465" s="26">
        <f ca="1">'Preventative costs A'!E465-'Preventative costs B'!E465</f>
        <v>0</v>
      </c>
      <c r="F465" s="26">
        <f ca="1">'Preventative costs A'!F465-'Preventative costs B'!F465</f>
        <v>0</v>
      </c>
      <c r="G465" s="26">
        <f ca="1">'Preventative costs A'!G465-'Preventative costs B'!G465</f>
        <v>0</v>
      </c>
      <c r="H465" s="26">
        <f ca="1">'Preventative costs A'!H465-'Preventative costs B'!H465</f>
        <v>0</v>
      </c>
      <c r="I465" s="26">
        <f ca="1">'Preventative costs A'!I465-'Preventative costs B'!I465</f>
        <v>0</v>
      </c>
      <c r="J465" s="26">
        <f ca="1">'Preventative costs A'!J465-'Preventative costs B'!J465</f>
        <v>0</v>
      </c>
      <c r="K465" s="26">
        <f ca="1">'Preventative costs A'!K465-'Preventative costs B'!K465</f>
        <v>0</v>
      </c>
      <c r="M465" s="4" t="str">
        <f t="shared" si="28"/>
        <v>per Mtonne</v>
      </c>
    </row>
    <row r="466" spans="1:13" s="6" customFormat="1" x14ac:dyDescent="0.2">
      <c r="A466" s="4" t="str">
        <v>IA CO2</v>
      </c>
      <c r="B466" s="26">
        <f ca="1">'Preventative costs A'!B466-'Preventative costs B'!B466</f>
        <v>0</v>
      </c>
      <c r="C466" s="26">
        <f ca="1">'Preventative costs A'!C466-'Preventative costs B'!C466</f>
        <v>0</v>
      </c>
      <c r="D466" s="26">
        <f ca="1">'Preventative costs A'!D466-'Preventative costs B'!D466</f>
        <v>0</v>
      </c>
      <c r="E466" s="26">
        <f ca="1">'Preventative costs A'!E466-'Preventative costs B'!E466</f>
        <v>0</v>
      </c>
      <c r="F466" s="26">
        <f ca="1">'Preventative costs A'!F466-'Preventative costs B'!F466</f>
        <v>0</v>
      </c>
      <c r="G466" s="26">
        <f ca="1">'Preventative costs A'!G466-'Preventative costs B'!G466</f>
        <v>0</v>
      </c>
      <c r="H466" s="26">
        <f ca="1">'Preventative costs A'!H466-'Preventative costs B'!H466</f>
        <v>0</v>
      </c>
      <c r="I466" s="26">
        <f ca="1">'Preventative costs A'!I466-'Preventative costs B'!I466</f>
        <v>0</v>
      </c>
      <c r="J466" s="26">
        <f ca="1">'Preventative costs A'!J466-'Preventative costs B'!J466</f>
        <v>0</v>
      </c>
      <c r="K466" s="26">
        <f ca="1">'Preventative costs A'!K466-'Preventative costs B'!K466</f>
        <v>0</v>
      </c>
      <c r="M466" s="4" t="str">
        <f t="shared" si="28"/>
        <v>per Mtonne</v>
      </c>
    </row>
    <row r="467" spans="1:13" s="6" customFormat="1" x14ac:dyDescent="0.2">
      <c r="A467" s="4" t="str">
        <v>AF CO2</v>
      </c>
      <c r="B467" s="26">
        <f ca="1">'Preventative costs A'!B467-'Preventative costs B'!B467</f>
        <v>0</v>
      </c>
      <c r="C467" s="26">
        <f ca="1">'Preventative costs A'!C467-'Preventative costs B'!C467</f>
        <v>0</v>
      </c>
      <c r="D467" s="26">
        <f ca="1">'Preventative costs A'!D467-'Preventative costs B'!D467</f>
        <v>0</v>
      </c>
      <c r="E467" s="26">
        <f ca="1">'Preventative costs A'!E467-'Preventative costs B'!E467</f>
        <v>0</v>
      </c>
      <c r="F467" s="26">
        <f ca="1">'Preventative costs A'!F467-'Preventative costs B'!F467</f>
        <v>0</v>
      </c>
      <c r="G467" s="26">
        <f ca="1">'Preventative costs A'!G467-'Preventative costs B'!G467</f>
        <v>0</v>
      </c>
      <c r="H467" s="26">
        <f ca="1">'Preventative costs A'!H467-'Preventative costs B'!H467</f>
        <v>0</v>
      </c>
      <c r="I467" s="26">
        <f ca="1">'Preventative costs A'!I467-'Preventative costs B'!I467</f>
        <v>0</v>
      </c>
      <c r="J467" s="26">
        <f ca="1">'Preventative costs A'!J467-'Preventative costs B'!J467</f>
        <v>0</v>
      </c>
      <c r="K467" s="26">
        <f ca="1">'Preventative costs A'!K467-'Preventative costs B'!K467</f>
        <v>0</v>
      </c>
      <c r="M467" s="4" t="str">
        <f t="shared" si="28"/>
        <v>per Mtonne</v>
      </c>
    </row>
    <row r="468" spans="1:13" s="6" customFormat="1" ht="13.5" thickBot="1" x14ac:dyDescent="0.25">
      <c r="A468" s="4" t="str">
        <v>LA CO2</v>
      </c>
      <c r="B468" s="35">
        <f ca="1">'Preventative costs A'!B468-'Preventative costs B'!B468</f>
        <v>0</v>
      </c>
      <c r="C468" s="35">
        <f ca="1">'Preventative costs A'!C468-'Preventative costs B'!C468</f>
        <v>0</v>
      </c>
      <c r="D468" s="35">
        <f ca="1">'Preventative costs A'!D468-'Preventative costs B'!D468</f>
        <v>0</v>
      </c>
      <c r="E468" s="35">
        <f ca="1">'Preventative costs A'!E468-'Preventative costs B'!E468</f>
        <v>0</v>
      </c>
      <c r="F468" s="35">
        <f ca="1">'Preventative costs A'!F468-'Preventative costs B'!F468</f>
        <v>0</v>
      </c>
      <c r="G468" s="35">
        <f ca="1">'Preventative costs A'!G468-'Preventative costs B'!G468</f>
        <v>0</v>
      </c>
      <c r="H468" s="35">
        <f ca="1">'Preventative costs A'!H468-'Preventative costs B'!H468</f>
        <v>0</v>
      </c>
      <c r="I468" s="35">
        <f ca="1">'Preventative costs A'!I468-'Preventative costs B'!I468</f>
        <v>0</v>
      </c>
      <c r="J468" s="35">
        <f ca="1">'Preventative costs A'!J468-'Preventative costs B'!J468</f>
        <v>0</v>
      </c>
      <c r="K468" s="35">
        <f ca="1">'Preventative costs A'!K468-'Preventative costs B'!K468</f>
        <v>0</v>
      </c>
      <c r="M468" s="4" t="str">
        <f t="shared" si="28"/>
        <v>per Mtonne</v>
      </c>
    </row>
    <row r="469" spans="1:13" s="2" customFormat="1" ht="15" thickTop="1" x14ac:dyDescent="0.25">
      <c r="A469" s="2" t="s">
        <v>332</v>
      </c>
      <c r="B469" s="2" t="s">
        <v>334</v>
      </c>
    </row>
    <row r="470" spans="1:13" s="7" customFormat="1" x14ac:dyDescent="0.2">
      <c r="A470" s="4" t="str">
        <f t="array" ref="A470:A477">R_CODE&amp;" "&amp;'Base data'!$C$12</f>
        <v>EU CH4</v>
      </c>
      <c r="B470" s="29">
        <f ca="1">'Preventative costs A'!B470-'Preventative costs B'!B470</f>
        <v>0</v>
      </c>
      <c r="C470" s="29">
        <f ca="1">'Preventative costs A'!C470-'Preventative costs B'!C470</f>
        <v>0</v>
      </c>
      <c r="D470" s="29">
        <f ca="1">'Preventative costs A'!D470-'Preventative costs B'!D470</f>
        <v>0</v>
      </c>
      <c r="E470" s="29">
        <f ca="1">'Preventative costs A'!E470-'Preventative costs B'!E470</f>
        <v>0</v>
      </c>
      <c r="F470" s="29">
        <f ca="1">'Preventative costs A'!F470-'Preventative costs B'!F470</f>
        <v>0</v>
      </c>
      <c r="G470" s="29">
        <f ca="1">'Preventative costs A'!G470-'Preventative costs B'!G470</f>
        <v>0</v>
      </c>
      <c r="H470" s="29">
        <f ca="1">'Preventative costs A'!H470-'Preventative costs B'!H470</f>
        <v>0</v>
      </c>
      <c r="I470" s="29">
        <f ca="1">'Preventative costs A'!I470-'Preventative costs B'!I470</f>
        <v>0</v>
      </c>
      <c r="J470" s="29">
        <f ca="1">'Preventative costs A'!J470-'Preventative costs B'!J470</f>
        <v>0</v>
      </c>
      <c r="K470" s="29">
        <f ca="1">'Preventative costs A'!K470-'Preventative costs B'!K470</f>
        <v>0</v>
      </c>
      <c r="M470" s="4" t="str">
        <f t="shared" ref="M470:M477" si="29">"per "&amp;EMIT_NAME</f>
        <v>per Mtonne</v>
      </c>
    </row>
    <row r="471" spans="1:13" s="7" customFormat="1" x14ac:dyDescent="0.2">
      <c r="A471" s="4" t="str">
        <v>US CH4</v>
      </c>
      <c r="B471" s="26">
        <f ca="1">'Preventative costs A'!B471-'Preventative costs B'!B471</f>
        <v>0</v>
      </c>
      <c r="C471" s="26">
        <f ca="1">'Preventative costs A'!C471-'Preventative costs B'!C471</f>
        <v>0</v>
      </c>
      <c r="D471" s="26">
        <f ca="1">'Preventative costs A'!D471-'Preventative costs B'!D471</f>
        <v>0</v>
      </c>
      <c r="E471" s="26">
        <f ca="1">'Preventative costs A'!E471-'Preventative costs B'!E471</f>
        <v>0</v>
      </c>
      <c r="F471" s="26">
        <f ca="1">'Preventative costs A'!F471-'Preventative costs B'!F471</f>
        <v>0</v>
      </c>
      <c r="G471" s="26">
        <f ca="1">'Preventative costs A'!G471-'Preventative costs B'!G471</f>
        <v>0</v>
      </c>
      <c r="H471" s="26">
        <f ca="1">'Preventative costs A'!H471-'Preventative costs B'!H471</f>
        <v>0</v>
      </c>
      <c r="I471" s="26">
        <f ca="1">'Preventative costs A'!I471-'Preventative costs B'!I471</f>
        <v>0</v>
      </c>
      <c r="J471" s="26">
        <f ca="1">'Preventative costs A'!J471-'Preventative costs B'!J471</f>
        <v>0</v>
      </c>
      <c r="K471" s="26">
        <f ca="1">'Preventative costs A'!K471-'Preventative costs B'!K471</f>
        <v>0</v>
      </c>
      <c r="M471" s="4" t="str">
        <f t="shared" si="29"/>
        <v>per Mtonne</v>
      </c>
    </row>
    <row r="472" spans="1:13" s="7" customFormat="1" x14ac:dyDescent="0.2">
      <c r="A472" s="4" t="str">
        <v>OT CH4</v>
      </c>
      <c r="B472" s="26">
        <f ca="1">'Preventative costs A'!B472-'Preventative costs B'!B472</f>
        <v>0</v>
      </c>
      <c r="C472" s="26">
        <f ca="1">'Preventative costs A'!C472-'Preventative costs B'!C472</f>
        <v>0</v>
      </c>
      <c r="D472" s="26">
        <f ca="1">'Preventative costs A'!D472-'Preventative costs B'!D472</f>
        <v>0</v>
      </c>
      <c r="E472" s="26">
        <f ca="1">'Preventative costs A'!E472-'Preventative costs B'!E472</f>
        <v>0</v>
      </c>
      <c r="F472" s="26">
        <f ca="1">'Preventative costs A'!F472-'Preventative costs B'!F472</f>
        <v>0</v>
      </c>
      <c r="G472" s="26">
        <f ca="1">'Preventative costs A'!G472-'Preventative costs B'!G472</f>
        <v>0</v>
      </c>
      <c r="H472" s="26">
        <f ca="1">'Preventative costs A'!H472-'Preventative costs B'!H472</f>
        <v>0</v>
      </c>
      <c r="I472" s="26">
        <f ca="1">'Preventative costs A'!I472-'Preventative costs B'!I472</f>
        <v>0</v>
      </c>
      <c r="J472" s="26">
        <f ca="1">'Preventative costs A'!J472-'Preventative costs B'!J472</f>
        <v>0</v>
      </c>
      <c r="K472" s="26">
        <f ca="1">'Preventative costs A'!K472-'Preventative costs B'!K472</f>
        <v>0</v>
      </c>
      <c r="M472" s="4" t="str">
        <f t="shared" si="29"/>
        <v>per Mtonne</v>
      </c>
    </row>
    <row r="473" spans="1:13" s="7" customFormat="1" x14ac:dyDescent="0.2">
      <c r="A473" s="4" t="str">
        <v>EE CH4</v>
      </c>
      <c r="B473" s="26">
        <f ca="1">'Preventative costs A'!B473-'Preventative costs B'!B473</f>
        <v>0</v>
      </c>
      <c r="C473" s="26">
        <f ca="1">'Preventative costs A'!C473-'Preventative costs B'!C473</f>
        <v>0</v>
      </c>
      <c r="D473" s="26">
        <f ca="1">'Preventative costs A'!D473-'Preventative costs B'!D473</f>
        <v>0</v>
      </c>
      <c r="E473" s="26">
        <f ca="1">'Preventative costs A'!E473-'Preventative costs B'!E473</f>
        <v>0</v>
      </c>
      <c r="F473" s="26">
        <f ca="1">'Preventative costs A'!F473-'Preventative costs B'!F473</f>
        <v>0</v>
      </c>
      <c r="G473" s="26">
        <f ca="1">'Preventative costs A'!G473-'Preventative costs B'!G473</f>
        <v>0</v>
      </c>
      <c r="H473" s="26">
        <f ca="1">'Preventative costs A'!H473-'Preventative costs B'!H473</f>
        <v>0</v>
      </c>
      <c r="I473" s="26">
        <f ca="1">'Preventative costs A'!I473-'Preventative costs B'!I473</f>
        <v>0</v>
      </c>
      <c r="J473" s="26">
        <f ca="1">'Preventative costs A'!J473-'Preventative costs B'!J473</f>
        <v>0</v>
      </c>
      <c r="K473" s="26">
        <f ca="1">'Preventative costs A'!K473-'Preventative costs B'!K473</f>
        <v>0</v>
      </c>
      <c r="M473" s="4" t="str">
        <f t="shared" si="29"/>
        <v>per Mtonne</v>
      </c>
    </row>
    <row r="474" spans="1:13" s="7" customFormat="1" x14ac:dyDescent="0.2">
      <c r="A474" s="4" t="str">
        <v>CA CH4</v>
      </c>
      <c r="B474" s="26">
        <f ca="1">'Preventative costs A'!B474-'Preventative costs B'!B474</f>
        <v>0</v>
      </c>
      <c r="C474" s="26">
        <f ca="1">'Preventative costs A'!C474-'Preventative costs B'!C474</f>
        <v>0</v>
      </c>
      <c r="D474" s="26">
        <f ca="1">'Preventative costs A'!D474-'Preventative costs B'!D474</f>
        <v>0</v>
      </c>
      <c r="E474" s="26">
        <f ca="1">'Preventative costs A'!E474-'Preventative costs B'!E474</f>
        <v>0</v>
      </c>
      <c r="F474" s="26">
        <f ca="1">'Preventative costs A'!F474-'Preventative costs B'!F474</f>
        <v>0</v>
      </c>
      <c r="G474" s="26">
        <f ca="1">'Preventative costs A'!G474-'Preventative costs B'!G474</f>
        <v>0</v>
      </c>
      <c r="H474" s="26">
        <f ca="1">'Preventative costs A'!H474-'Preventative costs B'!H474</f>
        <v>0</v>
      </c>
      <c r="I474" s="26">
        <f ca="1">'Preventative costs A'!I474-'Preventative costs B'!I474</f>
        <v>0</v>
      </c>
      <c r="J474" s="26">
        <f ca="1">'Preventative costs A'!J474-'Preventative costs B'!J474</f>
        <v>0</v>
      </c>
      <c r="K474" s="26">
        <f ca="1">'Preventative costs A'!K474-'Preventative costs B'!K474</f>
        <v>0</v>
      </c>
      <c r="M474" s="4" t="str">
        <f t="shared" si="29"/>
        <v>per Mtonne</v>
      </c>
    </row>
    <row r="475" spans="1:13" s="7" customFormat="1" x14ac:dyDescent="0.2">
      <c r="A475" s="4" t="str">
        <v>IA CH4</v>
      </c>
      <c r="B475" s="26">
        <f ca="1">'Preventative costs A'!B475-'Preventative costs B'!B475</f>
        <v>0</v>
      </c>
      <c r="C475" s="26">
        <f ca="1">'Preventative costs A'!C475-'Preventative costs B'!C475</f>
        <v>0</v>
      </c>
      <c r="D475" s="26">
        <f ca="1">'Preventative costs A'!D475-'Preventative costs B'!D475</f>
        <v>0</v>
      </c>
      <c r="E475" s="26">
        <f ca="1">'Preventative costs A'!E475-'Preventative costs B'!E475</f>
        <v>0</v>
      </c>
      <c r="F475" s="26">
        <f ca="1">'Preventative costs A'!F475-'Preventative costs B'!F475</f>
        <v>0</v>
      </c>
      <c r="G475" s="26">
        <f ca="1">'Preventative costs A'!G475-'Preventative costs B'!G475</f>
        <v>0</v>
      </c>
      <c r="H475" s="26">
        <f ca="1">'Preventative costs A'!H475-'Preventative costs B'!H475</f>
        <v>0</v>
      </c>
      <c r="I475" s="26">
        <f ca="1">'Preventative costs A'!I475-'Preventative costs B'!I475</f>
        <v>0</v>
      </c>
      <c r="J475" s="26">
        <f ca="1">'Preventative costs A'!J475-'Preventative costs B'!J475</f>
        <v>0</v>
      </c>
      <c r="K475" s="26">
        <f ca="1">'Preventative costs A'!K475-'Preventative costs B'!K475</f>
        <v>0</v>
      </c>
      <c r="M475" s="4" t="str">
        <f t="shared" si="29"/>
        <v>per Mtonne</v>
      </c>
    </row>
    <row r="476" spans="1:13" s="7" customFormat="1" x14ac:dyDescent="0.2">
      <c r="A476" s="4" t="str">
        <v>AF CH4</v>
      </c>
      <c r="B476" s="26">
        <f ca="1">'Preventative costs A'!B476-'Preventative costs B'!B476</f>
        <v>0</v>
      </c>
      <c r="C476" s="26">
        <f ca="1">'Preventative costs A'!C476-'Preventative costs B'!C476</f>
        <v>0</v>
      </c>
      <c r="D476" s="26">
        <f ca="1">'Preventative costs A'!D476-'Preventative costs B'!D476</f>
        <v>0</v>
      </c>
      <c r="E476" s="26">
        <f ca="1">'Preventative costs A'!E476-'Preventative costs B'!E476</f>
        <v>0</v>
      </c>
      <c r="F476" s="26">
        <f ca="1">'Preventative costs A'!F476-'Preventative costs B'!F476</f>
        <v>0</v>
      </c>
      <c r="G476" s="26">
        <f ca="1">'Preventative costs A'!G476-'Preventative costs B'!G476</f>
        <v>0</v>
      </c>
      <c r="H476" s="26">
        <f ca="1">'Preventative costs A'!H476-'Preventative costs B'!H476</f>
        <v>0</v>
      </c>
      <c r="I476" s="26">
        <f ca="1">'Preventative costs A'!I476-'Preventative costs B'!I476</f>
        <v>0</v>
      </c>
      <c r="J476" s="26">
        <f ca="1">'Preventative costs A'!J476-'Preventative costs B'!J476</f>
        <v>0</v>
      </c>
      <c r="K476" s="26">
        <f ca="1">'Preventative costs A'!K476-'Preventative costs B'!K476</f>
        <v>0</v>
      </c>
      <c r="M476" s="4" t="str">
        <f t="shared" si="29"/>
        <v>per Mtonne</v>
      </c>
    </row>
    <row r="477" spans="1:13" s="7" customFormat="1" ht="13.5" thickBot="1" x14ac:dyDescent="0.25">
      <c r="A477" s="4" t="str">
        <v>LA CH4</v>
      </c>
      <c r="B477" s="35">
        <f ca="1">'Preventative costs A'!B477-'Preventative costs B'!B477</f>
        <v>0</v>
      </c>
      <c r="C477" s="35">
        <f ca="1">'Preventative costs A'!C477-'Preventative costs B'!C477</f>
        <v>0</v>
      </c>
      <c r="D477" s="35">
        <f ca="1">'Preventative costs A'!D477-'Preventative costs B'!D477</f>
        <v>0</v>
      </c>
      <c r="E477" s="35">
        <f ca="1">'Preventative costs A'!E477-'Preventative costs B'!E477</f>
        <v>0</v>
      </c>
      <c r="F477" s="35">
        <f ca="1">'Preventative costs A'!F477-'Preventative costs B'!F477</f>
        <v>0</v>
      </c>
      <c r="G477" s="35">
        <f ca="1">'Preventative costs A'!G477-'Preventative costs B'!G477</f>
        <v>0</v>
      </c>
      <c r="H477" s="35">
        <f ca="1">'Preventative costs A'!H477-'Preventative costs B'!H477</f>
        <v>0</v>
      </c>
      <c r="I477" s="35">
        <f ca="1">'Preventative costs A'!I477-'Preventative costs B'!I477</f>
        <v>0</v>
      </c>
      <c r="J477" s="35">
        <f ca="1">'Preventative costs A'!J477-'Preventative costs B'!J477</f>
        <v>0</v>
      </c>
      <c r="K477" s="35">
        <f ca="1">'Preventative costs A'!K477-'Preventative costs B'!K477</f>
        <v>0</v>
      </c>
      <c r="M477" s="4" t="str">
        <f t="shared" si="29"/>
        <v>per Mtonne</v>
      </c>
    </row>
    <row r="478" spans="1:13" s="2" customFormat="1" ht="15" thickTop="1" x14ac:dyDescent="0.25">
      <c r="A478" s="2" t="s">
        <v>332</v>
      </c>
      <c r="B478" s="2" t="s">
        <v>335</v>
      </c>
    </row>
    <row r="479" spans="1:13" s="7" customFormat="1" x14ac:dyDescent="0.2">
      <c r="A479" s="4" t="str">
        <f t="array" ref="A479:A486">R_CODE&amp;" "&amp;'Base data'!$D$12</f>
        <v>EU N2O</v>
      </c>
      <c r="B479" s="29">
        <f ca="1">'Preventative costs A'!B479-'Preventative costs B'!B479</f>
        <v>0</v>
      </c>
      <c r="C479" s="29">
        <f ca="1">'Preventative costs A'!C479-'Preventative costs B'!C479</f>
        <v>0</v>
      </c>
      <c r="D479" s="29">
        <f ca="1">'Preventative costs A'!D479-'Preventative costs B'!D479</f>
        <v>0</v>
      </c>
      <c r="E479" s="29">
        <f ca="1">'Preventative costs A'!E479-'Preventative costs B'!E479</f>
        <v>0</v>
      </c>
      <c r="F479" s="29">
        <f ca="1">'Preventative costs A'!F479-'Preventative costs B'!F479</f>
        <v>0</v>
      </c>
      <c r="G479" s="29">
        <f ca="1">'Preventative costs A'!G479-'Preventative costs B'!G479</f>
        <v>0</v>
      </c>
      <c r="H479" s="29">
        <f ca="1">'Preventative costs A'!H479-'Preventative costs B'!H479</f>
        <v>0</v>
      </c>
      <c r="I479" s="29">
        <f ca="1">'Preventative costs A'!I479-'Preventative costs B'!I479</f>
        <v>0</v>
      </c>
      <c r="J479" s="29">
        <f ca="1">'Preventative costs A'!J479-'Preventative costs B'!J479</f>
        <v>0</v>
      </c>
      <c r="K479" s="29">
        <f ca="1">'Preventative costs A'!K479-'Preventative costs B'!K479</f>
        <v>0</v>
      </c>
      <c r="M479" s="4" t="str">
        <f t="shared" ref="M479:M486" si="30">"per "&amp;EMIT_NAME</f>
        <v>per Mtonne</v>
      </c>
    </row>
    <row r="480" spans="1:13" s="7" customFormat="1" x14ac:dyDescent="0.2">
      <c r="A480" s="4" t="str">
        <v>US N2O</v>
      </c>
      <c r="B480" s="26">
        <f ca="1">'Preventative costs A'!B480-'Preventative costs B'!B480</f>
        <v>0</v>
      </c>
      <c r="C480" s="26">
        <f ca="1">'Preventative costs A'!C480-'Preventative costs B'!C480</f>
        <v>0</v>
      </c>
      <c r="D480" s="26">
        <f ca="1">'Preventative costs A'!D480-'Preventative costs B'!D480</f>
        <v>0</v>
      </c>
      <c r="E480" s="26">
        <f ca="1">'Preventative costs A'!E480-'Preventative costs B'!E480</f>
        <v>0</v>
      </c>
      <c r="F480" s="26">
        <f ca="1">'Preventative costs A'!F480-'Preventative costs B'!F480</f>
        <v>0</v>
      </c>
      <c r="G480" s="26">
        <f ca="1">'Preventative costs A'!G480-'Preventative costs B'!G480</f>
        <v>0</v>
      </c>
      <c r="H480" s="26">
        <f ca="1">'Preventative costs A'!H480-'Preventative costs B'!H480</f>
        <v>0</v>
      </c>
      <c r="I480" s="26">
        <f ca="1">'Preventative costs A'!I480-'Preventative costs B'!I480</f>
        <v>0</v>
      </c>
      <c r="J480" s="26">
        <f ca="1">'Preventative costs A'!J480-'Preventative costs B'!J480</f>
        <v>0</v>
      </c>
      <c r="K480" s="26">
        <f ca="1">'Preventative costs A'!K480-'Preventative costs B'!K480</f>
        <v>0</v>
      </c>
      <c r="M480" s="4" t="str">
        <f t="shared" si="30"/>
        <v>per Mtonne</v>
      </c>
    </row>
    <row r="481" spans="1:13" s="7" customFormat="1" x14ac:dyDescent="0.2">
      <c r="A481" s="4" t="str">
        <v>OT N2O</v>
      </c>
      <c r="B481" s="26">
        <f ca="1">'Preventative costs A'!B481-'Preventative costs B'!B481</f>
        <v>0</v>
      </c>
      <c r="C481" s="26">
        <f ca="1">'Preventative costs A'!C481-'Preventative costs B'!C481</f>
        <v>0</v>
      </c>
      <c r="D481" s="26">
        <f ca="1">'Preventative costs A'!D481-'Preventative costs B'!D481</f>
        <v>0</v>
      </c>
      <c r="E481" s="26">
        <f ca="1">'Preventative costs A'!E481-'Preventative costs B'!E481</f>
        <v>0</v>
      </c>
      <c r="F481" s="26">
        <f ca="1">'Preventative costs A'!F481-'Preventative costs B'!F481</f>
        <v>0</v>
      </c>
      <c r="G481" s="26">
        <f ca="1">'Preventative costs A'!G481-'Preventative costs B'!G481</f>
        <v>0</v>
      </c>
      <c r="H481" s="26">
        <f ca="1">'Preventative costs A'!H481-'Preventative costs B'!H481</f>
        <v>0</v>
      </c>
      <c r="I481" s="26">
        <f ca="1">'Preventative costs A'!I481-'Preventative costs B'!I481</f>
        <v>0</v>
      </c>
      <c r="J481" s="26">
        <f ca="1">'Preventative costs A'!J481-'Preventative costs B'!J481</f>
        <v>0</v>
      </c>
      <c r="K481" s="26">
        <f ca="1">'Preventative costs A'!K481-'Preventative costs B'!K481</f>
        <v>0</v>
      </c>
      <c r="M481" s="4" t="str">
        <f t="shared" si="30"/>
        <v>per Mtonne</v>
      </c>
    </row>
    <row r="482" spans="1:13" s="7" customFormat="1" x14ac:dyDescent="0.2">
      <c r="A482" s="4" t="str">
        <v>EE N2O</v>
      </c>
      <c r="B482" s="26">
        <f ca="1">'Preventative costs A'!B482-'Preventative costs B'!B482</f>
        <v>0</v>
      </c>
      <c r="C482" s="26">
        <f ca="1">'Preventative costs A'!C482-'Preventative costs B'!C482</f>
        <v>0</v>
      </c>
      <c r="D482" s="26">
        <f ca="1">'Preventative costs A'!D482-'Preventative costs B'!D482</f>
        <v>0</v>
      </c>
      <c r="E482" s="26">
        <f ca="1">'Preventative costs A'!E482-'Preventative costs B'!E482</f>
        <v>0</v>
      </c>
      <c r="F482" s="26">
        <f ca="1">'Preventative costs A'!F482-'Preventative costs B'!F482</f>
        <v>0</v>
      </c>
      <c r="G482" s="26">
        <f ca="1">'Preventative costs A'!G482-'Preventative costs B'!G482</f>
        <v>0</v>
      </c>
      <c r="H482" s="26">
        <f ca="1">'Preventative costs A'!H482-'Preventative costs B'!H482</f>
        <v>0</v>
      </c>
      <c r="I482" s="26">
        <f ca="1">'Preventative costs A'!I482-'Preventative costs B'!I482</f>
        <v>0</v>
      </c>
      <c r="J482" s="26">
        <f ca="1">'Preventative costs A'!J482-'Preventative costs B'!J482</f>
        <v>0</v>
      </c>
      <c r="K482" s="26">
        <f ca="1">'Preventative costs A'!K482-'Preventative costs B'!K482</f>
        <v>0</v>
      </c>
      <c r="M482" s="4" t="str">
        <f t="shared" si="30"/>
        <v>per Mtonne</v>
      </c>
    </row>
    <row r="483" spans="1:13" s="7" customFormat="1" x14ac:dyDescent="0.2">
      <c r="A483" s="4" t="str">
        <v>CA N2O</v>
      </c>
      <c r="B483" s="26">
        <f ca="1">'Preventative costs A'!B483-'Preventative costs B'!B483</f>
        <v>0</v>
      </c>
      <c r="C483" s="26">
        <f ca="1">'Preventative costs A'!C483-'Preventative costs B'!C483</f>
        <v>0</v>
      </c>
      <c r="D483" s="26">
        <f ca="1">'Preventative costs A'!D483-'Preventative costs B'!D483</f>
        <v>0</v>
      </c>
      <c r="E483" s="26">
        <f ca="1">'Preventative costs A'!E483-'Preventative costs B'!E483</f>
        <v>0</v>
      </c>
      <c r="F483" s="26">
        <f ca="1">'Preventative costs A'!F483-'Preventative costs B'!F483</f>
        <v>0</v>
      </c>
      <c r="G483" s="26">
        <f ca="1">'Preventative costs A'!G483-'Preventative costs B'!G483</f>
        <v>0</v>
      </c>
      <c r="H483" s="26">
        <f ca="1">'Preventative costs A'!H483-'Preventative costs B'!H483</f>
        <v>0</v>
      </c>
      <c r="I483" s="26">
        <f ca="1">'Preventative costs A'!I483-'Preventative costs B'!I483</f>
        <v>0</v>
      </c>
      <c r="J483" s="26">
        <f ca="1">'Preventative costs A'!J483-'Preventative costs B'!J483</f>
        <v>0</v>
      </c>
      <c r="K483" s="26">
        <f ca="1">'Preventative costs A'!K483-'Preventative costs B'!K483</f>
        <v>0</v>
      </c>
      <c r="M483" s="4" t="str">
        <f t="shared" si="30"/>
        <v>per Mtonne</v>
      </c>
    </row>
    <row r="484" spans="1:13" s="7" customFormat="1" x14ac:dyDescent="0.2">
      <c r="A484" s="4" t="str">
        <v>IA N2O</v>
      </c>
      <c r="B484" s="26">
        <f ca="1">'Preventative costs A'!B484-'Preventative costs B'!B484</f>
        <v>0</v>
      </c>
      <c r="C484" s="26">
        <f ca="1">'Preventative costs A'!C484-'Preventative costs B'!C484</f>
        <v>0</v>
      </c>
      <c r="D484" s="26">
        <f ca="1">'Preventative costs A'!D484-'Preventative costs B'!D484</f>
        <v>0</v>
      </c>
      <c r="E484" s="26">
        <f ca="1">'Preventative costs A'!E484-'Preventative costs B'!E484</f>
        <v>0</v>
      </c>
      <c r="F484" s="26">
        <f ca="1">'Preventative costs A'!F484-'Preventative costs B'!F484</f>
        <v>0</v>
      </c>
      <c r="G484" s="26">
        <f ca="1">'Preventative costs A'!G484-'Preventative costs B'!G484</f>
        <v>0</v>
      </c>
      <c r="H484" s="26">
        <f ca="1">'Preventative costs A'!H484-'Preventative costs B'!H484</f>
        <v>0</v>
      </c>
      <c r="I484" s="26">
        <f ca="1">'Preventative costs A'!I484-'Preventative costs B'!I484</f>
        <v>0</v>
      </c>
      <c r="J484" s="26">
        <f ca="1">'Preventative costs A'!J484-'Preventative costs B'!J484</f>
        <v>0</v>
      </c>
      <c r="K484" s="26">
        <f ca="1">'Preventative costs A'!K484-'Preventative costs B'!K484</f>
        <v>0</v>
      </c>
      <c r="M484" s="4" t="str">
        <f t="shared" si="30"/>
        <v>per Mtonne</v>
      </c>
    </row>
    <row r="485" spans="1:13" s="7" customFormat="1" x14ac:dyDescent="0.2">
      <c r="A485" s="4" t="str">
        <v>AF N2O</v>
      </c>
      <c r="B485" s="26">
        <f ca="1">'Preventative costs A'!B485-'Preventative costs B'!B485</f>
        <v>0</v>
      </c>
      <c r="C485" s="26">
        <f ca="1">'Preventative costs A'!C485-'Preventative costs B'!C485</f>
        <v>0</v>
      </c>
      <c r="D485" s="26">
        <f ca="1">'Preventative costs A'!D485-'Preventative costs B'!D485</f>
        <v>0</v>
      </c>
      <c r="E485" s="26">
        <f ca="1">'Preventative costs A'!E485-'Preventative costs B'!E485</f>
        <v>0</v>
      </c>
      <c r="F485" s="26">
        <f ca="1">'Preventative costs A'!F485-'Preventative costs B'!F485</f>
        <v>0</v>
      </c>
      <c r="G485" s="26">
        <f ca="1">'Preventative costs A'!G485-'Preventative costs B'!G485</f>
        <v>0</v>
      </c>
      <c r="H485" s="26">
        <f ca="1">'Preventative costs A'!H485-'Preventative costs B'!H485</f>
        <v>0</v>
      </c>
      <c r="I485" s="26">
        <f ca="1">'Preventative costs A'!I485-'Preventative costs B'!I485</f>
        <v>0</v>
      </c>
      <c r="J485" s="26">
        <f ca="1">'Preventative costs A'!J485-'Preventative costs B'!J485</f>
        <v>0</v>
      </c>
      <c r="K485" s="26">
        <f ca="1">'Preventative costs A'!K485-'Preventative costs B'!K485</f>
        <v>0</v>
      </c>
      <c r="M485" s="4" t="str">
        <f t="shared" si="30"/>
        <v>per Mtonne</v>
      </c>
    </row>
    <row r="486" spans="1:13" s="7" customFormat="1" ht="13.5" thickBot="1" x14ac:dyDescent="0.25">
      <c r="A486" s="4" t="str">
        <v>LA N2O</v>
      </c>
      <c r="B486" s="35">
        <f ca="1">'Preventative costs A'!B486-'Preventative costs B'!B486</f>
        <v>0</v>
      </c>
      <c r="C486" s="35">
        <f ca="1">'Preventative costs A'!C486-'Preventative costs B'!C486</f>
        <v>0</v>
      </c>
      <c r="D486" s="35">
        <f ca="1">'Preventative costs A'!D486-'Preventative costs B'!D486</f>
        <v>0</v>
      </c>
      <c r="E486" s="35">
        <f ca="1">'Preventative costs A'!E486-'Preventative costs B'!E486</f>
        <v>0</v>
      </c>
      <c r="F486" s="35">
        <f ca="1">'Preventative costs A'!F486-'Preventative costs B'!F486</f>
        <v>0</v>
      </c>
      <c r="G486" s="35">
        <f ca="1">'Preventative costs A'!G486-'Preventative costs B'!G486</f>
        <v>0</v>
      </c>
      <c r="H486" s="35">
        <f ca="1">'Preventative costs A'!H486-'Preventative costs B'!H486</f>
        <v>0</v>
      </c>
      <c r="I486" s="35">
        <f ca="1">'Preventative costs A'!I486-'Preventative costs B'!I486</f>
        <v>0</v>
      </c>
      <c r="J486" s="35">
        <f ca="1">'Preventative costs A'!J486-'Preventative costs B'!J486</f>
        <v>0</v>
      </c>
      <c r="K486" s="35">
        <f ca="1">'Preventative costs A'!K486-'Preventative costs B'!K486</f>
        <v>0</v>
      </c>
      <c r="M486" s="4" t="str">
        <f t="shared" si="30"/>
        <v>per Mtonne</v>
      </c>
    </row>
    <row r="487" spans="1:13" s="2" customFormat="1" ht="15" thickTop="1" x14ac:dyDescent="0.25">
      <c r="A487" s="2" t="s">
        <v>332</v>
      </c>
      <c r="B487" s="2" t="s">
        <v>336</v>
      </c>
    </row>
    <row r="488" spans="1:13" s="7" customFormat="1" x14ac:dyDescent="0.2">
      <c r="A488" s="4" t="str">
        <f t="array" ref="A488:A495">R_CODE&amp;" "&amp;GLIN_NAME</f>
        <v>EU Lin</v>
      </c>
      <c r="B488" s="29">
        <f ca="1">'Preventative costs A'!B488-'Preventative costs B'!B488</f>
        <v>0</v>
      </c>
      <c r="C488" s="29">
        <f ca="1">'Preventative costs A'!C488-'Preventative costs B'!C488</f>
        <v>0</v>
      </c>
      <c r="D488" s="29">
        <f ca="1">'Preventative costs A'!D488-'Preventative costs B'!D488</f>
        <v>0</v>
      </c>
      <c r="E488" s="29">
        <f ca="1">'Preventative costs A'!E488-'Preventative costs B'!E488</f>
        <v>0</v>
      </c>
      <c r="F488" s="29">
        <f ca="1">'Preventative costs A'!F488-'Preventative costs B'!F488</f>
        <v>0</v>
      </c>
      <c r="G488" s="29">
        <f ca="1">'Preventative costs A'!G488-'Preventative costs B'!G488</f>
        <v>0</v>
      </c>
      <c r="H488" s="29">
        <f ca="1">'Preventative costs A'!H488-'Preventative costs B'!H488</f>
        <v>0</v>
      </c>
      <c r="I488" s="29">
        <f ca="1">'Preventative costs A'!I488-'Preventative costs B'!I488</f>
        <v>0</v>
      </c>
      <c r="J488" s="29">
        <f ca="1">'Preventative costs A'!J488-'Preventative costs B'!J488</f>
        <v>0</v>
      </c>
      <c r="K488" s="29">
        <f ca="1">'Preventative costs A'!K488-'Preventative costs B'!K488</f>
        <v>0</v>
      </c>
      <c r="M488" s="4" t="str">
        <f t="shared" ref="M488:M495" si="31">"per "&amp;EMIT_NAME</f>
        <v>per Mtonne</v>
      </c>
    </row>
    <row r="489" spans="1:13" s="7" customFormat="1" x14ac:dyDescent="0.2">
      <c r="A489" s="4" t="str">
        <v>US Lin</v>
      </c>
      <c r="B489" s="26">
        <f ca="1">'Preventative costs A'!B489-'Preventative costs B'!B489</f>
        <v>0</v>
      </c>
      <c r="C489" s="26">
        <f ca="1">'Preventative costs A'!C489-'Preventative costs B'!C489</f>
        <v>0</v>
      </c>
      <c r="D489" s="26">
        <f ca="1">'Preventative costs A'!D489-'Preventative costs B'!D489</f>
        <v>0</v>
      </c>
      <c r="E489" s="26">
        <f ca="1">'Preventative costs A'!E489-'Preventative costs B'!E489</f>
        <v>0</v>
      </c>
      <c r="F489" s="26">
        <f ca="1">'Preventative costs A'!F489-'Preventative costs B'!F489</f>
        <v>0</v>
      </c>
      <c r="G489" s="26">
        <f ca="1">'Preventative costs A'!G489-'Preventative costs B'!G489</f>
        <v>0</v>
      </c>
      <c r="H489" s="26">
        <f ca="1">'Preventative costs A'!H489-'Preventative costs B'!H489</f>
        <v>0</v>
      </c>
      <c r="I489" s="26">
        <f ca="1">'Preventative costs A'!I489-'Preventative costs B'!I489</f>
        <v>0</v>
      </c>
      <c r="J489" s="26">
        <f ca="1">'Preventative costs A'!J489-'Preventative costs B'!J489</f>
        <v>0</v>
      </c>
      <c r="K489" s="26">
        <f ca="1">'Preventative costs A'!K489-'Preventative costs B'!K489</f>
        <v>0</v>
      </c>
      <c r="M489" s="4" t="str">
        <f t="shared" si="31"/>
        <v>per Mtonne</v>
      </c>
    </row>
    <row r="490" spans="1:13" s="7" customFormat="1" x14ac:dyDescent="0.2">
      <c r="A490" s="4" t="str">
        <v>OT Lin</v>
      </c>
      <c r="B490" s="26">
        <f ca="1">'Preventative costs A'!B490-'Preventative costs B'!B490</f>
        <v>0</v>
      </c>
      <c r="C490" s="26">
        <f ca="1">'Preventative costs A'!C490-'Preventative costs B'!C490</f>
        <v>0</v>
      </c>
      <c r="D490" s="26">
        <f ca="1">'Preventative costs A'!D490-'Preventative costs B'!D490</f>
        <v>0</v>
      </c>
      <c r="E490" s="26">
        <f ca="1">'Preventative costs A'!E490-'Preventative costs B'!E490</f>
        <v>0</v>
      </c>
      <c r="F490" s="26">
        <f ca="1">'Preventative costs A'!F490-'Preventative costs B'!F490</f>
        <v>0</v>
      </c>
      <c r="G490" s="26">
        <f ca="1">'Preventative costs A'!G490-'Preventative costs B'!G490</f>
        <v>0</v>
      </c>
      <c r="H490" s="26">
        <f ca="1">'Preventative costs A'!H490-'Preventative costs B'!H490</f>
        <v>0</v>
      </c>
      <c r="I490" s="26">
        <f ca="1">'Preventative costs A'!I490-'Preventative costs B'!I490</f>
        <v>0</v>
      </c>
      <c r="J490" s="26">
        <f ca="1">'Preventative costs A'!J490-'Preventative costs B'!J490</f>
        <v>0</v>
      </c>
      <c r="K490" s="26">
        <f ca="1">'Preventative costs A'!K490-'Preventative costs B'!K490</f>
        <v>0</v>
      </c>
      <c r="M490" s="4" t="str">
        <f t="shared" si="31"/>
        <v>per Mtonne</v>
      </c>
    </row>
    <row r="491" spans="1:13" s="7" customFormat="1" x14ac:dyDescent="0.2">
      <c r="A491" s="4" t="str">
        <v>EE Lin</v>
      </c>
      <c r="B491" s="26">
        <f ca="1">'Preventative costs A'!B491-'Preventative costs B'!B491</f>
        <v>0</v>
      </c>
      <c r="C491" s="26">
        <f ca="1">'Preventative costs A'!C491-'Preventative costs B'!C491</f>
        <v>0</v>
      </c>
      <c r="D491" s="26">
        <f ca="1">'Preventative costs A'!D491-'Preventative costs B'!D491</f>
        <v>0</v>
      </c>
      <c r="E491" s="26">
        <f ca="1">'Preventative costs A'!E491-'Preventative costs B'!E491</f>
        <v>0</v>
      </c>
      <c r="F491" s="26">
        <f ca="1">'Preventative costs A'!F491-'Preventative costs B'!F491</f>
        <v>0</v>
      </c>
      <c r="G491" s="26">
        <f ca="1">'Preventative costs A'!G491-'Preventative costs B'!G491</f>
        <v>0</v>
      </c>
      <c r="H491" s="26">
        <f ca="1">'Preventative costs A'!H491-'Preventative costs B'!H491</f>
        <v>0</v>
      </c>
      <c r="I491" s="26">
        <f ca="1">'Preventative costs A'!I491-'Preventative costs B'!I491</f>
        <v>0</v>
      </c>
      <c r="J491" s="26">
        <f ca="1">'Preventative costs A'!J491-'Preventative costs B'!J491</f>
        <v>0</v>
      </c>
      <c r="K491" s="26">
        <f ca="1">'Preventative costs A'!K491-'Preventative costs B'!K491</f>
        <v>0</v>
      </c>
      <c r="M491" s="4" t="str">
        <f t="shared" si="31"/>
        <v>per Mtonne</v>
      </c>
    </row>
    <row r="492" spans="1:13" s="7" customFormat="1" x14ac:dyDescent="0.2">
      <c r="A492" s="4" t="str">
        <v>CA Lin</v>
      </c>
      <c r="B492" s="26">
        <f ca="1">'Preventative costs A'!B492-'Preventative costs B'!B492</f>
        <v>0</v>
      </c>
      <c r="C492" s="26">
        <f ca="1">'Preventative costs A'!C492-'Preventative costs B'!C492</f>
        <v>0</v>
      </c>
      <c r="D492" s="26">
        <f ca="1">'Preventative costs A'!D492-'Preventative costs B'!D492</f>
        <v>0</v>
      </c>
      <c r="E492" s="26">
        <f ca="1">'Preventative costs A'!E492-'Preventative costs B'!E492</f>
        <v>0</v>
      </c>
      <c r="F492" s="26">
        <f ca="1">'Preventative costs A'!F492-'Preventative costs B'!F492</f>
        <v>0</v>
      </c>
      <c r="G492" s="26">
        <f ca="1">'Preventative costs A'!G492-'Preventative costs B'!G492</f>
        <v>0</v>
      </c>
      <c r="H492" s="26">
        <f ca="1">'Preventative costs A'!H492-'Preventative costs B'!H492</f>
        <v>0</v>
      </c>
      <c r="I492" s="26">
        <f ca="1">'Preventative costs A'!I492-'Preventative costs B'!I492</f>
        <v>0</v>
      </c>
      <c r="J492" s="26">
        <f ca="1">'Preventative costs A'!J492-'Preventative costs B'!J492</f>
        <v>0</v>
      </c>
      <c r="K492" s="26">
        <f ca="1">'Preventative costs A'!K492-'Preventative costs B'!K492</f>
        <v>0</v>
      </c>
      <c r="M492" s="4" t="str">
        <f t="shared" si="31"/>
        <v>per Mtonne</v>
      </c>
    </row>
    <row r="493" spans="1:13" s="7" customFormat="1" x14ac:dyDescent="0.2">
      <c r="A493" s="4" t="str">
        <v>IA Lin</v>
      </c>
      <c r="B493" s="26">
        <f ca="1">'Preventative costs A'!B493-'Preventative costs B'!B493</f>
        <v>0</v>
      </c>
      <c r="C493" s="26">
        <f ca="1">'Preventative costs A'!C493-'Preventative costs B'!C493</f>
        <v>0</v>
      </c>
      <c r="D493" s="26">
        <f ca="1">'Preventative costs A'!D493-'Preventative costs B'!D493</f>
        <v>0</v>
      </c>
      <c r="E493" s="26">
        <f ca="1">'Preventative costs A'!E493-'Preventative costs B'!E493</f>
        <v>0</v>
      </c>
      <c r="F493" s="26">
        <f ca="1">'Preventative costs A'!F493-'Preventative costs B'!F493</f>
        <v>0</v>
      </c>
      <c r="G493" s="26">
        <f ca="1">'Preventative costs A'!G493-'Preventative costs B'!G493</f>
        <v>0</v>
      </c>
      <c r="H493" s="26">
        <f ca="1">'Preventative costs A'!H493-'Preventative costs B'!H493</f>
        <v>0</v>
      </c>
      <c r="I493" s="26">
        <f ca="1">'Preventative costs A'!I493-'Preventative costs B'!I493</f>
        <v>0</v>
      </c>
      <c r="J493" s="26">
        <f ca="1">'Preventative costs A'!J493-'Preventative costs B'!J493</f>
        <v>0</v>
      </c>
      <c r="K493" s="26">
        <f ca="1">'Preventative costs A'!K493-'Preventative costs B'!K493</f>
        <v>0</v>
      </c>
      <c r="M493" s="4" t="str">
        <f t="shared" si="31"/>
        <v>per Mtonne</v>
      </c>
    </row>
    <row r="494" spans="1:13" s="7" customFormat="1" x14ac:dyDescent="0.2">
      <c r="A494" s="4" t="str">
        <v>AF Lin</v>
      </c>
      <c r="B494" s="26">
        <f ca="1">'Preventative costs A'!B494-'Preventative costs B'!B494</f>
        <v>0</v>
      </c>
      <c r="C494" s="26">
        <f ca="1">'Preventative costs A'!C494-'Preventative costs B'!C494</f>
        <v>0</v>
      </c>
      <c r="D494" s="26">
        <f ca="1">'Preventative costs A'!D494-'Preventative costs B'!D494</f>
        <v>0</v>
      </c>
      <c r="E494" s="26">
        <f ca="1">'Preventative costs A'!E494-'Preventative costs B'!E494</f>
        <v>0</v>
      </c>
      <c r="F494" s="26">
        <f ca="1">'Preventative costs A'!F494-'Preventative costs B'!F494</f>
        <v>0</v>
      </c>
      <c r="G494" s="26">
        <f ca="1">'Preventative costs A'!G494-'Preventative costs B'!G494</f>
        <v>0</v>
      </c>
      <c r="H494" s="26">
        <f ca="1">'Preventative costs A'!H494-'Preventative costs B'!H494</f>
        <v>0</v>
      </c>
      <c r="I494" s="26">
        <f ca="1">'Preventative costs A'!I494-'Preventative costs B'!I494</f>
        <v>0</v>
      </c>
      <c r="J494" s="26">
        <f ca="1">'Preventative costs A'!J494-'Preventative costs B'!J494</f>
        <v>0</v>
      </c>
      <c r="K494" s="26">
        <f ca="1">'Preventative costs A'!K494-'Preventative costs B'!K494</f>
        <v>0</v>
      </c>
      <c r="M494" s="4" t="str">
        <f t="shared" si="31"/>
        <v>per Mtonne</v>
      </c>
    </row>
    <row r="495" spans="1:13" s="7" customFormat="1" ht="13.5" thickBot="1" x14ac:dyDescent="0.25">
      <c r="A495" s="4" t="str">
        <v>LA Lin</v>
      </c>
      <c r="B495" s="35">
        <f ca="1">'Preventative costs A'!B495-'Preventative costs B'!B495</f>
        <v>0</v>
      </c>
      <c r="C495" s="35">
        <f ca="1">'Preventative costs A'!C495-'Preventative costs B'!C495</f>
        <v>0</v>
      </c>
      <c r="D495" s="35">
        <f ca="1">'Preventative costs A'!D495-'Preventative costs B'!D495</f>
        <v>0</v>
      </c>
      <c r="E495" s="35">
        <f ca="1">'Preventative costs A'!E495-'Preventative costs B'!E495</f>
        <v>0</v>
      </c>
      <c r="F495" s="35">
        <f ca="1">'Preventative costs A'!F495-'Preventative costs B'!F495</f>
        <v>0</v>
      </c>
      <c r="G495" s="35">
        <f ca="1">'Preventative costs A'!G495-'Preventative costs B'!G495</f>
        <v>0</v>
      </c>
      <c r="H495" s="35">
        <f ca="1">'Preventative costs A'!H495-'Preventative costs B'!H495</f>
        <v>0</v>
      </c>
      <c r="I495" s="35">
        <f ca="1">'Preventative costs A'!I495-'Preventative costs B'!I495</f>
        <v>0</v>
      </c>
      <c r="J495" s="35">
        <f ca="1">'Preventative costs A'!J495-'Preventative costs B'!J495</f>
        <v>0</v>
      </c>
      <c r="K495" s="35">
        <f ca="1">'Preventative costs A'!K495-'Preventative costs B'!K495</f>
        <v>0</v>
      </c>
      <c r="M495" s="4" t="str">
        <f t="shared" si="31"/>
        <v>per Mtonne</v>
      </c>
    </row>
    <row r="496" spans="1:13" s="2" customFormat="1" ht="15" thickTop="1" x14ac:dyDescent="0.25">
      <c r="A496" s="2" t="s">
        <v>337</v>
      </c>
      <c r="B496" s="2" t="s">
        <v>338</v>
      </c>
    </row>
    <row r="497" spans="1:13" s="6" customFormat="1" x14ac:dyDescent="0.2">
      <c r="A497" s="4" t="str">
        <f t="array" ref="A497:A504">R_CODE&amp;" "&amp;'Base data'!$B$12</f>
        <v>EU CO2</v>
      </c>
      <c r="B497" s="29">
        <f ca="1">'Preventative costs A'!B497-'Preventative costs B'!B497</f>
        <v>0</v>
      </c>
      <c r="C497" s="29">
        <f ca="1">'Preventative costs A'!C497-'Preventative costs B'!C497</f>
        <v>0</v>
      </c>
      <c r="D497" s="29">
        <f ca="1">'Preventative costs A'!D497-'Preventative costs B'!D497</f>
        <v>0</v>
      </c>
      <c r="E497" s="29">
        <f ca="1">'Preventative costs A'!E497-'Preventative costs B'!E497</f>
        <v>0</v>
      </c>
      <c r="F497" s="29">
        <f ca="1">'Preventative costs A'!F497-'Preventative costs B'!F497</f>
        <v>0</v>
      </c>
      <c r="G497" s="29">
        <f ca="1">'Preventative costs A'!G497-'Preventative costs B'!G497</f>
        <v>-2.7191855169835719</v>
      </c>
      <c r="H497" s="29">
        <f ca="1">'Preventative costs A'!H497-'Preventative costs B'!H497</f>
        <v>-5.9792278347066272</v>
      </c>
      <c r="I497" s="29">
        <f ca="1">'Preventative costs A'!I497-'Preventative costs B'!I497</f>
        <v>-7.4613969991729547</v>
      </c>
      <c r="J497" s="29">
        <f ca="1">'Preventative costs A'!J497-'Preventative costs B'!J497</f>
        <v>-7.9231671112209234</v>
      </c>
      <c r="K497" s="29">
        <f ca="1">'Preventative costs A'!K497-'Preventative costs B'!K497</f>
        <v>-7.8757726169221822</v>
      </c>
      <c r="M497" s="4" t="str">
        <f t="shared" ref="M497:M504" si="32">CURRENCY_NAME&amp;" per "&amp;EMIT_NAME</f>
        <v>$M(2015) per Mtonne</v>
      </c>
    </row>
    <row r="498" spans="1:13" s="6" customFormat="1" x14ac:dyDescent="0.2">
      <c r="A498" s="4" t="str">
        <v>US CO2</v>
      </c>
      <c r="B498" s="26">
        <f ca="1">'Preventative costs A'!B498-'Preventative costs B'!B498</f>
        <v>0</v>
      </c>
      <c r="C498" s="26">
        <f ca="1">'Preventative costs A'!C498-'Preventative costs B'!C498</f>
        <v>0</v>
      </c>
      <c r="D498" s="26">
        <f ca="1">'Preventative costs A'!D498-'Preventative costs B'!D498</f>
        <v>0</v>
      </c>
      <c r="E498" s="26">
        <f ca="1">'Preventative costs A'!E498-'Preventative costs B'!E498</f>
        <v>0</v>
      </c>
      <c r="F498" s="26">
        <f ca="1">'Preventative costs A'!F498-'Preventative costs B'!F498</f>
        <v>0</v>
      </c>
      <c r="G498" s="26">
        <f ca="1">'Preventative costs A'!G498-'Preventative costs B'!G498</f>
        <v>-3.0912103294425854</v>
      </c>
      <c r="H498" s="26">
        <f ca="1">'Preventative costs A'!H498-'Preventative costs B'!H498</f>
        <v>-6.4857904238176278</v>
      </c>
      <c r="I498" s="26">
        <f ca="1">'Preventative costs A'!I498-'Preventative costs B'!I498</f>
        <v>-7.8862713663388995</v>
      </c>
      <c r="J498" s="26">
        <f ca="1">'Preventative costs A'!J498-'Preventative costs B'!J498</f>
        <v>-8.2721521181184983</v>
      </c>
      <c r="K498" s="26">
        <f ca="1">'Preventative costs A'!K498-'Preventative costs B'!K498</f>
        <v>-8.1591570541774594</v>
      </c>
      <c r="M498" s="4" t="str">
        <f t="shared" si="32"/>
        <v>$M(2015) per Mtonne</v>
      </c>
    </row>
    <row r="499" spans="1:13" s="6" customFormat="1" x14ac:dyDescent="0.2">
      <c r="A499" s="4" t="str">
        <v>OT CO2</v>
      </c>
      <c r="B499" s="26">
        <f ca="1">'Preventative costs A'!B499-'Preventative costs B'!B499</f>
        <v>0</v>
      </c>
      <c r="C499" s="26">
        <f ca="1">'Preventative costs A'!C499-'Preventative costs B'!C499</f>
        <v>0</v>
      </c>
      <c r="D499" s="26">
        <f ca="1">'Preventative costs A'!D499-'Preventative costs B'!D499</f>
        <v>0</v>
      </c>
      <c r="E499" s="26">
        <f ca="1">'Preventative costs A'!E499-'Preventative costs B'!E499</f>
        <v>0</v>
      </c>
      <c r="F499" s="26">
        <f ca="1">'Preventative costs A'!F499-'Preventative costs B'!F499</f>
        <v>0</v>
      </c>
      <c r="G499" s="26">
        <f ca="1">'Preventative costs A'!G499-'Preventative costs B'!G499</f>
        <v>-3.3256574117581863</v>
      </c>
      <c r="H499" s="26">
        <f ca="1">'Preventative costs A'!H499-'Preventative costs B'!H499</f>
        <v>-7.3313666810498574</v>
      </c>
      <c r="I499" s="26">
        <f ca="1">'Preventative costs A'!I499-'Preventative costs B'!I499</f>
        <v>-9.1615459427770602</v>
      </c>
      <c r="J499" s="26">
        <f ca="1">'Preventative costs A'!J499-'Preventative costs B'!J499</f>
        <v>-9.7362249596540984</v>
      </c>
      <c r="K499" s="26">
        <f ca="1">'Preventative costs A'!K499-'Preventative costs B'!K499</f>
        <v>-9.6823800644971332</v>
      </c>
      <c r="M499" s="4" t="str">
        <f t="shared" si="32"/>
        <v>$M(2015) per Mtonne</v>
      </c>
    </row>
    <row r="500" spans="1:13" s="6" customFormat="1" x14ac:dyDescent="0.2">
      <c r="A500" s="4" t="str">
        <v>EE CO2</v>
      </c>
      <c r="B500" s="26">
        <f ca="1">'Preventative costs A'!B500-'Preventative costs B'!B500</f>
        <v>0</v>
      </c>
      <c r="C500" s="26">
        <f ca="1">'Preventative costs A'!C500-'Preventative costs B'!C500</f>
        <v>0</v>
      </c>
      <c r="D500" s="26">
        <f ca="1">'Preventative costs A'!D500-'Preventative costs B'!D500</f>
        <v>0</v>
      </c>
      <c r="E500" s="26">
        <f ca="1">'Preventative costs A'!E500-'Preventative costs B'!E500</f>
        <v>0</v>
      </c>
      <c r="F500" s="26">
        <f ca="1">'Preventative costs A'!F500-'Preventative costs B'!F500</f>
        <v>0</v>
      </c>
      <c r="G500" s="26">
        <f ca="1">'Preventative costs A'!G500-'Preventative costs B'!G500</f>
        <v>-2.0135736271362656</v>
      </c>
      <c r="H500" s="26">
        <f ca="1">'Preventative costs A'!H500-'Preventative costs B'!H500</f>
        <v>-4.2719985014386275</v>
      </c>
      <c r="I500" s="26">
        <f ca="1">'Preventative costs A'!I500-'Preventative costs B'!I500</f>
        <v>-5.2589120955180926</v>
      </c>
      <c r="J500" s="26">
        <f ca="1">'Preventative costs A'!J500-'Preventative costs B'!J500</f>
        <v>-5.5471665319785854</v>
      </c>
      <c r="K500" s="26">
        <f ca="1">'Preventative costs A'!K500-'Preventative costs B'!K500</f>
        <v>-5.4925112476633782</v>
      </c>
      <c r="M500" s="4" t="str">
        <f t="shared" si="32"/>
        <v>$M(2015) per Mtonne</v>
      </c>
    </row>
    <row r="501" spans="1:13" s="6" customFormat="1" x14ac:dyDescent="0.2">
      <c r="A501" s="4" t="str">
        <v>CA CO2</v>
      </c>
      <c r="B501" s="26">
        <f ca="1">'Preventative costs A'!B501-'Preventative costs B'!B501</f>
        <v>0</v>
      </c>
      <c r="C501" s="26">
        <f ca="1">'Preventative costs A'!C501-'Preventative costs B'!C501</f>
        <v>0</v>
      </c>
      <c r="D501" s="26">
        <f ca="1">'Preventative costs A'!D501-'Preventative costs B'!D501</f>
        <v>0</v>
      </c>
      <c r="E501" s="26">
        <f ca="1">'Preventative costs A'!E501-'Preventative costs B'!E501</f>
        <v>0</v>
      </c>
      <c r="F501" s="26">
        <f ca="1">'Preventative costs A'!F501-'Preventative costs B'!F501</f>
        <v>0</v>
      </c>
      <c r="G501" s="26">
        <f ca="1">'Preventative costs A'!G501-'Preventative costs B'!G501</f>
        <v>-3.4972624453709109</v>
      </c>
      <c r="H501" s="26">
        <f ca="1">'Preventative costs A'!H501-'Preventative costs B'!H501</f>
        <v>-6.8431003853092154</v>
      </c>
      <c r="I501" s="26">
        <f ca="1">'Preventative costs A'!I501-'Preventative costs B'!I501</f>
        <v>-8.1419225976331493</v>
      </c>
      <c r="J501" s="26">
        <f ca="1">'Preventative costs A'!J501-'Preventative costs B'!J501</f>
        <v>-8.433583588312862</v>
      </c>
      <c r="K501" s="26">
        <f ca="1">'Preventative costs A'!K501-'Preventative costs B'!K501</f>
        <v>-8.255320481863496</v>
      </c>
      <c r="M501" s="4" t="str">
        <f t="shared" si="32"/>
        <v>$M(2015) per Mtonne</v>
      </c>
    </row>
    <row r="502" spans="1:13" s="6" customFormat="1" x14ac:dyDescent="0.2">
      <c r="A502" s="4" t="str">
        <v>IA CO2</v>
      </c>
      <c r="B502" s="26">
        <f ca="1">'Preventative costs A'!B502-'Preventative costs B'!B502</f>
        <v>0</v>
      </c>
      <c r="C502" s="26">
        <f ca="1">'Preventative costs A'!C502-'Preventative costs B'!C502</f>
        <v>0</v>
      </c>
      <c r="D502" s="26">
        <f ca="1">'Preventative costs A'!D502-'Preventative costs B'!D502</f>
        <v>0</v>
      </c>
      <c r="E502" s="26">
        <f ca="1">'Preventative costs A'!E502-'Preventative costs B'!E502</f>
        <v>0</v>
      </c>
      <c r="F502" s="26">
        <f ca="1">'Preventative costs A'!F502-'Preventative costs B'!F502</f>
        <v>0</v>
      </c>
      <c r="G502" s="26">
        <f ca="1">'Preventative costs A'!G502-'Preventative costs B'!G502</f>
        <v>-4.5069502446680403</v>
      </c>
      <c r="H502" s="26">
        <f ca="1">'Preventative costs A'!H502-'Preventative costs B'!H502</f>
        <v>-8.8018956032454874</v>
      </c>
      <c r="I502" s="26">
        <f ca="1">'Preventative costs A'!I502-'Preventative costs B'!I502</f>
        <v>-10.468506928971552</v>
      </c>
      <c r="J502" s="26">
        <f ca="1">'Preventative costs A'!J502-'Preventative costs B'!J502</f>
        <v>-10.861807214205847</v>
      </c>
      <c r="K502" s="26">
        <f ca="1">'Preventative costs A'!K502-'Preventative costs B'!K502</f>
        <v>-10.650949303885842</v>
      </c>
      <c r="M502" s="4" t="str">
        <f t="shared" si="32"/>
        <v>$M(2015) per Mtonne</v>
      </c>
    </row>
    <row r="503" spans="1:13" s="6" customFormat="1" x14ac:dyDescent="0.2">
      <c r="A503" s="4" t="str">
        <v>AF CO2</v>
      </c>
      <c r="B503" s="26">
        <f ca="1">'Preventative costs A'!B503-'Preventative costs B'!B503</f>
        <v>0</v>
      </c>
      <c r="C503" s="26">
        <f ca="1">'Preventative costs A'!C503-'Preventative costs B'!C503</f>
        <v>0</v>
      </c>
      <c r="D503" s="26">
        <f ca="1">'Preventative costs A'!D503-'Preventative costs B'!D503</f>
        <v>0</v>
      </c>
      <c r="E503" s="26">
        <f ca="1">'Preventative costs A'!E503-'Preventative costs B'!E503</f>
        <v>0</v>
      </c>
      <c r="F503" s="26">
        <f ca="1">'Preventative costs A'!F503-'Preventative costs B'!F503</f>
        <v>0</v>
      </c>
      <c r="G503" s="26">
        <f ca="1">'Preventative costs A'!G503-'Preventative costs B'!G503</f>
        <v>-4.8895662928695991</v>
      </c>
      <c r="H503" s="26">
        <f ca="1">'Preventative costs A'!H503-'Preventative costs B'!H503</f>
        <v>-9.3852708356258496</v>
      </c>
      <c r="I503" s="26">
        <f ca="1">'Preventative costs A'!I503-'Preventative costs B'!I503</f>
        <v>-11.018237626785613</v>
      </c>
      <c r="J503" s="26">
        <f ca="1">'Preventative costs A'!J503-'Preventative costs B'!J503</f>
        <v>-11.360155734895633</v>
      </c>
      <c r="K503" s="26">
        <f ca="1">'Preventative costs A'!K503-'Preventative costs B'!K503</f>
        <v>-11.104982646615055</v>
      </c>
      <c r="M503" s="4" t="str">
        <f t="shared" si="32"/>
        <v>$M(2015) per Mtonne</v>
      </c>
    </row>
    <row r="504" spans="1:13" s="6" customFormat="1" ht="13.5" thickBot="1" x14ac:dyDescent="0.25">
      <c r="A504" s="4" t="str">
        <v>LA CO2</v>
      </c>
      <c r="B504" s="35">
        <f ca="1">'Preventative costs A'!B504-'Preventative costs B'!B504</f>
        <v>0</v>
      </c>
      <c r="C504" s="35">
        <f ca="1">'Preventative costs A'!C504-'Preventative costs B'!C504</f>
        <v>0</v>
      </c>
      <c r="D504" s="35">
        <f ca="1">'Preventative costs A'!D504-'Preventative costs B'!D504</f>
        <v>0</v>
      </c>
      <c r="E504" s="35">
        <f ca="1">'Preventative costs A'!E504-'Preventative costs B'!E504</f>
        <v>0</v>
      </c>
      <c r="F504" s="35">
        <f ca="1">'Preventative costs A'!F504-'Preventative costs B'!F504</f>
        <v>0</v>
      </c>
      <c r="G504" s="35">
        <f ca="1">'Preventative costs A'!G504-'Preventative costs B'!G504</f>
        <v>-1.9923251722513147</v>
      </c>
      <c r="H504" s="35">
        <f ca="1">'Preventative costs A'!H504-'Preventative costs B'!H504</f>
        <v>-4.3281944306404387</v>
      </c>
      <c r="I504" s="35">
        <f ca="1">'Preventative costs A'!I504-'Preventative costs B'!I504</f>
        <v>-5.3481822714533767</v>
      </c>
      <c r="J504" s="35">
        <f ca="1">'Preventative costs A'!J504-'Preventative costs B'!J504</f>
        <v>-5.6511357404344649</v>
      </c>
      <c r="K504" s="35">
        <f ca="1">'Preventative costs A'!K504-'Preventative costs B'!K504</f>
        <v>-5.5981407591154646</v>
      </c>
      <c r="M504" s="4" t="str">
        <f t="shared" si="32"/>
        <v>$M(2015) per Mtonne</v>
      </c>
    </row>
    <row r="505" spans="1:13" s="2" customFormat="1" ht="15" thickTop="1" x14ac:dyDescent="0.25">
      <c r="A505" s="2" t="s">
        <v>337</v>
      </c>
      <c r="B505" s="2" t="s">
        <v>339</v>
      </c>
    </row>
    <row r="506" spans="1:13" s="7" customFormat="1" x14ac:dyDescent="0.2">
      <c r="A506" s="4" t="str">
        <f t="array" ref="A506:A513">R_CODE&amp;" "&amp;'Base data'!$C$12</f>
        <v>EU CH4</v>
      </c>
      <c r="B506" s="29">
        <f ca="1">'Preventative costs A'!B506-'Preventative costs B'!B506</f>
        <v>0</v>
      </c>
      <c r="C506" s="29">
        <f ca="1">'Preventative costs A'!C506-'Preventative costs B'!C506</f>
        <v>0</v>
      </c>
      <c r="D506" s="29">
        <f ca="1">'Preventative costs A'!D506-'Preventative costs B'!D506</f>
        <v>0</v>
      </c>
      <c r="E506" s="29">
        <f ca="1">'Preventative costs A'!E506-'Preventative costs B'!E506</f>
        <v>0</v>
      </c>
      <c r="F506" s="29">
        <f ca="1">'Preventative costs A'!F506-'Preventative costs B'!F506</f>
        <v>0</v>
      </c>
      <c r="G506" s="29">
        <f ca="1">'Preventative costs A'!G506-'Preventative costs B'!G506</f>
        <v>-88.481566934915008</v>
      </c>
      <c r="H506" s="29">
        <f ca="1">'Preventative costs A'!H506-'Preventative costs B'!H506</f>
        <v>-150.34394750839044</v>
      </c>
      <c r="I506" s="29">
        <f ca="1">'Preventative costs A'!I506-'Preventative costs B'!I506</f>
        <v>-182.39299882261116</v>
      </c>
      <c r="J506" s="29">
        <f ca="1">'Preventative costs A'!J506-'Preventative costs B'!J506</f>
        <v>-195.17970020055975</v>
      </c>
      <c r="K506" s="29">
        <f ca="1">'Preventative costs A'!K506-'Preventative costs B'!K506</f>
        <v>-196.99887900027124</v>
      </c>
      <c r="M506" s="4" t="str">
        <f t="shared" ref="M506:M513" si="33">CURRENCY_NAME&amp;" per "&amp;EMIT_NAME</f>
        <v>$M(2015) per Mtonne</v>
      </c>
    </row>
    <row r="507" spans="1:13" s="7" customFormat="1" x14ac:dyDescent="0.2">
      <c r="A507" s="4" t="str">
        <v>US CH4</v>
      </c>
      <c r="B507" s="26">
        <f ca="1">'Preventative costs A'!B507-'Preventative costs B'!B507</f>
        <v>0</v>
      </c>
      <c r="C507" s="26">
        <f ca="1">'Preventative costs A'!C507-'Preventative costs B'!C507</f>
        <v>0</v>
      </c>
      <c r="D507" s="26">
        <f ca="1">'Preventative costs A'!D507-'Preventative costs B'!D507</f>
        <v>0</v>
      </c>
      <c r="E507" s="26">
        <f ca="1">'Preventative costs A'!E507-'Preventative costs B'!E507</f>
        <v>0</v>
      </c>
      <c r="F507" s="26">
        <f ca="1">'Preventative costs A'!F507-'Preventative costs B'!F507</f>
        <v>0</v>
      </c>
      <c r="G507" s="26">
        <f ca="1">'Preventative costs A'!G507-'Preventative costs B'!G507</f>
        <v>-97.114967063614017</v>
      </c>
      <c r="H507" s="26">
        <f ca="1">'Preventative costs A'!H507-'Preventative costs B'!H507</f>
        <v>-162.76311450309561</v>
      </c>
      <c r="I507" s="26">
        <f ca="1">'Preventative costs A'!I507-'Preventative costs B'!I507</f>
        <v>-196.10257040480326</v>
      </c>
      <c r="J507" s="26">
        <f ca="1">'Preventative costs A'!J507-'Preventative costs B'!J507</f>
        <v>-208.66217963019699</v>
      </c>
      <c r="K507" s="26">
        <f ca="1">'Preventative costs A'!K507-'Preventative costs B'!K507</f>
        <v>-208.34420905824845</v>
      </c>
      <c r="M507" s="4" t="str">
        <f t="shared" si="33"/>
        <v>$M(2015) per Mtonne</v>
      </c>
    </row>
    <row r="508" spans="1:13" s="7" customFormat="1" x14ac:dyDescent="0.2">
      <c r="A508" s="4" t="str">
        <v>OT CH4</v>
      </c>
      <c r="B508" s="26">
        <f ca="1">'Preventative costs A'!B508-'Preventative costs B'!B508</f>
        <v>0</v>
      </c>
      <c r="C508" s="26">
        <f ca="1">'Preventative costs A'!C508-'Preventative costs B'!C508</f>
        <v>0</v>
      </c>
      <c r="D508" s="26">
        <f ca="1">'Preventative costs A'!D508-'Preventative costs B'!D508</f>
        <v>0</v>
      </c>
      <c r="E508" s="26">
        <f ca="1">'Preventative costs A'!E508-'Preventative costs B'!E508</f>
        <v>0</v>
      </c>
      <c r="F508" s="26">
        <f ca="1">'Preventative costs A'!F508-'Preventative costs B'!F508</f>
        <v>0</v>
      </c>
      <c r="G508" s="26">
        <f ca="1">'Preventative costs A'!G508-'Preventative costs B'!G508</f>
        <v>-105.04111887656086</v>
      </c>
      <c r="H508" s="26">
        <f ca="1">'Preventative costs A'!H508-'Preventative costs B'!H508</f>
        <v>-186.22865560515061</v>
      </c>
      <c r="I508" s="26">
        <f ca="1">'Preventative costs A'!I508-'Preventative costs B'!I508</f>
        <v>-229.49961962324699</v>
      </c>
      <c r="J508" s="26">
        <f ca="1">'Preventative costs A'!J508-'Preventative costs B'!J508</f>
        <v>-247.44788670165497</v>
      </c>
      <c r="K508" s="26">
        <f ca="1">'Preventative costs A'!K508-'Preventative costs B'!K508</f>
        <v>-250.08162324734315</v>
      </c>
      <c r="M508" s="4" t="str">
        <f t="shared" si="33"/>
        <v>$M(2015) per Mtonne</v>
      </c>
    </row>
    <row r="509" spans="1:13" s="7" customFormat="1" x14ac:dyDescent="0.2">
      <c r="A509" s="4" t="str">
        <v>EE CH4</v>
      </c>
      <c r="B509" s="26">
        <f ca="1">'Preventative costs A'!B509-'Preventative costs B'!B509</f>
        <v>0</v>
      </c>
      <c r="C509" s="26">
        <f ca="1">'Preventative costs A'!C509-'Preventative costs B'!C509</f>
        <v>0</v>
      </c>
      <c r="D509" s="26">
        <f ca="1">'Preventative costs A'!D509-'Preventative costs B'!D509</f>
        <v>0</v>
      </c>
      <c r="E509" s="26">
        <f ca="1">'Preventative costs A'!E509-'Preventative costs B'!E509</f>
        <v>0</v>
      </c>
      <c r="F509" s="26">
        <f ca="1">'Preventative costs A'!F509-'Preventative costs B'!F509</f>
        <v>0</v>
      </c>
      <c r="G509" s="26">
        <f ca="1">'Preventative costs A'!G509-'Preventative costs B'!G509</f>
        <v>-72.813612801287491</v>
      </c>
      <c r="H509" s="26">
        <f ca="1">'Preventative costs A'!H509-'Preventative costs B'!H509</f>
        <v>-125.93025563639935</v>
      </c>
      <c r="I509" s="26">
        <f ca="1">'Preventative costs A'!I509-'Preventative costs B'!I509</f>
        <v>-153.56400258829871</v>
      </c>
      <c r="J509" s="26">
        <f ca="1">'Preventative costs A'!J509-'Preventative costs B'!J509</f>
        <v>-165.45070826166057</v>
      </c>
      <c r="K509" s="26">
        <f ca="1">'Preventative costs A'!K509-'Preventative costs B'!K509</f>
        <v>-167.26440722067161</v>
      </c>
      <c r="M509" s="4" t="str">
        <f t="shared" si="33"/>
        <v>$M(2015) per Mtonne</v>
      </c>
    </row>
    <row r="510" spans="1:13" s="7" customFormat="1" x14ac:dyDescent="0.2">
      <c r="A510" s="4" t="str">
        <v>CA CH4</v>
      </c>
      <c r="B510" s="26">
        <f ca="1">'Preventative costs A'!B510-'Preventative costs B'!B510</f>
        <v>0</v>
      </c>
      <c r="C510" s="26">
        <f ca="1">'Preventative costs A'!C510-'Preventative costs B'!C510</f>
        <v>0</v>
      </c>
      <c r="D510" s="26">
        <f ca="1">'Preventative costs A'!D510-'Preventative costs B'!D510</f>
        <v>0</v>
      </c>
      <c r="E510" s="26">
        <f ca="1">'Preventative costs A'!E510-'Preventative costs B'!E510</f>
        <v>0</v>
      </c>
      <c r="F510" s="26">
        <f ca="1">'Preventative costs A'!F510-'Preventative costs B'!F510</f>
        <v>0</v>
      </c>
      <c r="G510" s="26">
        <f ca="1">'Preventative costs A'!G510-'Preventative costs B'!G510</f>
        <v>-95.262605051441938</v>
      </c>
      <c r="H510" s="26">
        <f ca="1">'Preventative costs A'!H510-'Preventative costs B'!H510</f>
        <v>-162.76863429134301</v>
      </c>
      <c r="I510" s="26">
        <f ca="1">'Preventative costs A'!I510-'Preventative costs B'!I510</f>
        <v>-198.22686890935051</v>
      </c>
      <c r="J510" s="26">
        <f ca="1">'Preventative costs A'!J510-'Preventative costs B'!J510</f>
        <v>-211.52529946419338</v>
      </c>
      <c r="K510" s="26">
        <f ca="1">'Preventative costs A'!K510-'Preventative costs B'!K510</f>
        <v>-212.49412138248465</v>
      </c>
      <c r="M510" s="4" t="str">
        <f t="shared" si="33"/>
        <v>$M(2015) per Mtonne</v>
      </c>
    </row>
    <row r="511" spans="1:13" s="7" customFormat="1" x14ac:dyDescent="0.2">
      <c r="A511" s="4" t="str">
        <v>IA CH4</v>
      </c>
      <c r="B511" s="26">
        <f ca="1">'Preventative costs A'!B511-'Preventative costs B'!B511</f>
        <v>0</v>
      </c>
      <c r="C511" s="26">
        <f ca="1">'Preventative costs A'!C511-'Preventative costs B'!C511</f>
        <v>0</v>
      </c>
      <c r="D511" s="26">
        <f ca="1">'Preventative costs A'!D511-'Preventative costs B'!D511</f>
        <v>0</v>
      </c>
      <c r="E511" s="26">
        <f ca="1">'Preventative costs A'!E511-'Preventative costs B'!E511</f>
        <v>0</v>
      </c>
      <c r="F511" s="26">
        <f ca="1">'Preventative costs A'!F511-'Preventative costs B'!F511</f>
        <v>0</v>
      </c>
      <c r="G511" s="26">
        <f ca="1">'Preventative costs A'!G511-'Preventative costs B'!G511</f>
        <v>-142.50429540148116</v>
      </c>
      <c r="H511" s="26">
        <f ca="1">'Preventative costs A'!H511-'Preventative costs B'!H511</f>
        <v>-221.86384783838378</v>
      </c>
      <c r="I511" s="26">
        <f ca="1">'Preventative costs A'!I511-'Preventative costs B'!I511</f>
        <v>-257.74404379112468</v>
      </c>
      <c r="J511" s="26">
        <f ca="1">'Preventative costs A'!J511-'Preventative costs B'!J511</f>
        <v>-269.41591552499892</v>
      </c>
      <c r="K511" s="26">
        <f ca="1">'Preventative costs A'!K511-'Preventative costs B'!K511</f>
        <v>-267.91199095409002</v>
      </c>
      <c r="M511" s="4" t="str">
        <f t="shared" si="33"/>
        <v>$M(2015) per Mtonne</v>
      </c>
    </row>
    <row r="512" spans="1:13" s="7" customFormat="1" x14ac:dyDescent="0.2">
      <c r="A512" s="4" t="str">
        <v>AF CH4</v>
      </c>
      <c r="B512" s="26">
        <f ca="1">'Preventative costs A'!B512-'Preventative costs B'!B512</f>
        <v>0</v>
      </c>
      <c r="C512" s="26">
        <f ca="1">'Preventative costs A'!C512-'Preventative costs B'!C512</f>
        <v>0</v>
      </c>
      <c r="D512" s="26">
        <f ca="1">'Preventative costs A'!D512-'Preventative costs B'!D512</f>
        <v>0</v>
      </c>
      <c r="E512" s="26">
        <f ca="1">'Preventative costs A'!E512-'Preventative costs B'!E512</f>
        <v>0</v>
      </c>
      <c r="F512" s="26">
        <f ca="1">'Preventative costs A'!F512-'Preventative costs B'!F512</f>
        <v>0</v>
      </c>
      <c r="G512" s="26">
        <f ca="1">'Preventative costs A'!G512-'Preventative costs B'!G512</f>
        <v>-187.20562495729268</v>
      </c>
      <c r="H512" s="26">
        <f ca="1">'Preventative costs A'!H512-'Preventative costs B'!H512</f>
        <v>-313.64099299589918</v>
      </c>
      <c r="I512" s="26">
        <f ca="1">'Preventative costs A'!I512-'Preventative costs B'!I512</f>
        <v>-368.50169716344556</v>
      </c>
      <c r="J512" s="26">
        <f ca="1">'Preventative costs A'!J512-'Preventative costs B'!J512</f>
        <v>-383.34191562992055</v>
      </c>
      <c r="K512" s="26">
        <f ca="1">'Preventative costs A'!K512-'Preventative costs B'!K512</f>
        <v>-375.83469267767771</v>
      </c>
      <c r="M512" s="4" t="str">
        <f t="shared" si="33"/>
        <v>$M(2015) per Mtonne</v>
      </c>
    </row>
    <row r="513" spans="1:13" s="7" customFormat="1" ht="13.5" thickBot="1" x14ac:dyDescent="0.25">
      <c r="A513" s="4" t="str">
        <v>LA CH4</v>
      </c>
      <c r="B513" s="35">
        <f ca="1">'Preventative costs A'!B513-'Preventative costs B'!B513</f>
        <v>0</v>
      </c>
      <c r="C513" s="35">
        <f ca="1">'Preventative costs A'!C513-'Preventative costs B'!C513</f>
        <v>0</v>
      </c>
      <c r="D513" s="35">
        <f ca="1">'Preventative costs A'!D513-'Preventative costs B'!D513</f>
        <v>0</v>
      </c>
      <c r="E513" s="35">
        <f ca="1">'Preventative costs A'!E513-'Preventative costs B'!E513</f>
        <v>0</v>
      </c>
      <c r="F513" s="35">
        <f ca="1">'Preventative costs A'!F513-'Preventative costs B'!F513</f>
        <v>0</v>
      </c>
      <c r="G513" s="35">
        <f ca="1">'Preventative costs A'!G513-'Preventative costs B'!G513</f>
        <v>-69.526635725174174</v>
      </c>
      <c r="H513" s="35">
        <f ca="1">'Preventative costs A'!H513-'Preventative costs B'!H513</f>
        <v>-119.64559703918053</v>
      </c>
      <c r="I513" s="35">
        <f ca="1">'Preventative costs A'!I513-'Preventative costs B'!I513</f>
        <v>-145.14529031844688</v>
      </c>
      <c r="J513" s="35">
        <f ca="1">'Preventative costs A'!J513-'Preventative costs B'!J513</f>
        <v>-155.03647994013158</v>
      </c>
      <c r="K513" s="35">
        <f ca="1">'Preventative costs A'!K513-'Preventative costs B'!K513</f>
        <v>-155.04732267821919</v>
      </c>
      <c r="M513" s="4" t="str">
        <f t="shared" si="33"/>
        <v>$M(2015) per Mtonne</v>
      </c>
    </row>
    <row r="514" spans="1:13" s="2" customFormat="1" ht="15" thickTop="1" x14ac:dyDescent="0.25">
      <c r="A514" s="2" t="s">
        <v>337</v>
      </c>
      <c r="B514" s="2" t="s">
        <v>340</v>
      </c>
    </row>
    <row r="515" spans="1:13" s="7" customFormat="1" x14ac:dyDescent="0.2">
      <c r="A515" s="4" t="str">
        <f t="array" ref="A515:A522">R_CODE&amp;" "&amp;'Base data'!$D$12</f>
        <v>EU N2O</v>
      </c>
      <c r="B515" s="29">
        <f ca="1">'Preventative costs A'!B515-'Preventative costs B'!B515</f>
        <v>0</v>
      </c>
      <c r="C515" s="29">
        <f ca="1">'Preventative costs A'!C515-'Preventative costs B'!C515</f>
        <v>0</v>
      </c>
      <c r="D515" s="29">
        <f ca="1">'Preventative costs A'!D515-'Preventative costs B'!D515</f>
        <v>0</v>
      </c>
      <c r="E515" s="29">
        <f ca="1">'Preventative costs A'!E515-'Preventative costs B'!E515</f>
        <v>0</v>
      </c>
      <c r="F515" s="29">
        <f ca="1">'Preventative costs A'!F515-'Preventative costs B'!F515</f>
        <v>0</v>
      </c>
      <c r="G515" s="29">
        <f ca="1">'Preventative costs A'!G515-'Preventative costs B'!G515</f>
        <v>-231.22878603089612</v>
      </c>
      <c r="H515" s="29">
        <f ca="1">'Preventative costs A'!H515-'Preventative costs B'!H515</f>
        <v>-253.58625480642195</v>
      </c>
      <c r="I515" s="29">
        <f ca="1">'Preventative costs A'!I515-'Preventative costs B'!I515</f>
        <v>-233.37385676126587</v>
      </c>
      <c r="J515" s="29">
        <f ca="1">'Preventative costs A'!J515-'Preventative costs B'!J515</f>
        <v>-232.54097350635857</v>
      </c>
      <c r="K515" s="29">
        <f ca="1">'Preventative costs A'!K515-'Preventative costs B'!K515</f>
        <v>-235.06178272925126</v>
      </c>
      <c r="M515" s="4" t="str">
        <f t="shared" ref="M515:M522" si="34">CURRENCY_NAME&amp;" per "&amp;EMIT_NAME</f>
        <v>$M(2015) per Mtonne</v>
      </c>
    </row>
    <row r="516" spans="1:13" s="7" customFormat="1" x14ac:dyDescent="0.2">
      <c r="A516" s="4" t="str">
        <v>US N2O</v>
      </c>
      <c r="B516" s="26">
        <f ca="1">'Preventative costs A'!B516-'Preventative costs B'!B516</f>
        <v>0</v>
      </c>
      <c r="C516" s="26">
        <f ca="1">'Preventative costs A'!C516-'Preventative costs B'!C516</f>
        <v>0</v>
      </c>
      <c r="D516" s="26">
        <f ca="1">'Preventative costs A'!D516-'Preventative costs B'!D516</f>
        <v>0</v>
      </c>
      <c r="E516" s="26">
        <f ca="1">'Preventative costs A'!E516-'Preventative costs B'!E516</f>
        <v>0</v>
      </c>
      <c r="F516" s="26">
        <f ca="1">'Preventative costs A'!F516-'Preventative costs B'!F516</f>
        <v>0</v>
      </c>
      <c r="G516" s="26">
        <f ca="1">'Preventative costs A'!G516-'Preventative costs B'!G516</f>
        <v>-223.02210720880794</v>
      </c>
      <c r="H516" s="26">
        <f ca="1">'Preventative costs A'!H516-'Preventative costs B'!H516</f>
        <v>-244.77678274306709</v>
      </c>
      <c r="I516" s="26">
        <f ca="1">'Preventative costs A'!I516-'Preventative costs B'!I516</f>
        <v>-225.2795138009219</v>
      </c>
      <c r="J516" s="26">
        <f ca="1">'Preventative costs A'!J516-'Preventative costs B'!J516</f>
        <v>-224.57412489400804</v>
      </c>
      <c r="K516" s="26">
        <f ca="1">'Preventative costs A'!K516-'Preventative costs B'!K516</f>
        <v>-227.13471427244895</v>
      </c>
      <c r="M516" s="4" t="str">
        <f t="shared" si="34"/>
        <v>$M(2015) per Mtonne</v>
      </c>
    </row>
    <row r="517" spans="1:13" s="7" customFormat="1" x14ac:dyDescent="0.2">
      <c r="A517" s="4" t="str">
        <v>OT N2O</v>
      </c>
      <c r="B517" s="26">
        <f ca="1">'Preventative costs A'!B517-'Preventative costs B'!B517</f>
        <v>0</v>
      </c>
      <c r="C517" s="26">
        <f ca="1">'Preventative costs A'!C517-'Preventative costs B'!C517</f>
        <v>0</v>
      </c>
      <c r="D517" s="26">
        <f ca="1">'Preventative costs A'!D517-'Preventative costs B'!D517</f>
        <v>0</v>
      </c>
      <c r="E517" s="26">
        <f ca="1">'Preventative costs A'!E517-'Preventative costs B'!E517</f>
        <v>0</v>
      </c>
      <c r="F517" s="26">
        <f ca="1">'Preventative costs A'!F517-'Preventative costs B'!F517</f>
        <v>0</v>
      </c>
      <c r="G517" s="26">
        <f ca="1">'Preventative costs A'!G517-'Preventative costs B'!G517</f>
        <v>-239.45263225817143</v>
      </c>
      <c r="H517" s="26">
        <f ca="1">'Preventative costs A'!H517-'Preventative costs B'!H517</f>
        <v>-263.53750618157665</v>
      </c>
      <c r="I517" s="26">
        <f ca="1">'Preventative costs A'!I517-'Preventative costs B'!I517</f>
        <v>-242.59549580165913</v>
      </c>
      <c r="J517" s="26">
        <f ca="1">'Preventative costs A'!J517-'Preventative costs B'!J517</f>
        <v>-242.21431957113236</v>
      </c>
      <c r="K517" s="26">
        <f ca="1">'Preventative costs A'!K517-'Preventative costs B'!K517</f>
        <v>-245.46243050238763</v>
      </c>
      <c r="M517" s="4" t="str">
        <f t="shared" si="34"/>
        <v>$M(2015) per Mtonne</v>
      </c>
    </row>
    <row r="518" spans="1:13" s="7" customFormat="1" x14ac:dyDescent="0.2">
      <c r="A518" s="4" t="str">
        <v>EE N2O</v>
      </c>
      <c r="B518" s="26">
        <f ca="1">'Preventative costs A'!B518-'Preventative costs B'!B518</f>
        <v>0</v>
      </c>
      <c r="C518" s="26">
        <f ca="1">'Preventative costs A'!C518-'Preventative costs B'!C518</f>
        <v>0</v>
      </c>
      <c r="D518" s="26">
        <f ca="1">'Preventative costs A'!D518-'Preventative costs B'!D518</f>
        <v>0</v>
      </c>
      <c r="E518" s="26">
        <f ca="1">'Preventative costs A'!E518-'Preventative costs B'!E518</f>
        <v>0</v>
      </c>
      <c r="F518" s="26">
        <f ca="1">'Preventative costs A'!F518-'Preventative costs B'!F518</f>
        <v>0</v>
      </c>
      <c r="G518" s="26">
        <f ca="1">'Preventative costs A'!G518-'Preventative costs B'!G518</f>
        <v>-128.38002895212321</v>
      </c>
      <c r="H518" s="26">
        <f ca="1">'Preventative costs A'!H518-'Preventative costs B'!H518</f>
        <v>-141.43965754595638</v>
      </c>
      <c r="I518" s="26">
        <f ca="1">'Preventative costs A'!I518-'Preventative costs B'!I518</f>
        <v>-130.21018219212328</v>
      </c>
      <c r="J518" s="26">
        <f ca="1">'Preventative costs A'!J518-'Preventative costs B'!J518</f>
        <v>-130.08228220080582</v>
      </c>
      <c r="K518" s="26">
        <f ca="1">'Preventative costs A'!K518-'Preventative costs B'!K518</f>
        <v>-131.92565696758538</v>
      </c>
      <c r="M518" s="4" t="str">
        <f t="shared" si="34"/>
        <v>$M(2015) per Mtonne</v>
      </c>
    </row>
    <row r="519" spans="1:13" s="7" customFormat="1" x14ac:dyDescent="0.2">
      <c r="A519" s="4" t="str">
        <v>CA N2O</v>
      </c>
      <c r="B519" s="26">
        <f ca="1">'Preventative costs A'!B519-'Preventative costs B'!B519</f>
        <v>0</v>
      </c>
      <c r="C519" s="26">
        <f ca="1">'Preventative costs A'!C519-'Preventative costs B'!C519</f>
        <v>0</v>
      </c>
      <c r="D519" s="26">
        <f ca="1">'Preventative costs A'!D519-'Preventative costs B'!D519</f>
        <v>0</v>
      </c>
      <c r="E519" s="26">
        <f ca="1">'Preventative costs A'!E519-'Preventative costs B'!E519</f>
        <v>0</v>
      </c>
      <c r="F519" s="26">
        <f ca="1">'Preventative costs A'!F519-'Preventative costs B'!F519</f>
        <v>0</v>
      </c>
      <c r="G519" s="26">
        <f ca="1">'Preventative costs A'!G519-'Preventative costs B'!G519</f>
        <v>-279.16292413859537</v>
      </c>
      <c r="H519" s="26">
        <f ca="1">'Preventative costs A'!H519-'Preventative costs B'!H519</f>
        <v>-304.78134065295581</v>
      </c>
      <c r="I519" s="26">
        <f ca="1">'Preventative costs A'!I519-'Preventative costs B'!I519</f>
        <v>-280.39561788523224</v>
      </c>
      <c r="J519" s="26">
        <f ca="1">'Preventative costs A'!J519-'Preventative costs B'!J519</f>
        <v>-278.69179523131197</v>
      </c>
      <c r="K519" s="26">
        <f ca="1">'Preventative costs A'!K519-'Preventative costs B'!K519</f>
        <v>-280.82015725584142</v>
      </c>
      <c r="M519" s="4" t="str">
        <f t="shared" si="34"/>
        <v>$M(2015) per Mtonne</v>
      </c>
    </row>
    <row r="520" spans="1:13" s="7" customFormat="1" x14ac:dyDescent="0.2">
      <c r="A520" s="4" t="str">
        <v>IA N2O</v>
      </c>
      <c r="B520" s="26">
        <f ca="1">'Preventative costs A'!B520-'Preventative costs B'!B520</f>
        <v>0</v>
      </c>
      <c r="C520" s="26">
        <f ca="1">'Preventative costs A'!C520-'Preventative costs B'!C520</f>
        <v>0</v>
      </c>
      <c r="D520" s="26">
        <f ca="1">'Preventative costs A'!D520-'Preventative costs B'!D520</f>
        <v>0</v>
      </c>
      <c r="E520" s="26">
        <f ca="1">'Preventative costs A'!E520-'Preventative costs B'!E520</f>
        <v>0</v>
      </c>
      <c r="F520" s="26">
        <f ca="1">'Preventative costs A'!F520-'Preventative costs B'!F520</f>
        <v>0</v>
      </c>
      <c r="G520" s="26">
        <f ca="1">'Preventative costs A'!G520-'Preventative costs B'!G520</f>
        <v>-269.43970810753399</v>
      </c>
      <c r="H520" s="26">
        <f ca="1">'Preventative costs A'!H520-'Preventative costs B'!H520</f>
        <v>-295.85056968617937</v>
      </c>
      <c r="I520" s="26">
        <f ca="1">'Preventative costs A'!I520-'Preventative costs B'!I520</f>
        <v>-272.29383746388703</v>
      </c>
      <c r="J520" s="26">
        <f ca="1">'Preventative costs A'!J520-'Preventative costs B'!J520</f>
        <v>-271.50772099232381</v>
      </c>
      <c r="K520" s="26">
        <f ca="1">'Preventative costs A'!K520-'Preventative costs B'!K520</f>
        <v>-274.68860559934092</v>
      </c>
      <c r="M520" s="4" t="str">
        <f t="shared" si="34"/>
        <v>$M(2015) per Mtonne</v>
      </c>
    </row>
    <row r="521" spans="1:13" s="7" customFormat="1" x14ac:dyDescent="0.2">
      <c r="A521" s="4" t="str">
        <v>AF N2O</v>
      </c>
      <c r="B521" s="26">
        <f ca="1">'Preventative costs A'!B521-'Preventative costs B'!B521</f>
        <v>0</v>
      </c>
      <c r="C521" s="26">
        <f ca="1">'Preventative costs A'!C521-'Preventative costs B'!C521</f>
        <v>0</v>
      </c>
      <c r="D521" s="26">
        <f ca="1">'Preventative costs A'!D521-'Preventative costs B'!D521</f>
        <v>0</v>
      </c>
      <c r="E521" s="26">
        <f ca="1">'Preventative costs A'!E521-'Preventative costs B'!E521</f>
        <v>0</v>
      </c>
      <c r="F521" s="26">
        <f ca="1">'Preventative costs A'!F521-'Preventative costs B'!F521</f>
        <v>0</v>
      </c>
      <c r="G521" s="26">
        <f ca="1">'Preventative costs A'!G521-'Preventative costs B'!G521</f>
        <v>-321.69866389540584</v>
      </c>
      <c r="H521" s="26">
        <f ca="1">'Preventative costs A'!H521-'Preventative costs B'!H521</f>
        <v>-351.82106214130545</v>
      </c>
      <c r="I521" s="26">
        <f ca="1">'Preventative costs A'!I521-'Preventative costs B'!I521</f>
        <v>-323.71225853018495</v>
      </c>
      <c r="J521" s="26">
        <f ca="1">'Preventative costs A'!J521-'Preventative costs B'!J521</f>
        <v>-322.05241334255834</v>
      </c>
      <c r="K521" s="26">
        <f ca="1">'Preventative costs A'!K521-'Preventative costs B'!K521</f>
        <v>-324.90138365550229</v>
      </c>
      <c r="M521" s="4" t="str">
        <f t="shared" si="34"/>
        <v>$M(2015) per Mtonne</v>
      </c>
    </row>
    <row r="522" spans="1:13" s="7" customFormat="1" ht="13.5" thickBot="1" x14ac:dyDescent="0.25">
      <c r="A522" s="4" t="str">
        <v>LA N2O</v>
      </c>
      <c r="B522" s="35">
        <f ca="1">'Preventative costs A'!B522-'Preventative costs B'!B522</f>
        <v>0</v>
      </c>
      <c r="C522" s="35">
        <f ca="1">'Preventative costs A'!C522-'Preventative costs B'!C522</f>
        <v>0</v>
      </c>
      <c r="D522" s="35">
        <f ca="1">'Preventative costs A'!D522-'Preventative costs B'!D522</f>
        <v>0</v>
      </c>
      <c r="E522" s="35">
        <f ca="1">'Preventative costs A'!E522-'Preventative costs B'!E522</f>
        <v>0</v>
      </c>
      <c r="F522" s="35">
        <f ca="1">'Preventative costs A'!F522-'Preventative costs B'!F522</f>
        <v>0</v>
      </c>
      <c r="G522" s="35">
        <f ca="1">'Preventative costs A'!G522-'Preventative costs B'!G522</f>
        <v>-180.00376727599769</v>
      </c>
      <c r="H522" s="35">
        <f ca="1">'Preventative costs A'!H522-'Preventative costs B'!H522</f>
        <v>-196.92652532043167</v>
      </c>
      <c r="I522" s="35">
        <f ca="1">'Preventative costs A'!I522-'Preventative costs B'!I522</f>
        <v>-181.19764881979108</v>
      </c>
      <c r="J522" s="35">
        <f ca="1">'Preventative costs A'!J522-'Preventative costs B'!J522</f>
        <v>-180.30342236458728</v>
      </c>
      <c r="K522" s="35">
        <f ca="1">'Preventative costs A'!K522-'Preventative costs B'!K522</f>
        <v>-181.94273526714915</v>
      </c>
      <c r="M522" s="4" t="str">
        <f t="shared" si="34"/>
        <v>$M(2015) per Mtonne</v>
      </c>
    </row>
    <row r="523" spans="1:13" s="2" customFormat="1" ht="15" thickTop="1" x14ac:dyDescent="0.25">
      <c r="A523" s="2" t="s">
        <v>337</v>
      </c>
      <c r="B523" s="2" t="s">
        <v>341</v>
      </c>
    </row>
    <row r="524" spans="1:13" s="7" customFormat="1" x14ac:dyDescent="0.2">
      <c r="A524" s="4" t="str">
        <f t="array" ref="A524:A531">R_CODE&amp;" "&amp;GLIN_NAME</f>
        <v>EU Lin</v>
      </c>
      <c r="B524" s="29">
        <f ca="1">'Preventative costs A'!B524-'Preventative costs B'!B524</f>
        <v>0</v>
      </c>
      <c r="C524" s="29">
        <f ca="1">'Preventative costs A'!C524-'Preventative costs B'!C524</f>
        <v>0</v>
      </c>
      <c r="D524" s="29">
        <f ca="1">'Preventative costs A'!D524-'Preventative costs B'!D524</f>
        <v>0</v>
      </c>
      <c r="E524" s="29">
        <f ca="1">'Preventative costs A'!E524-'Preventative costs B'!E524</f>
        <v>0</v>
      </c>
      <c r="F524" s="29">
        <f ca="1">'Preventative costs A'!F524-'Preventative costs B'!F524</f>
        <v>0</v>
      </c>
      <c r="G524" s="29">
        <f ca="1">'Preventative costs A'!G524-'Preventative costs B'!G524</f>
        <v>-8.4801161926954052</v>
      </c>
      <c r="H524" s="29">
        <f ca="1">'Preventative costs A'!H524-'Preventative costs B'!H524</f>
        <v>-15.870644892020266</v>
      </c>
      <c r="I524" s="29">
        <f ca="1">'Preventative costs A'!I524-'Preventative costs B'!I524</f>
        <v>-18.597862421469532</v>
      </c>
      <c r="J524" s="29">
        <f ca="1">'Preventative costs A'!J524-'Preventative costs B'!J524</f>
        <v>-19.341998292026016</v>
      </c>
      <c r="K524" s="29">
        <f ca="1">'Preventative costs A'!K524-'Preventative costs B'!K524</f>
        <v>-19.063364800534792</v>
      </c>
      <c r="M524" s="4" t="str">
        <f t="shared" ref="M524:M531" si="35">CURRENCY_NAME&amp;" per "&amp;EMIT_NAME</f>
        <v>$M(2015) per Mtonne</v>
      </c>
    </row>
    <row r="525" spans="1:13" s="7" customFormat="1" x14ac:dyDescent="0.2">
      <c r="A525" s="4" t="str">
        <v>US Lin</v>
      </c>
      <c r="B525" s="26">
        <f ca="1">'Preventative costs A'!B525-'Preventative costs B'!B525</f>
        <v>0</v>
      </c>
      <c r="C525" s="26">
        <f ca="1">'Preventative costs A'!C525-'Preventative costs B'!C525</f>
        <v>0</v>
      </c>
      <c r="D525" s="26">
        <f ca="1">'Preventative costs A'!D525-'Preventative costs B'!D525</f>
        <v>0</v>
      </c>
      <c r="E525" s="26">
        <f ca="1">'Preventative costs A'!E525-'Preventative costs B'!E525</f>
        <v>0</v>
      </c>
      <c r="F525" s="26">
        <f ca="1">'Preventative costs A'!F525-'Preventative costs B'!F525</f>
        <v>0</v>
      </c>
      <c r="G525" s="26">
        <f ca="1">'Preventative costs A'!G525-'Preventative costs B'!G525</f>
        <v>-11.440848608299333</v>
      </c>
      <c r="H525" s="26">
        <f ca="1">'Preventative costs A'!H525-'Preventative costs B'!H525</f>
        <v>-19.323471539563659</v>
      </c>
      <c r="I525" s="26">
        <f ca="1">'Preventative costs A'!I525-'Preventative costs B'!I525</f>
        <v>-21.671652046560684</v>
      </c>
      <c r="J525" s="26">
        <f ca="1">'Preventative costs A'!J525-'Preventative costs B'!J525</f>
        <v>-21.999836162205202</v>
      </c>
      <c r="K525" s="26">
        <f ca="1">'Preventative costs A'!K525-'Preventative costs B'!K525</f>
        <v>-21.366837612738728</v>
      </c>
      <c r="M525" s="4" t="str">
        <f t="shared" si="35"/>
        <v>$M(2015) per Mtonne</v>
      </c>
    </row>
    <row r="526" spans="1:13" s="7" customFormat="1" x14ac:dyDescent="0.2">
      <c r="A526" s="4" t="str">
        <v>OT Lin</v>
      </c>
      <c r="B526" s="26">
        <f ca="1">'Preventative costs A'!B526-'Preventative costs B'!B526</f>
        <v>0</v>
      </c>
      <c r="C526" s="26">
        <f ca="1">'Preventative costs A'!C526-'Preventative costs B'!C526</f>
        <v>0</v>
      </c>
      <c r="D526" s="26">
        <f ca="1">'Preventative costs A'!D526-'Preventative costs B'!D526</f>
        <v>0</v>
      </c>
      <c r="E526" s="26">
        <f ca="1">'Preventative costs A'!E526-'Preventative costs B'!E526</f>
        <v>0</v>
      </c>
      <c r="F526" s="26">
        <f ca="1">'Preventative costs A'!F526-'Preventative costs B'!F526</f>
        <v>0</v>
      </c>
      <c r="G526" s="26">
        <f ca="1">'Preventative costs A'!G526-'Preventative costs B'!G526</f>
        <v>-10.295430695314366</v>
      </c>
      <c r="H526" s="26">
        <f ca="1">'Preventative costs A'!H526-'Preventative costs B'!H526</f>
        <v>-19.365862309616475</v>
      </c>
      <c r="I526" s="26">
        <f ca="1">'Preventative costs A'!I526-'Preventative costs B'!I526</f>
        <v>-22.746338298290596</v>
      </c>
      <c r="J526" s="26">
        <f ca="1">'Preventative costs A'!J526-'Preventative costs B'!J526</f>
        <v>-23.687423174198379</v>
      </c>
      <c r="K526" s="26">
        <f ca="1">'Preventative costs A'!K526-'Preventative costs B'!K526</f>
        <v>-23.364918723961239</v>
      </c>
      <c r="M526" s="4" t="str">
        <f t="shared" si="35"/>
        <v>$M(2015) per Mtonne</v>
      </c>
    </row>
    <row r="527" spans="1:13" s="7" customFormat="1" x14ac:dyDescent="0.2">
      <c r="A527" s="4" t="str">
        <v>EE Lin</v>
      </c>
      <c r="B527" s="26">
        <f ca="1">'Preventative costs A'!B527-'Preventative costs B'!B527</f>
        <v>0</v>
      </c>
      <c r="C527" s="26">
        <f ca="1">'Preventative costs A'!C527-'Preventative costs B'!C527</f>
        <v>0</v>
      </c>
      <c r="D527" s="26">
        <f ca="1">'Preventative costs A'!D527-'Preventative costs B'!D527</f>
        <v>0</v>
      </c>
      <c r="E527" s="26">
        <f ca="1">'Preventative costs A'!E527-'Preventative costs B'!E527</f>
        <v>0</v>
      </c>
      <c r="F527" s="26">
        <f ca="1">'Preventative costs A'!F527-'Preventative costs B'!F527</f>
        <v>0</v>
      </c>
      <c r="G527" s="26">
        <f ca="1">'Preventative costs A'!G527-'Preventative costs B'!G527</f>
        <v>-4.8902154560959161</v>
      </c>
      <c r="H527" s="26">
        <f ca="1">'Preventative costs A'!H527-'Preventative costs B'!H527</f>
        <v>-9.7172787173511068</v>
      </c>
      <c r="I527" s="26">
        <f ca="1">'Preventative costs A'!I527-'Preventative costs B'!I527</f>
        <v>-11.715998549719355</v>
      </c>
      <c r="J527" s="26">
        <f ca="1">'Preventative costs A'!J527-'Preventative costs B'!J527</f>
        <v>-12.385243137719332</v>
      </c>
      <c r="K527" s="26">
        <f ca="1">'Preventative costs A'!K527-'Preventative costs B'!K527</f>
        <v>-12.330446101886228</v>
      </c>
      <c r="M527" s="4" t="str">
        <f t="shared" si="35"/>
        <v>$M(2015) per Mtonne</v>
      </c>
    </row>
    <row r="528" spans="1:13" s="7" customFormat="1" x14ac:dyDescent="0.2">
      <c r="A528" s="4" t="str">
        <v>CA Lin</v>
      </c>
      <c r="B528" s="26">
        <f ca="1">'Preventative costs A'!B528-'Preventative costs B'!B528</f>
        <v>0</v>
      </c>
      <c r="C528" s="26">
        <f ca="1">'Preventative costs A'!C528-'Preventative costs B'!C528</f>
        <v>0</v>
      </c>
      <c r="D528" s="26">
        <f ca="1">'Preventative costs A'!D528-'Preventative costs B'!D528</f>
        <v>0</v>
      </c>
      <c r="E528" s="26">
        <f ca="1">'Preventative costs A'!E528-'Preventative costs B'!E528</f>
        <v>0</v>
      </c>
      <c r="F528" s="26">
        <f ca="1">'Preventative costs A'!F528-'Preventative costs B'!F528</f>
        <v>0</v>
      </c>
      <c r="G528" s="26">
        <f ca="1">'Preventative costs A'!G528-'Preventative costs B'!G528</f>
        <v>-8.5658365239083736</v>
      </c>
      <c r="H528" s="26">
        <f ca="1">'Preventative costs A'!H528-'Preventative costs B'!H528</f>
        <v>-15.979003576597584</v>
      </c>
      <c r="I528" s="26">
        <f ca="1">'Preventative costs A'!I528-'Preventative costs B'!I528</f>
        <v>-18.697149308415508</v>
      </c>
      <c r="J528" s="26">
        <f ca="1">'Preventative costs A'!J528-'Preventative costs B'!J528</f>
        <v>-19.429052238394519</v>
      </c>
      <c r="K528" s="26">
        <f ca="1">'Preventative costs A'!K528-'Preventative costs B'!K528</f>
        <v>-19.139388468996941</v>
      </c>
      <c r="M528" s="4" t="str">
        <f t="shared" si="35"/>
        <v>$M(2015) per Mtonne</v>
      </c>
    </row>
    <row r="529" spans="1:13" s="7" customFormat="1" x14ac:dyDescent="0.2">
      <c r="A529" s="4" t="str">
        <v>IA Lin</v>
      </c>
      <c r="B529" s="26">
        <f ca="1">'Preventative costs A'!B529-'Preventative costs B'!B529</f>
        <v>0</v>
      </c>
      <c r="C529" s="26">
        <f ca="1">'Preventative costs A'!C529-'Preventative costs B'!C529</f>
        <v>0</v>
      </c>
      <c r="D529" s="26">
        <f ca="1">'Preventative costs A'!D529-'Preventative costs B'!D529</f>
        <v>0</v>
      </c>
      <c r="E529" s="26">
        <f ca="1">'Preventative costs A'!E529-'Preventative costs B'!E529</f>
        <v>0</v>
      </c>
      <c r="F529" s="26">
        <f ca="1">'Preventative costs A'!F529-'Preventative costs B'!F529</f>
        <v>0</v>
      </c>
      <c r="G529" s="26">
        <f ca="1">'Preventative costs A'!G529-'Preventative costs B'!G529</f>
        <v>-9.9304052486551981</v>
      </c>
      <c r="H529" s="26">
        <f ca="1">'Preventative costs A'!H529-'Preventative costs B'!H529</f>
        <v>-18.894959491829383</v>
      </c>
      <c r="I529" s="26">
        <f ca="1">'Preventative costs A'!I529-'Preventative costs B'!I529</f>
        <v>-22.311426828645338</v>
      </c>
      <c r="J529" s="26">
        <f ca="1">'Preventative costs A'!J529-'Preventative costs B'!J529</f>
        <v>-23.304586068842987</v>
      </c>
      <c r="K529" s="26">
        <f ca="1">'Preventative costs A'!K529-'Preventative costs B'!K529</f>
        <v>-23.029853243761156</v>
      </c>
      <c r="M529" s="4" t="str">
        <f t="shared" si="35"/>
        <v>$M(2015) per Mtonne</v>
      </c>
    </row>
    <row r="530" spans="1:13" s="7" customFormat="1" x14ac:dyDescent="0.2">
      <c r="A530" s="4" t="str">
        <v>AF Lin</v>
      </c>
      <c r="B530" s="26">
        <f ca="1">'Preventative costs A'!B530-'Preventative costs B'!B530</f>
        <v>0</v>
      </c>
      <c r="C530" s="26">
        <f ca="1">'Preventative costs A'!C530-'Preventative costs B'!C530</f>
        <v>0</v>
      </c>
      <c r="D530" s="26">
        <f ca="1">'Preventative costs A'!D530-'Preventative costs B'!D530</f>
        <v>0</v>
      </c>
      <c r="E530" s="26">
        <f ca="1">'Preventative costs A'!E530-'Preventative costs B'!E530</f>
        <v>0</v>
      </c>
      <c r="F530" s="26">
        <f ca="1">'Preventative costs A'!F530-'Preventative costs B'!F530</f>
        <v>0</v>
      </c>
      <c r="G530" s="26">
        <f ca="1">'Preventative costs A'!G530-'Preventative costs B'!G530</f>
        <v>-9.0099604023904334</v>
      </c>
      <c r="H530" s="26">
        <f ca="1">'Preventative costs A'!H530-'Preventative costs B'!H530</f>
        <v>-17.666186355065115</v>
      </c>
      <c r="I530" s="26">
        <f ca="1">'Preventative costs A'!I530-'Preventative costs B'!I530</f>
        <v>-21.160798393212545</v>
      </c>
      <c r="J530" s="26">
        <f ca="1">'Preventative costs A'!J530-'Preventative costs B'!J530</f>
        <v>-22.284629143840593</v>
      </c>
      <c r="K530" s="26">
        <f ca="1">'Preventative costs A'!K530-'Preventative costs B'!K530</f>
        <v>-22.133666280977049</v>
      </c>
      <c r="M530" s="4" t="str">
        <f t="shared" si="35"/>
        <v>$M(2015) per Mtonne</v>
      </c>
    </row>
    <row r="531" spans="1:13" s="7" customFormat="1" ht="13.5" thickBot="1" x14ac:dyDescent="0.25">
      <c r="A531" s="4" t="str">
        <v>LA Lin</v>
      </c>
      <c r="B531" s="35">
        <f ca="1">'Preventative costs A'!B531-'Preventative costs B'!B531</f>
        <v>0</v>
      </c>
      <c r="C531" s="35">
        <f ca="1">'Preventative costs A'!C531-'Preventative costs B'!C531</f>
        <v>0</v>
      </c>
      <c r="D531" s="35">
        <f ca="1">'Preventative costs A'!D531-'Preventative costs B'!D531</f>
        <v>0</v>
      </c>
      <c r="E531" s="35">
        <f ca="1">'Preventative costs A'!E531-'Preventative costs B'!E531</f>
        <v>0</v>
      </c>
      <c r="F531" s="35">
        <f ca="1">'Preventative costs A'!F531-'Preventative costs B'!F531</f>
        <v>0</v>
      </c>
      <c r="G531" s="35">
        <f ca="1">'Preventative costs A'!G531-'Preventative costs B'!G531</f>
        <v>-5.001544544168901</v>
      </c>
      <c r="H531" s="35">
        <f ca="1">'Preventative costs A'!H531-'Preventative costs B'!H531</f>
        <v>-9.8722713209632715</v>
      </c>
      <c r="I531" s="35">
        <f ca="1">'Preventative costs A'!I531-'Preventative costs B'!I531</f>
        <v>-11.863683277019788</v>
      </c>
      <c r="J531" s="35">
        <f ca="1">'Preventative costs A'!J531-'Preventative costs B'!J531</f>
        <v>-12.517329243023109</v>
      </c>
      <c r="K531" s="35">
        <f ca="1">'Preventative costs A'!K531-'Preventative costs B'!K531</f>
        <v>-12.447089761273688</v>
      </c>
      <c r="M531" s="4" t="str">
        <f t="shared" si="35"/>
        <v>$M(2015) per Mtonne</v>
      </c>
    </row>
    <row r="532" spans="1:13" s="2" customFormat="1" ht="15" thickTop="1" x14ac:dyDescent="0.25">
      <c r="A532" s="2" t="s">
        <v>342</v>
      </c>
      <c r="B532" s="2" t="s">
        <v>343</v>
      </c>
    </row>
    <row r="533" spans="1:13" s="6" customFormat="1" x14ac:dyDescent="0.2">
      <c r="A533" s="4" t="str">
        <f t="array" ref="A533:A540">R_CODE&amp;" "&amp;'Base data'!$B$12</f>
        <v>EU CO2</v>
      </c>
      <c r="B533" s="29">
        <f ca="1">'Preventative costs A'!B533-'Preventative costs B'!B533</f>
        <v>0</v>
      </c>
      <c r="C533" s="29">
        <f ca="1">'Preventative costs A'!C533-'Preventative costs B'!C533</f>
        <v>0</v>
      </c>
      <c r="D533" s="29">
        <f ca="1">'Preventative costs A'!D533-'Preventative costs B'!D533</f>
        <v>0</v>
      </c>
      <c r="E533" s="29">
        <f ca="1">'Preventative costs A'!E533-'Preventative costs B'!E533</f>
        <v>0</v>
      </c>
      <c r="F533" s="29">
        <f ca="1">'Preventative costs A'!F533-'Preventative costs B'!F533</f>
        <v>0</v>
      </c>
      <c r="G533" s="29">
        <f ca="1">'Preventative costs A'!G533-'Preventative costs B'!G533</f>
        <v>0</v>
      </c>
      <c r="H533" s="29">
        <f ca="1">'Preventative costs A'!H533-'Preventative costs B'!H533</f>
        <v>0</v>
      </c>
      <c r="I533" s="29">
        <f ca="1">'Preventative costs A'!I533-'Preventative costs B'!I533</f>
        <v>0</v>
      </c>
      <c r="J533" s="29">
        <f ca="1">'Preventative costs A'!J533-'Preventative costs B'!J533</f>
        <v>0</v>
      </c>
      <c r="K533" s="29">
        <f ca="1">'Preventative costs A'!K533-'Preventative costs B'!K533</f>
        <v>0</v>
      </c>
      <c r="M533" s="4" t="str">
        <f t="shared" ref="M533:M540" si="36">CURRENCY_NAME</f>
        <v>$M(2015)</v>
      </c>
    </row>
    <row r="534" spans="1:13" s="6" customFormat="1" x14ac:dyDescent="0.2">
      <c r="A534" s="4" t="str">
        <v>US CO2</v>
      </c>
      <c r="B534" s="26">
        <f ca="1">'Preventative costs A'!B534-'Preventative costs B'!B534</f>
        <v>0</v>
      </c>
      <c r="C534" s="26">
        <f ca="1">'Preventative costs A'!C534-'Preventative costs B'!C534</f>
        <v>0</v>
      </c>
      <c r="D534" s="26">
        <f ca="1">'Preventative costs A'!D534-'Preventative costs B'!D534</f>
        <v>0</v>
      </c>
      <c r="E534" s="26">
        <f ca="1">'Preventative costs A'!E534-'Preventative costs B'!E534</f>
        <v>0</v>
      </c>
      <c r="F534" s="26">
        <f ca="1">'Preventative costs A'!F534-'Preventative costs B'!F534</f>
        <v>0</v>
      </c>
      <c r="G534" s="26">
        <f ca="1">'Preventative costs A'!G534-'Preventative costs B'!G534</f>
        <v>0</v>
      </c>
      <c r="H534" s="26">
        <f ca="1">'Preventative costs A'!H534-'Preventative costs B'!H534</f>
        <v>0</v>
      </c>
      <c r="I534" s="26">
        <f ca="1">'Preventative costs A'!I534-'Preventative costs B'!I534</f>
        <v>0</v>
      </c>
      <c r="J534" s="26">
        <f ca="1">'Preventative costs A'!J534-'Preventative costs B'!J534</f>
        <v>0</v>
      </c>
      <c r="K534" s="26">
        <f ca="1">'Preventative costs A'!K534-'Preventative costs B'!K534</f>
        <v>0</v>
      </c>
      <c r="M534" s="4" t="str">
        <f t="shared" si="36"/>
        <v>$M(2015)</v>
      </c>
    </row>
    <row r="535" spans="1:13" s="6" customFormat="1" x14ac:dyDescent="0.2">
      <c r="A535" s="4" t="str">
        <v>OT CO2</v>
      </c>
      <c r="B535" s="26">
        <f ca="1">'Preventative costs A'!B535-'Preventative costs B'!B535</f>
        <v>0</v>
      </c>
      <c r="C535" s="26">
        <f ca="1">'Preventative costs A'!C535-'Preventative costs B'!C535</f>
        <v>0</v>
      </c>
      <c r="D535" s="26">
        <f ca="1">'Preventative costs A'!D535-'Preventative costs B'!D535</f>
        <v>0</v>
      </c>
      <c r="E535" s="26">
        <f ca="1">'Preventative costs A'!E535-'Preventative costs B'!E535</f>
        <v>0</v>
      </c>
      <c r="F535" s="26">
        <f ca="1">'Preventative costs A'!F535-'Preventative costs B'!F535</f>
        <v>0</v>
      </c>
      <c r="G535" s="26">
        <f ca="1">'Preventative costs A'!G535-'Preventative costs B'!G535</f>
        <v>0</v>
      </c>
      <c r="H535" s="26">
        <f ca="1">'Preventative costs A'!H535-'Preventative costs B'!H535</f>
        <v>0</v>
      </c>
      <c r="I535" s="26">
        <f ca="1">'Preventative costs A'!I535-'Preventative costs B'!I535</f>
        <v>0</v>
      </c>
      <c r="J535" s="26">
        <f ca="1">'Preventative costs A'!J535-'Preventative costs B'!J535</f>
        <v>0</v>
      </c>
      <c r="K535" s="26">
        <f ca="1">'Preventative costs A'!K535-'Preventative costs B'!K535</f>
        <v>0</v>
      </c>
      <c r="M535" s="4" t="str">
        <f t="shared" si="36"/>
        <v>$M(2015)</v>
      </c>
    </row>
    <row r="536" spans="1:13" s="6" customFormat="1" x14ac:dyDescent="0.2">
      <c r="A536" s="4" t="str">
        <v>EE CO2</v>
      </c>
      <c r="B536" s="26">
        <f ca="1">'Preventative costs A'!B536-'Preventative costs B'!B536</f>
        <v>0</v>
      </c>
      <c r="C536" s="26">
        <f ca="1">'Preventative costs A'!C536-'Preventative costs B'!C536</f>
        <v>0</v>
      </c>
      <c r="D536" s="26">
        <f ca="1">'Preventative costs A'!D536-'Preventative costs B'!D536</f>
        <v>0</v>
      </c>
      <c r="E536" s="26">
        <f ca="1">'Preventative costs A'!E536-'Preventative costs B'!E536</f>
        <v>0</v>
      </c>
      <c r="F536" s="26">
        <f ca="1">'Preventative costs A'!F536-'Preventative costs B'!F536</f>
        <v>0</v>
      </c>
      <c r="G536" s="26">
        <f ca="1">'Preventative costs A'!G536-'Preventative costs B'!G536</f>
        <v>0</v>
      </c>
      <c r="H536" s="26">
        <f ca="1">'Preventative costs A'!H536-'Preventative costs B'!H536</f>
        <v>0</v>
      </c>
      <c r="I536" s="26">
        <f ca="1">'Preventative costs A'!I536-'Preventative costs B'!I536</f>
        <v>0</v>
      </c>
      <c r="J536" s="26">
        <f ca="1">'Preventative costs A'!J536-'Preventative costs B'!J536</f>
        <v>0</v>
      </c>
      <c r="K536" s="26">
        <f ca="1">'Preventative costs A'!K536-'Preventative costs B'!K536</f>
        <v>0</v>
      </c>
      <c r="M536" s="4" t="str">
        <f t="shared" si="36"/>
        <v>$M(2015)</v>
      </c>
    </row>
    <row r="537" spans="1:13" s="6" customFormat="1" x14ac:dyDescent="0.2">
      <c r="A537" s="4" t="str">
        <v>CA CO2</v>
      </c>
      <c r="B537" s="26">
        <f ca="1">'Preventative costs A'!B537-'Preventative costs B'!B537</f>
        <v>0</v>
      </c>
      <c r="C537" s="26">
        <f ca="1">'Preventative costs A'!C537-'Preventative costs B'!C537</f>
        <v>0</v>
      </c>
      <c r="D537" s="26">
        <f ca="1">'Preventative costs A'!D537-'Preventative costs B'!D537</f>
        <v>0</v>
      </c>
      <c r="E537" s="26">
        <f ca="1">'Preventative costs A'!E537-'Preventative costs B'!E537</f>
        <v>0</v>
      </c>
      <c r="F537" s="26">
        <f ca="1">'Preventative costs A'!F537-'Preventative costs B'!F537</f>
        <v>0</v>
      </c>
      <c r="G537" s="26">
        <f ca="1">'Preventative costs A'!G537-'Preventative costs B'!G537</f>
        <v>0</v>
      </c>
      <c r="H537" s="26">
        <f ca="1">'Preventative costs A'!H537-'Preventative costs B'!H537</f>
        <v>0</v>
      </c>
      <c r="I537" s="26">
        <f ca="1">'Preventative costs A'!I537-'Preventative costs B'!I537</f>
        <v>0</v>
      </c>
      <c r="J537" s="26">
        <f ca="1">'Preventative costs A'!J537-'Preventative costs B'!J537</f>
        <v>0</v>
      </c>
      <c r="K537" s="26">
        <f ca="1">'Preventative costs A'!K537-'Preventative costs B'!K537</f>
        <v>0</v>
      </c>
      <c r="M537" s="4" t="str">
        <f t="shared" si="36"/>
        <v>$M(2015)</v>
      </c>
    </row>
    <row r="538" spans="1:13" s="6" customFormat="1" x14ac:dyDescent="0.2">
      <c r="A538" s="4" t="str">
        <v>IA CO2</v>
      </c>
      <c r="B538" s="26">
        <f ca="1">'Preventative costs A'!B538-'Preventative costs B'!B538</f>
        <v>0</v>
      </c>
      <c r="C538" s="26">
        <f ca="1">'Preventative costs A'!C538-'Preventative costs B'!C538</f>
        <v>0</v>
      </c>
      <c r="D538" s="26">
        <f ca="1">'Preventative costs A'!D538-'Preventative costs B'!D538</f>
        <v>0</v>
      </c>
      <c r="E538" s="26">
        <f ca="1">'Preventative costs A'!E538-'Preventative costs B'!E538</f>
        <v>0</v>
      </c>
      <c r="F538" s="26">
        <f ca="1">'Preventative costs A'!F538-'Preventative costs B'!F538</f>
        <v>0</v>
      </c>
      <c r="G538" s="26">
        <f ca="1">'Preventative costs A'!G538-'Preventative costs B'!G538</f>
        <v>0</v>
      </c>
      <c r="H538" s="26">
        <f ca="1">'Preventative costs A'!H538-'Preventative costs B'!H538</f>
        <v>0</v>
      </c>
      <c r="I538" s="26">
        <f ca="1">'Preventative costs A'!I538-'Preventative costs B'!I538</f>
        <v>0</v>
      </c>
      <c r="J538" s="26">
        <f ca="1">'Preventative costs A'!J538-'Preventative costs B'!J538</f>
        <v>0</v>
      </c>
      <c r="K538" s="26">
        <f ca="1">'Preventative costs A'!K538-'Preventative costs B'!K538</f>
        <v>0</v>
      </c>
      <c r="M538" s="4" t="str">
        <f t="shared" si="36"/>
        <v>$M(2015)</v>
      </c>
    </row>
    <row r="539" spans="1:13" s="6" customFormat="1" x14ac:dyDescent="0.2">
      <c r="A539" s="4" t="str">
        <v>AF CO2</v>
      </c>
      <c r="B539" s="26">
        <f ca="1">'Preventative costs A'!B539-'Preventative costs B'!B539</f>
        <v>0</v>
      </c>
      <c r="C539" s="26">
        <f ca="1">'Preventative costs A'!C539-'Preventative costs B'!C539</f>
        <v>0</v>
      </c>
      <c r="D539" s="26">
        <f ca="1">'Preventative costs A'!D539-'Preventative costs B'!D539</f>
        <v>0</v>
      </c>
      <c r="E539" s="26">
        <f ca="1">'Preventative costs A'!E539-'Preventative costs B'!E539</f>
        <v>0</v>
      </c>
      <c r="F539" s="26">
        <f ca="1">'Preventative costs A'!F539-'Preventative costs B'!F539</f>
        <v>0</v>
      </c>
      <c r="G539" s="26">
        <f ca="1">'Preventative costs A'!G539-'Preventative costs B'!G539</f>
        <v>0</v>
      </c>
      <c r="H539" s="26">
        <f ca="1">'Preventative costs A'!H539-'Preventative costs B'!H539</f>
        <v>0</v>
      </c>
      <c r="I539" s="26">
        <f ca="1">'Preventative costs A'!I539-'Preventative costs B'!I539</f>
        <v>0</v>
      </c>
      <c r="J539" s="26">
        <f ca="1">'Preventative costs A'!J539-'Preventative costs B'!J539</f>
        <v>0</v>
      </c>
      <c r="K539" s="26">
        <f ca="1">'Preventative costs A'!K539-'Preventative costs B'!K539</f>
        <v>0</v>
      </c>
      <c r="M539" s="4" t="str">
        <f t="shared" si="36"/>
        <v>$M(2015)</v>
      </c>
    </row>
    <row r="540" spans="1:13" s="6" customFormat="1" ht="13.5" thickBot="1" x14ac:dyDescent="0.25">
      <c r="A540" s="4" t="str">
        <v>LA CO2</v>
      </c>
      <c r="B540" s="35">
        <f ca="1">'Preventative costs A'!B540-'Preventative costs B'!B540</f>
        <v>0</v>
      </c>
      <c r="C540" s="35">
        <f ca="1">'Preventative costs A'!C540-'Preventative costs B'!C540</f>
        <v>0</v>
      </c>
      <c r="D540" s="35">
        <f ca="1">'Preventative costs A'!D540-'Preventative costs B'!D540</f>
        <v>0</v>
      </c>
      <c r="E540" s="35">
        <f ca="1">'Preventative costs A'!E540-'Preventative costs B'!E540</f>
        <v>0</v>
      </c>
      <c r="F540" s="35">
        <f ca="1">'Preventative costs A'!F540-'Preventative costs B'!F540</f>
        <v>0</v>
      </c>
      <c r="G540" s="35">
        <f ca="1">'Preventative costs A'!G540-'Preventative costs B'!G540</f>
        <v>0</v>
      </c>
      <c r="H540" s="35">
        <f ca="1">'Preventative costs A'!H540-'Preventative costs B'!H540</f>
        <v>0</v>
      </c>
      <c r="I540" s="35">
        <f ca="1">'Preventative costs A'!I540-'Preventative costs B'!I540</f>
        <v>0</v>
      </c>
      <c r="J540" s="35">
        <f ca="1">'Preventative costs A'!J540-'Preventative costs B'!J540</f>
        <v>0</v>
      </c>
      <c r="K540" s="35">
        <f ca="1">'Preventative costs A'!K540-'Preventative costs B'!K540</f>
        <v>0</v>
      </c>
      <c r="M540" s="4" t="str">
        <f t="shared" si="36"/>
        <v>$M(2015)</v>
      </c>
    </row>
    <row r="541" spans="1:13" s="2" customFormat="1" ht="15" thickTop="1" x14ac:dyDescent="0.25">
      <c r="A541" s="2" t="s">
        <v>342</v>
      </c>
      <c r="B541" s="2" t="s">
        <v>344</v>
      </c>
    </row>
    <row r="542" spans="1:13" s="6" customFormat="1" x14ac:dyDescent="0.2">
      <c r="A542" s="4" t="str">
        <f t="array" ref="A542:A549">R_CODE&amp;" "&amp;'Base data'!$C$12</f>
        <v>EU CH4</v>
      </c>
      <c r="B542" s="29">
        <f ca="1">'Preventative costs A'!B542-'Preventative costs B'!B542</f>
        <v>0</v>
      </c>
      <c r="C542" s="29">
        <f ca="1">'Preventative costs A'!C542-'Preventative costs B'!C542</f>
        <v>0</v>
      </c>
      <c r="D542" s="29">
        <f ca="1">'Preventative costs A'!D542-'Preventative costs B'!D542</f>
        <v>0</v>
      </c>
      <c r="E542" s="29">
        <f ca="1">'Preventative costs A'!E542-'Preventative costs B'!E542</f>
        <v>0</v>
      </c>
      <c r="F542" s="29">
        <f ca="1">'Preventative costs A'!F542-'Preventative costs B'!F542</f>
        <v>0</v>
      </c>
      <c r="G542" s="29">
        <f ca="1">'Preventative costs A'!G542-'Preventative costs B'!G542</f>
        <v>0</v>
      </c>
      <c r="H542" s="29">
        <f ca="1">'Preventative costs A'!H542-'Preventative costs B'!H542</f>
        <v>0</v>
      </c>
      <c r="I542" s="29">
        <f ca="1">'Preventative costs A'!I542-'Preventative costs B'!I542</f>
        <v>0</v>
      </c>
      <c r="J542" s="29">
        <f ca="1">'Preventative costs A'!J542-'Preventative costs B'!J542</f>
        <v>0</v>
      </c>
      <c r="K542" s="29">
        <f ca="1">'Preventative costs A'!K542-'Preventative costs B'!K542</f>
        <v>0</v>
      </c>
      <c r="M542" s="4" t="str">
        <f t="shared" ref="M542:M549" si="37">CURRENCY_NAME</f>
        <v>$M(2015)</v>
      </c>
    </row>
    <row r="543" spans="1:13" s="6" customFormat="1" x14ac:dyDescent="0.2">
      <c r="A543" s="4" t="str">
        <v>US CH4</v>
      </c>
      <c r="B543" s="26">
        <f ca="1">'Preventative costs A'!B543-'Preventative costs B'!B543</f>
        <v>0</v>
      </c>
      <c r="C543" s="26">
        <f ca="1">'Preventative costs A'!C543-'Preventative costs B'!C543</f>
        <v>0</v>
      </c>
      <c r="D543" s="26">
        <f ca="1">'Preventative costs A'!D543-'Preventative costs B'!D543</f>
        <v>0</v>
      </c>
      <c r="E543" s="26">
        <f ca="1">'Preventative costs A'!E543-'Preventative costs B'!E543</f>
        <v>0</v>
      </c>
      <c r="F543" s="26">
        <f ca="1">'Preventative costs A'!F543-'Preventative costs B'!F543</f>
        <v>0</v>
      </c>
      <c r="G543" s="26">
        <f ca="1">'Preventative costs A'!G543-'Preventative costs B'!G543</f>
        <v>0</v>
      </c>
      <c r="H543" s="26">
        <f ca="1">'Preventative costs A'!H543-'Preventative costs B'!H543</f>
        <v>0</v>
      </c>
      <c r="I543" s="26">
        <f ca="1">'Preventative costs A'!I543-'Preventative costs B'!I543</f>
        <v>0</v>
      </c>
      <c r="J543" s="26">
        <f ca="1">'Preventative costs A'!J543-'Preventative costs B'!J543</f>
        <v>0</v>
      </c>
      <c r="K543" s="26">
        <f ca="1">'Preventative costs A'!K543-'Preventative costs B'!K543</f>
        <v>0</v>
      </c>
      <c r="M543" s="4" t="str">
        <f t="shared" si="37"/>
        <v>$M(2015)</v>
      </c>
    </row>
    <row r="544" spans="1:13" s="6" customFormat="1" x14ac:dyDescent="0.2">
      <c r="A544" s="4" t="str">
        <v>OT CH4</v>
      </c>
      <c r="B544" s="26">
        <f ca="1">'Preventative costs A'!B544-'Preventative costs B'!B544</f>
        <v>0</v>
      </c>
      <c r="C544" s="26">
        <f ca="1">'Preventative costs A'!C544-'Preventative costs B'!C544</f>
        <v>0</v>
      </c>
      <c r="D544" s="26">
        <f ca="1">'Preventative costs A'!D544-'Preventative costs B'!D544</f>
        <v>0</v>
      </c>
      <c r="E544" s="26">
        <f ca="1">'Preventative costs A'!E544-'Preventative costs B'!E544</f>
        <v>0</v>
      </c>
      <c r="F544" s="26">
        <f ca="1">'Preventative costs A'!F544-'Preventative costs B'!F544</f>
        <v>0</v>
      </c>
      <c r="G544" s="26">
        <f ca="1">'Preventative costs A'!G544-'Preventative costs B'!G544</f>
        <v>0</v>
      </c>
      <c r="H544" s="26">
        <f ca="1">'Preventative costs A'!H544-'Preventative costs B'!H544</f>
        <v>0</v>
      </c>
      <c r="I544" s="26">
        <f ca="1">'Preventative costs A'!I544-'Preventative costs B'!I544</f>
        <v>0</v>
      </c>
      <c r="J544" s="26">
        <f ca="1">'Preventative costs A'!J544-'Preventative costs B'!J544</f>
        <v>0</v>
      </c>
      <c r="K544" s="26">
        <f ca="1">'Preventative costs A'!K544-'Preventative costs B'!K544</f>
        <v>0</v>
      </c>
      <c r="M544" s="4" t="str">
        <f t="shared" si="37"/>
        <v>$M(2015)</v>
      </c>
    </row>
    <row r="545" spans="1:13" s="6" customFormat="1" x14ac:dyDescent="0.2">
      <c r="A545" s="4" t="str">
        <v>EE CH4</v>
      </c>
      <c r="B545" s="26">
        <f ca="1">'Preventative costs A'!B545-'Preventative costs B'!B545</f>
        <v>0</v>
      </c>
      <c r="C545" s="26">
        <f ca="1">'Preventative costs A'!C545-'Preventative costs B'!C545</f>
        <v>0</v>
      </c>
      <c r="D545" s="26">
        <f ca="1">'Preventative costs A'!D545-'Preventative costs B'!D545</f>
        <v>0</v>
      </c>
      <c r="E545" s="26">
        <f ca="1">'Preventative costs A'!E545-'Preventative costs B'!E545</f>
        <v>0</v>
      </c>
      <c r="F545" s="26">
        <f ca="1">'Preventative costs A'!F545-'Preventative costs B'!F545</f>
        <v>0</v>
      </c>
      <c r="G545" s="26">
        <f ca="1">'Preventative costs A'!G545-'Preventative costs B'!G545</f>
        <v>0</v>
      </c>
      <c r="H545" s="26">
        <f ca="1">'Preventative costs A'!H545-'Preventative costs B'!H545</f>
        <v>0</v>
      </c>
      <c r="I545" s="26">
        <f ca="1">'Preventative costs A'!I545-'Preventative costs B'!I545</f>
        <v>0</v>
      </c>
      <c r="J545" s="26">
        <f ca="1">'Preventative costs A'!J545-'Preventative costs B'!J545</f>
        <v>0</v>
      </c>
      <c r="K545" s="26">
        <f ca="1">'Preventative costs A'!K545-'Preventative costs B'!K545</f>
        <v>0</v>
      </c>
      <c r="M545" s="4" t="str">
        <f t="shared" si="37"/>
        <v>$M(2015)</v>
      </c>
    </row>
    <row r="546" spans="1:13" s="6" customFormat="1" x14ac:dyDescent="0.2">
      <c r="A546" s="4" t="str">
        <v>CA CH4</v>
      </c>
      <c r="B546" s="26">
        <f ca="1">'Preventative costs A'!B546-'Preventative costs B'!B546</f>
        <v>0</v>
      </c>
      <c r="C546" s="26">
        <f ca="1">'Preventative costs A'!C546-'Preventative costs B'!C546</f>
        <v>0</v>
      </c>
      <c r="D546" s="26">
        <f ca="1">'Preventative costs A'!D546-'Preventative costs B'!D546</f>
        <v>0</v>
      </c>
      <c r="E546" s="26">
        <f ca="1">'Preventative costs A'!E546-'Preventative costs B'!E546</f>
        <v>0</v>
      </c>
      <c r="F546" s="26">
        <f ca="1">'Preventative costs A'!F546-'Preventative costs B'!F546</f>
        <v>0</v>
      </c>
      <c r="G546" s="26">
        <f ca="1">'Preventative costs A'!G546-'Preventative costs B'!G546</f>
        <v>0</v>
      </c>
      <c r="H546" s="26">
        <f ca="1">'Preventative costs A'!H546-'Preventative costs B'!H546</f>
        <v>0</v>
      </c>
      <c r="I546" s="26">
        <f ca="1">'Preventative costs A'!I546-'Preventative costs B'!I546</f>
        <v>0</v>
      </c>
      <c r="J546" s="26">
        <f ca="1">'Preventative costs A'!J546-'Preventative costs B'!J546</f>
        <v>0</v>
      </c>
      <c r="K546" s="26">
        <f ca="1">'Preventative costs A'!K546-'Preventative costs B'!K546</f>
        <v>0</v>
      </c>
      <c r="M546" s="4" t="str">
        <f t="shared" si="37"/>
        <v>$M(2015)</v>
      </c>
    </row>
    <row r="547" spans="1:13" s="6" customFormat="1" x14ac:dyDescent="0.2">
      <c r="A547" s="4" t="str">
        <v>IA CH4</v>
      </c>
      <c r="B547" s="26">
        <f ca="1">'Preventative costs A'!B547-'Preventative costs B'!B547</f>
        <v>0</v>
      </c>
      <c r="C547" s="26">
        <f ca="1">'Preventative costs A'!C547-'Preventative costs B'!C547</f>
        <v>0</v>
      </c>
      <c r="D547" s="26">
        <f ca="1">'Preventative costs A'!D547-'Preventative costs B'!D547</f>
        <v>0</v>
      </c>
      <c r="E547" s="26">
        <f ca="1">'Preventative costs A'!E547-'Preventative costs B'!E547</f>
        <v>0</v>
      </c>
      <c r="F547" s="26">
        <f ca="1">'Preventative costs A'!F547-'Preventative costs B'!F547</f>
        <v>0</v>
      </c>
      <c r="G547" s="26">
        <f ca="1">'Preventative costs A'!G547-'Preventative costs B'!G547</f>
        <v>0</v>
      </c>
      <c r="H547" s="26">
        <f ca="1">'Preventative costs A'!H547-'Preventative costs B'!H547</f>
        <v>0</v>
      </c>
      <c r="I547" s="26">
        <f ca="1">'Preventative costs A'!I547-'Preventative costs B'!I547</f>
        <v>0</v>
      </c>
      <c r="J547" s="26">
        <f ca="1">'Preventative costs A'!J547-'Preventative costs B'!J547</f>
        <v>0</v>
      </c>
      <c r="K547" s="26">
        <f ca="1">'Preventative costs A'!K547-'Preventative costs B'!K547</f>
        <v>0</v>
      </c>
      <c r="M547" s="4" t="str">
        <f t="shared" si="37"/>
        <v>$M(2015)</v>
      </c>
    </row>
    <row r="548" spans="1:13" s="6" customFormat="1" x14ac:dyDescent="0.2">
      <c r="A548" s="4" t="str">
        <v>AF CH4</v>
      </c>
      <c r="B548" s="26">
        <f ca="1">'Preventative costs A'!B548-'Preventative costs B'!B548</f>
        <v>0</v>
      </c>
      <c r="C548" s="26">
        <f ca="1">'Preventative costs A'!C548-'Preventative costs B'!C548</f>
        <v>0</v>
      </c>
      <c r="D548" s="26">
        <f ca="1">'Preventative costs A'!D548-'Preventative costs B'!D548</f>
        <v>0</v>
      </c>
      <c r="E548" s="26">
        <f ca="1">'Preventative costs A'!E548-'Preventative costs B'!E548</f>
        <v>0</v>
      </c>
      <c r="F548" s="26">
        <f ca="1">'Preventative costs A'!F548-'Preventative costs B'!F548</f>
        <v>0</v>
      </c>
      <c r="G548" s="26">
        <f ca="1">'Preventative costs A'!G548-'Preventative costs B'!G548</f>
        <v>0</v>
      </c>
      <c r="H548" s="26">
        <f ca="1">'Preventative costs A'!H548-'Preventative costs B'!H548</f>
        <v>0</v>
      </c>
      <c r="I548" s="26">
        <f ca="1">'Preventative costs A'!I548-'Preventative costs B'!I548</f>
        <v>0</v>
      </c>
      <c r="J548" s="26">
        <f ca="1">'Preventative costs A'!J548-'Preventative costs B'!J548</f>
        <v>0</v>
      </c>
      <c r="K548" s="26">
        <f ca="1">'Preventative costs A'!K548-'Preventative costs B'!K548</f>
        <v>0</v>
      </c>
      <c r="M548" s="4" t="str">
        <f t="shared" si="37"/>
        <v>$M(2015)</v>
      </c>
    </row>
    <row r="549" spans="1:13" s="6" customFormat="1" ht="13.5" thickBot="1" x14ac:dyDescent="0.25">
      <c r="A549" s="4" t="str">
        <v>LA CH4</v>
      </c>
      <c r="B549" s="35">
        <f ca="1">'Preventative costs A'!B549-'Preventative costs B'!B549</f>
        <v>0</v>
      </c>
      <c r="C549" s="35">
        <f ca="1">'Preventative costs A'!C549-'Preventative costs B'!C549</f>
        <v>0</v>
      </c>
      <c r="D549" s="35">
        <f ca="1">'Preventative costs A'!D549-'Preventative costs B'!D549</f>
        <v>0</v>
      </c>
      <c r="E549" s="35">
        <f ca="1">'Preventative costs A'!E549-'Preventative costs B'!E549</f>
        <v>0</v>
      </c>
      <c r="F549" s="35">
        <f ca="1">'Preventative costs A'!F549-'Preventative costs B'!F549</f>
        <v>0</v>
      </c>
      <c r="G549" s="35">
        <f ca="1">'Preventative costs A'!G549-'Preventative costs B'!G549</f>
        <v>0</v>
      </c>
      <c r="H549" s="35">
        <f ca="1">'Preventative costs A'!H549-'Preventative costs B'!H549</f>
        <v>0</v>
      </c>
      <c r="I549" s="35">
        <f ca="1">'Preventative costs A'!I549-'Preventative costs B'!I549</f>
        <v>0</v>
      </c>
      <c r="J549" s="35">
        <f ca="1">'Preventative costs A'!J549-'Preventative costs B'!J549</f>
        <v>0</v>
      </c>
      <c r="K549" s="35">
        <f ca="1">'Preventative costs A'!K549-'Preventative costs B'!K549</f>
        <v>0</v>
      </c>
      <c r="M549" s="4" t="str">
        <f t="shared" si="37"/>
        <v>$M(2015)</v>
      </c>
    </row>
    <row r="550" spans="1:13" s="2" customFormat="1" ht="15" thickTop="1" x14ac:dyDescent="0.25">
      <c r="A550" s="2" t="s">
        <v>342</v>
      </c>
      <c r="B550" s="2" t="s">
        <v>345</v>
      </c>
    </row>
    <row r="551" spans="1:13" s="7" customFormat="1" x14ac:dyDescent="0.2">
      <c r="A551" s="4" t="str">
        <f t="array" ref="A551:A558">R_CODE&amp;" "&amp;'Base data'!$D$12</f>
        <v>EU N2O</v>
      </c>
      <c r="B551" s="29">
        <f ca="1">'Preventative costs A'!B551-'Preventative costs B'!B551</f>
        <v>0</v>
      </c>
      <c r="C551" s="29">
        <f ca="1">'Preventative costs A'!C551-'Preventative costs B'!C551</f>
        <v>0</v>
      </c>
      <c r="D551" s="29">
        <f ca="1">'Preventative costs A'!D551-'Preventative costs B'!D551</f>
        <v>0</v>
      </c>
      <c r="E551" s="29">
        <f ca="1">'Preventative costs A'!E551-'Preventative costs B'!E551</f>
        <v>0</v>
      </c>
      <c r="F551" s="29">
        <f ca="1">'Preventative costs A'!F551-'Preventative costs B'!F551</f>
        <v>0</v>
      </c>
      <c r="G551" s="29">
        <f ca="1">'Preventative costs A'!G551-'Preventative costs B'!G551</f>
        <v>0</v>
      </c>
      <c r="H551" s="29">
        <f ca="1">'Preventative costs A'!H551-'Preventative costs B'!H551</f>
        <v>0</v>
      </c>
      <c r="I551" s="29">
        <f ca="1">'Preventative costs A'!I551-'Preventative costs B'!I551</f>
        <v>0</v>
      </c>
      <c r="J551" s="29">
        <f ca="1">'Preventative costs A'!J551-'Preventative costs B'!J551</f>
        <v>0</v>
      </c>
      <c r="K551" s="29">
        <f ca="1">'Preventative costs A'!K551-'Preventative costs B'!K551</f>
        <v>0</v>
      </c>
      <c r="M551" s="4" t="str">
        <f t="shared" ref="M551:M558" si="38">CURRENCY_NAME</f>
        <v>$M(2015)</v>
      </c>
    </row>
    <row r="552" spans="1:13" s="7" customFormat="1" x14ac:dyDescent="0.2">
      <c r="A552" s="4" t="str">
        <v>US N2O</v>
      </c>
      <c r="B552" s="26">
        <f ca="1">'Preventative costs A'!B552-'Preventative costs B'!B552</f>
        <v>0</v>
      </c>
      <c r="C552" s="26">
        <f ca="1">'Preventative costs A'!C552-'Preventative costs B'!C552</f>
        <v>0</v>
      </c>
      <c r="D552" s="26">
        <f ca="1">'Preventative costs A'!D552-'Preventative costs B'!D552</f>
        <v>0</v>
      </c>
      <c r="E552" s="26">
        <f ca="1">'Preventative costs A'!E552-'Preventative costs B'!E552</f>
        <v>0</v>
      </c>
      <c r="F552" s="26">
        <f ca="1">'Preventative costs A'!F552-'Preventative costs B'!F552</f>
        <v>0</v>
      </c>
      <c r="G552" s="26">
        <f ca="1">'Preventative costs A'!G552-'Preventative costs B'!G552</f>
        <v>0</v>
      </c>
      <c r="H552" s="26">
        <f ca="1">'Preventative costs A'!H552-'Preventative costs B'!H552</f>
        <v>0</v>
      </c>
      <c r="I552" s="26">
        <f ca="1">'Preventative costs A'!I552-'Preventative costs B'!I552</f>
        <v>0</v>
      </c>
      <c r="J552" s="26">
        <f ca="1">'Preventative costs A'!J552-'Preventative costs B'!J552</f>
        <v>0</v>
      </c>
      <c r="K552" s="26">
        <f ca="1">'Preventative costs A'!K552-'Preventative costs B'!K552</f>
        <v>0</v>
      </c>
      <c r="M552" s="4" t="str">
        <f t="shared" si="38"/>
        <v>$M(2015)</v>
      </c>
    </row>
    <row r="553" spans="1:13" s="7" customFormat="1" x14ac:dyDescent="0.2">
      <c r="A553" s="4" t="str">
        <v>OT N2O</v>
      </c>
      <c r="B553" s="26">
        <f ca="1">'Preventative costs A'!B553-'Preventative costs B'!B553</f>
        <v>0</v>
      </c>
      <c r="C553" s="26">
        <f ca="1">'Preventative costs A'!C553-'Preventative costs B'!C553</f>
        <v>0</v>
      </c>
      <c r="D553" s="26">
        <f ca="1">'Preventative costs A'!D553-'Preventative costs B'!D553</f>
        <v>0</v>
      </c>
      <c r="E553" s="26">
        <f ca="1">'Preventative costs A'!E553-'Preventative costs B'!E553</f>
        <v>0</v>
      </c>
      <c r="F553" s="26">
        <f ca="1">'Preventative costs A'!F553-'Preventative costs B'!F553</f>
        <v>0</v>
      </c>
      <c r="G553" s="26">
        <f ca="1">'Preventative costs A'!G553-'Preventative costs B'!G553</f>
        <v>0</v>
      </c>
      <c r="H553" s="26">
        <f ca="1">'Preventative costs A'!H553-'Preventative costs B'!H553</f>
        <v>0</v>
      </c>
      <c r="I553" s="26">
        <f ca="1">'Preventative costs A'!I553-'Preventative costs B'!I553</f>
        <v>0</v>
      </c>
      <c r="J553" s="26">
        <f ca="1">'Preventative costs A'!J553-'Preventative costs B'!J553</f>
        <v>0</v>
      </c>
      <c r="K553" s="26">
        <f ca="1">'Preventative costs A'!K553-'Preventative costs B'!K553</f>
        <v>0</v>
      </c>
      <c r="M553" s="4" t="str">
        <f t="shared" si="38"/>
        <v>$M(2015)</v>
      </c>
    </row>
    <row r="554" spans="1:13" s="7" customFormat="1" x14ac:dyDescent="0.2">
      <c r="A554" s="4" t="str">
        <v>EE N2O</v>
      </c>
      <c r="B554" s="26">
        <f ca="1">'Preventative costs A'!B554-'Preventative costs B'!B554</f>
        <v>0</v>
      </c>
      <c r="C554" s="26">
        <f ca="1">'Preventative costs A'!C554-'Preventative costs B'!C554</f>
        <v>0</v>
      </c>
      <c r="D554" s="26">
        <f ca="1">'Preventative costs A'!D554-'Preventative costs B'!D554</f>
        <v>0</v>
      </c>
      <c r="E554" s="26">
        <f ca="1">'Preventative costs A'!E554-'Preventative costs B'!E554</f>
        <v>0</v>
      </c>
      <c r="F554" s="26">
        <f ca="1">'Preventative costs A'!F554-'Preventative costs B'!F554</f>
        <v>0</v>
      </c>
      <c r="G554" s="26">
        <f ca="1">'Preventative costs A'!G554-'Preventative costs B'!G554</f>
        <v>0</v>
      </c>
      <c r="H554" s="26">
        <f ca="1">'Preventative costs A'!H554-'Preventative costs B'!H554</f>
        <v>0</v>
      </c>
      <c r="I554" s="26">
        <f ca="1">'Preventative costs A'!I554-'Preventative costs B'!I554</f>
        <v>0</v>
      </c>
      <c r="J554" s="26">
        <f ca="1">'Preventative costs A'!J554-'Preventative costs B'!J554</f>
        <v>0</v>
      </c>
      <c r="K554" s="26">
        <f ca="1">'Preventative costs A'!K554-'Preventative costs B'!K554</f>
        <v>0</v>
      </c>
      <c r="M554" s="4" t="str">
        <f t="shared" si="38"/>
        <v>$M(2015)</v>
      </c>
    </row>
    <row r="555" spans="1:13" s="7" customFormat="1" x14ac:dyDescent="0.2">
      <c r="A555" s="4" t="str">
        <v>CA N2O</v>
      </c>
      <c r="B555" s="26">
        <f ca="1">'Preventative costs A'!B555-'Preventative costs B'!B555</f>
        <v>0</v>
      </c>
      <c r="C555" s="26">
        <f ca="1">'Preventative costs A'!C555-'Preventative costs B'!C555</f>
        <v>0</v>
      </c>
      <c r="D555" s="26">
        <f ca="1">'Preventative costs A'!D555-'Preventative costs B'!D555</f>
        <v>0</v>
      </c>
      <c r="E555" s="26">
        <f ca="1">'Preventative costs A'!E555-'Preventative costs B'!E555</f>
        <v>0</v>
      </c>
      <c r="F555" s="26">
        <f ca="1">'Preventative costs A'!F555-'Preventative costs B'!F555</f>
        <v>0</v>
      </c>
      <c r="G555" s="26">
        <f ca="1">'Preventative costs A'!G555-'Preventative costs B'!G555</f>
        <v>0</v>
      </c>
      <c r="H555" s="26">
        <f ca="1">'Preventative costs A'!H555-'Preventative costs B'!H555</f>
        <v>0</v>
      </c>
      <c r="I555" s="26">
        <f ca="1">'Preventative costs A'!I555-'Preventative costs B'!I555</f>
        <v>0</v>
      </c>
      <c r="J555" s="26">
        <f ca="1">'Preventative costs A'!J555-'Preventative costs B'!J555</f>
        <v>0</v>
      </c>
      <c r="K555" s="26">
        <f ca="1">'Preventative costs A'!K555-'Preventative costs B'!K555</f>
        <v>0</v>
      </c>
      <c r="M555" s="4" t="str">
        <f t="shared" si="38"/>
        <v>$M(2015)</v>
      </c>
    </row>
    <row r="556" spans="1:13" s="7" customFormat="1" x14ac:dyDescent="0.2">
      <c r="A556" s="4" t="str">
        <v>IA N2O</v>
      </c>
      <c r="B556" s="26">
        <f ca="1">'Preventative costs A'!B556-'Preventative costs B'!B556</f>
        <v>0</v>
      </c>
      <c r="C556" s="26">
        <f ca="1">'Preventative costs A'!C556-'Preventative costs B'!C556</f>
        <v>0</v>
      </c>
      <c r="D556" s="26">
        <f ca="1">'Preventative costs A'!D556-'Preventative costs B'!D556</f>
        <v>0</v>
      </c>
      <c r="E556" s="26">
        <f ca="1">'Preventative costs A'!E556-'Preventative costs B'!E556</f>
        <v>0</v>
      </c>
      <c r="F556" s="26">
        <f ca="1">'Preventative costs A'!F556-'Preventative costs B'!F556</f>
        <v>0</v>
      </c>
      <c r="G556" s="26">
        <f ca="1">'Preventative costs A'!G556-'Preventative costs B'!G556</f>
        <v>0</v>
      </c>
      <c r="H556" s="26">
        <f ca="1">'Preventative costs A'!H556-'Preventative costs B'!H556</f>
        <v>0</v>
      </c>
      <c r="I556" s="26">
        <f ca="1">'Preventative costs A'!I556-'Preventative costs B'!I556</f>
        <v>0</v>
      </c>
      <c r="J556" s="26">
        <f ca="1">'Preventative costs A'!J556-'Preventative costs B'!J556</f>
        <v>0</v>
      </c>
      <c r="K556" s="26">
        <f ca="1">'Preventative costs A'!K556-'Preventative costs B'!K556</f>
        <v>0</v>
      </c>
      <c r="M556" s="4" t="str">
        <f t="shared" si="38"/>
        <v>$M(2015)</v>
      </c>
    </row>
    <row r="557" spans="1:13" s="7" customFormat="1" x14ac:dyDescent="0.2">
      <c r="A557" s="4" t="str">
        <v>AF N2O</v>
      </c>
      <c r="B557" s="26">
        <f ca="1">'Preventative costs A'!B557-'Preventative costs B'!B557</f>
        <v>0</v>
      </c>
      <c r="C557" s="26">
        <f ca="1">'Preventative costs A'!C557-'Preventative costs B'!C557</f>
        <v>0</v>
      </c>
      <c r="D557" s="26">
        <f ca="1">'Preventative costs A'!D557-'Preventative costs B'!D557</f>
        <v>0</v>
      </c>
      <c r="E557" s="26">
        <f ca="1">'Preventative costs A'!E557-'Preventative costs B'!E557</f>
        <v>0</v>
      </c>
      <c r="F557" s="26">
        <f ca="1">'Preventative costs A'!F557-'Preventative costs B'!F557</f>
        <v>0</v>
      </c>
      <c r="G557" s="26">
        <f ca="1">'Preventative costs A'!G557-'Preventative costs B'!G557</f>
        <v>0</v>
      </c>
      <c r="H557" s="26">
        <f ca="1">'Preventative costs A'!H557-'Preventative costs B'!H557</f>
        <v>0</v>
      </c>
      <c r="I557" s="26">
        <f ca="1">'Preventative costs A'!I557-'Preventative costs B'!I557</f>
        <v>0</v>
      </c>
      <c r="J557" s="26">
        <f ca="1">'Preventative costs A'!J557-'Preventative costs B'!J557</f>
        <v>0</v>
      </c>
      <c r="K557" s="26">
        <f ca="1">'Preventative costs A'!K557-'Preventative costs B'!K557</f>
        <v>0</v>
      </c>
      <c r="M557" s="4" t="str">
        <f t="shared" si="38"/>
        <v>$M(2015)</v>
      </c>
    </row>
    <row r="558" spans="1:13" s="7" customFormat="1" ht="13.5" thickBot="1" x14ac:dyDescent="0.25">
      <c r="A558" s="4" t="str">
        <v>LA N2O</v>
      </c>
      <c r="B558" s="35">
        <f ca="1">'Preventative costs A'!B558-'Preventative costs B'!B558</f>
        <v>0</v>
      </c>
      <c r="C558" s="35">
        <f ca="1">'Preventative costs A'!C558-'Preventative costs B'!C558</f>
        <v>0</v>
      </c>
      <c r="D558" s="35">
        <f ca="1">'Preventative costs A'!D558-'Preventative costs B'!D558</f>
        <v>0</v>
      </c>
      <c r="E558" s="35">
        <f ca="1">'Preventative costs A'!E558-'Preventative costs B'!E558</f>
        <v>0</v>
      </c>
      <c r="F558" s="35">
        <f ca="1">'Preventative costs A'!F558-'Preventative costs B'!F558</f>
        <v>0</v>
      </c>
      <c r="G558" s="35">
        <f ca="1">'Preventative costs A'!G558-'Preventative costs B'!G558</f>
        <v>0</v>
      </c>
      <c r="H558" s="35">
        <f ca="1">'Preventative costs A'!H558-'Preventative costs B'!H558</f>
        <v>0</v>
      </c>
      <c r="I558" s="35">
        <f ca="1">'Preventative costs A'!I558-'Preventative costs B'!I558</f>
        <v>0</v>
      </c>
      <c r="J558" s="35">
        <f ca="1">'Preventative costs A'!J558-'Preventative costs B'!J558</f>
        <v>0</v>
      </c>
      <c r="K558" s="35">
        <f ca="1">'Preventative costs A'!K558-'Preventative costs B'!K558</f>
        <v>0</v>
      </c>
      <c r="M558" s="4" t="str">
        <f t="shared" si="38"/>
        <v>$M(2015)</v>
      </c>
    </row>
    <row r="559" spans="1:13" s="2" customFormat="1" ht="15" thickTop="1" x14ac:dyDescent="0.25">
      <c r="A559" s="2" t="s">
        <v>342</v>
      </c>
      <c r="B559" s="2" t="s">
        <v>346</v>
      </c>
    </row>
    <row r="560" spans="1:13" s="7" customFormat="1" x14ac:dyDescent="0.2">
      <c r="A560" s="4" t="str">
        <f t="array" ref="A560:A567">R_CODE&amp;" "&amp;GLIN_NAME</f>
        <v>EU Lin</v>
      </c>
      <c r="B560" s="29">
        <f ca="1">'Preventative costs A'!B560-'Preventative costs B'!B560</f>
        <v>0</v>
      </c>
      <c r="C560" s="29">
        <f ca="1">'Preventative costs A'!C560-'Preventative costs B'!C560</f>
        <v>0</v>
      </c>
      <c r="D560" s="29">
        <f ca="1">'Preventative costs A'!D560-'Preventative costs B'!D560</f>
        <v>0</v>
      </c>
      <c r="E560" s="29">
        <f ca="1">'Preventative costs A'!E560-'Preventative costs B'!E560</f>
        <v>0</v>
      </c>
      <c r="F560" s="29">
        <f ca="1">'Preventative costs A'!F560-'Preventative costs B'!F560</f>
        <v>0</v>
      </c>
      <c r="G560" s="29">
        <f ca="1">'Preventative costs A'!G560-'Preventative costs B'!G560</f>
        <v>0</v>
      </c>
      <c r="H560" s="29">
        <f ca="1">'Preventative costs A'!H560-'Preventative costs B'!H560</f>
        <v>0</v>
      </c>
      <c r="I560" s="29">
        <f ca="1">'Preventative costs A'!I560-'Preventative costs B'!I560</f>
        <v>0</v>
      </c>
      <c r="J560" s="29">
        <f ca="1">'Preventative costs A'!J560-'Preventative costs B'!J560</f>
        <v>0</v>
      </c>
      <c r="K560" s="29">
        <f ca="1">'Preventative costs A'!K560-'Preventative costs B'!K560</f>
        <v>0</v>
      </c>
      <c r="M560" s="4" t="str">
        <f t="shared" ref="M560:M567" si="39">CURRENCY_NAME</f>
        <v>$M(2015)</v>
      </c>
    </row>
    <row r="561" spans="1:13" s="7" customFormat="1" x14ac:dyDescent="0.2">
      <c r="A561" s="4" t="str">
        <v>US Lin</v>
      </c>
      <c r="B561" s="26">
        <f ca="1">'Preventative costs A'!B561-'Preventative costs B'!B561</f>
        <v>0</v>
      </c>
      <c r="C561" s="26">
        <f ca="1">'Preventative costs A'!C561-'Preventative costs B'!C561</f>
        <v>0</v>
      </c>
      <c r="D561" s="26">
        <f ca="1">'Preventative costs A'!D561-'Preventative costs B'!D561</f>
        <v>0</v>
      </c>
      <c r="E561" s="26">
        <f ca="1">'Preventative costs A'!E561-'Preventative costs B'!E561</f>
        <v>0</v>
      </c>
      <c r="F561" s="26">
        <f ca="1">'Preventative costs A'!F561-'Preventative costs B'!F561</f>
        <v>0</v>
      </c>
      <c r="G561" s="26">
        <f ca="1">'Preventative costs A'!G561-'Preventative costs B'!G561</f>
        <v>0</v>
      </c>
      <c r="H561" s="26">
        <f ca="1">'Preventative costs A'!H561-'Preventative costs B'!H561</f>
        <v>0</v>
      </c>
      <c r="I561" s="26">
        <f ca="1">'Preventative costs A'!I561-'Preventative costs B'!I561</f>
        <v>0</v>
      </c>
      <c r="J561" s="26">
        <f ca="1">'Preventative costs A'!J561-'Preventative costs B'!J561</f>
        <v>0</v>
      </c>
      <c r="K561" s="26">
        <f ca="1">'Preventative costs A'!K561-'Preventative costs B'!K561</f>
        <v>0</v>
      </c>
      <c r="M561" s="4" t="str">
        <f t="shared" si="39"/>
        <v>$M(2015)</v>
      </c>
    </row>
    <row r="562" spans="1:13" s="7" customFormat="1" x14ac:dyDescent="0.2">
      <c r="A562" s="4" t="str">
        <v>OT Lin</v>
      </c>
      <c r="B562" s="26">
        <f ca="1">'Preventative costs A'!B562-'Preventative costs B'!B562</f>
        <v>0</v>
      </c>
      <c r="C562" s="26">
        <f ca="1">'Preventative costs A'!C562-'Preventative costs B'!C562</f>
        <v>0</v>
      </c>
      <c r="D562" s="26">
        <f ca="1">'Preventative costs A'!D562-'Preventative costs B'!D562</f>
        <v>0</v>
      </c>
      <c r="E562" s="26">
        <f ca="1">'Preventative costs A'!E562-'Preventative costs B'!E562</f>
        <v>0</v>
      </c>
      <c r="F562" s="26">
        <f ca="1">'Preventative costs A'!F562-'Preventative costs B'!F562</f>
        <v>0</v>
      </c>
      <c r="G562" s="26">
        <f ca="1">'Preventative costs A'!G562-'Preventative costs B'!G562</f>
        <v>0</v>
      </c>
      <c r="H562" s="26">
        <f ca="1">'Preventative costs A'!H562-'Preventative costs B'!H562</f>
        <v>0</v>
      </c>
      <c r="I562" s="26">
        <f ca="1">'Preventative costs A'!I562-'Preventative costs B'!I562</f>
        <v>0</v>
      </c>
      <c r="J562" s="26">
        <f ca="1">'Preventative costs A'!J562-'Preventative costs B'!J562</f>
        <v>0</v>
      </c>
      <c r="K562" s="26">
        <f ca="1">'Preventative costs A'!K562-'Preventative costs B'!K562</f>
        <v>0</v>
      </c>
      <c r="M562" s="4" t="str">
        <f t="shared" si="39"/>
        <v>$M(2015)</v>
      </c>
    </row>
    <row r="563" spans="1:13" s="7" customFormat="1" x14ac:dyDescent="0.2">
      <c r="A563" s="4" t="str">
        <v>EE Lin</v>
      </c>
      <c r="B563" s="26">
        <f ca="1">'Preventative costs A'!B563-'Preventative costs B'!B563</f>
        <v>0</v>
      </c>
      <c r="C563" s="26">
        <f ca="1">'Preventative costs A'!C563-'Preventative costs B'!C563</f>
        <v>0</v>
      </c>
      <c r="D563" s="26">
        <f ca="1">'Preventative costs A'!D563-'Preventative costs B'!D563</f>
        <v>0</v>
      </c>
      <c r="E563" s="26">
        <f ca="1">'Preventative costs A'!E563-'Preventative costs B'!E563</f>
        <v>0</v>
      </c>
      <c r="F563" s="26">
        <f ca="1">'Preventative costs A'!F563-'Preventative costs B'!F563</f>
        <v>0</v>
      </c>
      <c r="G563" s="26">
        <f ca="1">'Preventative costs A'!G563-'Preventative costs B'!G563</f>
        <v>0</v>
      </c>
      <c r="H563" s="26">
        <f ca="1">'Preventative costs A'!H563-'Preventative costs B'!H563</f>
        <v>0</v>
      </c>
      <c r="I563" s="26">
        <f ca="1">'Preventative costs A'!I563-'Preventative costs B'!I563</f>
        <v>0</v>
      </c>
      <c r="J563" s="26">
        <f ca="1">'Preventative costs A'!J563-'Preventative costs B'!J563</f>
        <v>0</v>
      </c>
      <c r="K563" s="26">
        <f ca="1">'Preventative costs A'!K563-'Preventative costs B'!K563</f>
        <v>0</v>
      </c>
      <c r="M563" s="4" t="str">
        <f t="shared" si="39"/>
        <v>$M(2015)</v>
      </c>
    </row>
    <row r="564" spans="1:13" s="7" customFormat="1" x14ac:dyDescent="0.2">
      <c r="A564" s="4" t="str">
        <v>CA Lin</v>
      </c>
      <c r="B564" s="26">
        <f ca="1">'Preventative costs A'!B564-'Preventative costs B'!B564</f>
        <v>0</v>
      </c>
      <c r="C564" s="26">
        <f ca="1">'Preventative costs A'!C564-'Preventative costs B'!C564</f>
        <v>0</v>
      </c>
      <c r="D564" s="26">
        <f ca="1">'Preventative costs A'!D564-'Preventative costs B'!D564</f>
        <v>0</v>
      </c>
      <c r="E564" s="26">
        <f ca="1">'Preventative costs A'!E564-'Preventative costs B'!E564</f>
        <v>0</v>
      </c>
      <c r="F564" s="26">
        <f ca="1">'Preventative costs A'!F564-'Preventative costs B'!F564</f>
        <v>0</v>
      </c>
      <c r="G564" s="26">
        <f ca="1">'Preventative costs A'!G564-'Preventative costs B'!G564</f>
        <v>0</v>
      </c>
      <c r="H564" s="26">
        <f ca="1">'Preventative costs A'!H564-'Preventative costs B'!H564</f>
        <v>0</v>
      </c>
      <c r="I564" s="26">
        <f ca="1">'Preventative costs A'!I564-'Preventative costs B'!I564</f>
        <v>0</v>
      </c>
      <c r="J564" s="26">
        <f ca="1">'Preventative costs A'!J564-'Preventative costs B'!J564</f>
        <v>0</v>
      </c>
      <c r="K564" s="26">
        <f ca="1">'Preventative costs A'!K564-'Preventative costs B'!K564</f>
        <v>0</v>
      </c>
      <c r="M564" s="4" t="str">
        <f t="shared" si="39"/>
        <v>$M(2015)</v>
      </c>
    </row>
    <row r="565" spans="1:13" s="7" customFormat="1" x14ac:dyDescent="0.2">
      <c r="A565" s="4" t="str">
        <v>IA Lin</v>
      </c>
      <c r="B565" s="26">
        <f ca="1">'Preventative costs A'!B565-'Preventative costs B'!B565</f>
        <v>0</v>
      </c>
      <c r="C565" s="26">
        <f ca="1">'Preventative costs A'!C565-'Preventative costs B'!C565</f>
        <v>0</v>
      </c>
      <c r="D565" s="26">
        <f ca="1">'Preventative costs A'!D565-'Preventative costs B'!D565</f>
        <v>0</v>
      </c>
      <c r="E565" s="26">
        <f ca="1">'Preventative costs A'!E565-'Preventative costs B'!E565</f>
        <v>0</v>
      </c>
      <c r="F565" s="26">
        <f ca="1">'Preventative costs A'!F565-'Preventative costs B'!F565</f>
        <v>0</v>
      </c>
      <c r="G565" s="26">
        <f ca="1">'Preventative costs A'!G565-'Preventative costs B'!G565</f>
        <v>0</v>
      </c>
      <c r="H565" s="26">
        <f ca="1">'Preventative costs A'!H565-'Preventative costs B'!H565</f>
        <v>0</v>
      </c>
      <c r="I565" s="26">
        <f ca="1">'Preventative costs A'!I565-'Preventative costs B'!I565</f>
        <v>0</v>
      </c>
      <c r="J565" s="26">
        <f ca="1">'Preventative costs A'!J565-'Preventative costs B'!J565</f>
        <v>0</v>
      </c>
      <c r="K565" s="26">
        <f ca="1">'Preventative costs A'!K565-'Preventative costs B'!K565</f>
        <v>0</v>
      </c>
      <c r="M565" s="4" t="str">
        <f t="shared" si="39"/>
        <v>$M(2015)</v>
      </c>
    </row>
    <row r="566" spans="1:13" s="7" customFormat="1" x14ac:dyDescent="0.2">
      <c r="A566" s="4" t="str">
        <v>AF Lin</v>
      </c>
      <c r="B566" s="26">
        <f ca="1">'Preventative costs A'!B566-'Preventative costs B'!B566</f>
        <v>0</v>
      </c>
      <c r="C566" s="26">
        <f ca="1">'Preventative costs A'!C566-'Preventative costs B'!C566</f>
        <v>0</v>
      </c>
      <c r="D566" s="26">
        <f ca="1">'Preventative costs A'!D566-'Preventative costs B'!D566</f>
        <v>0</v>
      </c>
      <c r="E566" s="26">
        <f ca="1">'Preventative costs A'!E566-'Preventative costs B'!E566</f>
        <v>0</v>
      </c>
      <c r="F566" s="26">
        <f ca="1">'Preventative costs A'!F566-'Preventative costs B'!F566</f>
        <v>0</v>
      </c>
      <c r="G566" s="26">
        <f ca="1">'Preventative costs A'!G566-'Preventative costs B'!G566</f>
        <v>0</v>
      </c>
      <c r="H566" s="26">
        <f ca="1">'Preventative costs A'!H566-'Preventative costs B'!H566</f>
        <v>0</v>
      </c>
      <c r="I566" s="26">
        <f ca="1">'Preventative costs A'!I566-'Preventative costs B'!I566</f>
        <v>0</v>
      </c>
      <c r="J566" s="26">
        <f ca="1">'Preventative costs A'!J566-'Preventative costs B'!J566</f>
        <v>0</v>
      </c>
      <c r="K566" s="26">
        <f ca="1">'Preventative costs A'!K566-'Preventative costs B'!K566</f>
        <v>0</v>
      </c>
      <c r="M566" s="4" t="str">
        <f t="shared" si="39"/>
        <v>$M(2015)</v>
      </c>
    </row>
    <row r="567" spans="1:13" s="7" customFormat="1" ht="13.5" thickBot="1" x14ac:dyDescent="0.25">
      <c r="A567" s="4" t="str">
        <v>LA Lin</v>
      </c>
      <c r="B567" s="35">
        <f ca="1">'Preventative costs A'!B567-'Preventative costs B'!B567</f>
        <v>0</v>
      </c>
      <c r="C567" s="35">
        <f ca="1">'Preventative costs A'!C567-'Preventative costs B'!C567</f>
        <v>0</v>
      </c>
      <c r="D567" s="35">
        <f ca="1">'Preventative costs A'!D567-'Preventative costs B'!D567</f>
        <v>0</v>
      </c>
      <c r="E567" s="35">
        <f ca="1">'Preventative costs A'!E567-'Preventative costs B'!E567</f>
        <v>0</v>
      </c>
      <c r="F567" s="35">
        <f ca="1">'Preventative costs A'!F567-'Preventative costs B'!F567</f>
        <v>0</v>
      </c>
      <c r="G567" s="35">
        <f ca="1">'Preventative costs A'!G567-'Preventative costs B'!G567</f>
        <v>0</v>
      </c>
      <c r="H567" s="35">
        <f ca="1">'Preventative costs A'!H567-'Preventative costs B'!H567</f>
        <v>0</v>
      </c>
      <c r="I567" s="35">
        <f ca="1">'Preventative costs A'!I567-'Preventative costs B'!I567</f>
        <v>0</v>
      </c>
      <c r="J567" s="35">
        <f ca="1">'Preventative costs A'!J567-'Preventative costs B'!J567</f>
        <v>0</v>
      </c>
      <c r="K567" s="35">
        <f ca="1">'Preventative costs A'!K567-'Preventative costs B'!K567</f>
        <v>0</v>
      </c>
      <c r="M567" s="4" t="str">
        <f t="shared" si="39"/>
        <v>$M(2015)</v>
      </c>
    </row>
    <row r="568" spans="1:13" s="2" customFormat="1" ht="15" thickTop="1" x14ac:dyDescent="0.25">
      <c r="A568" s="2" t="s">
        <v>347</v>
      </c>
      <c r="B568" s="2" t="s">
        <v>348</v>
      </c>
    </row>
    <row r="569" spans="1:13" s="6" customFormat="1" x14ac:dyDescent="0.2">
      <c r="A569" s="4" t="str">
        <f t="array" ref="A569:A576">R_CODE&amp;" "&amp;'Base data'!$B$12</f>
        <v>EU CO2</v>
      </c>
      <c r="B569" s="29">
        <f ca="1">'Preventative costs A'!B569-'Preventative costs B'!B569</f>
        <v>0</v>
      </c>
      <c r="C569" s="29">
        <f ca="1">'Preventative costs A'!C569-'Preventative costs B'!C569</f>
        <v>0</v>
      </c>
      <c r="D569" s="29">
        <f ca="1">'Preventative costs A'!D569-'Preventative costs B'!D569</f>
        <v>0</v>
      </c>
      <c r="E569" s="29">
        <f ca="1">'Preventative costs A'!E569-'Preventative costs B'!E569</f>
        <v>0</v>
      </c>
      <c r="F569" s="29">
        <f ca="1">'Preventative costs A'!F569-'Preventative costs B'!F569</f>
        <v>113.77899964805124</v>
      </c>
      <c r="G569" s="29">
        <f ca="1">'Preventative costs A'!G569-'Preventative costs B'!G569</f>
        <v>207.35181234546502</v>
      </c>
      <c r="H569" s="29">
        <f ca="1">'Preventative costs A'!H569-'Preventative costs B'!H569</f>
        <v>246.18696756904234</v>
      </c>
      <c r="I569" s="29">
        <f ca="1">'Preventative costs A'!I569-'Preventative costs B'!I569</f>
        <v>221.73303404666549</v>
      </c>
      <c r="J569" s="29">
        <f ca="1">'Preventative costs A'!J569-'Preventative costs B'!J569</f>
        <v>197.80765127558459</v>
      </c>
      <c r="K569" s="29">
        <f ca="1">'Preventative costs A'!K569-'Preventative costs B'!K569</f>
        <v>173.93956593851124</v>
      </c>
      <c r="M569" s="4" t="str">
        <f t="shared" ref="M569:M576" si="40">CURRENCY_NAME&amp;" per "&amp;EMIT_NAME</f>
        <v>$M(2015) per Mtonne</v>
      </c>
    </row>
    <row r="570" spans="1:13" s="6" customFormat="1" x14ac:dyDescent="0.2">
      <c r="A570" s="4" t="str">
        <v>US CO2</v>
      </c>
      <c r="B570" s="26">
        <f ca="1">'Preventative costs A'!B570-'Preventative costs B'!B570</f>
        <v>0</v>
      </c>
      <c r="C570" s="26">
        <f ca="1">'Preventative costs A'!C570-'Preventative costs B'!C570</f>
        <v>0</v>
      </c>
      <c r="D570" s="26">
        <f ca="1">'Preventative costs A'!D570-'Preventative costs B'!D570</f>
        <v>0</v>
      </c>
      <c r="E570" s="26">
        <f ca="1">'Preventative costs A'!E570-'Preventative costs B'!E570</f>
        <v>0</v>
      </c>
      <c r="F570" s="26">
        <f ca="1">'Preventative costs A'!F570-'Preventative costs B'!F570</f>
        <v>118.36527007539181</v>
      </c>
      <c r="G570" s="26">
        <f ca="1">'Preventative costs A'!G570-'Preventative costs B'!G570</f>
        <v>230.92225535355351</v>
      </c>
      <c r="H570" s="26">
        <f ca="1">'Preventative costs A'!H570-'Preventative costs B'!H570</f>
        <v>271.22874277484044</v>
      </c>
      <c r="I570" s="26">
        <f ca="1">'Preventative costs A'!I570-'Preventative costs B'!I570</f>
        <v>241.73585405371261</v>
      </c>
      <c r="J570" s="26">
        <f ca="1">'Preventative costs A'!J570-'Preventative costs B'!J570</f>
        <v>210.6791593945764</v>
      </c>
      <c r="K570" s="26">
        <f ca="1">'Preventative costs A'!K570-'Preventative costs B'!K570</f>
        <v>188.25113903700301</v>
      </c>
      <c r="M570" s="4" t="str">
        <f t="shared" si="40"/>
        <v>$M(2015) per Mtonne</v>
      </c>
    </row>
    <row r="571" spans="1:13" s="6" customFormat="1" x14ac:dyDescent="0.2">
      <c r="A571" s="4" t="str">
        <v>OT CO2</v>
      </c>
      <c r="B571" s="26">
        <f ca="1">'Preventative costs A'!B571-'Preventative costs B'!B571</f>
        <v>0</v>
      </c>
      <c r="C571" s="26">
        <f ca="1">'Preventative costs A'!C571-'Preventative costs B'!C571</f>
        <v>0</v>
      </c>
      <c r="D571" s="26">
        <f ca="1">'Preventative costs A'!D571-'Preventative costs B'!D571</f>
        <v>0</v>
      </c>
      <c r="E571" s="26">
        <f ca="1">'Preventative costs A'!E571-'Preventative costs B'!E571</f>
        <v>0</v>
      </c>
      <c r="F571" s="26">
        <f ca="1">'Preventative costs A'!F571-'Preventative costs B'!F571</f>
        <v>118.21319099303983</v>
      </c>
      <c r="G571" s="26">
        <f ca="1">'Preventative costs A'!G571-'Preventative costs B'!G571</f>
        <v>234.12227064409478</v>
      </c>
      <c r="H571" s="26">
        <f ca="1">'Preventative costs A'!H571-'Preventative costs B'!H571</f>
        <v>282.65966708456932</v>
      </c>
      <c r="I571" s="26">
        <f ca="1">'Preventative costs A'!I571-'Preventative costs B'!I571</f>
        <v>252.85367741977302</v>
      </c>
      <c r="J571" s="26">
        <f ca="1">'Preventative costs A'!J571-'Preventative costs B'!J571</f>
        <v>223.6181178037873</v>
      </c>
      <c r="K571" s="26">
        <f ca="1">'Preventative costs A'!K571-'Preventative costs B'!K571</f>
        <v>194.42111086210215</v>
      </c>
      <c r="M571" s="4" t="str">
        <f t="shared" si="40"/>
        <v>$M(2015) per Mtonne</v>
      </c>
    </row>
    <row r="572" spans="1:13" s="6" customFormat="1" x14ac:dyDescent="0.2">
      <c r="A572" s="4" t="str">
        <v>EE CO2</v>
      </c>
      <c r="B572" s="26">
        <f ca="1">'Preventative costs A'!B572-'Preventative costs B'!B572</f>
        <v>0</v>
      </c>
      <c r="C572" s="26">
        <f ca="1">'Preventative costs A'!C572-'Preventative costs B'!C572</f>
        <v>0</v>
      </c>
      <c r="D572" s="26">
        <f ca="1">'Preventative costs A'!D572-'Preventative costs B'!D572</f>
        <v>0</v>
      </c>
      <c r="E572" s="26">
        <f ca="1">'Preventative costs A'!E572-'Preventative costs B'!E572</f>
        <v>0</v>
      </c>
      <c r="F572" s="26">
        <f ca="1">'Preventative costs A'!F572-'Preventative costs B'!F572</f>
        <v>125.09406369394478</v>
      </c>
      <c r="G572" s="26">
        <f ca="1">'Preventative costs A'!G572-'Preventative costs B'!G572</f>
        <v>232.127478935954</v>
      </c>
      <c r="H572" s="26">
        <f ca="1">'Preventative costs A'!H572-'Preventative costs B'!H572</f>
        <v>253.97921002069103</v>
      </c>
      <c r="I572" s="26">
        <f ca="1">'Preventative costs A'!I572-'Preventative costs B'!I572</f>
        <v>226.77499098790366</v>
      </c>
      <c r="J572" s="26">
        <f ca="1">'Preventative costs A'!J572-'Preventative costs B'!J572</f>
        <v>207.13020860879669</v>
      </c>
      <c r="K572" s="26">
        <f ca="1">'Preventative costs A'!K572-'Preventative costs B'!K572</f>
        <v>195.31776316168464</v>
      </c>
      <c r="M572" s="4" t="str">
        <f t="shared" si="40"/>
        <v>$M(2015) per Mtonne</v>
      </c>
    </row>
    <row r="573" spans="1:13" s="6" customFormat="1" x14ac:dyDescent="0.2">
      <c r="A573" s="4" t="str">
        <v>CA CO2</v>
      </c>
      <c r="B573" s="26">
        <f ca="1">'Preventative costs A'!B573-'Preventative costs B'!B573</f>
        <v>0</v>
      </c>
      <c r="C573" s="26">
        <f ca="1">'Preventative costs A'!C573-'Preventative costs B'!C573</f>
        <v>0</v>
      </c>
      <c r="D573" s="26">
        <f ca="1">'Preventative costs A'!D573-'Preventative costs B'!D573</f>
        <v>0</v>
      </c>
      <c r="E573" s="26">
        <f ca="1">'Preventative costs A'!E573-'Preventative costs B'!E573</f>
        <v>0</v>
      </c>
      <c r="F573" s="26">
        <f ca="1">'Preventative costs A'!F573-'Preventative costs B'!F573</f>
        <v>120.3284896491123</v>
      </c>
      <c r="G573" s="26">
        <f ca="1">'Preventative costs A'!G573-'Preventative costs B'!G573</f>
        <v>205.54412888492078</v>
      </c>
      <c r="H573" s="26">
        <f ca="1">'Preventative costs A'!H573-'Preventative costs B'!H573</f>
        <v>237.18557591317108</v>
      </c>
      <c r="I573" s="26">
        <f ca="1">'Preventative costs A'!I573-'Preventative costs B'!I573</f>
        <v>218.24316914645436</v>
      </c>
      <c r="J573" s="26">
        <f ca="1">'Preventative costs A'!J573-'Preventative costs B'!J573</f>
        <v>197.30318300078872</v>
      </c>
      <c r="K573" s="26">
        <f ca="1">'Preventative costs A'!K573-'Preventative costs B'!K573</f>
        <v>186.15973360651972</v>
      </c>
      <c r="M573" s="4" t="str">
        <f t="shared" si="40"/>
        <v>$M(2015) per Mtonne</v>
      </c>
    </row>
    <row r="574" spans="1:13" s="6" customFormat="1" x14ac:dyDescent="0.2">
      <c r="A574" s="4" t="str">
        <v>IA CO2</v>
      </c>
      <c r="B574" s="26">
        <f ca="1">'Preventative costs A'!B574-'Preventative costs B'!B574</f>
        <v>0</v>
      </c>
      <c r="C574" s="26">
        <f ca="1">'Preventative costs A'!C574-'Preventative costs B'!C574</f>
        <v>0</v>
      </c>
      <c r="D574" s="26">
        <f ca="1">'Preventative costs A'!D574-'Preventative costs B'!D574</f>
        <v>0</v>
      </c>
      <c r="E574" s="26">
        <f ca="1">'Preventative costs A'!E574-'Preventative costs B'!E574</f>
        <v>0</v>
      </c>
      <c r="F574" s="26">
        <f ca="1">'Preventative costs A'!F574-'Preventative costs B'!F574</f>
        <v>130.23959102228974</v>
      </c>
      <c r="G574" s="26">
        <f ca="1">'Preventative costs A'!G574-'Preventative costs B'!G574</f>
        <v>225.46859378333335</v>
      </c>
      <c r="H574" s="26">
        <f ca="1">'Preventative costs A'!H574-'Preventative costs B'!H574</f>
        <v>240.31867095131906</v>
      </c>
      <c r="I574" s="26">
        <f ca="1">'Preventative costs A'!I574-'Preventative costs B'!I574</f>
        <v>209.52328381244675</v>
      </c>
      <c r="J574" s="26">
        <f ca="1">'Preventative costs A'!J574-'Preventative costs B'!J574</f>
        <v>183.00642385115918</v>
      </c>
      <c r="K574" s="26">
        <f ca="1">'Preventative costs A'!K574-'Preventative costs B'!K574</f>
        <v>161.84948615572037</v>
      </c>
      <c r="M574" s="4" t="str">
        <f t="shared" si="40"/>
        <v>$M(2015) per Mtonne</v>
      </c>
    </row>
    <row r="575" spans="1:13" s="6" customFormat="1" x14ac:dyDescent="0.2">
      <c r="A575" s="4" t="str">
        <v>AF CO2</v>
      </c>
      <c r="B575" s="26">
        <f ca="1">'Preventative costs A'!B575-'Preventative costs B'!B575</f>
        <v>0</v>
      </c>
      <c r="C575" s="26">
        <f ca="1">'Preventative costs A'!C575-'Preventative costs B'!C575</f>
        <v>0</v>
      </c>
      <c r="D575" s="26">
        <f ca="1">'Preventative costs A'!D575-'Preventative costs B'!D575</f>
        <v>0</v>
      </c>
      <c r="E575" s="26">
        <f ca="1">'Preventative costs A'!E575-'Preventative costs B'!E575</f>
        <v>0</v>
      </c>
      <c r="F575" s="26">
        <f ca="1">'Preventative costs A'!F575-'Preventative costs B'!F575</f>
        <v>144.91448210289764</v>
      </c>
      <c r="G575" s="26">
        <f ca="1">'Preventative costs A'!G575-'Preventative costs B'!G575</f>
        <v>290.82658446101937</v>
      </c>
      <c r="H575" s="26">
        <f ca="1">'Preventative costs A'!H575-'Preventative costs B'!H575</f>
        <v>287.16986554766942</v>
      </c>
      <c r="I575" s="26">
        <f ca="1">'Preventative costs A'!I575-'Preventative costs B'!I575</f>
        <v>237.96474355632873</v>
      </c>
      <c r="J575" s="26">
        <f ca="1">'Preventative costs A'!J575-'Preventative costs B'!J575</f>
        <v>204.52740923440007</v>
      </c>
      <c r="K575" s="26">
        <f ca="1">'Preventative costs A'!K575-'Preventative costs B'!K575</f>
        <v>179.34417581959809</v>
      </c>
      <c r="M575" s="4" t="str">
        <f t="shared" si="40"/>
        <v>$M(2015) per Mtonne</v>
      </c>
    </row>
    <row r="576" spans="1:13" s="6" customFormat="1" ht="13.5" thickBot="1" x14ac:dyDescent="0.25">
      <c r="A576" s="4" t="str">
        <v>LA CO2</v>
      </c>
      <c r="B576" s="35">
        <f ca="1">'Preventative costs A'!B576-'Preventative costs B'!B576</f>
        <v>0</v>
      </c>
      <c r="C576" s="35">
        <f ca="1">'Preventative costs A'!C576-'Preventative costs B'!C576</f>
        <v>0</v>
      </c>
      <c r="D576" s="35">
        <f ca="1">'Preventative costs A'!D576-'Preventative costs B'!D576</f>
        <v>0</v>
      </c>
      <c r="E576" s="35">
        <f ca="1">'Preventative costs A'!E576-'Preventative costs B'!E576</f>
        <v>0</v>
      </c>
      <c r="F576" s="35">
        <f ca="1">'Preventative costs A'!F576-'Preventative costs B'!F576</f>
        <v>109.56467223458517</v>
      </c>
      <c r="G576" s="35">
        <f ca="1">'Preventative costs A'!G576-'Preventative costs B'!G576</f>
        <v>194.38802043575714</v>
      </c>
      <c r="H576" s="35">
        <f ca="1">'Preventative costs A'!H576-'Preventative costs B'!H576</f>
        <v>248.42212536678079</v>
      </c>
      <c r="I576" s="35">
        <f ca="1">'Preventative costs A'!I576-'Preventative costs B'!I576</f>
        <v>255.79266905319952</v>
      </c>
      <c r="J576" s="35">
        <f ca="1">'Preventative costs A'!J576-'Preventative costs B'!J576</f>
        <v>235.5146186846855</v>
      </c>
      <c r="K576" s="35">
        <f ca="1">'Preventative costs A'!K576-'Preventative costs B'!K576</f>
        <v>233.14908971961734</v>
      </c>
      <c r="M576" s="4" t="str">
        <f t="shared" si="40"/>
        <v>$M(2015) per Mtonne</v>
      </c>
    </row>
    <row r="577" spans="1:13" s="2" customFormat="1" ht="15" thickTop="1" x14ac:dyDescent="0.25">
      <c r="A577" s="2" t="s">
        <v>347</v>
      </c>
      <c r="B577" s="2" t="s">
        <v>349</v>
      </c>
    </row>
    <row r="578" spans="1:13" s="6" customFormat="1" x14ac:dyDescent="0.2">
      <c r="A578" s="4" t="str">
        <f t="array" ref="A578:A585">R_CODE&amp;" "&amp;'Base data'!$C$12</f>
        <v>EU CH4</v>
      </c>
      <c r="B578" s="29">
        <f ca="1">'Preventative costs A'!B578-'Preventative costs B'!B578</f>
        <v>0</v>
      </c>
      <c r="C578" s="29">
        <f ca="1">'Preventative costs A'!C578-'Preventative costs B'!C578</f>
        <v>0</v>
      </c>
      <c r="D578" s="29">
        <f ca="1">'Preventative costs A'!D578-'Preventative costs B'!D578</f>
        <v>0</v>
      </c>
      <c r="E578" s="29">
        <f ca="1">'Preventative costs A'!E578-'Preventative costs B'!E578</f>
        <v>0</v>
      </c>
      <c r="F578" s="29">
        <f ca="1">'Preventative costs A'!F578-'Preventative costs B'!F578</f>
        <v>7674.7320706037481</v>
      </c>
      <c r="G578" s="29">
        <f ca="1">'Preventative costs A'!G578-'Preventative costs B'!G578</f>
        <v>6078.757233176625</v>
      </c>
      <c r="H578" s="29">
        <f ca="1">'Preventative costs A'!H578-'Preventative costs B'!H578</f>
        <v>5014.1077364941721</v>
      </c>
      <c r="I578" s="29">
        <f ca="1">'Preventative costs A'!I578-'Preventative costs B'!I578</f>
        <v>4599.7262100408252</v>
      </c>
      <c r="J578" s="29">
        <f ca="1">'Preventative costs A'!J578-'Preventative costs B'!J578</f>
        <v>4624.0836343693663</v>
      </c>
      <c r="K578" s="29">
        <f ca="1">'Preventative costs A'!K578-'Preventative costs B'!K578</f>
        <v>3618.5929509554853</v>
      </c>
      <c r="M578" s="4" t="str">
        <f t="shared" ref="M578:M585" si="41">CURRENCY_NAME&amp;" per "&amp;EMIT_NAME</f>
        <v>$M(2015) per Mtonne</v>
      </c>
    </row>
    <row r="579" spans="1:13" s="6" customFormat="1" x14ac:dyDescent="0.2">
      <c r="A579" s="4" t="str">
        <v>US CH4</v>
      </c>
      <c r="B579" s="26">
        <f ca="1">'Preventative costs A'!B579-'Preventative costs B'!B579</f>
        <v>0</v>
      </c>
      <c r="C579" s="26">
        <f ca="1">'Preventative costs A'!C579-'Preventative costs B'!C579</f>
        <v>0</v>
      </c>
      <c r="D579" s="26">
        <f ca="1">'Preventative costs A'!D579-'Preventative costs B'!D579</f>
        <v>0</v>
      </c>
      <c r="E579" s="26">
        <f ca="1">'Preventative costs A'!E579-'Preventative costs B'!E579</f>
        <v>0</v>
      </c>
      <c r="F579" s="26">
        <f ca="1">'Preventative costs A'!F579-'Preventative costs B'!F579</f>
        <v>8392.1680773345979</v>
      </c>
      <c r="G579" s="26">
        <f ca="1">'Preventative costs A'!G579-'Preventative costs B'!G579</f>
        <v>7287.3191671520053</v>
      </c>
      <c r="H579" s="26">
        <f ca="1">'Preventative costs A'!H579-'Preventative costs B'!H579</f>
        <v>6351.2009837845108</v>
      </c>
      <c r="I579" s="26">
        <f ca="1">'Preventative costs A'!I579-'Preventative costs B'!I579</f>
        <v>5347.549690991229</v>
      </c>
      <c r="J579" s="26">
        <f ca="1">'Preventative costs A'!J579-'Preventative costs B'!J579</f>
        <v>4723.8863112937579</v>
      </c>
      <c r="K579" s="26">
        <f ca="1">'Preventative costs A'!K579-'Preventative costs B'!K579</f>
        <v>4450.0339898744651</v>
      </c>
      <c r="M579" s="4" t="str">
        <f t="shared" si="41"/>
        <v>$M(2015) per Mtonne</v>
      </c>
    </row>
    <row r="580" spans="1:13" s="6" customFormat="1" x14ac:dyDescent="0.2">
      <c r="A580" s="4" t="str">
        <v>OT CH4</v>
      </c>
      <c r="B580" s="26">
        <f ca="1">'Preventative costs A'!B580-'Preventative costs B'!B580</f>
        <v>0</v>
      </c>
      <c r="C580" s="26">
        <f ca="1">'Preventative costs A'!C580-'Preventative costs B'!C580</f>
        <v>0</v>
      </c>
      <c r="D580" s="26">
        <f ca="1">'Preventative costs A'!D580-'Preventative costs B'!D580</f>
        <v>0</v>
      </c>
      <c r="E580" s="26">
        <f ca="1">'Preventative costs A'!E580-'Preventative costs B'!E580</f>
        <v>0</v>
      </c>
      <c r="F580" s="26">
        <f ca="1">'Preventative costs A'!F580-'Preventative costs B'!F580</f>
        <v>7914.5865644088008</v>
      </c>
      <c r="G580" s="26">
        <f ca="1">'Preventative costs A'!G580-'Preventative costs B'!G580</f>
        <v>10596.49340552859</v>
      </c>
      <c r="H580" s="26">
        <f ca="1">'Preventative costs A'!H580-'Preventative costs B'!H580</f>
        <v>9857.3508881132038</v>
      </c>
      <c r="I580" s="26">
        <f ca="1">'Preventative costs A'!I580-'Preventative costs B'!I580</f>
        <v>8663.0782580559735</v>
      </c>
      <c r="J580" s="26">
        <f ca="1">'Preventative costs A'!J580-'Preventative costs B'!J580</f>
        <v>7889.4594806669538</v>
      </c>
      <c r="K580" s="26">
        <f ca="1">'Preventative costs A'!K580-'Preventative costs B'!K580</f>
        <v>8126.7458135130855</v>
      </c>
      <c r="M580" s="4" t="str">
        <f t="shared" si="41"/>
        <v>$M(2015) per Mtonne</v>
      </c>
    </row>
    <row r="581" spans="1:13" s="6" customFormat="1" x14ac:dyDescent="0.2">
      <c r="A581" s="4" t="str">
        <v>EE CH4</v>
      </c>
      <c r="B581" s="26">
        <f ca="1">'Preventative costs A'!B581-'Preventative costs B'!B581</f>
        <v>0</v>
      </c>
      <c r="C581" s="26">
        <f ca="1">'Preventative costs A'!C581-'Preventative costs B'!C581</f>
        <v>0</v>
      </c>
      <c r="D581" s="26">
        <f ca="1">'Preventative costs A'!D581-'Preventative costs B'!D581</f>
        <v>0</v>
      </c>
      <c r="E581" s="26">
        <f ca="1">'Preventative costs A'!E581-'Preventative costs B'!E581</f>
        <v>0</v>
      </c>
      <c r="F581" s="26">
        <f ca="1">'Preventative costs A'!F581-'Preventative costs B'!F581</f>
        <v>7812.0879840541947</v>
      </c>
      <c r="G581" s="26">
        <f ca="1">'Preventative costs A'!G581-'Preventative costs B'!G581</f>
        <v>9626.6005761469933</v>
      </c>
      <c r="H581" s="26">
        <f ca="1">'Preventative costs A'!H581-'Preventative costs B'!H581</f>
        <v>8775.3907190122354</v>
      </c>
      <c r="I581" s="26">
        <f ca="1">'Preventative costs A'!I581-'Preventative costs B'!I581</f>
        <v>8134.9561891983867</v>
      </c>
      <c r="J581" s="26">
        <f ca="1">'Preventative costs A'!J581-'Preventative costs B'!J581</f>
        <v>7430.724693173097</v>
      </c>
      <c r="K581" s="26">
        <f ca="1">'Preventative costs A'!K581-'Preventative costs B'!K581</f>
        <v>6883.9451307309228</v>
      </c>
      <c r="M581" s="4" t="str">
        <f t="shared" si="41"/>
        <v>$M(2015) per Mtonne</v>
      </c>
    </row>
    <row r="582" spans="1:13" s="6" customFormat="1" x14ac:dyDescent="0.2">
      <c r="A582" s="4" t="str">
        <v>CA CH4</v>
      </c>
      <c r="B582" s="26">
        <f ca="1">'Preventative costs A'!B582-'Preventative costs B'!B582</f>
        <v>0</v>
      </c>
      <c r="C582" s="26">
        <f ca="1">'Preventative costs A'!C582-'Preventative costs B'!C582</f>
        <v>0</v>
      </c>
      <c r="D582" s="26">
        <f ca="1">'Preventative costs A'!D582-'Preventative costs B'!D582</f>
        <v>0</v>
      </c>
      <c r="E582" s="26">
        <f ca="1">'Preventative costs A'!E582-'Preventative costs B'!E582</f>
        <v>0</v>
      </c>
      <c r="F582" s="26">
        <f ca="1">'Preventative costs A'!F582-'Preventative costs B'!F582</f>
        <v>8335.3144678222434</v>
      </c>
      <c r="G582" s="26">
        <f ca="1">'Preventative costs A'!G582-'Preventative costs B'!G582</f>
        <v>9203.8499759046608</v>
      </c>
      <c r="H582" s="26">
        <f ca="1">'Preventative costs A'!H582-'Preventative costs B'!H582</f>
        <v>8791.7872792928647</v>
      </c>
      <c r="I582" s="26">
        <f ca="1">'Preventative costs A'!I582-'Preventative costs B'!I582</f>
        <v>7709.0204908094529</v>
      </c>
      <c r="J582" s="26">
        <f ca="1">'Preventative costs A'!J582-'Preventative costs B'!J582</f>
        <v>7825.345506836944</v>
      </c>
      <c r="K582" s="26">
        <f ca="1">'Preventative costs A'!K582-'Preventative costs B'!K582</f>
        <v>7128.592203667642</v>
      </c>
      <c r="M582" s="4" t="str">
        <f t="shared" si="41"/>
        <v>$M(2015) per Mtonne</v>
      </c>
    </row>
    <row r="583" spans="1:13" s="6" customFormat="1" x14ac:dyDescent="0.2">
      <c r="A583" s="4" t="str">
        <v>IA CH4</v>
      </c>
      <c r="B583" s="26">
        <f ca="1">'Preventative costs A'!B583-'Preventative costs B'!B583</f>
        <v>0</v>
      </c>
      <c r="C583" s="26">
        <f ca="1">'Preventative costs A'!C583-'Preventative costs B'!C583</f>
        <v>0</v>
      </c>
      <c r="D583" s="26">
        <f ca="1">'Preventative costs A'!D583-'Preventative costs B'!D583</f>
        <v>0</v>
      </c>
      <c r="E583" s="26">
        <f ca="1">'Preventative costs A'!E583-'Preventative costs B'!E583</f>
        <v>0</v>
      </c>
      <c r="F583" s="26">
        <f ca="1">'Preventative costs A'!F583-'Preventative costs B'!F583</f>
        <v>9079.6568543504854</v>
      </c>
      <c r="G583" s="26">
        <f ca="1">'Preventative costs A'!G583-'Preventative costs B'!G583</f>
        <v>7831.2525642145811</v>
      </c>
      <c r="H583" s="26">
        <f ca="1">'Preventative costs A'!H583-'Preventative costs B'!H583</f>
        <v>6362.5925083304101</v>
      </c>
      <c r="I583" s="26">
        <f ca="1">'Preventative costs A'!I583-'Preventative costs B'!I583</f>
        <v>5794.3735203392062</v>
      </c>
      <c r="J583" s="26">
        <f ca="1">'Preventative costs A'!J583-'Preventative costs B'!J583</f>
        <v>5767.8329229893043</v>
      </c>
      <c r="K583" s="26">
        <f ca="1">'Preventative costs A'!K583-'Preventative costs B'!K583</f>
        <v>5545.5951943137179</v>
      </c>
      <c r="M583" s="4" t="str">
        <f t="shared" si="41"/>
        <v>$M(2015) per Mtonne</v>
      </c>
    </row>
    <row r="584" spans="1:13" s="6" customFormat="1" x14ac:dyDescent="0.2">
      <c r="A584" s="4" t="str">
        <v>AF CH4</v>
      </c>
      <c r="B584" s="26">
        <f ca="1">'Preventative costs A'!B584-'Preventative costs B'!B584</f>
        <v>0</v>
      </c>
      <c r="C584" s="26">
        <f ca="1">'Preventative costs A'!C584-'Preventative costs B'!C584</f>
        <v>0</v>
      </c>
      <c r="D584" s="26">
        <f ca="1">'Preventative costs A'!D584-'Preventative costs B'!D584</f>
        <v>0</v>
      </c>
      <c r="E584" s="26">
        <f ca="1">'Preventative costs A'!E584-'Preventative costs B'!E584</f>
        <v>0</v>
      </c>
      <c r="F584" s="26">
        <f ca="1">'Preventative costs A'!F584-'Preventative costs B'!F584</f>
        <v>7971.0976778879613</v>
      </c>
      <c r="G584" s="26">
        <f ca="1">'Preventative costs A'!G584-'Preventative costs B'!G584</f>
        <v>12338.451781710186</v>
      </c>
      <c r="H584" s="26">
        <f ca="1">'Preventative costs A'!H584-'Preventative costs B'!H584</f>
        <v>12347.263032778357</v>
      </c>
      <c r="I584" s="26">
        <f ca="1">'Preventative costs A'!I584-'Preventative costs B'!I584</f>
        <v>10819.435459099765</v>
      </c>
      <c r="J584" s="26">
        <f ca="1">'Preventative costs A'!J584-'Preventative costs B'!J584</f>
        <v>9399.2955360102424</v>
      </c>
      <c r="K584" s="26">
        <f ca="1">'Preventative costs A'!K584-'Preventative costs B'!K584</f>
        <v>8436.9538364601467</v>
      </c>
      <c r="M584" s="4" t="str">
        <f t="shared" si="41"/>
        <v>$M(2015) per Mtonne</v>
      </c>
    </row>
    <row r="585" spans="1:13" s="6" customFormat="1" ht="13.5" thickBot="1" x14ac:dyDescent="0.25">
      <c r="A585" s="4" t="str">
        <v>LA CH4</v>
      </c>
      <c r="B585" s="35">
        <f ca="1">'Preventative costs A'!B585-'Preventative costs B'!B585</f>
        <v>0</v>
      </c>
      <c r="C585" s="35">
        <f ca="1">'Preventative costs A'!C585-'Preventative costs B'!C585</f>
        <v>0</v>
      </c>
      <c r="D585" s="35">
        <f ca="1">'Preventative costs A'!D585-'Preventative costs B'!D585</f>
        <v>0</v>
      </c>
      <c r="E585" s="35">
        <f ca="1">'Preventative costs A'!E585-'Preventative costs B'!E585</f>
        <v>0</v>
      </c>
      <c r="F585" s="35">
        <f ca="1">'Preventative costs A'!F585-'Preventative costs B'!F585</f>
        <v>6430.94917672255</v>
      </c>
      <c r="G585" s="35">
        <f ca="1">'Preventative costs A'!G585-'Preventative costs B'!G585</f>
        <v>7802.0869718984823</v>
      </c>
      <c r="H585" s="35">
        <f ca="1">'Preventative costs A'!H585-'Preventative costs B'!H585</f>
        <v>7452.2012016553917</v>
      </c>
      <c r="I585" s="35">
        <f ca="1">'Preventative costs A'!I585-'Preventative costs B'!I585</f>
        <v>6949.7919568396846</v>
      </c>
      <c r="J585" s="35">
        <f ca="1">'Preventative costs A'!J585-'Preventative costs B'!J585</f>
        <v>6330.6865773100808</v>
      </c>
      <c r="K585" s="35">
        <f ca="1">'Preventative costs A'!K585-'Preventative costs B'!K585</f>
        <v>6069.9470482377092</v>
      </c>
      <c r="M585" s="4" t="str">
        <f t="shared" si="41"/>
        <v>$M(2015) per Mtonne</v>
      </c>
    </row>
    <row r="586" spans="1:13" s="2" customFormat="1" ht="15" thickTop="1" x14ac:dyDescent="0.25">
      <c r="A586" s="2" t="s">
        <v>347</v>
      </c>
      <c r="B586" s="2" t="s">
        <v>350</v>
      </c>
    </row>
    <row r="587" spans="1:13" s="7" customFormat="1" x14ac:dyDescent="0.2">
      <c r="A587" s="4" t="str">
        <f t="array" ref="A587:A594">R_CODE&amp;" "&amp;'Base data'!$D$12</f>
        <v>EU N2O</v>
      </c>
      <c r="B587" s="29">
        <f ca="1">'Preventative costs A'!B587-'Preventative costs B'!B587</f>
        <v>0</v>
      </c>
      <c r="C587" s="29">
        <f ca="1">'Preventative costs A'!C587-'Preventative costs B'!C587</f>
        <v>0</v>
      </c>
      <c r="D587" s="29">
        <f ca="1">'Preventative costs A'!D587-'Preventative costs B'!D587</f>
        <v>0</v>
      </c>
      <c r="E587" s="29">
        <f ca="1">'Preventative costs A'!E587-'Preventative costs B'!E587</f>
        <v>0</v>
      </c>
      <c r="F587" s="29">
        <f ca="1">'Preventative costs A'!F587-'Preventative costs B'!F587</f>
        <v>10904.313684854553</v>
      </c>
      <c r="G587" s="29">
        <f ca="1">'Preventative costs A'!G587-'Preventative costs B'!G587</f>
        <v>6666.3957340434972</v>
      </c>
      <c r="H587" s="29">
        <f ca="1">'Preventative costs A'!H587-'Preventative costs B'!H587</f>
        <v>911.82616086705002</v>
      </c>
      <c r="I587" s="29">
        <f ca="1">'Preventative costs A'!I587-'Preventative costs B'!I587</f>
        <v>5052.991903183065</v>
      </c>
      <c r="J587" s="29">
        <f ca="1">'Preventative costs A'!J587-'Preventative costs B'!J587</f>
        <v>5997.2080097229291</v>
      </c>
      <c r="K587" s="29">
        <f ca="1">'Preventative costs A'!K587-'Preventative costs B'!K587</f>
        <v>4656.5060623497884</v>
      </c>
      <c r="M587" s="4" t="str">
        <f t="shared" ref="M587:M594" si="42">CURRENCY_NAME&amp;" per "&amp;EMIT_NAME</f>
        <v>$M(2015) per Mtonne</v>
      </c>
    </row>
    <row r="588" spans="1:13" s="7" customFormat="1" x14ac:dyDescent="0.2">
      <c r="A588" s="4" t="str">
        <v>US N2O</v>
      </c>
      <c r="B588" s="26">
        <f ca="1">'Preventative costs A'!B588-'Preventative costs B'!B588</f>
        <v>0</v>
      </c>
      <c r="C588" s="26">
        <f ca="1">'Preventative costs A'!C588-'Preventative costs B'!C588</f>
        <v>0</v>
      </c>
      <c r="D588" s="26">
        <f ca="1">'Preventative costs A'!D588-'Preventative costs B'!D588</f>
        <v>0</v>
      </c>
      <c r="E588" s="26">
        <f ca="1">'Preventative costs A'!E588-'Preventative costs B'!E588</f>
        <v>0</v>
      </c>
      <c r="F588" s="26">
        <f ca="1">'Preventative costs A'!F588-'Preventative costs B'!F588</f>
        <v>10724.819923897085</v>
      </c>
      <c r="G588" s="26">
        <f ca="1">'Preventative costs A'!G588-'Preventative costs B'!G588</f>
        <v>6417.9682380092399</v>
      </c>
      <c r="H588" s="26">
        <f ca="1">'Preventative costs A'!H588-'Preventative costs B'!H588</f>
        <v>845.20512112611141</v>
      </c>
      <c r="I588" s="26">
        <f ca="1">'Preventative costs A'!I588-'Preventative costs B'!I588</f>
        <v>4803.1963584264076</v>
      </c>
      <c r="J588" s="26">
        <f ca="1">'Preventative costs A'!J588-'Preventative costs B'!J588</f>
        <v>5752.0875863698338</v>
      </c>
      <c r="K588" s="26">
        <f ca="1">'Preventative costs A'!K588-'Preventative costs B'!K588</f>
        <v>4417.7478783708921</v>
      </c>
      <c r="M588" s="4" t="str">
        <f t="shared" si="42"/>
        <v>$M(2015) per Mtonne</v>
      </c>
    </row>
    <row r="589" spans="1:13" s="7" customFormat="1" x14ac:dyDescent="0.2">
      <c r="A589" s="4" t="str">
        <v>OT N2O</v>
      </c>
      <c r="B589" s="26">
        <f ca="1">'Preventative costs A'!B589-'Preventative costs B'!B589</f>
        <v>0</v>
      </c>
      <c r="C589" s="26">
        <f ca="1">'Preventative costs A'!C589-'Preventative costs B'!C589</f>
        <v>0</v>
      </c>
      <c r="D589" s="26">
        <f ca="1">'Preventative costs A'!D589-'Preventative costs B'!D589</f>
        <v>0</v>
      </c>
      <c r="E589" s="26">
        <f ca="1">'Preventative costs A'!E589-'Preventative costs B'!E589</f>
        <v>0</v>
      </c>
      <c r="F589" s="26">
        <f ca="1">'Preventative costs A'!F589-'Preventative costs B'!F589</f>
        <v>11583.685810562441</v>
      </c>
      <c r="G589" s="26">
        <f ca="1">'Preventative costs A'!G589-'Preventative costs B'!G589</f>
        <v>6666.3957340434981</v>
      </c>
      <c r="H589" s="26">
        <f ca="1">'Preventative costs A'!H589-'Preventative costs B'!H589</f>
        <v>911.82616086705002</v>
      </c>
      <c r="I589" s="26">
        <f ca="1">'Preventative costs A'!I589-'Preventative costs B'!I589</f>
        <v>5052.991903183065</v>
      </c>
      <c r="J589" s="26">
        <f ca="1">'Preventative costs A'!J589-'Preventative costs B'!J589</f>
        <v>5997.2080097229291</v>
      </c>
      <c r="K589" s="26">
        <f ca="1">'Preventative costs A'!K589-'Preventative costs B'!K589</f>
        <v>4656.5060623497884</v>
      </c>
      <c r="M589" s="4" t="str">
        <f t="shared" si="42"/>
        <v>$M(2015) per Mtonne</v>
      </c>
    </row>
    <row r="590" spans="1:13" s="7" customFormat="1" x14ac:dyDescent="0.2">
      <c r="A590" s="4" t="str">
        <v>EE N2O</v>
      </c>
      <c r="B590" s="26">
        <f ca="1">'Preventative costs A'!B590-'Preventative costs B'!B590</f>
        <v>0</v>
      </c>
      <c r="C590" s="26">
        <f ca="1">'Preventative costs A'!C590-'Preventative costs B'!C590</f>
        <v>0</v>
      </c>
      <c r="D590" s="26">
        <f ca="1">'Preventative costs A'!D590-'Preventative costs B'!D590</f>
        <v>0</v>
      </c>
      <c r="E590" s="26">
        <f ca="1">'Preventative costs A'!E590-'Preventative costs B'!E590</f>
        <v>0</v>
      </c>
      <c r="F590" s="26">
        <f ca="1">'Preventative costs A'!F590-'Preventative costs B'!F590</f>
        <v>10507.610428380032</v>
      </c>
      <c r="G590" s="26">
        <f ca="1">'Preventative costs A'!G590-'Preventative costs B'!G590</f>
        <v>7652.6933607056226</v>
      </c>
      <c r="H590" s="26">
        <f ca="1">'Preventative costs A'!H590-'Preventative costs B'!H590</f>
        <v>1272.8152532059057</v>
      </c>
      <c r="I590" s="26">
        <f ca="1">'Preventative costs A'!I590-'Preventative costs B'!I590</f>
        <v>6171.5049714483903</v>
      </c>
      <c r="J590" s="26">
        <f ca="1">'Preventative costs A'!J590-'Preventative costs B'!J590</f>
        <v>7008.0539008511805</v>
      </c>
      <c r="K590" s="26">
        <f ca="1">'Preventative costs A'!K590-'Preventative costs B'!K590</f>
        <v>5743.3891304969848</v>
      </c>
      <c r="M590" s="4" t="str">
        <f t="shared" si="42"/>
        <v>$M(2015) per Mtonne</v>
      </c>
    </row>
    <row r="591" spans="1:13" s="7" customFormat="1" x14ac:dyDescent="0.2">
      <c r="A591" s="4" t="str">
        <v>CA N2O</v>
      </c>
      <c r="B591" s="26">
        <f ca="1">'Preventative costs A'!B591-'Preventative costs B'!B591</f>
        <v>0</v>
      </c>
      <c r="C591" s="26">
        <f ca="1">'Preventative costs A'!C591-'Preventative costs B'!C591</f>
        <v>0</v>
      </c>
      <c r="D591" s="26">
        <f ca="1">'Preventative costs A'!D591-'Preventative costs B'!D591</f>
        <v>0</v>
      </c>
      <c r="E591" s="26">
        <f ca="1">'Preventative costs A'!E591-'Preventative costs B'!E591</f>
        <v>0</v>
      </c>
      <c r="F591" s="26">
        <f ca="1">'Preventative costs A'!F591-'Preventative costs B'!F591</f>
        <v>11585.421100374833</v>
      </c>
      <c r="G591" s="26">
        <f ca="1">'Preventative costs A'!G591-'Preventative costs B'!G591</f>
        <v>7652.6933607056235</v>
      </c>
      <c r="H591" s="26">
        <f ca="1">'Preventative costs A'!H591-'Preventative costs B'!H591</f>
        <v>1272.8152532059057</v>
      </c>
      <c r="I591" s="26">
        <f ca="1">'Preventative costs A'!I591-'Preventative costs B'!I591</f>
        <v>6171.5049714483903</v>
      </c>
      <c r="J591" s="26">
        <f ca="1">'Preventative costs A'!J591-'Preventative costs B'!J591</f>
        <v>7008.0539008511805</v>
      </c>
      <c r="K591" s="26">
        <f ca="1">'Preventative costs A'!K591-'Preventative costs B'!K591</f>
        <v>5743.3891304969848</v>
      </c>
      <c r="M591" s="4" t="str">
        <f t="shared" si="42"/>
        <v>$M(2015) per Mtonne</v>
      </c>
    </row>
    <row r="592" spans="1:13" s="7" customFormat="1" x14ac:dyDescent="0.2">
      <c r="A592" s="4" t="str">
        <v>IA N2O</v>
      </c>
      <c r="B592" s="26">
        <f ca="1">'Preventative costs A'!B592-'Preventative costs B'!B592</f>
        <v>0</v>
      </c>
      <c r="C592" s="26">
        <f ca="1">'Preventative costs A'!C592-'Preventative costs B'!C592</f>
        <v>0</v>
      </c>
      <c r="D592" s="26">
        <f ca="1">'Preventative costs A'!D592-'Preventative costs B'!D592</f>
        <v>0</v>
      </c>
      <c r="E592" s="26">
        <f ca="1">'Preventative costs A'!E592-'Preventative costs B'!E592</f>
        <v>0</v>
      </c>
      <c r="F592" s="26">
        <f ca="1">'Preventative costs A'!F592-'Preventative costs B'!F592</f>
        <v>12423.718289704124</v>
      </c>
      <c r="G592" s="26">
        <f ca="1">'Preventative costs A'!G592-'Preventative costs B'!G592</f>
        <v>7652.6933607056235</v>
      </c>
      <c r="H592" s="26">
        <f ca="1">'Preventative costs A'!H592-'Preventative costs B'!H592</f>
        <v>1272.8152532059057</v>
      </c>
      <c r="I592" s="26">
        <f ca="1">'Preventative costs A'!I592-'Preventative costs B'!I592</f>
        <v>6171.5049714483903</v>
      </c>
      <c r="J592" s="26">
        <f ca="1">'Preventative costs A'!J592-'Preventative costs B'!J592</f>
        <v>7008.0539008511805</v>
      </c>
      <c r="K592" s="26">
        <f ca="1">'Preventative costs A'!K592-'Preventative costs B'!K592</f>
        <v>5743.3891304969848</v>
      </c>
      <c r="M592" s="4" t="str">
        <f t="shared" si="42"/>
        <v>$M(2015) per Mtonne</v>
      </c>
    </row>
    <row r="593" spans="1:13" s="7" customFormat="1" x14ac:dyDescent="0.2">
      <c r="A593" s="4" t="str">
        <v>AF N2O</v>
      </c>
      <c r="B593" s="26">
        <f ca="1">'Preventative costs A'!B593-'Preventative costs B'!B593</f>
        <v>0</v>
      </c>
      <c r="C593" s="26">
        <f ca="1">'Preventative costs A'!C593-'Preventative costs B'!C593</f>
        <v>0</v>
      </c>
      <c r="D593" s="26">
        <f ca="1">'Preventative costs A'!D593-'Preventative costs B'!D593</f>
        <v>0</v>
      </c>
      <c r="E593" s="26">
        <f ca="1">'Preventative costs A'!E593-'Preventative costs B'!E593</f>
        <v>0</v>
      </c>
      <c r="F593" s="26">
        <f ca="1">'Preventative costs A'!F593-'Preventative costs B'!F593</f>
        <v>12423.718289704122</v>
      </c>
      <c r="G593" s="26">
        <f ca="1">'Preventative costs A'!G593-'Preventative costs B'!G593</f>
        <v>7652.6933607056226</v>
      </c>
      <c r="H593" s="26">
        <f ca="1">'Preventative costs A'!H593-'Preventative costs B'!H593</f>
        <v>1272.8152532059094</v>
      </c>
      <c r="I593" s="26">
        <f ca="1">'Preventative costs A'!I593-'Preventative costs B'!I593</f>
        <v>6171.5049714483903</v>
      </c>
      <c r="J593" s="26">
        <f ca="1">'Preventative costs A'!J593-'Preventative costs B'!J593</f>
        <v>7008.0539008511805</v>
      </c>
      <c r="K593" s="26">
        <f ca="1">'Preventative costs A'!K593-'Preventative costs B'!K593</f>
        <v>5743.3891304969848</v>
      </c>
      <c r="M593" s="4" t="str">
        <f t="shared" si="42"/>
        <v>$M(2015) per Mtonne</v>
      </c>
    </row>
    <row r="594" spans="1:13" s="7" customFormat="1" ht="13.5" thickBot="1" x14ac:dyDescent="0.25">
      <c r="A594" s="4" t="str">
        <v>LA N2O</v>
      </c>
      <c r="B594" s="35">
        <f ca="1">'Preventative costs A'!B594-'Preventative costs B'!B594</f>
        <v>0</v>
      </c>
      <c r="C594" s="35">
        <f ca="1">'Preventative costs A'!C594-'Preventative costs B'!C594</f>
        <v>0</v>
      </c>
      <c r="D594" s="35">
        <f ca="1">'Preventative costs A'!D594-'Preventative costs B'!D594</f>
        <v>0</v>
      </c>
      <c r="E594" s="35">
        <f ca="1">'Preventative costs A'!E594-'Preventative costs B'!E594</f>
        <v>0</v>
      </c>
      <c r="F594" s="35">
        <f ca="1">'Preventative costs A'!F594-'Preventative costs B'!F594</f>
        <v>10507.610428380034</v>
      </c>
      <c r="G594" s="35">
        <f ca="1">'Preventative costs A'!G594-'Preventative costs B'!G594</f>
        <v>7652.6933607056226</v>
      </c>
      <c r="H594" s="35">
        <f ca="1">'Preventative costs A'!H594-'Preventative costs B'!H594</f>
        <v>1272.8152532059094</v>
      </c>
      <c r="I594" s="35">
        <f ca="1">'Preventative costs A'!I594-'Preventative costs B'!I594</f>
        <v>6171.5049714483912</v>
      </c>
      <c r="J594" s="35">
        <f ca="1">'Preventative costs A'!J594-'Preventative costs B'!J594</f>
        <v>7008.0539008511805</v>
      </c>
      <c r="K594" s="35">
        <f ca="1">'Preventative costs A'!K594-'Preventative costs B'!K594</f>
        <v>5743.3891304969839</v>
      </c>
      <c r="M594" s="4" t="str">
        <f t="shared" si="42"/>
        <v>$M(2015) per Mtonne</v>
      </c>
    </row>
    <row r="595" spans="1:13" s="2" customFormat="1" ht="15" thickTop="1" x14ac:dyDescent="0.25">
      <c r="A595" s="2" t="s">
        <v>347</v>
      </c>
      <c r="B595" s="2" t="s">
        <v>351</v>
      </c>
    </row>
    <row r="596" spans="1:13" s="7" customFormat="1" x14ac:dyDescent="0.2">
      <c r="A596" s="4" t="str">
        <f t="array" ref="A596:A603">R_CODE&amp;" "&amp;GLIN_NAME</f>
        <v>EU Lin</v>
      </c>
      <c r="B596" s="29">
        <f ca="1">'Preventative costs A'!B596-'Preventative costs B'!B596</f>
        <v>0</v>
      </c>
      <c r="C596" s="29">
        <f ca="1">'Preventative costs A'!C596-'Preventative costs B'!C596</f>
        <v>0</v>
      </c>
      <c r="D596" s="29">
        <f ca="1">'Preventative costs A'!D596-'Preventative costs B'!D596</f>
        <v>0</v>
      </c>
      <c r="E596" s="29">
        <f ca="1">'Preventative costs A'!E596-'Preventative costs B'!E596</f>
        <v>0</v>
      </c>
      <c r="F596" s="29">
        <f ca="1">'Preventative costs A'!F596-'Preventative costs B'!F596</f>
        <v>331.85318605756925</v>
      </c>
      <c r="G596" s="29">
        <f ca="1">'Preventative costs A'!G596-'Preventative costs B'!G596</f>
        <v>501.38838067035601</v>
      </c>
      <c r="H596" s="29">
        <f ca="1">'Preventative costs A'!H596-'Preventative costs B'!H596</f>
        <v>427.68971249493183</v>
      </c>
      <c r="I596" s="29">
        <f ca="1">'Preventative costs A'!I596-'Preventative costs B'!I596</f>
        <v>380.71226625287323</v>
      </c>
      <c r="J596" s="29">
        <f ca="1">'Preventative costs A'!J596-'Preventative costs B'!J596</f>
        <v>347.55638850926277</v>
      </c>
      <c r="K596" s="29">
        <f ca="1">'Preventative costs A'!K596-'Preventative costs B'!K596</f>
        <v>323.13886477032156</v>
      </c>
      <c r="M596" s="4" t="str">
        <f t="shared" ref="M596:M603" si="43">CURRENCY_NAME&amp;" per "&amp;EMIT_NAME</f>
        <v>$M(2015) per Mtonne</v>
      </c>
    </row>
    <row r="597" spans="1:13" s="7" customFormat="1" x14ac:dyDescent="0.2">
      <c r="A597" s="4" t="str">
        <v>US Lin</v>
      </c>
      <c r="B597" s="26">
        <f ca="1">'Preventative costs A'!B597-'Preventative costs B'!B597</f>
        <v>0</v>
      </c>
      <c r="C597" s="26">
        <f ca="1">'Preventative costs A'!C597-'Preventative costs B'!C597</f>
        <v>0</v>
      </c>
      <c r="D597" s="26">
        <f ca="1">'Preventative costs A'!D597-'Preventative costs B'!D597</f>
        <v>0</v>
      </c>
      <c r="E597" s="26">
        <f ca="1">'Preventative costs A'!E597-'Preventative costs B'!E597</f>
        <v>0</v>
      </c>
      <c r="F597" s="26">
        <f ca="1">'Preventative costs A'!F597-'Preventative costs B'!F597</f>
        <v>329.53200108062197</v>
      </c>
      <c r="G597" s="26">
        <f ca="1">'Preventative costs A'!G597-'Preventative costs B'!G597</f>
        <v>481.34172664600868</v>
      </c>
      <c r="H597" s="26">
        <f ca="1">'Preventative costs A'!H597-'Preventative costs B'!H597</f>
        <v>406.93634019900753</v>
      </c>
      <c r="I597" s="26">
        <f ca="1">'Preventative costs A'!I597-'Preventative costs B'!I597</f>
        <v>363.31444763250522</v>
      </c>
      <c r="J597" s="26">
        <f ca="1">'Preventative costs A'!J597-'Preventative costs B'!J597</f>
        <v>333.31272064862719</v>
      </c>
      <c r="K597" s="26">
        <f ca="1">'Preventative costs A'!K597-'Preventative costs B'!K597</f>
        <v>311.40133052617261</v>
      </c>
      <c r="M597" s="4" t="str">
        <f t="shared" si="43"/>
        <v>$M(2015) per Mtonne</v>
      </c>
    </row>
    <row r="598" spans="1:13" s="7" customFormat="1" x14ac:dyDescent="0.2">
      <c r="A598" s="4" t="str">
        <v>OT Lin</v>
      </c>
      <c r="B598" s="26">
        <f ca="1">'Preventative costs A'!B598-'Preventative costs B'!B598</f>
        <v>0</v>
      </c>
      <c r="C598" s="26">
        <f ca="1">'Preventative costs A'!C598-'Preventative costs B'!C598</f>
        <v>0</v>
      </c>
      <c r="D598" s="26">
        <f ca="1">'Preventative costs A'!D598-'Preventative costs B'!D598</f>
        <v>0</v>
      </c>
      <c r="E598" s="26">
        <f ca="1">'Preventative costs A'!E598-'Preventative costs B'!E598</f>
        <v>0</v>
      </c>
      <c r="F598" s="26">
        <f ca="1">'Preventative costs A'!F598-'Preventative costs B'!F598</f>
        <v>349.94571368930264</v>
      </c>
      <c r="G598" s="26">
        <f ca="1">'Preventative costs A'!G598-'Preventative costs B'!G598</f>
        <v>560.8036090126152</v>
      </c>
      <c r="H598" s="26">
        <f ca="1">'Preventative costs A'!H598-'Preventative costs B'!H598</f>
        <v>471.00942633164345</v>
      </c>
      <c r="I598" s="26">
        <f ca="1">'Preventative costs A'!I598-'Preventative costs B'!I598</f>
        <v>413.82343234226073</v>
      </c>
      <c r="J598" s="26">
        <f ca="1">'Preventative costs A'!J598-'Preventative costs B'!J598</f>
        <v>373.64253036322464</v>
      </c>
      <c r="K598" s="26">
        <f ca="1">'Preventative costs A'!K598-'Preventative costs B'!K598</f>
        <v>344.24688445832908</v>
      </c>
      <c r="M598" s="4" t="str">
        <f t="shared" si="43"/>
        <v>$M(2015) per Mtonne</v>
      </c>
    </row>
    <row r="599" spans="1:13" s="7" customFormat="1" x14ac:dyDescent="0.2">
      <c r="A599" s="4" t="str">
        <v>EE Lin</v>
      </c>
      <c r="B599" s="26">
        <f ca="1">'Preventative costs A'!B599-'Preventative costs B'!B599</f>
        <v>0</v>
      </c>
      <c r="C599" s="26">
        <f ca="1">'Preventative costs A'!C599-'Preventative costs B'!C599</f>
        <v>0</v>
      </c>
      <c r="D599" s="26">
        <f ca="1">'Preventative costs A'!D599-'Preventative costs B'!D599</f>
        <v>0</v>
      </c>
      <c r="E599" s="26">
        <f ca="1">'Preventative costs A'!E599-'Preventative costs B'!E599</f>
        <v>0</v>
      </c>
      <c r="F599" s="26">
        <f ca="1">'Preventative costs A'!F599-'Preventative costs B'!F599</f>
        <v>314.67221376464408</v>
      </c>
      <c r="G599" s="26">
        <f ca="1">'Preventative costs A'!G599-'Preventative costs B'!G599</f>
        <v>444.36577618425014</v>
      </c>
      <c r="H599" s="26">
        <f ca="1">'Preventative costs A'!H599-'Preventative costs B'!H599</f>
        <v>389.52000556071914</v>
      </c>
      <c r="I599" s="26">
        <f ca="1">'Preventative costs A'!I599-'Preventative costs B'!I599</f>
        <v>352.41467528864104</v>
      </c>
      <c r="J599" s="26">
        <f ca="1">'Preventative costs A'!J599-'Preventative costs B'!J599</f>
        <v>325.50633726446461</v>
      </c>
      <c r="K599" s="26">
        <f ca="1">'Preventative costs A'!K599-'Preventative costs B'!K599</f>
        <v>305.3335189528849</v>
      </c>
      <c r="M599" s="4" t="str">
        <f t="shared" si="43"/>
        <v>$M(2015) per Mtonne</v>
      </c>
    </row>
    <row r="600" spans="1:13" s="7" customFormat="1" x14ac:dyDescent="0.2">
      <c r="A600" s="4" t="str">
        <v>CA Lin</v>
      </c>
      <c r="B600" s="26">
        <f ca="1">'Preventative costs A'!B600-'Preventative costs B'!B600</f>
        <v>0</v>
      </c>
      <c r="C600" s="26">
        <f ca="1">'Preventative costs A'!C600-'Preventative costs B'!C600</f>
        <v>0</v>
      </c>
      <c r="D600" s="26">
        <f ca="1">'Preventative costs A'!D600-'Preventative costs B'!D600</f>
        <v>0</v>
      </c>
      <c r="E600" s="26">
        <f ca="1">'Preventative costs A'!E600-'Preventative costs B'!E600</f>
        <v>0</v>
      </c>
      <c r="F600" s="26">
        <f ca="1">'Preventative costs A'!F600-'Preventative costs B'!F600</f>
        <v>340.54011312596197</v>
      </c>
      <c r="G600" s="26">
        <f ca="1">'Preventative costs A'!G600-'Preventative costs B'!G600</f>
        <v>518.55706682133086</v>
      </c>
      <c r="H600" s="26">
        <f ca="1">'Preventative costs A'!H600-'Preventative costs B'!H600</f>
        <v>439.20667302547054</v>
      </c>
      <c r="I600" s="26">
        <f ca="1">'Preventative costs A'!I600-'Preventative costs B'!I600</f>
        <v>388.98098445089187</v>
      </c>
      <c r="J600" s="26">
        <f ca="1">'Preventative costs A'!J600-'Preventative costs B'!J600</f>
        <v>353.71875976154746</v>
      </c>
      <c r="K600" s="26">
        <f ca="1">'Preventative costs A'!K600-'Preventative costs B'!K600</f>
        <v>327.86872214034236</v>
      </c>
      <c r="M600" s="4" t="str">
        <f t="shared" si="43"/>
        <v>$M(2015) per Mtonne</v>
      </c>
    </row>
    <row r="601" spans="1:13" s="7" customFormat="1" x14ac:dyDescent="0.2">
      <c r="A601" s="4" t="str">
        <v>IA Lin</v>
      </c>
      <c r="B601" s="26">
        <f ca="1">'Preventative costs A'!B601-'Preventative costs B'!B601</f>
        <v>0</v>
      </c>
      <c r="C601" s="26">
        <f ca="1">'Preventative costs A'!C601-'Preventative costs B'!C601</f>
        <v>0</v>
      </c>
      <c r="D601" s="26">
        <f ca="1">'Preventative costs A'!D601-'Preventative costs B'!D601</f>
        <v>0</v>
      </c>
      <c r="E601" s="26">
        <f ca="1">'Preventative costs A'!E601-'Preventative costs B'!E601</f>
        <v>0</v>
      </c>
      <c r="F601" s="26">
        <f ca="1">'Preventative costs A'!F601-'Preventative costs B'!F601</f>
        <v>360.65959040698704</v>
      </c>
      <c r="G601" s="26">
        <f ca="1">'Preventative costs A'!G601-'Preventative costs B'!G601</f>
        <v>584.69624192030528</v>
      </c>
      <c r="H601" s="26">
        <f ca="1">'Preventative costs A'!H601-'Preventative costs B'!H601</f>
        <v>488.6150257729501</v>
      </c>
      <c r="I601" s="26">
        <f ca="1">'Preventative costs A'!I601-'Preventative costs B'!I601</f>
        <v>427.03292371301876</v>
      </c>
      <c r="J601" s="26">
        <f ca="1">'Preventative costs A'!J601-'Preventative costs B'!J601</f>
        <v>383.77154402723818</v>
      </c>
      <c r="K601" s="26">
        <f ca="1">'Preventative costs A'!K601-'Preventative costs B'!K601</f>
        <v>352.19346168113901</v>
      </c>
      <c r="M601" s="4" t="str">
        <f t="shared" si="43"/>
        <v>$M(2015) per Mtonne</v>
      </c>
    </row>
    <row r="602" spans="1:13" s="7" customFormat="1" x14ac:dyDescent="0.2">
      <c r="A602" s="4" t="str">
        <v>AF Lin</v>
      </c>
      <c r="B602" s="26">
        <f ca="1">'Preventative costs A'!B602-'Preventative costs B'!B602</f>
        <v>0</v>
      </c>
      <c r="C602" s="26">
        <f ca="1">'Preventative costs A'!C602-'Preventative costs B'!C602</f>
        <v>0</v>
      </c>
      <c r="D602" s="26">
        <f ca="1">'Preventative costs A'!D602-'Preventative costs B'!D602</f>
        <v>0</v>
      </c>
      <c r="E602" s="26">
        <f ca="1">'Preventative costs A'!E602-'Preventative costs B'!E602</f>
        <v>0</v>
      </c>
      <c r="F602" s="26">
        <f ca="1">'Preventative costs A'!F602-'Preventative costs B'!F602</f>
        <v>360.65959040698704</v>
      </c>
      <c r="G602" s="26">
        <f ca="1">'Preventative costs A'!G602-'Preventative costs B'!G602</f>
        <v>589.89203597033475</v>
      </c>
      <c r="H602" s="26">
        <f ca="1">'Preventative costs A'!H602-'Preventative costs B'!H602</f>
        <v>495.38249380035961</v>
      </c>
      <c r="I602" s="26">
        <f ca="1">'Preventative costs A'!I602-'Preventative costs B'!I602</f>
        <v>433.12446833130315</v>
      </c>
      <c r="J602" s="26">
        <f ca="1">'Preventative costs A'!J602-'Preventative costs B'!J602</f>
        <v>388.93169134532047</v>
      </c>
      <c r="K602" s="26">
        <f ca="1">'Preventative costs A'!K602-'Preventative costs B'!K602</f>
        <v>356.52802447228999</v>
      </c>
      <c r="M602" s="4" t="str">
        <f t="shared" si="43"/>
        <v>$M(2015) per Mtonne</v>
      </c>
    </row>
    <row r="603" spans="1:13" s="7" customFormat="1" ht="13.5" thickBot="1" x14ac:dyDescent="0.25">
      <c r="A603" s="4" t="str">
        <v>LA Lin</v>
      </c>
      <c r="B603" s="35">
        <f ca="1">'Preventative costs A'!B603-'Preventative costs B'!B603</f>
        <v>0</v>
      </c>
      <c r="C603" s="35">
        <f ca="1">'Preventative costs A'!C603-'Preventative costs B'!C603</f>
        <v>0</v>
      </c>
      <c r="D603" s="35">
        <f ca="1">'Preventative costs A'!D603-'Preventative costs B'!D603</f>
        <v>0</v>
      </c>
      <c r="E603" s="35">
        <f ca="1">'Preventative costs A'!E603-'Preventative costs B'!E603</f>
        <v>0</v>
      </c>
      <c r="F603" s="35">
        <f ca="1">'Preventative costs A'!F603-'Preventative costs B'!F603</f>
        <v>314.67221376464408</v>
      </c>
      <c r="G603" s="35">
        <f ca="1">'Preventative costs A'!G603-'Preventative costs B'!G603</f>
        <v>443.73733764634949</v>
      </c>
      <c r="H603" s="35">
        <f ca="1">'Preventative costs A'!H603-'Preventative costs B'!H603</f>
        <v>388.66638379926655</v>
      </c>
      <c r="I603" s="35">
        <f ca="1">'Preventative costs A'!I603-'Preventative costs B'!I603</f>
        <v>351.63281723778255</v>
      </c>
      <c r="J603" s="35">
        <f ca="1">'Preventative costs A'!J603-'Preventative costs B'!J603</f>
        <v>324.83808966955996</v>
      </c>
      <c r="K603" s="35">
        <f ca="1">'Preventative costs A'!K603-'Preventative costs B'!K603</f>
        <v>304.76935177929215</v>
      </c>
      <c r="M603" s="4" t="str">
        <f t="shared" si="43"/>
        <v>$M(2015) per Mtonne</v>
      </c>
    </row>
    <row r="604" spans="1:13" s="2" customFormat="1" ht="15" thickTop="1" x14ac:dyDescent="0.25">
      <c r="A604" s="2" t="s">
        <v>352</v>
      </c>
      <c r="B604" s="2" t="s">
        <v>353</v>
      </c>
    </row>
    <row r="605" spans="1:13" s="6" customFormat="1" x14ac:dyDescent="0.2">
      <c r="A605" s="4" t="str">
        <f t="array" ref="A605:A612">R_CODE&amp;" "&amp;'Base data'!$B$12</f>
        <v>EU CO2</v>
      </c>
      <c r="B605" s="29">
        <f ca="1">'Preventative costs A'!B605-'Preventative costs B'!B605</f>
        <v>0</v>
      </c>
      <c r="C605" s="29">
        <f ca="1">'Preventative costs A'!C605-'Preventative costs B'!C605</f>
        <v>0</v>
      </c>
      <c r="D605" s="29">
        <f ca="1">'Preventative costs A'!D605-'Preventative costs B'!D605</f>
        <v>0</v>
      </c>
      <c r="E605" s="29">
        <f ca="1">'Preventative costs A'!E605-'Preventative costs B'!E605</f>
        <v>0</v>
      </c>
      <c r="F605" s="29">
        <f ca="1">'Preventative costs A'!F605-'Preventative costs B'!F605</f>
        <v>-4853.2394481662996</v>
      </c>
      <c r="G605" s="29">
        <f ca="1">'Preventative costs A'!G605-'Preventative costs B'!G605</f>
        <v>174377.30729803263</v>
      </c>
      <c r="H605" s="29">
        <f ca="1">'Preventative costs A'!H605-'Preventative costs B'!H605</f>
        <v>334921.4137686941</v>
      </c>
      <c r="I605" s="29">
        <f ca="1">'Preventative costs A'!I605-'Preventative costs B'!I605</f>
        <v>320932.37555334921</v>
      </c>
      <c r="J605" s="29">
        <f ca="1">'Preventative costs A'!J605-'Preventative costs B'!J605</f>
        <v>273226.22273394122</v>
      </c>
      <c r="K605" s="29">
        <f ca="1">'Preventative costs A'!K605-'Preventative costs B'!K605</f>
        <v>219461.62278610541</v>
      </c>
      <c r="M605" s="4" t="str">
        <f t="shared" ref="M605:M612" si="44">CURRENCY_NAME</f>
        <v>$M(2015)</v>
      </c>
    </row>
    <row r="606" spans="1:13" s="6" customFormat="1" x14ac:dyDescent="0.2">
      <c r="A606" s="4" t="str">
        <v>US CO2</v>
      </c>
      <c r="B606" s="26">
        <f ca="1">'Preventative costs A'!B606-'Preventative costs B'!B606</f>
        <v>0</v>
      </c>
      <c r="C606" s="26">
        <f ca="1">'Preventative costs A'!C606-'Preventative costs B'!C606</f>
        <v>0</v>
      </c>
      <c r="D606" s="26">
        <f ca="1">'Preventative costs A'!D606-'Preventative costs B'!D606</f>
        <v>0</v>
      </c>
      <c r="E606" s="26">
        <f ca="1">'Preventative costs A'!E606-'Preventative costs B'!E606</f>
        <v>0</v>
      </c>
      <c r="F606" s="26">
        <f ca="1">'Preventative costs A'!F606-'Preventative costs B'!F606</f>
        <v>-3095.5200282656297</v>
      </c>
      <c r="G606" s="26">
        <f ca="1">'Preventative costs A'!G606-'Preventative costs B'!G606</f>
        <v>402698.74907150981</v>
      </c>
      <c r="H606" s="26">
        <f ca="1">'Preventative costs A'!H606-'Preventative costs B'!H606</f>
        <v>671972.93065168522</v>
      </c>
      <c r="I606" s="26">
        <f ca="1">'Preventative costs A'!I606-'Preventative costs B'!I606</f>
        <v>624981.49501759897</v>
      </c>
      <c r="J606" s="26">
        <f ca="1">'Preventative costs A'!J606-'Preventative costs B'!J606</f>
        <v>482527.60365888639</v>
      </c>
      <c r="K606" s="26">
        <f ca="1">'Preventative costs A'!K606-'Preventative costs B'!K606</f>
        <v>368097.82883284218</v>
      </c>
      <c r="M606" s="4" t="str">
        <f t="shared" si="44"/>
        <v>$M(2015)</v>
      </c>
    </row>
    <row r="607" spans="1:13" s="6" customFormat="1" x14ac:dyDescent="0.2">
      <c r="A607" s="4" t="str">
        <v>OT CO2</v>
      </c>
      <c r="B607" s="26">
        <f ca="1">'Preventative costs A'!B607-'Preventative costs B'!B607</f>
        <v>0</v>
      </c>
      <c r="C607" s="26">
        <f ca="1">'Preventative costs A'!C607-'Preventative costs B'!C607</f>
        <v>0</v>
      </c>
      <c r="D607" s="26">
        <f ca="1">'Preventative costs A'!D607-'Preventative costs B'!D607</f>
        <v>0</v>
      </c>
      <c r="E607" s="26">
        <f ca="1">'Preventative costs A'!E607-'Preventative costs B'!E607</f>
        <v>0</v>
      </c>
      <c r="F607" s="26">
        <f ca="1">'Preventative costs A'!F607-'Preventative costs B'!F607</f>
        <v>-2324.3137303720068</v>
      </c>
      <c r="G607" s="26">
        <f ca="1">'Preventative costs A'!G607-'Preventative costs B'!G607</f>
        <v>205713.46502707913</v>
      </c>
      <c r="H607" s="26">
        <f ca="1">'Preventative costs A'!H607-'Preventative costs B'!H607</f>
        <v>392583.11347220786</v>
      </c>
      <c r="I607" s="26">
        <f ca="1">'Preventative costs A'!I607-'Preventative costs B'!I607</f>
        <v>376761.85505472036</v>
      </c>
      <c r="J607" s="26">
        <f ca="1">'Preventative costs A'!J607-'Preventative costs B'!J607</f>
        <v>321342.12872056011</v>
      </c>
      <c r="K607" s="26">
        <f ca="1">'Preventative costs A'!K607-'Preventative costs B'!K607</f>
        <v>258850.68514464551</v>
      </c>
      <c r="M607" s="4" t="str">
        <f t="shared" si="44"/>
        <v>$M(2015)</v>
      </c>
    </row>
    <row r="608" spans="1:13" s="6" customFormat="1" x14ac:dyDescent="0.2">
      <c r="A608" s="4" t="str">
        <v>EE CO2</v>
      </c>
      <c r="B608" s="26">
        <f ca="1">'Preventative costs A'!B608-'Preventative costs B'!B608</f>
        <v>0</v>
      </c>
      <c r="C608" s="26">
        <f ca="1">'Preventative costs A'!C608-'Preventative costs B'!C608</f>
        <v>0</v>
      </c>
      <c r="D608" s="26">
        <f ca="1">'Preventative costs A'!D608-'Preventative costs B'!D608</f>
        <v>0</v>
      </c>
      <c r="E608" s="26">
        <f ca="1">'Preventative costs A'!E608-'Preventative costs B'!E608</f>
        <v>0</v>
      </c>
      <c r="F608" s="26">
        <f ca="1">'Preventative costs A'!F608-'Preventative costs B'!F608</f>
        <v>15683.002963173489</v>
      </c>
      <c r="G608" s="26">
        <f ca="1">'Preventative costs A'!G608-'Preventative costs B'!G608</f>
        <v>244726.3555718296</v>
      </c>
      <c r="H608" s="26">
        <f ca="1">'Preventative costs A'!H608-'Preventative costs B'!H608</f>
        <v>338162.83031854616</v>
      </c>
      <c r="I608" s="26">
        <f ca="1">'Preventative costs A'!I608-'Preventative costs B'!I608</f>
        <v>275494.02115238196</v>
      </c>
      <c r="J608" s="26">
        <f ca="1">'Preventative costs A'!J608-'Preventative costs B'!J608</f>
        <v>212335.81431285749</v>
      </c>
      <c r="K608" s="26">
        <f ca="1">'Preventative costs A'!K608-'Preventative costs B'!K608</f>
        <v>169050.81493286049</v>
      </c>
      <c r="M608" s="4" t="str">
        <f t="shared" si="44"/>
        <v>$M(2015)</v>
      </c>
    </row>
    <row r="609" spans="1:13" s="6" customFormat="1" x14ac:dyDescent="0.2">
      <c r="A609" s="4" t="str">
        <v>CA CO2</v>
      </c>
      <c r="B609" s="26">
        <f ca="1">'Preventative costs A'!B609-'Preventative costs B'!B609</f>
        <v>0</v>
      </c>
      <c r="C609" s="26">
        <f ca="1">'Preventative costs A'!C609-'Preventative costs B'!C609</f>
        <v>0</v>
      </c>
      <c r="D609" s="26">
        <f ca="1">'Preventative costs A'!D609-'Preventative costs B'!D609</f>
        <v>0</v>
      </c>
      <c r="E609" s="26">
        <f ca="1">'Preventative costs A'!E609-'Preventative costs B'!E609</f>
        <v>0</v>
      </c>
      <c r="F609" s="26">
        <f ca="1">'Preventative costs A'!F609-'Preventative costs B'!F609</f>
        <v>18550.383345362417</v>
      </c>
      <c r="G609" s="26">
        <f ca="1">'Preventative costs A'!G609-'Preventative costs B'!G609</f>
        <v>471142.75729945482</v>
      </c>
      <c r="H609" s="26">
        <f ca="1">'Preventative costs A'!H609-'Preventative costs B'!H609</f>
        <v>725939.15233049076</v>
      </c>
      <c r="I609" s="26">
        <f ca="1">'Preventative costs A'!I609-'Preventative costs B'!I609</f>
        <v>611763.30356595363</v>
      </c>
      <c r="J609" s="26">
        <f ca="1">'Preventative costs A'!J609-'Preventative costs B'!J609</f>
        <v>436397.72213308432</v>
      </c>
      <c r="K609" s="26">
        <f ca="1">'Preventative costs A'!K609-'Preventative costs B'!K609</f>
        <v>318044.08569834108</v>
      </c>
      <c r="M609" s="4" t="str">
        <f t="shared" si="44"/>
        <v>$M(2015)</v>
      </c>
    </row>
    <row r="610" spans="1:13" s="6" customFormat="1" x14ac:dyDescent="0.2">
      <c r="A610" s="4" t="str">
        <v>IA CO2</v>
      </c>
      <c r="B610" s="26">
        <f ca="1">'Preventative costs A'!B610-'Preventative costs B'!B610</f>
        <v>0</v>
      </c>
      <c r="C610" s="26">
        <f ca="1">'Preventative costs A'!C610-'Preventative costs B'!C610</f>
        <v>0</v>
      </c>
      <c r="D610" s="26">
        <f ca="1">'Preventative costs A'!D610-'Preventative costs B'!D610</f>
        <v>0</v>
      </c>
      <c r="E610" s="26">
        <f ca="1">'Preventative costs A'!E610-'Preventative costs B'!E610</f>
        <v>0</v>
      </c>
      <c r="F610" s="26">
        <f ca="1">'Preventative costs A'!F610-'Preventative costs B'!F610</f>
        <v>46933.532544528687</v>
      </c>
      <c r="G610" s="26">
        <f ca="1">'Preventative costs A'!G610-'Preventative costs B'!G610</f>
        <v>731780.09971566894</v>
      </c>
      <c r="H610" s="26">
        <f ca="1">'Preventative costs A'!H610-'Preventative costs B'!H610</f>
        <v>1140476.3660659888</v>
      </c>
      <c r="I610" s="26">
        <f ca="1">'Preventative costs A'!I610-'Preventative costs B'!I610</f>
        <v>1063738.2163102408</v>
      </c>
      <c r="J610" s="26">
        <f ca="1">'Preventative costs A'!J610-'Preventative costs B'!J610</f>
        <v>857191.40387744037</v>
      </c>
      <c r="K610" s="26">
        <f ca="1">'Preventative costs A'!K610-'Preventative costs B'!K610</f>
        <v>641380.24874729267</v>
      </c>
      <c r="M610" s="4" t="str">
        <f t="shared" si="44"/>
        <v>$M(2015)</v>
      </c>
    </row>
    <row r="611" spans="1:13" s="6" customFormat="1" x14ac:dyDescent="0.2">
      <c r="A611" s="4" t="str">
        <v>AF CO2</v>
      </c>
      <c r="B611" s="26">
        <f ca="1">'Preventative costs A'!B611-'Preventative costs B'!B611</f>
        <v>0</v>
      </c>
      <c r="C611" s="26">
        <f ca="1">'Preventative costs A'!C611-'Preventative costs B'!C611</f>
        <v>0</v>
      </c>
      <c r="D611" s="26">
        <f ca="1">'Preventative costs A'!D611-'Preventative costs B'!D611</f>
        <v>0</v>
      </c>
      <c r="E611" s="26">
        <f ca="1">'Preventative costs A'!E611-'Preventative costs B'!E611</f>
        <v>0</v>
      </c>
      <c r="F611" s="26">
        <f ca="1">'Preventative costs A'!F611-'Preventative costs B'!F611</f>
        <v>111069.62831728658</v>
      </c>
      <c r="G611" s="26">
        <f ca="1">'Preventative costs A'!G611-'Preventative costs B'!G611</f>
        <v>1480711.8604581426</v>
      </c>
      <c r="H611" s="26">
        <f ca="1">'Preventative costs A'!H611-'Preventative costs B'!H611</f>
        <v>2093402.3382843554</v>
      </c>
      <c r="I611" s="26">
        <f ca="1">'Preventative costs A'!I611-'Preventative costs B'!I611</f>
        <v>1924982.3464586164</v>
      </c>
      <c r="J611" s="26">
        <f ca="1">'Preventative costs A'!J611-'Preventative costs B'!J611</f>
        <v>1613878.6939023766</v>
      </c>
      <c r="K611" s="26">
        <f ca="1">'Preventative costs A'!K611-'Preventative costs B'!K611</f>
        <v>1296128.5895951311</v>
      </c>
      <c r="M611" s="4" t="str">
        <f t="shared" si="44"/>
        <v>$M(2015)</v>
      </c>
    </row>
    <row r="612" spans="1:13" s="6" customFormat="1" ht="13.5" thickBot="1" x14ac:dyDescent="0.25">
      <c r="A612" s="4" t="str">
        <v>LA CO2</v>
      </c>
      <c r="B612" s="35">
        <f ca="1">'Preventative costs A'!B612-'Preventative costs B'!B612</f>
        <v>0</v>
      </c>
      <c r="C612" s="35">
        <f ca="1">'Preventative costs A'!C612-'Preventative costs B'!C612</f>
        <v>0</v>
      </c>
      <c r="D612" s="35">
        <f ca="1">'Preventative costs A'!D612-'Preventative costs B'!D612</f>
        <v>0</v>
      </c>
      <c r="E612" s="35">
        <f ca="1">'Preventative costs A'!E612-'Preventative costs B'!E612</f>
        <v>0</v>
      </c>
      <c r="F612" s="35">
        <f ca="1">'Preventative costs A'!F612-'Preventative costs B'!F612</f>
        <v>-2811.5180773470947</v>
      </c>
      <c r="G612" s="35">
        <f ca="1">'Preventative costs A'!G612-'Preventative costs B'!G612</f>
        <v>218502.21683391905</v>
      </c>
      <c r="H612" s="35">
        <f ca="1">'Preventative costs A'!H612-'Preventative costs B'!H612</f>
        <v>441156.12781016494</v>
      </c>
      <c r="I612" s="35">
        <f ca="1">'Preventative costs A'!I612-'Preventative costs B'!I612</f>
        <v>503841.51595084689</v>
      </c>
      <c r="J612" s="35">
        <f ca="1">'Preventative costs A'!J612-'Preventative costs B'!J612</f>
        <v>434315.716027805</v>
      </c>
      <c r="K612" s="35">
        <f ca="1">'Preventative costs A'!K612-'Preventative costs B'!K612</f>
        <v>419670.79661026952</v>
      </c>
      <c r="M612" s="4" t="str">
        <f t="shared" si="44"/>
        <v>$M(2015)</v>
      </c>
    </row>
    <row r="613" spans="1:13" s="2" customFormat="1" ht="15" thickTop="1" x14ac:dyDescent="0.25">
      <c r="A613" s="2" t="s">
        <v>352</v>
      </c>
      <c r="B613" s="2" t="s">
        <v>354</v>
      </c>
    </row>
    <row r="614" spans="1:13" s="6" customFormat="1" x14ac:dyDescent="0.2">
      <c r="A614" s="4" t="str">
        <f t="array" ref="A614:A621">R_CODE&amp;" "&amp;'Base data'!$C$12</f>
        <v>EU CH4</v>
      </c>
      <c r="B614" s="29">
        <f ca="1">'Preventative costs A'!B614-'Preventative costs B'!B614</f>
        <v>0</v>
      </c>
      <c r="C614" s="29">
        <f ca="1">'Preventative costs A'!C614-'Preventative costs B'!C614</f>
        <v>0</v>
      </c>
      <c r="D614" s="29">
        <f ca="1">'Preventative costs A'!D614-'Preventative costs B'!D614</f>
        <v>0</v>
      </c>
      <c r="E614" s="29">
        <f ca="1">'Preventative costs A'!E614-'Preventative costs B'!E614</f>
        <v>0</v>
      </c>
      <c r="F614" s="29">
        <f ca="1">'Preventative costs A'!F614-'Preventative costs B'!F614</f>
        <v>9289.9540859122699</v>
      </c>
      <c r="G614" s="29">
        <f ca="1">'Preventative costs A'!G614-'Preventative costs B'!G614</f>
        <v>1347.8745976032142</v>
      </c>
      <c r="H614" s="29">
        <f ca="1">'Preventative costs A'!H614-'Preventative costs B'!H614</f>
        <v>-2675.8501353320275</v>
      </c>
      <c r="I614" s="29">
        <f ca="1">'Preventative costs A'!I614-'Preventative costs B'!I614</f>
        <v>-3197.950490505822</v>
      </c>
      <c r="J614" s="29">
        <f ca="1">'Preventative costs A'!J614-'Preventative costs B'!J614</f>
        <v>-3177.8596161951118</v>
      </c>
      <c r="K614" s="29">
        <f ca="1">'Preventative costs A'!K614-'Preventative costs B'!K614</f>
        <v>-2605.2641175132821</v>
      </c>
      <c r="M614" s="4" t="str">
        <f t="shared" ref="M614:M621" si="45">CURRENCY_NAME</f>
        <v>$M(2015)</v>
      </c>
    </row>
    <row r="615" spans="1:13" s="6" customFormat="1" x14ac:dyDescent="0.2">
      <c r="A615" s="4" t="str">
        <v>US CH4</v>
      </c>
      <c r="B615" s="26">
        <f ca="1">'Preventative costs A'!B615-'Preventative costs B'!B615</f>
        <v>0</v>
      </c>
      <c r="C615" s="26">
        <f ca="1">'Preventative costs A'!C615-'Preventative costs B'!C615</f>
        <v>0</v>
      </c>
      <c r="D615" s="26">
        <f ca="1">'Preventative costs A'!D615-'Preventative costs B'!D615</f>
        <v>0</v>
      </c>
      <c r="E615" s="26">
        <f ca="1">'Preventative costs A'!E615-'Preventative costs B'!E615</f>
        <v>0</v>
      </c>
      <c r="F615" s="26">
        <f ca="1">'Preventative costs A'!F615-'Preventative costs B'!F615</f>
        <v>20444.049839192154</v>
      </c>
      <c r="G615" s="26">
        <f ca="1">'Preventative costs A'!G615-'Preventative costs B'!G615</f>
        <v>12780.817626447742</v>
      </c>
      <c r="H615" s="26">
        <f ca="1">'Preventative costs A'!H615-'Preventative costs B'!H615</f>
        <v>5562.8192590398821</v>
      </c>
      <c r="I615" s="26">
        <f ca="1">'Preventative costs A'!I615-'Preventative costs B'!I615</f>
        <v>-1143.068952668882</v>
      </c>
      <c r="J615" s="26">
        <f ca="1">'Preventative costs A'!J615-'Preventative costs B'!J615</f>
        <v>-3953.8639650393538</v>
      </c>
      <c r="K615" s="26">
        <f ca="1">'Preventative costs A'!K615-'Preventative costs B'!K615</f>
        <v>-4025.6784059794509</v>
      </c>
      <c r="M615" s="4" t="str">
        <f t="shared" si="45"/>
        <v>$M(2015)</v>
      </c>
    </row>
    <row r="616" spans="1:13" s="6" customFormat="1" x14ac:dyDescent="0.2">
      <c r="A616" s="4" t="str">
        <v>OT CH4</v>
      </c>
      <c r="B616" s="26">
        <f ca="1">'Preventative costs A'!B616-'Preventative costs B'!B616</f>
        <v>0</v>
      </c>
      <c r="C616" s="26">
        <f ca="1">'Preventative costs A'!C616-'Preventative costs B'!C616</f>
        <v>0</v>
      </c>
      <c r="D616" s="26">
        <f ca="1">'Preventative costs A'!D616-'Preventative costs B'!D616</f>
        <v>0</v>
      </c>
      <c r="E616" s="26">
        <f ca="1">'Preventative costs A'!E616-'Preventative costs B'!E616</f>
        <v>0</v>
      </c>
      <c r="F616" s="26">
        <f ca="1">'Preventative costs A'!F616-'Preventative costs B'!F616</f>
        <v>7591.1919220690743</v>
      </c>
      <c r="G616" s="26">
        <f ca="1">'Preventative costs A'!G616-'Preventative costs B'!G616</f>
        <v>24913.671692090786</v>
      </c>
      <c r="H616" s="26">
        <f ca="1">'Preventative costs A'!H616-'Preventative costs B'!H616</f>
        <v>20292.704975873508</v>
      </c>
      <c r="I616" s="26">
        <f ca="1">'Preventative costs A'!I616-'Preventative costs B'!I616</f>
        <v>13517.393064062755</v>
      </c>
      <c r="J616" s="26">
        <f ca="1">'Preventative costs A'!J616-'Preventative costs B'!J616</f>
        <v>10526.899384753335</v>
      </c>
      <c r="K616" s="26">
        <f ca="1">'Preventative costs A'!K616-'Preventative costs B'!K616</f>
        <v>17149.999608118163</v>
      </c>
      <c r="M616" s="4" t="str">
        <f t="shared" si="45"/>
        <v>$M(2015)</v>
      </c>
    </row>
    <row r="617" spans="1:13" s="6" customFormat="1" x14ac:dyDescent="0.2">
      <c r="A617" s="4" t="str">
        <v>EE CH4</v>
      </c>
      <c r="B617" s="26">
        <f ca="1">'Preventative costs A'!B617-'Preventative costs B'!B617</f>
        <v>0</v>
      </c>
      <c r="C617" s="26">
        <f ca="1">'Preventative costs A'!C617-'Preventative costs B'!C617</f>
        <v>0</v>
      </c>
      <c r="D617" s="26">
        <f ca="1">'Preventative costs A'!D617-'Preventative costs B'!D617</f>
        <v>0</v>
      </c>
      <c r="E617" s="26">
        <f ca="1">'Preventative costs A'!E617-'Preventative costs B'!E617</f>
        <v>0</v>
      </c>
      <c r="F617" s="26">
        <f ca="1">'Preventative costs A'!F617-'Preventative costs B'!F617</f>
        <v>26059.204231058779</v>
      </c>
      <c r="G617" s="26">
        <f ca="1">'Preventative costs A'!G617-'Preventative costs B'!G617</f>
        <v>63521.463883604156</v>
      </c>
      <c r="H617" s="26">
        <f ca="1">'Preventative costs A'!H617-'Preventative costs B'!H617</f>
        <v>59121.170793109137</v>
      </c>
      <c r="I617" s="26">
        <f ca="1">'Preventative costs A'!I617-'Preventative costs B'!I617</f>
        <v>55343.326834618849</v>
      </c>
      <c r="J617" s="26">
        <f ca="1">'Preventative costs A'!J617-'Preventative costs B'!J617</f>
        <v>44940.268828144304</v>
      </c>
      <c r="K617" s="26">
        <f ca="1">'Preventative costs A'!K617-'Preventative costs B'!K617</f>
        <v>35565.102440462571</v>
      </c>
      <c r="M617" s="4" t="str">
        <f t="shared" si="45"/>
        <v>$M(2015)</v>
      </c>
    </row>
    <row r="618" spans="1:13" s="6" customFormat="1" x14ac:dyDescent="0.2">
      <c r="A618" s="4" t="str">
        <v>CA CH4</v>
      </c>
      <c r="B618" s="26">
        <f ca="1">'Preventative costs A'!B618-'Preventative costs B'!B618</f>
        <v>0</v>
      </c>
      <c r="C618" s="26">
        <f ca="1">'Preventative costs A'!C618-'Preventative costs B'!C618</f>
        <v>0</v>
      </c>
      <c r="D618" s="26">
        <f ca="1">'Preventative costs A'!D618-'Preventative costs B'!D618</f>
        <v>0</v>
      </c>
      <c r="E618" s="26">
        <f ca="1">'Preventative costs A'!E618-'Preventative costs B'!E618</f>
        <v>0</v>
      </c>
      <c r="F618" s="26">
        <f ca="1">'Preventative costs A'!F618-'Preventative costs B'!F618</f>
        <v>21568.516996482998</v>
      </c>
      <c r="G618" s="26">
        <f ca="1">'Preventative costs A'!G618-'Preventative costs B'!G618</f>
        <v>32158.837609370919</v>
      </c>
      <c r="H618" s="26">
        <f ca="1">'Preventative costs A'!H618-'Preventative costs B'!H618</f>
        <v>29408.101225967326</v>
      </c>
      <c r="I618" s="26">
        <f ca="1">'Preventative costs A'!I618-'Preventative costs B'!I618</f>
        <v>17012.171725290442</v>
      </c>
      <c r="J618" s="26">
        <f ca="1">'Preventative costs A'!J618-'Preventative costs B'!J618</f>
        <v>16359.283602630654</v>
      </c>
      <c r="K618" s="26">
        <f ca="1">'Preventative costs A'!K618-'Preventative costs B'!K618</f>
        <v>10771.964050903598</v>
      </c>
      <c r="M618" s="4" t="str">
        <f t="shared" si="45"/>
        <v>$M(2015)</v>
      </c>
    </row>
    <row r="619" spans="1:13" s="6" customFormat="1" x14ac:dyDescent="0.2">
      <c r="A619" s="4" t="str">
        <v>IA CH4</v>
      </c>
      <c r="B619" s="26">
        <f ca="1">'Preventative costs A'!B619-'Preventative costs B'!B619</f>
        <v>0</v>
      </c>
      <c r="C619" s="26">
        <f ca="1">'Preventative costs A'!C619-'Preventative costs B'!C619</f>
        <v>0</v>
      </c>
      <c r="D619" s="26">
        <f ca="1">'Preventative costs A'!D619-'Preventative costs B'!D619</f>
        <v>0</v>
      </c>
      <c r="E619" s="26">
        <f ca="1">'Preventative costs A'!E619-'Preventative costs B'!E619</f>
        <v>0</v>
      </c>
      <c r="F619" s="26">
        <f ca="1">'Preventative costs A'!F619-'Preventative costs B'!F619</f>
        <v>56236.1956142692</v>
      </c>
      <c r="G619" s="26">
        <f ca="1">'Preventative costs A'!G619-'Preventative costs B'!G619</f>
        <v>29008.006001356101</v>
      </c>
      <c r="H619" s="26">
        <f ca="1">'Preventative costs A'!H619-'Preventative costs B'!H619</f>
        <v>8883.4821851223805</v>
      </c>
      <c r="I619" s="26">
        <f ca="1">'Preventative costs A'!I619-'Preventative costs B'!I619</f>
        <v>3526.9756455883971</v>
      </c>
      <c r="J619" s="26">
        <f ca="1">'Preventative costs A'!J619-'Preventative costs B'!J619</f>
        <v>3941.7142869472109</v>
      </c>
      <c r="K619" s="26">
        <f ca="1">'Preventative costs A'!K619-'Preventative costs B'!K619</f>
        <v>2895.7224426337525</v>
      </c>
      <c r="M619" s="4" t="str">
        <f t="shared" si="45"/>
        <v>$M(2015)</v>
      </c>
    </row>
    <row r="620" spans="1:13" s="6" customFormat="1" x14ac:dyDescent="0.2">
      <c r="A620" s="4" t="str">
        <v>AF CH4</v>
      </c>
      <c r="B620" s="26">
        <f ca="1">'Preventative costs A'!B620-'Preventative costs B'!B620</f>
        <v>0</v>
      </c>
      <c r="C620" s="26">
        <f ca="1">'Preventative costs A'!C620-'Preventative costs B'!C620</f>
        <v>0</v>
      </c>
      <c r="D620" s="26">
        <f ca="1">'Preventative costs A'!D620-'Preventative costs B'!D620</f>
        <v>0</v>
      </c>
      <c r="E620" s="26">
        <f ca="1">'Preventative costs A'!E620-'Preventative costs B'!E620</f>
        <v>0</v>
      </c>
      <c r="F620" s="26">
        <f ca="1">'Preventative costs A'!F620-'Preventative costs B'!F620</f>
        <v>81336.082160736623</v>
      </c>
      <c r="G620" s="26">
        <f ca="1">'Preventative costs A'!G620-'Preventative costs B'!G620</f>
        <v>356424.21209943219</v>
      </c>
      <c r="H620" s="26">
        <f ca="1">'Preventative costs A'!H620-'Preventative costs B'!H620</f>
        <v>396289.9906435021</v>
      </c>
      <c r="I620" s="26">
        <f ca="1">'Preventative costs A'!I620-'Preventative costs B'!I620</f>
        <v>304145.23124435538</v>
      </c>
      <c r="J620" s="26">
        <f ca="1">'Preventative costs A'!J620-'Preventative costs B'!J620</f>
        <v>190984.76954529612</v>
      </c>
      <c r="K620" s="26">
        <f ca="1">'Preventative costs A'!K620-'Preventative costs B'!K620</f>
        <v>132041.1638997907</v>
      </c>
      <c r="M620" s="4" t="str">
        <f t="shared" si="45"/>
        <v>$M(2015)</v>
      </c>
    </row>
    <row r="621" spans="1:13" s="6" customFormat="1" ht="13.5" thickBot="1" x14ac:dyDescent="0.25">
      <c r="A621" s="4" t="str">
        <v>LA CH4</v>
      </c>
      <c r="B621" s="35">
        <f ca="1">'Preventative costs A'!B621-'Preventative costs B'!B621</f>
        <v>0</v>
      </c>
      <c r="C621" s="35">
        <f ca="1">'Preventative costs A'!C621-'Preventative costs B'!C621</f>
        <v>0</v>
      </c>
      <c r="D621" s="35">
        <f ca="1">'Preventative costs A'!D621-'Preventative costs B'!D621</f>
        <v>0</v>
      </c>
      <c r="E621" s="35">
        <f ca="1">'Preventative costs A'!E621-'Preventative costs B'!E621</f>
        <v>0</v>
      </c>
      <c r="F621" s="35">
        <f ca="1">'Preventative costs A'!F621-'Preventative costs B'!F621</f>
        <v>9261.5888475892425</v>
      </c>
      <c r="G621" s="35">
        <f ca="1">'Preventative costs A'!G621-'Preventative costs B'!G621</f>
        <v>29934.767017692269</v>
      </c>
      <c r="H621" s="35">
        <f ca="1">'Preventative costs A'!H621-'Preventative costs B'!H621</f>
        <v>26653.182721300298</v>
      </c>
      <c r="I621" s="35">
        <f ca="1">'Preventative costs A'!I621-'Preventative costs B'!I621</f>
        <v>20261.867290414943</v>
      </c>
      <c r="J621" s="35">
        <f ca="1">'Preventative costs A'!J621-'Preventative costs B'!J621</f>
        <v>11451.121690507613</v>
      </c>
      <c r="K621" s="35">
        <f ca="1">'Preventative costs A'!K621-'Preventative costs B'!K621</f>
        <v>8927.1120727821835</v>
      </c>
      <c r="M621" s="4" t="str">
        <f t="shared" si="45"/>
        <v>$M(2015)</v>
      </c>
    </row>
    <row r="622" spans="1:13" s="2" customFormat="1" ht="15" thickTop="1" x14ac:dyDescent="0.25">
      <c r="A622" s="2" t="s">
        <v>352</v>
      </c>
      <c r="B622" s="2" t="s">
        <v>355</v>
      </c>
    </row>
    <row r="623" spans="1:13" s="7" customFormat="1" x14ac:dyDescent="0.2">
      <c r="A623" s="4" t="str">
        <f t="array" ref="A623:A630">R_CODE&amp;" "&amp;'Base data'!$D$12</f>
        <v>EU N2O</v>
      </c>
      <c r="B623" s="29">
        <f ca="1">'Preventative costs A'!B623-'Preventative costs B'!B623</f>
        <v>0</v>
      </c>
      <c r="C623" s="29">
        <f ca="1">'Preventative costs A'!C623-'Preventative costs B'!C623</f>
        <v>0</v>
      </c>
      <c r="D623" s="29">
        <f ca="1">'Preventative costs A'!D623-'Preventative costs B'!D623</f>
        <v>0</v>
      </c>
      <c r="E623" s="29">
        <f ca="1">'Preventative costs A'!E623-'Preventative costs B'!E623</f>
        <v>0</v>
      </c>
      <c r="F623" s="29">
        <f ca="1">'Preventative costs A'!F623-'Preventative costs B'!F623</f>
        <v>-57.961155913522248</v>
      </c>
      <c r="G623" s="29">
        <f ca="1">'Preventative costs A'!G623-'Preventative costs B'!G623</f>
        <v>-343.27554757628371</v>
      </c>
      <c r="H623" s="29">
        <f ca="1">'Preventative costs A'!H623-'Preventative costs B'!H623</f>
        <v>-50.350798335921283</v>
      </c>
      <c r="I623" s="29">
        <f ca="1">'Preventative costs A'!I623-'Preventative costs B'!I623</f>
        <v>-254.79335137397936</v>
      </c>
      <c r="J623" s="29">
        <f ca="1">'Preventative costs A'!J623-'Preventative costs B'!J623</f>
        <v>-277.02413796808156</v>
      </c>
      <c r="K623" s="29">
        <f ca="1">'Preventative costs A'!K623-'Preventative costs B'!K623</f>
        <v>-207.19035451072739</v>
      </c>
      <c r="M623" s="4" t="str">
        <f t="shared" ref="M623:M630" si="46">CURRENCY_NAME</f>
        <v>$M(2015)</v>
      </c>
    </row>
    <row r="624" spans="1:13" s="7" customFormat="1" x14ac:dyDescent="0.2">
      <c r="A624" s="4" t="str">
        <v>US N2O</v>
      </c>
      <c r="B624" s="26">
        <f ca="1">'Preventative costs A'!B624-'Preventative costs B'!B624</f>
        <v>0</v>
      </c>
      <c r="C624" s="26">
        <f ca="1">'Preventative costs A'!C624-'Preventative costs B'!C624</f>
        <v>0</v>
      </c>
      <c r="D624" s="26">
        <f ca="1">'Preventative costs A'!D624-'Preventative costs B'!D624</f>
        <v>0</v>
      </c>
      <c r="E624" s="26">
        <f ca="1">'Preventative costs A'!E624-'Preventative costs B'!E624</f>
        <v>0</v>
      </c>
      <c r="F624" s="26">
        <f ca="1">'Preventative costs A'!F624-'Preventative costs B'!F624</f>
        <v>-109.26224451829552</v>
      </c>
      <c r="G624" s="26">
        <f ca="1">'Preventative costs A'!G624-'Preventative costs B'!G624</f>
        <v>-319.1643756162822</v>
      </c>
      <c r="H624" s="26">
        <f ca="1">'Preventative costs A'!H624-'Preventative costs B'!H624</f>
        <v>-44.620765375051491</v>
      </c>
      <c r="I624" s="26">
        <f ca="1">'Preventative costs A'!I624-'Preventative costs B'!I624</f>
        <v>-232.77261929563716</v>
      </c>
      <c r="J624" s="26">
        <f ca="1">'Preventative costs A'!J624-'Preventative costs B'!J624</f>
        <v>-256.17276801344281</v>
      </c>
      <c r="K624" s="26">
        <f ca="1">'Preventative costs A'!K624-'Preventative costs B'!K624</f>
        <v>-188.81082182629729</v>
      </c>
      <c r="M624" s="4" t="str">
        <f t="shared" si="46"/>
        <v>$M(2015)</v>
      </c>
    </row>
    <row r="625" spans="1:13" s="7" customFormat="1" x14ac:dyDescent="0.2">
      <c r="A625" s="4" t="str">
        <v>OT N2O</v>
      </c>
      <c r="B625" s="26">
        <f ca="1">'Preventative costs A'!B625-'Preventative costs B'!B625</f>
        <v>0</v>
      </c>
      <c r="C625" s="26">
        <f ca="1">'Preventative costs A'!C625-'Preventative costs B'!C625</f>
        <v>0</v>
      </c>
      <c r="D625" s="26">
        <f ca="1">'Preventative costs A'!D625-'Preventative costs B'!D625</f>
        <v>0</v>
      </c>
      <c r="E625" s="26">
        <f ca="1">'Preventative costs A'!E625-'Preventative costs B'!E625</f>
        <v>0</v>
      </c>
      <c r="F625" s="26">
        <f ca="1">'Preventative costs A'!F625-'Preventative costs B'!F625</f>
        <v>8.3939689914763278</v>
      </c>
      <c r="G625" s="26">
        <f ca="1">'Preventative costs A'!G625-'Preventative costs B'!G625</f>
        <v>-162.74643941433996</v>
      </c>
      <c r="H625" s="26">
        <f ca="1">'Preventative costs A'!H625-'Preventative costs B'!H625</f>
        <v>-23.871240490905265</v>
      </c>
      <c r="I625" s="26">
        <f ca="1">'Preventative costs A'!I625-'Preventative costs B'!I625</f>
        <v>-120.79715847907029</v>
      </c>
      <c r="J625" s="26">
        <f ca="1">'Preventative costs A'!J625-'Preventative costs B'!J625</f>
        <v>-131.33674217244754</v>
      </c>
      <c r="K625" s="26">
        <f ca="1">'Preventative costs A'!K625-'Preventative costs B'!K625</f>
        <v>-98.228646682509378</v>
      </c>
      <c r="M625" s="4" t="str">
        <f t="shared" si="46"/>
        <v>$M(2015)</v>
      </c>
    </row>
    <row r="626" spans="1:13" s="7" customFormat="1" x14ac:dyDescent="0.2">
      <c r="A626" s="4" t="str">
        <v>EE N2O</v>
      </c>
      <c r="B626" s="26">
        <f ca="1">'Preventative costs A'!B626-'Preventative costs B'!B626</f>
        <v>0</v>
      </c>
      <c r="C626" s="26">
        <f ca="1">'Preventative costs A'!C626-'Preventative costs B'!C626</f>
        <v>0</v>
      </c>
      <c r="D626" s="26">
        <f ca="1">'Preventative costs A'!D626-'Preventative costs B'!D626</f>
        <v>0</v>
      </c>
      <c r="E626" s="26">
        <f ca="1">'Preventative costs A'!E626-'Preventative costs B'!E626</f>
        <v>0</v>
      </c>
      <c r="F626" s="26">
        <f ca="1">'Preventative costs A'!F626-'Preventative costs B'!F626</f>
        <v>18.922322799773852</v>
      </c>
      <c r="G626" s="26">
        <f ca="1">'Preventative costs A'!G626-'Preventative costs B'!G626</f>
        <v>-83.951158818680938</v>
      </c>
      <c r="H626" s="26">
        <f ca="1">'Preventative costs A'!H626-'Preventative costs B'!H626</f>
        <v>-15.939497590309799</v>
      </c>
      <c r="I626" s="26">
        <f ca="1">'Preventative costs A'!I626-'Preventative costs B'!I626</f>
        <v>-68.375570111198158</v>
      </c>
      <c r="J626" s="26">
        <f ca="1">'Preventative costs A'!J626-'Preventative costs B'!J626</f>
        <v>-69.712128916275233</v>
      </c>
      <c r="K626" s="26">
        <f ca="1">'Preventative costs A'!K626-'Preventative costs B'!K626</f>
        <v>-56.348018516177845</v>
      </c>
      <c r="M626" s="4" t="str">
        <f t="shared" si="46"/>
        <v>$M(2015)</v>
      </c>
    </row>
    <row r="627" spans="1:13" s="7" customFormat="1" x14ac:dyDescent="0.2">
      <c r="A627" s="4" t="str">
        <v>CA N2O</v>
      </c>
      <c r="B627" s="26">
        <f ca="1">'Preventative costs A'!B627-'Preventative costs B'!B627</f>
        <v>0</v>
      </c>
      <c r="C627" s="26">
        <f ca="1">'Preventative costs A'!C627-'Preventative costs B'!C627</f>
        <v>0</v>
      </c>
      <c r="D627" s="26">
        <f ca="1">'Preventative costs A'!D627-'Preventative costs B'!D627</f>
        <v>0</v>
      </c>
      <c r="E627" s="26">
        <f ca="1">'Preventative costs A'!E627-'Preventative costs B'!E627</f>
        <v>0</v>
      </c>
      <c r="F627" s="26">
        <f ca="1">'Preventative costs A'!F627-'Preventative costs B'!F627</f>
        <v>337.86253069257953</v>
      </c>
      <c r="G627" s="26">
        <f ca="1">'Preventative costs A'!G627-'Preventative costs B'!G627</f>
        <v>-441.12099492942343</v>
      </c>
      <c r="H627" s="26">
        <f ca="1">'Preventative costs A'!H627-'Preventative costs B'!H627</f>
        <v>-83.7540200117881</v>
      </c>
      <c r="I627" s="26">
        <f ca="1">'Preventative costs A'!I627-'Preventative costs B'!I627</f>
        <v>-359.27913254255878</v>
      </c>
      <c r="J627" s="26">
        <f ca="1">'Preventative costs A'!J627-'Preventative costs B'!J627</f>
        <v>-366.30207490778184</v>
      </c>
      <c r="K627" s="26">
        <f ca="1">'Preventative costs A'!K627-'Preventative costs B'!K627</f>
        <v>-296.08041556451849</v>
      </c>
      <c r="M627" s="4" t="str">
        <f t="shared" si="46"/>
        <v>$M(2015)</v>
      </c>
    </row>
    <row r="628" spans="1:13" s="7" customFormat="1" x14ac:dyDescent="0.2">
      <c r="A628" s="4" t="str">
        <v>IA N2O</v>
      </c>
      <c r="B628" s="26">
        <f ca="1">'Preventative costs A'!B628-'Preventative costs B'!B628</f>
        <v>0</v>
      </c>
      <c r="C628" s="26">
        <f ca="1">'Preventative costs A'!C628-'Preventative costs B'!C628</f>
        <v>0</v>
      </c>
      <c r="D628" s="26">
        <f ca="1">'Preventative costs A'!D628-'Preventative costs B'!D628</f>
        <v>0</v>
      </c>
      <c r="E628" s="26">
        <f ca="1">'Preventative costs A'!E628-'Preventative costs B'!E628</f>
        <v>0</v>
      </c>
      <c r="F628" s="26">
        <f ca="1">'Preventative costs A'!F628-'Preventative costs B'!F628</f>
        <v>250.33618173876204</v>
      </c>
      <c r="G628" s="26">
        <f ca="1">'Preventative costs A'!G628-'Preventative costs B'!G628</f>
        <v>-211.018487434485</v>
      </c>
      <c r="H628" s="26">
        <f ca="1">'Preventative costs A'!H628-'Preventative costs B'!H628</f>
        <v>-40.065303675407215</v>
      </c>
      <c r="I628" s="26">
        <f ca="1">'Preventative costs A'!I628-'Preventative costs B'!I628</f>
        <v>-171.86790016202809</v>
      </c>
      <c r="J628" s="26">
        <f ca="1">'Preventative costs A'!J628-'Preventative costs B'!J628</f>
        <v>-175.2274561393763</v>
      </c>
      <c r="K628" s="26">
        <f ca="1">'Preventative costs A'!K628-'Preventative costs B'!K628</f>
        <v>-141.63561056846686</v>
      </c>
      <c r="M628" s="4" t="str">
        <f t="shared" si="46"/>
        <v>$M(2015)</v>
      </c>
    </row>
    <row r="629" spans="1:13" s="7" customFormat="1" x14ac:dyDescent="0.2">
      <c r="A629" s="4" t="str">
        <v>AF N2O</v>
      </c>
      <c r="B629" s="26">
        <f ca="1">'Preventative costs A'!B629-'Preventative costs B'!B629</f>
        <v>0</v>
      </c>
      <c r="C629" s="26">
        <f ca="1">'Preventative costs A'!C629-'Preventative costs B'!C629</f>
        <v>0</v>
      </c>
      <c r="D629" s="26">
        <f ca="1">'Preventative costs A'!D629-'Preventative costs B'!D629</f>
        <v>0</v>
      </c>
      <c r="E629" s="26">
        <f ca="1">'Preventative costs A'!E629-'Preventative costs B'!E629</f>
        <v>0</v>
      </c>
      <c r="F629" s="26">
        <f ca="1">'Preventative costs A'!F629-'Preventative costs B'!F629</f>
        <v>439.23800376045148</v>
      </c>
      <c r="G629" s="26">
        <f ca="1">'Preventative costs A'!G629-'Preventative costs B'!G629</f>
        <v>-370.25146957780572</v>
      </c>
      <c r="H629" s="26">
        <f ca="1">'Preventative costs A'!H629-'Preventative costs B'!H629</f>
        <v>-70.298284028342408</v>
      </c>
      <c r="I629" s="26">
        <f ca="1">'Preventative costs A'!I629-'Preventative costs B'!I629</f>
        <v>-301.55814015110434</v>
      </c>
      <c r="J629" s="26">
        <f ca="1">'Preventative costs A'!J629-'Preventative costs B'!J629</f>
        <v>-307.45279209778874</v>
      </c>
      <c r="K629" s="26">
        <f ca="1">'Preventative costs A'!K629-'Preventative costs B'!K629</f>
        <v>-248.51278954317192</v>
      </c>
      <c r="M629" s="4" t="str">
        <f t="shared" si="46"/>
        <v>$M(2015)</v>
      </c>
    </row>
    <row r="630" spans="1:13" s="7" customFormat="1" ht="13.5" thickBot="1" x14ac:dyDescent="0.25">
      <c r="A630" s="4" t="str">
        <v>LA N2O</v>
      </c>
      <c r="B630" s="35">
        <f ca="1">'Preventative costs A'!B630-'Preventative costs B'!B630</f>
        <v>0</v>
      </c>
      <c r="C630" s="35">
        <f ca="1">'Preventative costs A'!C630-'Preventative costs B'!C630</f>
        <v>0</v>
      </c>
      <c r="D630" s="35">
        <f ca="1">'Preventative costs A'!D630-'Preventative costs B'!D630</f>
        <v>0</v>
      </c>
      <c r="E630" s="35">
        <f ca="1">'Preventative costs A'!E630-'Preventative costs B'!E630</f>
        <v>0</v>
      </c>
      <c r="F630" s="35">
        <f ca="1">'Preventative costs A'!F630-'Preventative costs B'!F630</f>
        <v>80.271865356124692</v>
      </c>
      <c r="G630" s="35">
        <f ca="1">'Preventative costs A'!G630-'Preventative costs B'!G630</f>
        <v>-356.13577616719988</v>
      </c>
      <c r="H630" s="35">
        <f ca="1">'Preventative costs A'!H630-'Preventative costs B'!H630</f>
        <v>-67.618189265268796</v>
      </c>
      <c r="I630" s="35">
        <f ca="1">'Preventative costs A'!I630-'Preventative costs B'!I630</f>
        <v>-290.06135323301487</v>
      </c>
      <c r="J630" s="35">
        <f ca="1">'Preventative costs A'!J630-'Preventative costs B'!J630</f>
        <v>-295.73127386469184</v>
      </c>
      <c r="K630" s="35">
        <f ca="1">'Preventative costs A'!K630-'Preventative costs B'!K630</f>
        <v>-239.03833600540233</v>
      </c>
      <c r="M630" s="4" t="str">
        <f t="shared" si="46"/>
        <v>$M(2015)</v>
      </c>
    </row>
    <row r="631" spans="1:13" s="2" customFormat="1" ht="15" thickTop="1" x14ac:dyDescent="0.25">
      <c r="A631" s="2" t="s">
        <v>352</v>
      </c>
      <c r="B631" s="2" t="s">
        <v>356</v>
      </c>
    </row>
    <row r="632" spans="1:13" s="7" customFormat="1" x14ac:dyDescent="0.2">
      <c r="A632" s="4" t="str">
        <f t="array" ref="A632:A639">R_CODE&amp;" "&amp;GLIN_NAME</f>
        <v>EU Lin</v>
      </c>
      <c r="B632" s="29">
        <f ca="1">'Preventative costs A'!B632-'Preventative costs B'!B632</f>
        <v>0</v>
      </c>
      <c r="C632" s="29">
        <f ca="1">'Preventative costs A'!C632-'Preventative costs B'!C632</f>
        <v>0</v>
      </c>
      <c r="D632" s="29">
        <f ca="1">'Preventative costs A'!D632-'Preventative costs B'!D632</f>
        <v>0</v>
      </c>
      <c r="E632" s="29">
        <f ca="1">'Preventative costs A'!E632-'Preventative costs B'!E632</f>
        <v>0</v>
      </c>
      <c r="F632" s="29">
        <f ca="1">'Preventative costs A'!F632-'Preventative costs B'!F632</f>
        <v>586.12516175298435</v>
      </c>
      <c r="G632" s="29">
        <f ca="1">'Preventative costs A'!G632-'Preventative costs B'!G632</f>
        <v>9579.2487204362515</v>
      </c>
      <c r="H632" s="29">
        <f ca="1">'Preventative costs A'!H632-'Preventative costs B'!H632</f>
        <v>7707.9960641491634</v>
      </c>
      <c r="I632" s="29">
        <f ca="1">'Preventative costs A'!I632-'Preventative costs B'!I632</f>
        <v>6031.2495515241044</v>
      </c>
      <c r="J632" s="29">
        <f ca="1">'Preventative costs A'!J632-'Preventative costs B'!J632</f>
        <v>4431.0464522733582</v>
      </c>
      <c r="K632" s="29">
        <f ca="1">'Preventative costs A'!K632-'Preventative costs B'!K632</f>
        <v>3317.0255634786608</v>
      </c>
      <c r="M632" s="4" t="str">
        <f t="shared" ref="M632:M639" si="47">CURRENCY_NAME</f>
        <v>$M(2015)</v>
      </c>
    </row>
    <row r="633" spans="1:13" s="7" customFormat="1" x14ac:dyDescent="0.2">
      <c r="A633" s="4" t="str">
        <v>US Lin</v>
      </c>
      <c r="B633" s="26">
        <f ca="1">'Preventative costs A'!B633-'Preventative costs B'!B633</f>
        <v>0</v>
      </c>
      <c r="C633" s="26">
        <f ca="1">'Preventative costs A'!C633-'Preventative costs B'!C633</f>
        <v>0</v>
      </c>
      <c r="D633" s="26">
        <f ca="1">'Preventative costs A'!D633-'Preventative costs B'!D633</f>
        <v>0</v>
      </c>
      <c r="E633" s="26">
        <f ca="1">'Preventative costs A'!E633-'Preventative costs B'!E633</f>
        <v>0</v>
      </c>
      <c r="F633" s="26">
        <f ca="1">'Preventative costs A'!F633-'Preventative costs B'!F633</f>
        <v>1129.8130070080579</v>
      </c>
      <c r="G633" s="26">
        <f ca="1">'Preventative costs A'!G633-'Preventative costs B'!G633</f>
        <v>22368.227444593973</v>
      </c>
      <c r="H633" s="26">
        <f ca="1">'Preventative costs A'!H633-'Preventative costs B'!H633</f>
        <v>17083.598645581642</v>
      </c>
      <c r="I633" s="26">
        <f ca="1">'Preventative costs A'!I633-'Preventative costs B'!I633</f>
        <v>13023.131423770674</v>
      </c>
      <c r="J633" s="26">
        <f ca="1">'Preventative costs A'!J633-'Preventative costs B'!J633</f>
        <v>9379.8991964199922</v>
      </c>
      <c r="K633" s="26">
        <f ca="1">'Preventative costs A'!K633-'Preventative costs B'!K633</f>
        <v>6897.2251231663022</v>
      </c>
      <c r="M633" s="4" t="str">
        <f t="shared" si="47"/>
        <v>$M(2015)</v>
      </c>
    </row>
    <row r="634" spans="1:13" s="7" customFormat="1" x14ac:dyDescent="0.2">
      <c r="A634" s="4" t="str">
        <v>OT Lin</v>
      </c>
      <c r="B634" s="26">
        <f ca="1">'Preventative costs A'!B634-'Preventative costs B'!B634</f>
        <v>0</v>
      </c>
      <c r="C634" s="26">
        <f ca="1">'Preventative costs A'!C634-'Preventative costs B'!C634</f>
        <v>0</v>
      </c>
      <c r="D634" s="26">
        <f ca="1">'Preventative costs A'!D634-'Preventative costs B'!D634</f>
        <v>0</v>
      </c>
      <c r="E634" s="26">
        <f ca="1">'Preventative costs A'!E634-'Preventative costs B'!E634</f>
        <v>0</v>
      </c>
      <c r="F634" s="26">
        <f ca="1">'Preventative costs A'!F634-'Preventative costs B'!F634</f>
        <v>886.87783508537495</v>
      </c>
      <c r="G634" s="26">
        <f ca="1">'Preventative costs A'!G634-'Preventative costs B'!G634</f>
        <v>11335.72731593463</v>
      </c>
      <c r="H634" s="26">
        <f ca="1">'Preventative costs A'!H634-'Preventative costs B'!H634</f>
        <v>9205.7373329535403</v>
      </c>
      <c r="I634" s="26">
        <f ca="1">'Preventative costs A'!I634-'Preventative costs B'!I634</f>
        <v>7265.6027155001102</v>
      </c>
      <c r="J634" s="26">
        <f ca="1">'Preventative costs A'!J634-'Preventative costs B'!J634</f>
        <v>5387.084454116386</v>
      </c>
      <c r="K634" s="26">
        <f ca="1">'Preventative costs A'!K634-'Preventative costs B'!K634</f>
        <v>4072.1962423778796</v>
      </c>
      <c r="M634" s="4" t="str">
        <f t="shared" si="47"/>
        <v>$M(2015)</v>
      </c>
    </row>
    <row r="635" spans="1:13" s="7" customFormat="1" x14ac:dyDescent="0.2">
      <c r="A635" s="4" t="str">
        <v>EE Lin</v>
      </c>
      <c r="B635" s="26">
        <f ca="1">'Preventative costs A'!B635-'Preventative costs B'!B635</f>
        <v>0</v>
      </c>
      <c r="C635" s="26">
        <f ca="1">'Preventative costs A'!C635-'Preventative costs B'!C635</f>
        <v>0</v>
      </c>
      <c r="D635" s="26">
        <f ca="1">'Preventative costs A'!D635-'Preventative costs B'!D635</f>
        <v>0</v>
      </c>
      <c r="E635" s="26">
        <f ca="1">'Preventative costs A'!E635-'Preventative costs B'!E635</f>
        <v>0</v>
      </c>
      <c r="F635" s="26">
        <f ca="1">'Preventative costs A'!F635-'Preventative costs B'!F635</f>
        <v>203.18169423361581</v>
      </c>
      <c r="G635" s="26">
        <f ca="1">'Preventative costs A'!G635-'Preventative costs B'!G635</f>
        <v>2560.7386077317515</v>
      </c>
      <c r="H635" s="26">
        <f ca="1">'Preventative costs A'!H635-'Preventative costs B'!H635</f>
        <v>2116.885590760523</v>
      </c>
      <c r="I635" s="26">
        <f ca="1">'Preventative costs A'!I635-'Preventative costs B'!I635</f>
        <v>1677.6956108045242</v>
      </c>
      <c r="J635" s="26">
        <f ca="1">'Preventative costs A'!J635-'Preventative costs B'!J635</f>
        <v>1243.0764450256706</v>
      </c>
      <c r="K635" s="26">
        <f ca="1">'Preventative costs A'!K635-'Preventative costs B'!K635</f>
        <v>936.75894143630558</v>
      </c>
      <c r="M635" s="4" t="str">
        <f t="shared" si="47"/>
        <v>$M(2015)</v>
      </c>
    </row>
    <row r="636" spans="1:13" s="7" customFormat="1" x14ac:dyDescent="0.2">
      <c r="A636" s="4" t="str">
        <v>CA Lin</v>
      </c>
      <c r="B636" s="26">
        <f ca="1">'Preventative costs A'!B636-'Preventative costs B'!B636</f>
        <v>0</v>
      </c>
      <c r="C636" s="26">
        <f ca="1">'Preventative costs A'!C636-'Preventative costs B'!C636</f>
        <v>0</v>
      </c>
      <c r="D636" s="26">
        <f ca="1">'Preventative costs A'!D636-'Preventative costs B'!D636</f>
        <v>0</v>
      </c>
      <c r="E636" s="26">
        <f ca="1">'Preventative costs A'!E636-'Preventative costs B'!E636</f>
        <v>0</v>
      </c>
      <c r="F636" s="26">
        <f ca="1">'Preventative costs A'!F636-'Preventative costs B'!F636</f>
        <v>1199.3957441824364</v>
      </c>
      <c r="G636" s="26">
        <f ca="1">'Preventative costs A'!G636-'Preventative costs B'!G636</f>
        <v>11275.473472022441</v>
      </c>
      <c r="H636" s="26">
        <f ca="1">'Preventative costs A'!H636-'Preventative costs B'!H636</f>
        <v>9137.5964602432668</v>
      </c>
      <c r="I636" s="26">
        <f ca="1">'Preventative costs A'!I636-'Preventative costs B'!I636</f>
        <v>7218.4180483244354</v>
      </c>
      <c r="J636" s="26">
        <f ca="1">'Preventative costs A'!J636-'Preventative costs B'!J636</f>
        <v>5364.8883176363297</v>
      </c>
      <c r="K636" s="26">
        <f ca="1">'Preventative costs A'!K636-'Preventative costs B'!K636</f>
        <v>4068.1080137338699</v>
      </c>
      <c r="M636" s="4" t="str">
        <f t="shared" si="47"/>
        <v>$M(2015)</v>
      </c>
    </row>
    <row r="637" spans="1:13" s="7" customFormat="1" x14ac:dyDescent="0.2">
      <c r="A637" s="4" t="str">
        <v>IA Lin</v>
      </c>
      <c r="B637" s="26">
        <f ca="1">'Preventative costs A'!B637-'Preventative costs B'!B637</f>
        <v>0</v>
      </c>
      <c r="C637" s="26">
        <f ca="1">'Preventative costs A'!C637-'Preventative costs B'!C637</f>
        <v>0</v>
      </c>
      <c r="D637" s="26">
        <f ca="1">'Preventative costs A'!D637-'Preventative costs B'!D637</f>
        <v>0</v>
      </c>
      <c r="E637" s="26">
        <f ca="1">'Preventative costs A'!E637-'Preventative costs B'!E637</f>
        <v>0</v>
      </c>
      <c r="F637" s="26">
        <f ca="1">'Preventative costs A'!F637-'Preventative costs B'!F637</f>
        <v>1263.0026117525922</v>
      </c>
      <c r="G637" s="26">
        <f ca="1">'Preventative costs A'!G637-'Preventative costs B'!G637</f>
        <v>10956.046328521883</v>
      </c>
      <c r="H637" s="26">
        <f ca="1">'Preventative costs A'!H637-'Preventative costs B'!H637</f>
        <v>8993.2821130922384</v>
      </c>
      <c r="I637" s="26">
        <f ca="1">'Preventative costs A'!I637-'Preventative costs B'!I637</f>
        <v>7163.0594590120518</v>
      </c>
      <c r="J637" s="26">
        <f ca="1">'Preventative costs A'!J637-'Preventative costs B'!J637</f>
        <v>5361.761131562077</v>
      </c>
      <c r="K637" s="26">
        <f ca="1">'Preventative costs A'!K637-'Preventative costs B'!K637</f>
        <v>4093.2641770826267</v>
      </c>
      <c r="M637" s="4" t="str">
        <f t="shared" si="47"/>
        <v>$M(2015)</v>
      </c>
    </row>
    <row r="638" spans="1:13" s="7" customFormat="1" x14ac:dyDescent="0.2">
      <c r="A638" s="4" t="str">
        <v>AF Lin</v>
      </c>
      <c r="B638" s="26">
        <f ca="1">'Preventative costs A'!B638-'Preventative costs B'!B638</f>
        <v>0</v>
      </c>
      <c r="C638" s="26">
        <f ca="1">'Preventative costs A'!C638-'Preventative costs B'!C638</f>
        <v>0</v>
      </c>
      <c r="D638" s="26">
        <f ca="1">'Preventative costs A'!D638-'Preventative costs B'!D638</f>
        <v>0</v>
      </c>
      <c r="E638" s="26">
        <f ca="1">'Preventative costs A'!E638-'Preventative costs B'!E638</f>
        <v>0</v>
      </c>
      <c r="F638" s="26">
        <f ca="1">'Preventative costs A'!F638-'Preventative costs B'!F638</f>
        <v>742.0155848609561</v>
      </c>
      <c r="G638" s="26">
        <f ca="1">'Preventative costs A'!G638-'Preventative costs B'!G638</f>
        <v>6542.0008640713722</v>
      </c>
      <c r="H638" s="26">
        <f ca="1">'Preventative costs A'!H638-'Preventative costs B'!H638</f>
        <v>5441.5810741865125</v>
      </c>
      <c r="I638" s="26">
        <f ca="1">'Preventative costs A'!I638-'Preventative costs B'!I638</f>
        <v>4359.7160441148335</v>
      </c>
      <c r="J638" s="26">
        <f ca="1">'Preventative costs A'!J638-'Preventative costs B'!J638</f>
        <v>3274.5740146074077</v>
      </c>
      <c r="K638" s="26">
        <f ca="1">'Preventative costs A'!K638-'Preventative costs B'!K638</f>
        <v>2505.6816291702257</v>
      </c>
      <c r="M638" s="4" t="str">
        <f t="shared" si="47"/>
        <v>$M(2015)</v>
      </c>
    </row>
    <row r="639" spans="1:13" s="7" customFormat="1" ht="13.5" thickBot="1" x14ac:dyDescent="0.25">
      <c r="A639" s="4" t="str">
        <v>LA Lin</v>
      </c>
      <c r="B639" s="35">
        <f ca="1">'Preventative costs A'!B639-'Preventative costs B'!B639</f>
        <v>0</v>
      </c>
      <c r="C639" s="35">
        <f ca="1">'Preventative costs A'!C639-'Preventative costs B'!C639</f>
        <v>0</v>
      </c>
      <c r="D639" s="35">
        <f ca="1">'Preventative costs A'!D639-'Preventative costs B'!D639</f>
        <v>0</v>
      </c>
      <c r="E639" s="35">
        <f ca="1">'Preventative costs A'!E639-'Preventative costs B'!E639</f>
        <v>0</v>
      </c>
      <c r="F639" s="35">
        <f ca="1">'Preventative costs A'!F639-'Preventative costs B'!F639</f>
        <v>243.67435190032847</v>
      </c>
      <c r="G639" s="35">
        <f ca="1">'Preventative costs A'!G639-'Preventative costs B'!G639</f>
        <v>3060.1865793651273</v>
      </c>
      <c r="H639" s="35">
        <f ca="1">'Preventative costs A'!H639-'Preventative costs B'!H639</f>
        <v>2521.7266843587249</v>
      </c>
      <c r="I639" s="35">
        <f ca="1">'Preventative costs A'!I639-'Preventative costs B'!I639</f>
        <v>1995.4349776768472</v>
      </c>
      <c r="J639" s="35">
        <f ca="1">'Preventative costs A'!J639-'Preventative costs B'!J639</f>
        <v>1477.0259328552736</v>
      </c>
      <c r="K639" s="35">
        <f ca="1">'Preventative costs A'!K639-'Preventative costs B'!K639</f>
        <v>1112.2232677709562</v>
      </c>
      <c r="M639" s="4" t="str">
        <f t="shared" si="47"/>
        <v>$M(2015)</v>
      </c>
    </row>
    <row r="640" spans="1:13" s="2" customFormat="1" ht="15" thickTop="1" x14ac:dyDescent="0.25">
      <c r="A640" s="2" t="s">
        <v>352</v>
      </c>
      <c r="B640" s="2" t="s">
        <v>392</v>
      </c>
    </row>
    <row r="641" spans="1:13" s="7" customFormat="1" x14ac:dyDescent="0.2">
      <c r="A641" s="4" t="str">
        <f t="array" ref="A641:A648">R_CODE</f>
        <v>EU</v>
      </c>
      <c r="B641" s="29">
        <f ca="1">'Preventative costs A'!B641-'Preventative costs B'!B641</f>
        <v>0</v>
      </c>
      <c r="C641" s="29">
        <f ca="1">'Preventative costs A'!C641-'Preventative costs B'!C641</f>
        <v>0</v>
      </c>
      <c r="D641" s="29">
        <f ca="1">'Preventative costs A'!D641-'Preventative costs B'!D641</f>
        <v>0</v>
      </c>
      <c r="E641" s="29">
        <f ca="1">'Preventative costs A'!E641-'Preventative costs B'!E641</f>
        <v>0</v>
      </c>
      <c r="F641" s="29">
        <f ca="1">'Preventative costs A'!F641-'Preventative costs B'!F641</f>
        <v>4964.8786435854327</v>
      </c>
      <c r="G641" s="29">
        <f ca="1">'Preventative costs A'!G641-'Preventative costs B'!G641</f>
        <v>184961.15506849581</v>
      </c>
      <c r="H641" s="29">
        <f ca="1">'Preventative costs A'!H641-'Preventative costs B'!H641</f>
        <v>339903.20889917528</v>
      </c>
      <c r="I641" s="29">
        <f ca="1">'Preventative costs A'!I641-'Preventative costs B'!I641</f>
        <v>323510.8812629935</v>
      </c>
      <c r="J641" s="29">
        <f ca="1">'Preventative costs A'!J641-'Preventative costs B'!J641</f>
        <v>274202.38543205144</v>
      </c>
      <c r="K641" s="29">
        <f ca="1">'Preventative costs A'!K641-'Preventative costs B'!K641</f>
        <v>219966.19387756006</v>
      </c>
      <c r="M641" s="4" t="str">
        <f t="shared" ref="M641:M648" si="48">CURRENCY_NAME</f>
        <v>$M(2015)</v>
      </c>
    </row>
    <row r="642" spans="1:13" s="7" customFormat="1" x14ac:dyDescent="0.2">
      <c r="A642" s="4" t="str">
        <v>US</v>
      </c>
      <c r="B642" s="26">
        <f ca="1">'Preventative costs A'!B642-'Preventative costs B'!B642</f>
        <v>0</v>
      </c>
      <c r="C642" s="26">
        <f ca="1">'Preventative costs A'!C642-'Preventative costs B'!C642</f>
        <v>0</v>
      </c>
      <c r="D642" s="26">
        <f ca="1">'Preventative costs A'!D642-'Preventative costs B'!D642</f>
        <v>0</v>
      </c>
      <c r="E642" s="26">
        <f ca="1">'Preventative costs A'!E642-'Preventative costs B'!E642</f>
        <v>0</v>
      </c>
      <c r="F642" s="26">
        <f ca="1">'Preventative costs A'!F642-'Preventative costs B'!F642</f>
        <v>18369.080573416286</v>
      </c>
      <c r="G642" s="26">
        <f ca="1">'Preventative costs A'!G642-'Preventative costs B'!G642</f>
        <v>437528.62976693525</v>
      </c>
      <c r="H642" s="26">
        <f ca="1">'Preventative costs A'!H642-'Preventative costs B'!H642</f>
        <v>694574.72779093159</v>
      </c>
      <c r="I642" s="26">
        <f ca="1">'Preventative costs A'!I642-'Preventative costs B'!I642</f>
        <v>636628.78486940509</v>
      </c>
      <c r="J642" s="26">
        <f ca="1">'Preventative costs A'!J642-'Preventative costs B'!J642</f>
        <v>487697.46612225357</v>
      </c>
      <c r="K642" s="26">
        <f ca="1">'Preventative costs A'!K642-'Preventative costs B'!K642</f>
        <v>370780.56472820271</v>
      </c>
      <c r="M642" s="4" t="str">
        <f t="shared" si="48"/>
        <v>$M(2015)</v>
      </c>
    </row>
    <row r="643" spans="1:13" s="7" customFormat="1" x14ac:dyDescent="0.2">
      <c r="A643" s="4" t="str">
        <v>OT</v>
      </c>
      <c r="B643" s="26">
        <f ca="1">'Preventative costs A'!B643-'Preventative costs B'!B643</f>
        <v>0</v>
      </c>
      <c r="C643" s="26">
        <f ca="1">'Preventative costs A'!C643-'Preventative costs B'!C643</f>
        <v>0</v>
      </c>
      <c r="D643" s="26">
        <f ca="1">'Preventative costs A'!D643-'Preventative costs B'!D643</f>
        <v>0</v>
      </c>
      <c r="E643" s="26">
        <f ca="1">'Preventative costs A'!E643-'Preventative costs B'!E643</f>
        <v>0</v>
      </c>
      <c r="F643" s="26">
        <f ca="1">'Preventative costs A'!F643-'Preventative costs B'!F643</f>
        <v>6162.1499957739179</v>
      </c>
      <c r="G643" s="26">
        <f ca="1">'Preventative costs A'!G643-'Preventative costs B'!G643</f>
        <v>241800.11759569022</v>
      </c>
      <c r="H643" s="26">
        <f ca="1">'Preventative costs A'!H643-'Preventative costs B'!H643</f>
        <v>422057.684540544</v>
      </c>
      <c r="I643" s="26">
        <f ca="1">'Preventative costs A'!I643-'Preventative costs B'!I643</f>
        <v>397424.05367580417</v>
      </c>
      <c r="J643" s="26">
        <f ca="1">'Preventative costs A'!J643-'Preventative costs B'!J643</f>
        <v>337124.77581725741</v>
      </c>
      <c r="K643" s="26">
        <f ca="1">'Preventative costs A'!K643-'Preventative costs B'!K643</f>
        <v>279974.652348459</v>
      </c>
      <c r="M643" s="4" t="str">
        <f t="shared" si="48"/>
        <v>$M(2015)</v>
      </c>
    </row>
    <row r="644" spans="1:13" s="7" customFormat="1" x14ac:dyDescent="0.2">
      <c r="A644" s="4" t="str">
        <v>EE</v>
      </c>
      <c r="B644" s="26">
        <f ca="1">'Preventative costs A'!B644-'Preventative costs B'!B644</f>
        <v>0</v>
      </c>
      <c r="C644" s="26">
        <f ca="1">'Preventative costs A'!C644-'Preventative costs B'!C644</f>
        <v>0</v>
      </c>
      <c r="D644" s="26">
        <f ca="1">'Preventative costs A'!D644-'Preventative costs B'!D644</f>
        <v>0</v>
      </c>
      <c r="E644" s="26">
        <f ca="1">'Preventative costs A'!E644-'Preventative costs B'!E644</f>
        <v>0</v>
      </c>
      <c r="F644" s="26">
        <f ca="1">'Preventative costs A'!F644-'Preventative costs B'!F644</f>
        <v>41964.311211265653</v>
      </c>
      <c r="G644" s="26">
        <f ca="1">'Preventative costs A'!G644-'Preventative costs B'!G644</f>
        <v>310724.60690434685</v>
      </c>
      <c r="H644" s="26">
        <f ca="1">'Preventative costs A'!H644-'Preventative costs B'!H644</f>
        <v>399384.94720482547</v>
      </c>
      <c r="I644" s="26">
        <f ca="1">'Preventative costs A'!I644-'Preventative costs B'!I644</f>
        <v>332446.66802769416</v>
      </c>
      <c r="J644" s="26">
        <f ca="1">'Preventative costs A'!J644-'Preventative costs B'!J644</f>
        <v>258449.44745711118</v>
      </c>
      <c r="K644" s="26">
        <f ca="1">'Preventative costs A'!K644-'Preventative costs B'!K644</f>
        <v>205496.32829624318</v>
      </c>
      <c r="M644" s="4" t="str">
        <f t="shared" si="48"/>
        <v>$M(2015)</v>
      </c>
    </row>
    <row r="645" spans="1:13" s="7" customFormat="1" x14ac:dyDescent="0.2">
      <c r="A645" s="4" t="str">
        <v>CA</v>
      </c>
      <c r="B645" s="26">
        <f ca="1">'Preventative costs A'!B645-'Preventative costs B'!B645</f>
        <v>0</v>
      </c>
      <c r="C645" s="26">
        <f ca="1">'Preventative costs A'!C645-'Preventative costs B'!C645</f>
        <v>0</v>
      </c>
      <c r="D645" s="26">
        <f ca="1">'Preventative costs A'!D645-'Preventative costs B'!D645</f>
        <v>0</v>
      </c>
      <c r="E645" s="26">
        <f ca="1">'Preventative costs A'!E645-'Preventative costs B'!E645</f>
        <v>0</v>
      </c>
      <c r="F645" s="26">
        <f ca="1">'Preventative costs A'!F645-'Preventative costs B'!F645</f>
        <v>41656.158616720437</v>
      </c>
      <c r="G645" s="26">
        <f ca="1">'Preventative costs A'!G645-'Preventative costs B'!G645</f>
        <v>514135.94738591881</v>
      </c>
      <c r="H645" s="26">
        <f ca="1">'Preventative costs A'!H645-'Preventative costs B'!H645</f>
        <v>764401.09599668952</v>
      </c>
      <c r="I645" s="26">
        <f ca="1">'Preventative costs A'!I645-'Preventative costs B'!I645</f>
        <v>635634.61420702597</v>
      </c>
      <c r="J645" s="26">
        <f ca="1">'Preventative costs A'!J645-'Preventative costs B'!J645</f>
        <v>457755.59197844355</v>
      </c>
      <c r="K645" s="26">
        <f ca="1">'Preventative costs A'!K645-'Preventative costs B'!K645</f>
        <v>332588.07734741404</v>
      </c>
      <c r="M645" s="4" t="str">
        <f t="shared" si="48"/>
        <v>$M(2015)</v>
      </c>
    </row>
    <row r="646" spans="1:13" s="7" customFormat="1" x14ac:dyDescent="0.2">
      <c r="A646" s="4" t="str">
        <v>IA</v>
      </c>
      <c r="B646" s="26">
        <f ca="1">'Preventative costs A'!B646-'Preventative costs B'!B646</f>
        <v>0</v>
      </c>
      <c r="C646" s="26">
        <f ca="1">'Preventative costs A'!C646-'Preventative costs B'!C646</f>
        <v>0</v>
      </c>
      <c r="D646" s="26">
        <f ca="1">'Preventative costs A'!D646-'Preventative costs B'!D646</f>
        <v>0</v>
      </c>
      <c r="E646" s="26">
        <f ca="1">'Preventative costs A'!E646-'Preventative costs B'!E646</f>
        <v>0</v>
      </c>
      <c r="F646" s="26">
        <f ca="1">'Preventative costs A'!F646-'Preventative costs B'!F646</f>
        <v>104683.06695228926</v>
      </c>
      <c r="G646" s="26">
        <f ca="1">'Preventative costs A'!G646-'Preventative costs B'!G646</f>
        <v>771533.13355811243</v>
      </c>
      <c r="H646" s="26">
        <f ca="1">'Preventative costs A'!H646-'Preventative costs B'!H646</f>
        <v>1158313.065060528</v>
      </c>
      <c r="I646" s="26">
        <f ca="1">'Preventative costs A'!I646-'Preventative costs B'!I646</f>
        <v>1074256.3835146793</v>
      </c>
      <c r="J646" s="26">
        <f ca="1">'Preventative costs A'!J646-'Preventative costs B'!J646</f>
        <v>866319.65183981019</v>
      </c>
      <c r="K646" s="26">
        <f ca="1">'Preventative costs A'!K646-'Preventative costs B'!K646</f>
        <v>648227.5997564405</v>
      </c>
      <c r="M646" s="4" t="str">
        <f t="shared" si="48"/>
        <v>$M(2015)</v>
      </c>
    </row>
    <row r="647" spans="1:13" s="7" customFormat="1" x14ac:dyDescent="0.2">
      <c r="A647" s="4" t="str">
        <v>AF</v>
      </c>
      <c r="B647" s="26">
        <f ca="1">'Preventative costs A'!B647-'Preventative costs B'!B647</f>
        <v>0</v>
      </c>
      <c r="C647" s="26">
        <f ca="1">'Preventative costs A'!C647-'Preventative costs B'!C647</f>
        <v>0</v>
      </c>
      <c r="D647" s="26">
        <f ca="1">'Preventative costs A'!D647-'Preventative costs B'!D647</f>
        <v>0</v>
      </c>
      <c r="E647" s="26">
        <f ca="1">'Preventative costs A'!E647-'Preventative costs B'!E647</f>
        <v>0</v>
      </c>
      <c r="F647" s="26">
        <f ca="1">'Preventative costs A'!F647-'Preventative costs B'!F647</f>
        <v>193586.96406664464</v>
      </c>
      <c r="G647" s="26">
        <f ca="1">'Preventative costs A'!G647-'Preventative costs B'!G647</f>
        <v>1843307.8219520682</v>
      </c>
      <c r="H647" s="26">
        <f ca="1">'Preventative costs A'!H647-'Preventative costs B'!H647</f>
        <v>2495063.6117180157</v>
      </c>
      <c r="I647" s="26">
        <f ca="1">'Preventative costs A'!I647-'Preventative costs B'!I647</f>
        <v>2233185.7356069353</v>
      </c>
      <c r="J647" s="26">
        <f ca="1">'Preventative costs A'!J647-'Preventative costs B'!J647</f>
        <v>1807830.5846701823</v>
      </c>
      <c r="K647" s="26">
        <f ca="1">'Preventative costs A'!K647-'Preventative costs B'!K647</f>
        <v>1430426.9223345488</v>
      </c>
      <c r="M647" s="4" t="str">
        <f t="shared" si="48"/>
        <v>$M(2015)</v>
      </c>
    </row>
    <row r="648" spans="1:13" s="7" customFormat="1" ht="13.5" thickBot="1" x14ac:dyDescent="0.25">
      <c r="A648" s="4" t="str">
        <v>LA</v>
      </c>
      <c r="B648" s="35">
        <f ca="1">'Preventative costs A'!B648-'Preventative costs B'!B648</f>
        <v>0</v>
      </c>
      <c r="C648" s="35">
        <f ca="1">'Preventative costs A'!C648-'Preventative costs B'!C648</f>
        <v>0</v>
      </c>
      <c r="D648" s="35">
        <f ca="1">'Preventative costs A'!D648-'Preventative costs B'!D648</f>
        <v>0</v>
      </c>
      <c r="E648" s="35">
        <f ca="1">'Preventative costs A'!E648-'Preventative costs B'!E648</f>
        <v>0</v>
      </c>
      <c r="F648" s="35">
        <f ca="1">'Preventative costs A'!F648-'Preventative costs B'!F648</f>
        <v>6774.0169874986013</v>
      </c>
      <c r="G648" s="35">
        <f ca="1">'Preventative costs A'!G648-'Preventative costs B'!G648</f>
        <v>251141.03465480925</v>
      </c>
      <c r="H648" s="35">
        <f ca="1">'Preventative costs A'!H648-'Preventative costs B'!H648</f>
        <v>470263.41902655869</v>
      </c>
      <c r="I648" s="35">
        <f ca="1">'Preventative costs A'!I648-'Preventative costs B'!I648</f>
        <v>525808.75686570571</v>
      </c>
      <c r="J648" s="35">
        <f ca="1">'Preventative costs A'!J648-'Preventative costs B'!J648</f>
        <v>446948.13237730321</v>
      </c>
      <c r="K648" s="35">
        <f ca="1">'Preventative costs A'!K648-'Preventative costs B'!K648</f>
        <v>429471.09361481725</v>
      </c>
      <c r="M648" s="4" t="str">
        <f t="shared" si="48"/>
        <v>$M(2015)</v>
      </c>
    </row>
    <row r="649" spans="1:13" s="2" customFormat="1" ht="15" thickTop="1" x14ac:dyDescent="0.25">
      <c r="A649" s="2" t="s">
        <v>357</v>
      </c>
      <c r="B649" s="2" t="s">
        <v>395</v>
      </c>
    </row>
    <row r="650" spans="1:13" s="7" customFormat="1" x14ac:dyDescent="0.2">
      <c r="A650" s="4" t="str">
        <f t="array" ref="A650:A657">R_CODE</f>
        <v>EU</v>
      </c>
      <c r="B650" s="29">
        <f ca="1">'Preventative costs A'!B650-'Preventative costs B'!B650</f>
        <v>0</v>
      </c>
      <c r="C650" s="29">
        <f ca="1">'Preventative costs A'!C650-'Preventative costs B'!C650</f>
        <v>0</v>
      </c>
      <c r="D650" s="29">
        <f ca="1">'Preventative costs A'!D650-'Preventative costs B'!D650</f>
        <v>0</v>
      </c>
      <c r="E650" s="29">
        <f ca="1">'Preventative costs A'!E650-'Preventative costs B'!E650</f>
        <v>0</v>
      </c>
      <c r="F650" s="29">
        <f ca="1">'Preventative costs A'!F650-'Preventative costs B'!F650</f>
        <v>8.0283540317154927</v>
      </c>
      <c r="G650" s="29">
        <f ca="1">'Preventative costs A'!G650-'Preventative costs B'!G650</f>
        <v>282.76982299247948</v>
      </c>
      <c r="H650" s="29">
        <f ca="1">'Preventative costs A'!H650-'Preventative costs B'!H650</f>
        <v>496.29890505606176</v>
      </c>
      <c r="I650" s="29">
        <f ca="1">'Preventative costs A'!I650-'Preventative costs B'!I650</f>
        <v>455.89890977309142</v>
      </c>
      <c r="J650" s="29">
        <f ca="1">'Preventative costs A'!J650-'Preventative costs B'!J650</f>
        <v>377.23250421604075</v>
      </c>
      <c r="K650" s="29">
        <f ca="1">'Preventative costs A'!K650-'Preventative costs B'!K650</f>
        <v>298.11857439141926</v>
      </c>
      <c r="M650" s="1" t="str">
        <f t="shared" ref="M650:M657" si="49">CURRENCY_NAME&amp;"/"&amp;POP_UNIT_NAME</f>
        <v>$M(2015)/million</v>
      </c>
    </row>
    <row r="651" spans="1:13" s="7" customFormat="1" x14ac:dyDescent="0.2">
      <c r="A651" s="4" t="str">
        <v>US</v>
      </c>
      <c r="B651" s="26">
        <f ca="1">'Preventative costs A'!B651-'Preventative costs B'!B651</f>
        <v>0</v>
      </c>
      <c r="C651" s="26">
        <f ca="1">'Preventative costs A'!C651-'Preventative costs B'!C651</f>
        <v>0</v>
      </c>
      <c r="D651" s="26">
        <f ca="1">'Preventative costs A'!D651-'Preventative costs B'!D651</f>
        <v>0</v>
      </c>
      <c r="E651" s="26">
        <f ca="1">'Preventative costs A'!E651-'Preventative costs B'!E651</f>
        <v>0</v>
      </c>
      <c r="F651" s="26">
        <f ca="1">'Preventative costs A'!F651-'Preventative costs B'!F651</f>
        <v>38.409994570508523</v>
      </c>
      <c r="G651" s="26">
        <f ca="1">'Preventative costs A'!G651-'Preventative costs B'!G651</f>
        <v>825.69864588043117</v>
      </c>
      <c r="H651" s="26">
        <f ca="1">'Preventative costs A'!H651-'Preventative costs B'!H651</f>
        <v>1191.6051532723727</v>
      </c>
      <c r="I651" s="26">
        <f ca="1">'Preventative costs A'!I651-'Preventative costs B'!I651</f>
        <v>1004.3380280296506</v>
      </c>
      <c r="J651" s="26">
        <f ca="1">'Preventative costs A'!J651-'Preventative costs B'!J651</f>
        <v>718.83009480626026</v>
      </c>
      <c r="K651" s="26">
        <f ca="1">'Preventative costs A'!K651-'Preventative costs B'!K651</f>
        <v>519.24742250190673</v>
      </c>
      <c r="M651" s="1" t="str">
        <f t="shared" si="49"/>
        <v>$M(2015)/million</v>
      </c>
    </row>
    <row r="652" spans="1:13" s="7" customFormat="1" x14ac:dyDescent="0.2">
      <c r="A652" s="4" t="str">
        <v>OT</v>
      </c>
      <c r="B652" s="26">
        <f ca="1">'Preventative costs A'!B652-'Preventative costs B'!B652</f>
        <v>0</v>
      </c>
      <c r="C652" s="26">
        <f ca="1">'Preventative costs A'!C652-'Preventative costs B'!C652</f>
        <v>0</v>
      </c>
      <c r="D652" s="26">
        <f ca="1">'Preventative costs A'!D652-'Preventative costs B'!D652</f>
        <v>0</v>
      </c>
      <c r="E652" s="26">
        <f ca="1">'Preventative costs A'!E652-'Preventative costs B'!E652</f>
        <v>0</v>
      </c>
      <c r="F652" s="26">
        <f ca="1">'Preventative costs A'!F652-'Preventative costs B'!F652</f>
        <v>17.017013826398422</v>
      </c>
      <c r="G652" s="26">
        <f ca="1">'Preventative costs A'!G652-'Preventative costs B'!G652</f>
        <v>643.91943180579642</v>
      </c>
      <c r="H652" s="26">
        <f ca="1">'Preventative costs A'!H652-'Preventative costs B'!H652</f>
        <v>1099.4263564221533</v>
      </c>
      <c r="I652" s="26">
        <f ca="1">'Preventative costs A'!I652-'Preventative costs B'!I652</f>
        <v>1026.4395593751967</v>
      </c>
      <c r="J652" s="26">
        <f ca="1">'Preventative costs A'!J652-'Preventative costs B'!J652</f>
        <v>875.66696403368826</v>
      </c>
      <c r="K652" s="26">
        <f ca="1">'Preventative costs A'!K652-'Preventative costs B'!K652</f>
        <v>740.12544239309227</v>
      </c>
      <c r="M652" s="1" t="str">
        <f t="shared" si="49"/>
        <v>$M(2015)/million</v>
      </c>
    </row>
    <row r="653" spans="1:13" s="7" customFormat="1" x14ac:dyDescent="0.2">
      <c r="A653" s="4" t="str">
        <v>EE</v>
      </c>
      <c r="B653" s="26">
        <f ca="1">'Preventative costs A'!B653-'Preventative costs B'!B653</f>
        <v>0</v>
      </c>
      <c r="C653" s="26">
        <f ca="1">'Preventative costs A'!C653-'Preventative costs B'!C653</f>
        <v>0</v>
      </c>
      <c r="D653" s="26">
        <f ca="1">'Preventative costs A'!D653-'Preventative costs B'!D653</f>
        <v>0</v>
      </c>
      <c r="E653" s="26">
        <f ca="1">'Preventative costs A'!E653-'Preventative costs B'!E653</f>
        <v>0</v>
      </c>
      <c r="F653" s="26">
        <f ca="1">'Preventative costs A'!F653-'Preventative costs B'!F653</f>
        <v>157.99280600907954</v>
      </c>
      <c r="G653" s="26">
        <f ca="1">'Preventative costs A'!G653-'Preventative costs B'!G653</f>
        <v>1216.7623718696273</v>
      </c>
      <c r="H653" s="26">
        <f ca="1">'Preventative costs A'!H653-'Preventative costs B'!H653</f>
        <v>1649.3218991655003</v>
      </c>
      <c r="I653" s="26">
        <f ca="1">'Preventative costs A'!I653-'Preventative costs B'!I653</f>
        <v>1475.8812003733303</v>
      </c>
      <c r="J653" s="26">
        <f ca="1">'Preventative costs A'!J653-'Preventative costs B'!J653</f>
        <v>1254.1767034522609</v>
      </c>
      <c r="K653" s="26">
        <f ca="1">'Preventative costs A'!K653-'Preventative costs B'!K653</f>
        <v>1103.9820796935812</v>
      </c>
      <c r="M653" s="1" t="str">
        <f t="shared" si="49"/>
        <v>$M(2015)/million</v>
      </c>
    </row>
    <row r="654" spans="1:13" s="7" customFormat="1" x14ac:dyDescent="0.2">
      <c r="A654" s="4" t="str">
        <v>CA</v>
      </c>
      <c r="B654" s="26">
        <f ca="1">'Preventative costs A'!B654-'Preventative costs B'!B654</f>
        <v>0</v>
      </c>
      <c r="C654" s="26">
        <f ca="1">'Preventative costs A'!C654-'Preventative costs B'!C654</f>
        <v>0</v>
      </c>
      <c r="D654" s="26">
        <f ca="1">'Preventative costs A'!D654-'Preventative costs B'!D654</f>
        <v>0</v>
      </c>
      <c r="E654" s="26">
        <f ca="1">'Preventative costs A'!E654-'Preventative costs B'!E654</f>
        <v>0</v>
      </c>
      <c r="F654" s="26">
        <f ca="1">'Preventative costs A'!F654-'Preventative costs B'!F654</f>
        <v>33.712349210503461</v>
      </c>
      <c r="G654" s="26">
        <f ca="1">'Preventative costs A'!G654-'Preventative costs B'!G654</f>
        <v>455.35547516348964</v>
      </c>
      <c r="H654" s="26">
        <f ca="1">'Preventative costs A'!H654-'Preventative costs B'!H654</f>
        <v>756.00116702982132</v>
      </c>
      <c r="I654" s="26">
        <f ca="1">'Preventative costs A'!I654-'Preventative costs B'!I654</f>
        <v>712.76985516289972</v>
      </c>
      <c r="J654" s="26">
        <f ca="1">'Preventative costs A'!J654-'Preventative costs B'!J654</f>
        <v>592.84168371255328</v>
      </c>
      <c r="K654" s="26">
        <f ca="1">'Preventative costs A'!K654-'Preventative costs B'!K654</f>
        <v>509.34430267011646</v>
      </c>
      <c r="M654" s="1" t="str">
        <f t="shared" si="49"/>
        <v>$M(2015)/million</v>
      </c>
    </row>
    <row r="655" spans="1:13" s="7" customFormat="1" x14ac:dyDescent="0.2">
      <c r="A655" s="4" t="str">
        <v>IA</v>
      </c>
      <c r="B655" s="26">
        <f ca="1">'Preventative costs A'!B655-'Preventative costs B'!B655</f>
        <v>0</v>
      </c>
      <c r="C655" s="26">
        <f ca="1">'Preventative costs A'!C655-'Preventative costs B'!C655</f>
        <v>0</v>
      </c>
      <c r="D655" s="26">
        <f ca="1">'Preventative costs A'!D655-'Preventative costs B'!D655</f>
        <v>0</v>
      </c>
      <c r="E655" s="26">
        <f ca="1">'Preventative costs A'!E655-'Preventative costs B'!E655</f>
        <v>0</v>
      </c>
      <c r="F655" s="26">
        <f ca="1">'Preventative costs A'!F655-'Preventative costs B'!F655</f>
        <v>36.601575119591224</v>
      </c>
      <c r="G655" s="26">
        <f ca="1">'Preventative costs A'!G655-'Preventative costs B'!G655</f>
        <v>274.11188669277249</v>
      </c>
      <c r="H655" s="26">
        <f ca="1">'Preventative costs A'!H655-'Preventative costs B'!H655</f>
        <v>428.12796940360215</v>
      </c>
      <c r="I655" s="26">
        <f ca="1">'Preventative costs A'!I655-'Preventative costs B'!I655</f>
        <v>422.5250361124227</v>
      </c>
      <c r="J655" s="26">
        <f ca="1">'Preventative costs A'!J655-'Preventative costs B'!J655</f>
        <v>370.4649337812952</v>
      </c>
      <c r="K655" s="26">
        <f ca="1">'Preventative costs A'!K655-'Preventative costs B'!K655</f>
        <v>307.06944948062403</v>
      </c>
      <c r="M655" s="1" t="str">
        <f t="shared" si="49"/>
        <v>$M(2015)/million</v>
      </c>
    </row>
    <row r="656" spans="1:13" s="7" customFormat="1" x14ac:dyDescent="0.2">
      <c r="A656" s="4" t="str">
        <v>AF</v>
      </c>
      <c r="B656" s="26">
        <f ca="1">'Preventative costs A'!B656-'Preventative costs B'!B656</f>
        <v>0</v>
      </c>
      <c r="C656" s="26">
        <f ca="1">'Preventative costs A'!C656-'Preventative costs B'!C656</f>
        <v>0</v>
      </c>
      <c r="D656" s="26">
        <f ca="1">'Preventative costs A'!D656-'Preventative costs B'!D656</f>
        <v>0</v>
      </c>
      <c r="E656" s="26">
        <f ca="1">'Preventative costs A'!E656-'Preventative costs B'!E656</f>
        <v>0</v>
      </c>
      <c r="F656" s="26">
        <f ca="1">'Preventative costs A'!F656-'Preventative costs B'!F656</f>
        <v>92.835287105813478</v>
      </c>
      <c r="G656" s="26">
        <f ca="1">'Preventative costs A'!G656-'Preventative costs B'!G656</f>
        <v>843.73904023984392</v>
      </c>
      <c r="H656" s="26">
        <f ca="1">'Preventative costs A'!H656-'Preventative costs B'!H656</f>
        <v>1115.494363417909</v>
      </c>
      <c r="I656" s="26">
        <f ca="1">'Preventative costs A'!I656-'Preventative costs B'!I656</f>
        <v>996.17898576489517</v>
      </c>
      <c r="J656" s="26">
        <f ca="1">'Preventative costs A'!J656-'Preventative costs B'!J656</f>
        <v>820.15640898889444</v>
      </c>
      <c r="K656" s="26">
        <f ca="1">'Preventative costs A'!K656-'Preventative costs B'!K656</f>
        <v>671.50865604303988</v>
      </c>
      <c r="M656" s="1" t="str">
        <f t="shared" si="49"/>
        <v>$M(2015)/million</v>
      </c>
    </row>
    <row r="657" spans="1:13" s="7" customFormat="1" ht="13.5" thickBot="1" x14ac:dyDescent="0.25">
      <c r="A657" s="4" t="str">
        <v>LA</v>
      </c>
      <c r="B657" s="35">
        <f ca="1">'Preventative costs A'!B657-'Preventative costs B'!B657</f>
        <v>0</v>
      </c>
      <c r="C657" s="35">
        <f ca="1">'Preventative costs A'!C657-'Preventative costs B'!C657</f>
        <v>0</v>
      </c>
      <c r="D657" s="35">
        <f ca="1">'Preventative costs A'!D657-'Preventative costs B'!D657</f>
        <v>0</v>
      </c>
      <c r="E657" s="35">
        <f ca="1">'Preventative costs A'!E657-'Preventative costs B'!E657</f>
        <v>0</v>
      </c>
      <c r="F657" s="35">
        <f ca="1">'Preventative costs A'!F657-'Preventative costs B'!F657</f>
        <v>10.394116134083756</v>
      </c>
      <c r="G657" s="35">
        <f ca="1">'Preventative costs A'!G657-'Preventative costs B'!G657</f>
        <v>400.78649622029468</v>
      </c>
      <c r="H657" s="35">
        <f ca="1">'Preventative costs A'!H657-'Preventative costs B'!H657</f>
        <v>793.42035658028067</v>
      </c>
      <c r="I657" s="35">
        <f ca="1">'Preventative costs A'!I657-'Preventative costs B'!I657</f>
        <v>951.42744647985035</v>
      </c>
      <c r="J657" s="35">
        <f ca="1">'Preventative costs A'!J657-'Preventative costs B'!J657</f>
        <v>884.00950247888215</v>
      </c>
      <c r="K657" s="35">
        <f ca="1">'Preventative costs A'!K657-'Preventative costs B'!K657</f>
        <v>951.40864170865621</v>
      </c>
      <c r="M657" s="1" t="str">
        <f t="shared" si="49"/>
        <v>$M(2015)/million</v>
      </c>
    </row>
    <row r="658" spans="1:13" s="2" customFormat="1" ht="15" thickTop="1" x14ac:dyDescent="0.25">
      <c r="A658" s="2" t="s">
        <v>358</v>
      </c>
      <c r="B658" s="2" t="s">
        <v>396</v>
      </c>
    </row>
    <row r="659" spans="1:13" s="7" customFormat="1" x14ac:dyDescent="0.2">
      <c r="A659" s="4" t="str">
        <f t="array" ref="A659:A666">R_CODE</f>
        <v>EU</v>
      </c>
      <c r="B659" s="29">
        <f ca="1">'Preventative costs A'!B659-'Preventative costs B'!B659</f>
        <v>0</v>
      </c>
      <c r="C659" s="29">
        <f ca="1">'Preventative costs A'!C659-'Preventative costs B'!C659</f>
        <v>0</v>
      </c>
      <c r="D659" s="29">
        <f ca="1">'Preventative costs A'!D659-'Preventative costs B'!D659</f>
        <v>0</v>
      </c>
      <c r="E659" s="29">
        <f ca="1">'Preventative costs A'!E659-'Preventative costs B'!E659</f>
        <v>0</v>
      </c>
      <c r="F659" s="29">
        <f ca="1">'Preventative costs A'!F659-'Preventative costs B'!F659</f>
        <v>3.3984110402494467</v>
      </c>
      <c r="G659" s="29">
        <f ca="1">'Preventative costs A'!G659-'Preventative costs B'!G659</f>
        <v>97.522711484562663</v>
      </c>
      <c r="H659" s="29">
        <f ca="1">'Preventative costs A'!H659-'Preventative costs B'!H659</f>
        <v>138.40169405138866</v>
      </c>
      <c r="I659" s="29">
        <f ca="1">'Preventative costs A'!I659-'Preventative costs B'!I659</f>
        <v>103.36069390559028</v>
      </c>
      <c r="J659" s="29">
        <f ca="1">'Preventative costs A'!J659-'Preventative costs B'!J659</f>
        <v>69.574121829102467</v>
      </c>
      <c r="K659" s="29">
        <f ca="1">'Preventative costs A'!K659-'Preventative costs B'!K659</f>
        <v>44.58206678107387</v>
      </c>
      <c r="M659" s="1" t="str">
        <f t="shared" ref="M659:M666" si="50">CURRENCY_NAME&amp;"/"&amp;POP_UNIT_NAME</f>
        <v>$M(2015)/million</v>
      </c>
    </row>
    <row r="660" spans="1:13" s="7" customFormat="1" x14ac:dyDescent="0.2">
      <c r="A660" s="4" t="str">
        <v>US</v>
      </c>
      <c r="B660" s="26">
        <f ca="1">'Preventative costs A'!B660-'Preventative costs B'!B660</f>
        <v>0</v>
      </c>
      <c r="C660" s="26">
        <f ca="1">'Preventative costs A'!C660-'Preventative costs B'!C660</f>
        <v>0</v>
      </c>
      <c r="D660" s="26">
        <f ca="1">'Preventative costs A'!D660-'Preventative costs B'!D660</f>
        <v>0</v>
      </c>
      <c r="E660" s="26">
        <f ca="1">'Preventative costs A'!E660-'Preventative costs B'!E660</f>
        <v>0</v>
      </c>
      <c r="F660" s="26">
        <f ca="1">'Preventative costs A'!F660-'Preventative costs B'!F660</f>
        <v>12.980784330858182</v>
      </c>
      <c r="G660" s="26">
        <f ca="1">'Preventative costs A'!G660-'Preventative costs B'!G660</f>
        <v>239.23116729457547</v>
      </c>
      <c r="H660" s="26">
        <f ca="1">'Preventative costs A'!H660-'Preventative costs B'!H660</f>
        <v>292.14483528473983</v>
      </c>
      <c r="I660" s="26">
        <f ca="1">'Preventative costs A'!I660-'Preventative costs B'!I660</f>
        <v>206.59863415336804</v>
      </c>
      <c r="J660" s="26">
        <f ca="1">'Preventative costs A'!J660-'Preventative costs B'!J660</f>
        <v>123.3624478179181</v>
      </c>
      <c r="K660" s="26">
        <f ca="1">'Preventative costs A'!K660-'Preventative costs B'!K660</f>
        <v>73.882907171139195</v>
      </c>
      <c r="M660" s="1" t="str">
        <f t="shared" si="50"/>
        <v>$M(2015)/million</v>
      </c>
    </row>
    <row r="661" spans="1:13" s="7" customFormat="1" x14ac:dyDescent="0.2">
      <c r="A661" s="4" t="str">
        <v>OT</v>
      </c>
      <c r="B661" s="26">
        <f ca="1">'Preventative costs A'!B661-'Preventative costs B'!B661</f>
        <v>0</v>
      </c>
      <c r="C661" s="26">
        <f ca="1">'Preventative costs A'!C661-'Preventative costs B'!C661</f>
        <v>0</v>
      </c>
      <c r="D661" s="26">
        <f ca="1">'Preventative costs A'!D661-'Preventative costs B'!D661</f>
        <v>0</v>
      </c>
      <c r="E661" s="26">
        <f ca="1">'Preventative costs A'!E661-'Preventative costs B'!E661</f>
        <v>0</v>
      </c>
      <c r="F661" s="26">
        <f ca="1">'Preventative costs A'!F661-'Preventative costs B'!F661</f>
        <v>7.8131562176709721</v>
      </c>
      <c r="G661" s="26">
        <f ca="1">'Preventative costs A'!G661-'Preventative costs B'!G661</f>
        <v>237.44929504973089</v>
      </c>
      <c r="H661" s="26">
        <f ca="1">'Preventative costs A'!H661-'Preventative costs B'!H661</f>
        <v>323.87395508410663</v>
      </c>
      <c r="I661" s="26">
        <f ca="1">'Preventative costs A'!I661-'Preventative costs B'!I661</f>
        <v>242.99847522065369</v>
      </c>
      <c r="J661" s="26">
        <f ca="1">'Preventative costs A'!J661-'Preventative costs B'!J661</f>
        <v>167.21822651189797</v>
      </c>
      <c r="K661" s="26">
        <f ca="1">'Preventative costs A'!K661-'Preventative costs B'!K661</f>
        <v>113.9551767137667</v>
      </c>
      <c r="M661" s="1" t="str">
        <f t="shared" si="50"/>
        <v>$M(2015)/million</v>
      </c>
    </row>
    <row r="662" spans="1:13" s="7" customFormat="1" x14ac:dyDescent="0.2">
      <c r="A662" s="4" t="str">
        <v>EE</v>
      </c>
      <c r="B662" s="26">
        <f ca="1">'Preventative costs A'!B662-'Preventative costs B'!B662</f>
        <v>0</v>
      </c>
      <c r="C662" s="26">
        <f ca="1">'Preventative costs A'!C662-'Preventative costs B'!C662</f>
        <v>0</v>
      </c>
      <c r="D662" s="26">
        <f ca="1">'Preventative costs A'!D662-'Preventative costs B'!D662</f>
        <v>0</v>
      </c>
      <c r="E662" s="26">
        <f ca="1">'Preventative costs A'!E662-'Preventative costs B'!E662</f>
        <v>0</v>
      </c>
      <c r="F662" s="26">
        <f ca="1">'Preventative costs A'!F662-'Preventative costs B'!F662</f>
        <v>109.30559085822095</v>
      </c>
      <c r="G662" s="26">
        <f ca="1">'Preventative costs A'!G662-'Preventative costs B'!G662</f>
        <v>661.13772591321447</v>
      </c>
      <c r="H662" s="26">
        <f ca="1">'Preventative costs A'!H662-'Preventative costs B'!H662</f>
        <v>693.18145078157988</v>
      </c>
      <c r="I662" s="26">
        <f ca="1">'Preventative costs A'!I662-'Preventative costs B'!I662</f>
        <v>491.19603749563936</v>
      </c>
      <c r="J662" s="26">
        <f ca="1">'Preventative costs A'!J662-'Preventative costs B'!J662</f>
        <v>327.85297060041535</v>
      </c>
      <c r="K662" s="26">
        <f ca="1">'Preventative costs A'!K662-'Preventative costs B'!K662</f>
        <v>226.71859825019092</v>
      </c>
      <c r="M662" s="1" t="str">
        <f t="shared" si="50"/>
        <v>$M(2015)/million</v>
      </c>
    </row>
    <row r="663" spans="1:13" s="7" customFormat="1" x14ac:dyDescent="0.2">
      <c r="A663" s="4" t="str">
        <v>CA</v>
      </c>
      <c r="B663" s="26">
        <f ca="1">'Preventative costs A'!B663-'Preventative costs B'!B663</f>
        <v>0</v>
      </c>
      <c r="C663" s="26">
        <f ca="1">'Preventative costs A'!C663-'Preventative costs B'!C663</f>
        <v>0</v>
      </c>
      <c r="D663" s="26">
        <f ca="1">'Preventative costs A'!D663-'Preventative costs B'!D663</f>
        <v>0</v>
      </c>
      <c r="E663" s="26">
        <f ca="1">'Preventative costs A'!E663-'Preventative costs B'!E663</f>
        <v>0</v>
      </c>
      <c r="F663" s="26">
        <f ca="1">'Preventative costs A'!F663-'Preventative costs B'!F663</f>
        <v>15.782728103673476</v>
      </c>
      <c r="G663" s="26">
        <f ca="1">'Preventative costs A'!G663-'Preventative costs B'!G663</f>
        <v>168.39748400738563</v>
      </c>
      <c r="H663" s="26">
        <f ca="1">'Preventative costs A'!H663-'Preventative costs B'!H663</f>
        <v>226.47400367619801</v>
      </c>
      <c r="I663" s="26">
        <f ca="1">'Preventative costs A'!I663-'Preventative costs B'!I663</f>
        <v>176.09624335720281</v>
      </c>
      <c r="J663" s="26">
        <f ca="1">'Preventative costs A'!J663-'Preventative costs B'!J663</f>
        <v>120.71591256288984</v>
      </c>
      <c r="K663" s="26">
        <f ca="1">'Preventative costs A'!K663-'Preventative costs B'!K663</f>
        <v>85.523090177457505</v>
      </c>
      <c r="M663" s="1" t="str">
        <f t="shared" si="50"/>
        <v>$M(2015)/million</v>
      </c>
    </row>
    <row r="664" spans="1:13" s="7" customFormat="1" x14ac:dyDescent="0.2">
      <c r="A664" s="4" t="str">
        <v>IA</v>
      </c>
      <c r="B664" s="26">
        <f ca="1">'Preventative costs A'!B664-'Preventative costs B'!B664</f>
        <v>0</v>
      </c>
      <c r="C664" s="26">
        <f ca="1">'Preventative costs A'!C664-'Preventative costs B'!C664</f>
        <v>0</v>
      </c>
      <c r="D664" s="26">
        <f ca="1">'Preventative costs A'!D664-'Preventative costs B'!D664</f>
        <v>0</v>
      </c>
      <c r="E664" s="26">
        <f ca="1">'Preventative costs A'!E664-'Preventative costs B'!E664</f>
        <v>0</v>
      </c>
      <c r="F664" s="26">
        <f ca="1">'Preventative costs A'!F664-'Preventative costs B'!F664</f>
        <v>40.496394546184881</v>
      </c>
      <c r="G664" s="26">
        <f ca="1">'Preventative costs A'!G664-'Preventative costs B'!G664</f>
        <v>207.94291890319849</v>
      </c>
      <c r="H664" s="26">
        <f ca="1">'Preventative costs A'!H664-'Preventative costs B'!H664</f>
        <v>231.92748374892201</v>
      </c>
      <c r="I664" s="26">
        <f ca="1">'Preventative costs A'!I664-'Preventative costs B'!I664</f>
        <v>167.94366490508315</v>
      </c>
      <c r="J664" s="26">
        <f ca="1">'Preventative costs A'!J664-'Preventative costs B'!J664</f>
        <v>109.15285174848579</v>
      </c>
      <c r="K664" s="26">
        <f ca="1">'Preventative costs A'!K664-'Preventative costs B'!K664</f>
        <v>67.953969647843209</v>
      </c>
      <c r="M664" s="1" t="str">
        <f t="shared" si="50"/>
        <v>$M(2015)/million</v>
      </c>
    </row>
    <row r="665" spans="1:13" s="7" customFormat="1" x14ac:dyDescent="0.2">
      <c r="A665" s="4" t="str">
        <v>AF</v>
      </c>
      <c r="B665" s="26">
        <f ca="1">'Preventative costs A'!B665-'Preventative costs B'!B665</f>
        <v>0</v>
      </c>
      <c r="C665" s="26">
        <f ca="1">'Preventative costs A'!C665-'Preventative costs B'!C665</f>
        <v>0</v>
      </c>
      <c r="D665" s="26">
        <f ca="1">'Preventative costs A'!D665-'Preventative costs B'!D665</f>
        <v>0</v>
      </c>
      <c r="E665" s="26">
        <f ca="1">'Preventative costs A'!E665-'Preventative costs B'!E665</f>
        <v>0</v>
      </c>
      <c r="F665" s="26">
        <f ca="1">'Preventative costs A'!F665-'Preventative costs B'!F665</f>
        <v>170.40474100280775</v>
      </c>
      <c r="G665" s="26">
        <f ca="1">'Preventative costs A'!G665-'Preventative costs B'!G665</f>
        <v>1021.1424691671803</v>
      </c>
      <c r="H665" s="26">
        <f ca="1">'Preventative costs A'!H665-'Preventative costs B'!H665</f>
        <v>902.46642142456676</v>
      </c>
      <c r="I665" s="26">
        <f ca="1">'Preventative costs A'!I665-'Preventative costs B'!I665</f>
        <v>552.83624498676329</v>
      </c>
      <c r="J665" s="26">
        <f ca="1">'Preventative costs A'!J665-'Preventative costs B'!J665</f>
        <v>315.49715426570617</v>
      </c>
      <c r="K665" s="26">
        <f ca="1">'Preventative costs A'!K665-'Preventative costs B'!K665</f>
        <v>181.51897943892726</v>
      </c>
      <c r="M665" s="1" t="str">
        <f t="shared" si="50"/>
        <v>$M(2015)/million</v>
      </c>
    </row>
    <row r="666" spans="1:13" s="7" customFormat="1" ht="13.5" thickBot="1" x14ac:dyDescent="0.25">
      <c r="A666" s="4" t="str">
        <v>LA</v>
      </c>
      <c r="B666" s="35">
        <f ca="1">'Preventative costs A'!B666-'Preventative costs B'!B666</f>
        <v>0</v>
      </c>
      <c r="C666" s="35">
        <f ca="1">'Preventative costs A'!C666-'Preventative costs B'!C666</f>
        <v>0</v>
      </c>
      <c r="D666" s="35">
        <f ca="1">'Preventative costs A'!D666-'Preventative costs B'!D666</f>
        <v>0</v>
      </c>
      <c r="E666" s="35">
        <f ca="1">'Preventative costs A'!E666-'Preventative costs B'!E666</f>
        <v>0</v>
      </c>
      <c r="F666" s="35">
        <f ca="1">'Preventative costs A'!F666-'Preventative costs B'!F666</f>
        <v>8.5522360352176321</v>
      </c>
      <c r="G666" s="35">
        <f ca="1">'Preventative costs A'!G666-'Preventative costs B'!G666</f>
        <v>236.71974340538526</v>
      </c>
      <c r="H666" s="35">
        <f ca="1">'Preventative costs A'!H666-'Preventative costs B'!H666</f>
        <v>349.38740602295013</v>
      </c>
      <c r="I666" s="35">
        <f ca="1">'Preventative costs A'!I666-'Preventative costs B'!I666</f>
        <v>318.03284510308777</v>
      </c>
      <c r="J666" s="35">
        <f ca="1">'Preventative costs A'!J666-'Preventative costs B'!J666</f>
        <v>225.22541533618809</v>
      </c>
      <c r="K666" s="35">
        <f ca="1">'Preventative costs A'!K666-'Preventative costs B'!K666</f>
        <v>185.93415606549206</v>
      </c>
      <c r="M666" s="1" t="str">
        <f t="shared" si="50"/>
        <v>$M(2015)/million</v>
      </c>
    </row>
    <row r="667" spans="1:13" s="2" customFormat="1" ht="15" thickTop="1" x14ac:dyDescent="0.25">
      <c r="A667" s="2" t="s">
        <v>359</v>
      </c>
      <c r="B667" s="2" t="s">
        <v>397</v>
      </c>
    </row>
    <row r="668" spans="1:13" s="7" customFormat="1" x14ac:dyDescent="0.2">
      <c r="A668" s="4" t="str">
        <f t="array" ref="A668:A675">R_CODE</f>
        <v>EU</v>
      </c>
      <c r="B668" s="29">
        <f ca="1">'Preventative costs A'!B668-'Preventative costs B'!B668</f>
        <v>0</v>
      </c>
      <c r="C668" s="29">
        <f ca="1">'Preventative costs A'!C668-'Preventative costs B'!C668</f>
        <v>0</v>
      </c>
      <c r="D668" s="29">
        <f ca="1">'Preventative costs A'!D668-'Preventative costs B'!D668</f>
        <v>0</v>
      </c>
      <c r="E668" s="29">
        <f ca="1">'Preventative costs A'!E668-'Preventative costs B'!E668</f>
        <v>0</v>
      </c>
      <c r="F668" s="29">
        <f ca="1">'Preventative costs A'!F668-'Preventative costs B'!F668</f>
        <v>3.3984110402494467</v>
      </c>
      <c r="G668" s="29">
        <f ca="1">'Preventative costs A'!G668-'Preventative costs B'!G668</f>
        <v>97.522711484562663</v>
      </c>
      <c r="H668" s="29">
        <f ca="1">'Preventative costs A'!H668-'Preventative costs B'!H668</f>
        <v>138.40169405138866</v>
      </c>
      <c r="I668" s="29">
        <f ca="1">'Preventative costs A'!I668-'Preventative costs B'!I668</f>
        <v>103.36069390559028</v>
      </c>
      <c r="J668" s="29">
        <f ca="1">'Preventative costs A'!J668-'Preventative costs B'!J668</f>
        <v>69.574121829102467</v>
      </c>
      <c r="K668" s="29">
        <f ca="1">'Preventative costs A'!K668-'Preventative costs B'!K668</f>
        <v>44.58206678107387</v>
      </c>
      <c r="M668" s="1" t="str">
        <f t="shared" ref="M668:M675" si="51">CURRENCY_NAME&amp;"/"&amp;POP_UNIT_NAME</f>
        <v>$M(2015)/million</v>
      </c>
    </row>
    <row r="669" spans="1:13" s="7" customFormat="1" x14ac:dyDescent="0.2">
      <c r="A669" s="4" t="str">
        <v>US</v>
      </c>
      <c r="B669" s="26">
        <f ca="1">'Preventative costs A'!B669-'Preventative costs B'!B669</f>
        <v>0</v>
      </c>
      <c r="C669" s="26">
        <f ca="1">'Preventative costs A'!C669-'Preventative costs B'!C669</f>
        <v>0</v>
      </c>
      <c r="D669" s="26">
        <f ca="1">'Preventative costs A'!D669-'Preventative costs B'!D669</f>
        <v>0</v>
      </c>
      <c r="E669" s="26">
        <f ca="1">'Preventative costs A'!E669-'Preventative costs B'!E669</f>
        <v>0</v>
      </c>
      <c r="F669" s="26">
        <f ca="1">'Preventative costs A'!F669-'Preventative costs B'!F669</f>
        <v>12.980784330858182</v>
      </c>
      <c r="G669" s="26">
        <f ca="1">'Preventative costs A'!G669-'Preventative costs B'!G669</f>
        <v>239.23116729457547</v>
      </c>
      <c r="H669" s="26">
        <f ca="1">'Preventative costs A'!H669-'Preventative costs B'!H669</f>
        <v>292.14483528473983</v>
      </c>
      <c r="I669" s="26">
        <f ca="1">'Preventative costs A'!I669-'Preventative costs B'!I669</f>
        <v>206.59863415336804</v>
      </c>
      <c r="J669" s="26">
        <f ca="1">'Preventative costs A'!J669-'Preventative costs B'!J669</f>
        <v>123.3624478179181</v>
      </c>
      <c r="K669" s="26">
        <f ca="1">'Preventative costs A'!K669-'Preventative costs B'!K669</f>
        <v>73.882907171139195</v>
      </c>
      <c r="M669" s="1" t="str">
        <f t="shared" si="51"/>
        <v>$M(2015)/million</v>
      </c>
    </row>
    <row r="670" spans="1:13" s="7" customFormat="1" x14ac:dyDescent="0.2">
      <c r="A670" s="4" t="str">
        <v>OT</v>
      </c>
      <c r="B670" s="26">
        <f ca="1">'Preventative costs A'!B670-'Preventative costs B'!B670</f>
        <v>0</v>
      </c>
      <c r="C670" s="26">
        <f ca="1">'Preventative costs A'!C670-'Preventative costs B'!C670</f>
        <v>0</v>
      </c>
      <c r="D670" s="26">
        <f ca="1">'Preventative costs A'!D670-'Preventative costs B'!D670</f>
        <v>0</v>
      </c>
      <c r="E670" s="26">
        <f ca="1">'Preventative costs A'!E670-'Preventative costs B'!E670</f>
        <v>0</v>
      </c>
      <c r="F670" s="26">
        <f ca="1">'Preventative costs A'!F670-'Preventative costs B'!F670</f>
        <v>7.8131562176709721</v>
      </c>
      <c r="G670" s="26">
        <f ca="1">'Preventative costs A'!G670-'Preventative costs B'!G670</f>
        <v>237.44929504973089</v>
      </c>
      <c r="H670" s="26">
        <f ca="1">'Preventative costs A'!H670-'Preventative costs B'!H670</f>
        <v>323.87395508410663</v>
      </c>
      <c r="I670" s="26">
        <f ca="1">'Preventative costs A'!I670-'Preventative costs B'!I670</f>
        <v>242.99847522065369</v>
      </c>
      <c r="J670" s="26">
        <f ca="1">'Preventative costs A'!J670-'Preventative costs B'!J670</f>
        <v>167.21822651189797</v>
      </c>
      <c r="K670" s="26">
        <f ca="1">'Preventative costs A'!K670-'Preventative costs B'!K670</f>
        <v>113.9551767137667</v>
      </c>
      <c r="M670" s="1" t="str">
        <f t="shared" si="51"/>
        <v>$M(2015)/million</v>
      </c>
    </row>
    <row r="671" spans="1:13" s="7" customFormat="1" x14ac:dyDescent="0.2">
      <c r="A671" s="4" t="str">
        <v>EE</v>
      </c>
      <c r="B671" s="26">
        <f ca="1">'Preventative costs A'!B671-'Preventative costs B'!B671</f>
        <v>0</v>
      </c>
      <c r="C671" s="26">
        <f ca="1">'Preventative costs A'!C671-'Preventative costs B'!C671</f>
        <v>0</v>
      </c>
      <c r="D671" s="26">
        <f ca="1">'Preventative costs A'!D671-'Preventative costs B'!D671</f>
        <v>0</v>
      </c>
      <c r="E671" s="26">
        <f ca="1">'Preventative costs A'!E671-'Preventative costs B'!E671</f>
        <v>0</v>
      </c>
      <c r="F671" s="26">
        <f ca="1">'Preventative costs A'!F671-'Preventative costs B'!F671</f>
        <v>109.30559085822095</v>
      </c>
      <c r="G671" s="26">
        <f ca="1">'Preventative costs A'!G671-'Preventative costs B'!G671</f>
        <v>661.13772591321447</v>
      </c>
      <c r="H671" s="26">
        <f ca="1">'Preventative costs A'!H671-'Preventative costs B'!H671</f>
        <v>693.18145078157988</v>
      </c>
      <c r="I671" s="26">
        <f ca="1">'Preventative costs A'!I671-'Preventative costs B'!I671</f>
        <v>491.19603749563936</v>
      </c>
      <c r="J671" s="26">
        <f ca="1">'Preventative costs A'!J671-'Preventative costs B'!J671</f>
        <v>327.85297060041535</v>
      </c>
      <c r="K671" s="26">
        <f ca="1">'Preventative costs A'!K671-'Preventative costs B'!K671</f>
        <v>226.71859825019092</v>
      </c>
      <c r="M671" s="1" t="str">
        <f t="shared" si="51"/>
        <v>$M(2015)/million</v>
      </c>
    </row>
    <row r="672" spans="1:13" s="7" customFormat="1" x14ac:dyDescent="0.2">
      <c r="A672" s="4" t="str">
        <v>CA</v>
      </c>
      <c r="B672" s="26">
        <f ca="1">'Preventative costs A'!B672-'Preventative costs B'!B672</f>
        <v>0</v>
      </c>
      <c r="C672" s="26">
        <f ca="1">'Preventative costs A'!C672-'Preventative costs B'!C672</f>
        <v>0</v>
      </c>
      <c r="D672" s="26">
        <f ca="1">'Preventative costs A'!D672-'Preventative costs B'!D672</f>
        <v>0</v>
      </c>
      <c r="E672" s="26">
        <f ca="1">'Preventative costs A'!E672-'Preventative costs B'!E672</f>
        <v>0</v>
      </c>
      <c r="F672" s="26">
        <f ca="1">'Preventative costs A'!F672-'Preventative costs B'!F672</f>
        <v>15.782728103673476</v>
      </c>
      <c r="G672" s="26">
        <f ca="1">'Preventative costs A'!G672-'Preventative costs B'!G672</f>
        <v>168.39748400738563</v>
      </c>
      <c r="H672" s="26">
        <f ca="1">'Preventative costs A'!H672-'Preventative costs B'!H672</f>
        <v>226.47400367619801</v>
      </c>
      <c r="I672" s="26">
        <f ca="1">'Preventative costs A'!I672-'Preventative costs B'!I672</f>
        <v>176.09624335720281</v>
      </c>
      <c r="J672" s="26">
        <f ca="1">'Preventative costs A'!J672-'Preventative costs B'!J672</f>
        <v>120.71591256288984</v>
      </c>
      <c r="K672" s="26">
        <f ca="1">'Preventative costs A'!K672-'Preventative costs B'!K672</f>
        <v>85.523090177457505</v>
      </c>
      <c r="M672" s="1" t="str">
        <f t="shared" si="51"/>
        <v>$M(2015)/million</v>
      </c>
    </row>
    <row r="673" spans="1:13" s="7" customFormat="1" x14ac:dyDescent="0.2">
      <c r="A673" s="4" t="str">
        <v>IA</v>
      </c>
      <c r="B673" s="26">
        <f ca="1">'Preventative costs A'!B673-'Preventative costs B'!B673</f>
        <v>0</v>
      </c>
      <c r="C673" s="26">
        <f ca="1">'Preventative costs A'!C673-'Preventative costs B'!C673</f>
        <v>0</v>
      </c>
      <c r="D673" s="26">
        <f ca="1">'Preventative costs A'!D673-'Preventative costs B'!D673</f>
        <v>0</v>
      </c>
      <c r="E673" s="26">
        <f ca="1">'Preventative costs A'!E673-'Preventative costs B'!E673</f>
        <v>0</v>
      </c>
      <c r="F673" s="26">
        <f ca="1">'Preventative costs A'!F673-'Preventative costs B'!F673</f>
        <v>40.496394546184881</v>
      </c>
      <c r="G673" s="26">
        <f ca="1">'Preventative costs A'!G673-'Preventative costs B'!G673</f>
        <v>207.94291890319849</v>
      </c>
      <c r="H673" s="26">
        <f ca="1">'Preventative costs A'!H673-'Preventative costs B'!H673</f>
        <v>231.92748374892201</v>
      </c>
      <c r="I673" s="26">
        <f ca="1">'Preventative costs A'!I673-'Preventative costs B'!I673</f>
        <v>167.94366490508315</v>
      </c>
      <c r="J673" s="26">
        <f ca="1">'Preventative costs A'!J673-'Preventative costs B'!J673</f>
        <v>109.15285174848579</v>
      </c>
      <c r="K673" s="26">
        <f ca="1">'Preventative costs A'!K673-'Preventative costs B'!K673</f>
        <v>67.953969647843209</v>
      </c>
      <c r="M673" s="1" t="str">
        <f t="shared" si="51"/>
        <v>$M(2015)/million</v>
      </c>
    </row>
    <row r="674" spans="1:13" s="7" customFormat="1" x14ac:dyDescent="0.2">
      <c r="A674" s="4" t="str">
        <v>AF</v>
      </c>
      <c r="B674" s="26">
        <f ca="1">'Preventative costs A'!B674-'Preventative costs B'!B674</f>
        <v>0</v>
      </c>
      <c r="C674" s="26">
        <f ca="1">'Preventative costs A'!C674-'Preventative costs B'!C674</f>
        <v>0</v>
      </c>
      <c r="D674" s="26">
        <f ca="1">'Preventative costs A'!D674-'Preventative costs B'!D674</f>
        <v>0</v>
      </c>
      <c r="E674" s="26">
        <f ca="1">'Preventative costs A'!E674-'Preventative costs B'!E674</f>
        <v>0</v>
      </c>
      <c r="F674" s="26">
        <f ca="1">'Preventative costs A'!F674-'Preventative costs B'!F674</f>
        <v>170.40474100280775</v>
      </c>
      <c r="G674" s="26">
        <f ca="1">'Preventative costs A'!G674-'Preventative costs B'!G674</f>
        <v>1021.1424691671803</v>
      </c>
      <c r="H674" s="26">
        <f ca="1">'Preventative costs A'!H674-'Preventative costs B'!H674</f>
        <v>902.46642142456676</v>
      </c>
      <c r="I674" s="26">
        <f ca="1">'Preventative costs A'!I674-'Preventative costs B'!I674</f>
        <v>552.83624498676329</v>
      </c>
      <c r="J674" s="26">
        <f ca="1">'Preventative costs A'!J674-'Preventative costs B'!J674</f>
        <v>315.49715426570617</v>
      </c>
      <c r="K674" s="26">
        <f ca="1">'Preventative costs A'!K674-'Preventative costs B'!K674</f>
        <v>181.51897943892726</v>
      </c>
      <c r="M674" s="1" t="str">
        <f t="shared" si="51"/>
        <v>$M(2015)/million</v>
      </c>
    </row>
    <row r="675" spans="1:13" s="7" customFormat="1" ht="13.5" thickBot="1" x14ac:dyDescent="0.25">
      <c r="A675" s="4" t="str">
        <v>LA</v>
      </c>
      <c r="B675" s="35">
        <f ca="1">'Preventative costs A'!B675-'Preventative costs B'!B675</f>
        <v>0</v>
      </c>
      <c r="C675" s="35">
        <f ca="1">'Preventative costs A'!C675-'Preventative costs B'!C675</f>
        <v>0</v>
      </c>
      <c r="D675" s="35">
        <f ca="1">'Preventative costs A'!D675-'Preventative costs B'!D675</f>
        <v>0</v>
      </c>
      <c r="E675" s="35">
        <f ca="1">'Preventative costs A'!E675-'Preventative costs B'!E675</f>
        <v>0</v>
      </c>
      <c r="F675" s="35">
        <f ca="1">'Preventative costs A'!F675-'Preventative costs B'!F675</f>
        <v>8.5522360352176321</v>
      </c>
      <c r="G675" s="35">
        <f ca="1">'Preventative costs A'!G675-'Preventative costs B'!G675</f>
        <v>236.71974340538526</v>
      </c>
      <c r="H675" s="35">
        <f ca="1">'Preventative costs A'!H675-'Preventative costs B'!H675</f>
        <v>349.38740602295013</v>
      </c>
      <c r="I675" s="35">
        <f ca="1">'Preventative costs A'!I675-'Preventative costs B'!I675</f>
        <v>318.03284510308777</v>
      </c>
      <c r="J675" s="35">
        <f ca="1">'Preventative costs A'!J675-'Preventative costs B'!J675</f>
        <v>225.22541533618809</v>
      </c>
      <c r="K675" s="35">
        <f ca="1">'Preventative costs A'!K675-'Preventative costs B'!K675</f>
        <v>185.93415606549206</v>
      </c>
      <c r="M675" s="1" t="str">
        <f t="shared" si="51"/>
        <v>$M(2015)/million</v>
      </c>
    </row>
    <row r="676" spans="1:13" s="2" customFormat="1" ht="15" thickTop="1" x14ac:dyDescent="0.25">
      <c r="A676" s="2" t="s">
        <v>44</v>
      </c>
      <c r="B676" s="2" t="s">
        <v>362</v>
      </c>
    </row>
    <row r="677" spans="1:13" x14ac:dyDescent="0.2">
      <c r="A677" s="4" t="str">
        <f t="array" ref="A677:A684">R_CODE</f>
        <v>EU</v>
      </c>
      <c r="B677" s="29">
        <f ca="1">'Preventative costs A'!B677-'Preventative costs B'!B677</f>
        <v>0</v>
      </c>
      <c r="C677" s="29">
        <f ca="1">'Preventative costs A'!C677-'Preventative costs B'!C677</f>
        <v>0</v>
      </c>
      <c r="D677" s="29">
        <f ca="1">'Preventative costs A'!D677-'Preventative costs B'!D677</f>
        <v>0</v>
      </c>
      <c r="E677" s="29">
        <f ca="1">'Preventative costs A'!E677-'Preventative costs B'!E677</f>
        <v>0</v>
      </c>
      <c r="F677" s="29">
        <f ca="1">'Preventative costs A'!F677-'Preventative costs B'!F677</f>
        <v>2101.6385586889828</v>
      </c>
      <c r="G677" s="29">
        <f ca="1">'Preventative costs A'!G677-'Preventative costs B'!G677</f>
        <v>63790.093195609865</v>
      </c>
      <c r="H677" s="29">
        <f ca="1">'Preventative costs A'!H677-'Preventative costs B'!H677</f>
        <v>94787.998615138844</v>
      </c>
      <c r="I677" s="29">
        <f ca="1">'Preventative costs A'!I677-'Preventative costs B'!I677</f>
        <v>73345.885363039895</v>
      </c>
      <c r="J677" s="29">
        <f ca="1">'Preventative costs A'!J677-'Preventative costs B'!J677</f>
        <v>50571.968101016166</v>
      </c>
      <c r="K677" s="29">
        <f ca="1">'Preventative costs A'!K677-'Preventative costs B'!K677</f>
        <v>32894.788810281811</v>
      </c>
      <c r="M677" s="4" t="str">
        <f t="shared" ref="M677:M685" si="52">CURRENCY_NAME</f>
        <v>$M(2015)</v>
      </c>
    </row>
    <row r="678" spans="1:13" x14ac:dyDescent="0.2">
      <c r="A678" s="4" t="str">
        <v>US</v>
      </c>
      <c r="B678" s="26">
        <f ca="1">'Preventative costs A'!B678-'Preventative costs B'!B678</f>
        <v>0</v>
      </c>
      <c r="C678" s="26">
        <f ca="1">'Preventative costs A'!C678-'Preventative costs B'!C678</f>
        <v>0</v>
      </c>
      <c r="D678" s="26">
        <f ca="1">'Preventative costs A'!D678-'Preventative costs B'!D678</f>
        <v>0</v>
      </c>
      <c r="E678" s="26">
        <f ca="1">'Preventative costs A'!E678-'Preventative costs B'!E678</f>
        <v>0</v>
      </c>
      <c r="F678" s="26">
        <f ca="1">'Preventative costs A'!F678-'Preventative costs B'!F678</f>
        <v>6207.8913560366245</v>
      </c>
      <c r="G678" s="26">
        <f ca="1">'Preventative costs A'!G678-'Preventative costs B'!G678</f>
        <v>126765.96400655514</v>
      </c>
      <c r="H678" s="26">
        <f ca="1">'Preventative costs A'!H678-'Preventative costs B'!H678</f>
        <v>170288.30303912156</v>
      </c>
      <c r="I678" s="26">
        <f ca="1">'Preventative costs A'!I678-'Preventative costs B'!I678</f>
        <v>130958.53561850241</v>
      </c>
      <c r="J678" s="26">
        <f ca="1">'Preventative costs A'!J678-'Preventative costs B'!J678</f>
        <v>83696.486346544407</v>
      </c>
      <c r="K678" s="26">
        <f ca="1">'Preventative costs A'!K678-'Preventative costs B'!K678</f>
        <v>52757.789172416691</v>
      </c>
      <c r="M678" s="4" t="str">
        <f t="shared" si="52"/>
        <v>$M(2015)</v>
      </c>
    </row>
    <row r="679" spans="1:13" x14ac:dyDescent="0.2">
      <c r="A679" s="4" t="str">
        <v>OT</v>
      </c>
      <c r="B679" s="26">
        <f ca="1">'Preventative costs A'!B679-'Preventative costs B'!B679</f>
        <v>0</v>
      </c>
      <c r="C679" s="26">
        <f ca="1">'Preventative costs A'!C679-'Preventative costs B'!C679</f>
        <v>0</v>
      </c>
      <c r="D679" s="26">
        <f ca="1">'Preventative costs A'!D679-'Preventative costs B'!D679</f>
        <v>0</v>
      </c>
      <c r="E679" s="26">
        <f ca="1">'Preventative costs A'!E679-'Preventative costs B'!E679</f>
        <v>0</v>
      </c>
      <c r="F679" s="26">
        <f ca="1">'Preventative costs A'!F679-'Preventative costs B'!F679</f>
        <v>2829.2766900743595</v>
      </c>
      <c r="G679" s="26">
        <f ca="1">'Preventative costs A'!G679-'Preventative costs B'!G679</f>
        <v>89165.297132009655</v>
      </c>
      <c r="H679" s="26">
        <f ca="1">'Preventative costs A'!H679-'Preventative costs B'!H679</f>
        <v>124331.64874328261</v>
      </c>
      <c r="I679" s="26">
        <f ca="1">'Preventative costs A'!I679-'Preventative costs B'!I679</f>
        <v>94085.85062525922</v>
      </c>
      <c r="J679" s="26">
        <f ca="1">'Preventative costs A'!J679-'Preventative costs B'!J679</f>
        <v>64377.67946126857</v>
      </c>
      <c r="K679" s="26">
        <f ca="1">'Preventative costs A'!K679-'Preventative costs B'!K679</f>
        <v>43106.964247283679</v>
      </c>
      <c r="M679" s="4" t="str">
        <f t="shared" si="52"/>
        <v>$M(2015)</v>
      </c>
    </row>
    <row r="680" spans="1:13" x14ac:dyDescent="0.2">
      <c r="A680" s="4" t="str">
        <v>EE</v>
      </c>
      <c r="B680" s="26">
        <f ca="1">'Preventative costs A'!B680-'Preventative costs B'!B680</f>
        <v>0</v>
      </c>
      <c r="C680" s="26">
        <f ca="1">'Preventative costs A'!C680-'Preventative costs B'!C680</f>
        <v>0</v>
      </c>
      <c r="D680" s="26">
        <f ca="1">'Preventative costs A'!D680-'Preventative costs B'!D680</f>
        <v>0</v>
      </c>
      <c r="E680" s="26">
        <f ca="1">'Preventative costs A'!E680-'Preventative costs B'!E680</f>
        <v>0</v>
      </c>
      <c r="F680" s="26">
        <f ca="1">'Preventative costs A'!F680-'Preventative costs B'!F680</f>
        <v>29032.548682261237</v>
      </c>
      <c r="G680" s="26">
        <f ca="1">'Preventative costs A'!G680-'Preventative costs B'!G680</f>
        <v>168834.74106645765</v>
      </c>
      <c r="H680" s="26">
        <f ca="1">'Preventative costs A'!H680-'Preventative costs B'!H680</f>
        <v>167854.5814882105</v>
      </c>
      <c r="I680" s="26">
        <f ca="1">'Preventative costs A'!I680-'Preventative costs B'!I680</f>
        <v>110643.38103400539</v>
      </c>
      <c r="J680" s="26">
        <f ca="1">'Preventative costs A'!J680-'Preventative costs B'!J680</f>
        <v>67560.98950459827</v>
      </c>
      <c r="K680" s="26">
        <f ca="1">'Preventative costs A'!K680-'Preventative costs B'!K680</f>
        <v>42201.626596888847</v>
      </c>
      <c r="M680" s="4" t="str">
        <f t="shared" si="52"/>
        <v>$M(2015)</v>
      </c>
    </row>
    <row r="681" spans="1:13" x14ac:dyDescent="0.2">
      <c r="A681" s="4" t="str">
        <v>CA</v>
      </c>
      <c r="B681" s="26">
        <f ca="1">'Preventative costs A'!B681-'Preventative costs B'!B681</f>
        <v>0</v>
      </c>
      <c r="C681" s="26">
        <f ca="1">'Preventative costs A'!C681-'Preventative costs B'!C681</f>
        <v>0</v>
      </c>
      <c r="D681" s="26">
        <f ca="1">'Preventative costs A'!D681-'Preventative costs B'!D681</f>
        <v>0</v>
      </c>
      <c r="E681" s="26">
        <f ca="1">'Preventative costs A'!E681-'Preventative costs B'!E681</f>
        <v>0</v>
      </c>
      <c r="F681" s="26">
        <f ca="1">'Preventative costs A'!F681-'Preventative costs B'!F681</f>
        <v>19501.69124038257</v>
      </c>
      <c r="G681" s="26">
        <f ca="1">'Preventative costs A'!G681-'Preventative costs B'!G681</f>
        <v>190135.41002544694</v>
      </c>
      <c r="H681" s="26">
        <f ca="1">'Preventative costs A'!H681-'Preventative costs B'!H681</f>
        <v>228990.3563310442</v>
      </c>
      <c r="I681" s="26">
        <f ca="1">'Preventative costs A'!I681-'Preventative costs B'!I681</f>
        <v>157039.28399732968</v>
      </c>
      <c r="J681" s="26">
        <f ca="1">'Preventative costs A'!J681-'Preventative costs B'!J681</f>
        <v>93209.343294484657</v>
      </c>
      <c r="K681" s="26">
        <f ca="1">'Preventative costs A'!K681-'Preventative costs B'!K681</f>
        <v>55844.268762444975</v>
      </c>
      <c r="M681" s="4" t="str">
        <f t="shared" si="52"/>
        <v>$M(2015)</v>
      </c>
    </row>
    <row r="682" spans="1:13" x14ac:dyDescent="0.2">
      <c r="A682" s="4" t="str">
        <v>IA</v>
      </c>
      <c r="B682" s="26">
        <f ca="1">'Preventative costs A'!B682-'Preventative costs B'!B682</f>
        <v>0</v>
      </c>
      <c r="C682" s="26">
        <f ca="1">'Preventative costs A'!C682-'Preventative costs B'!C682</f>
        <v>0</v>
      </c>
      <c r="D682" s="26">
        <f ca="1">'Preventative costs A'!D682-'Preventative costs B'!D682</f>
        <v>0</v>
      </c>
      <c r="E682" s="26">
        <f ca="1">'Preventative costs A'!E682-'Preventative costs B'!E682</f>
        <v>0</v>
      </c>
      <c r="F682" s="26">
        <f ca="1">'Preventative costs A'!F682-'Preventative costs B'!F682</f>
        <v>115822.52314970698</v>
      </c>
      <c r="G682" s="26">
        <f ca="1">'Preventative costs A'!G682-'Preventative costs B'!G682</f>
        <v>585289.65583467111</v>
      </c>
      <c r="H682" s="26">
        <f ca="1">'Preventative costs A'!H682-'Preventative costs B'!H682</f>
        <v>627486.76510722109</v>
      </c>
      <c r="I682" s="26">
        <f ca="1">'Preventative costs A'!I682-'Preventative costs B'!I682</f>
        <v>426991.393823897</v>
      </c>
      <c r="J682" s="26">
        <f ca="1">'Preventative costs A'!J682-'Preventative costs B'!J682</f>
        <v>255250.23261687456</v>
      </c>
      <c r="K682" s="26">
        <f ca="1">'Preventative costs A'!K682-'Preventative costs B'!K682</f>
        <v>143451.71332820243</v>
      </c>
      <c r="M682" s="4" t="str">
        <f t="shared" si="52"/>
        <v>$M(2015)</v>
      </c>
    </row>
    <row r="683" spans="1:13" x14ac:dyDescent="0.2">
      <c r="A683" s="4" t="str">
        <v>AF</v>
      </c>
      <c r="B683" s="26">
        <f ca="1">'Preventative costs A'!B683-'Preventative costs B'!B683</f>
        <v>0</v>
      </c>
      <c r="C683" s="26">
        <f ca="1">'Preventative costs A'!C683-'Preventative costs B'!C683</f>
        <v>0</v>
      </c>
      <c r="D683" s="26">
        <f ca="1">'Preventative costs A'!D683-'Preventative costs B'!D683</f>
        <v>0</v>
      </c>
      <c r="E683" s="26">
        <f ca="1">'Preventative costs A'!E683-'Preventative costs B'!E683</f>
        <v>0</v>
      </c>
      <c r="F683" s="26">
        <f ca="1">'Preventative costs A'!F683-'Preventative costs B'!F683</f>
        <v>355340.49068751861</v>
      </c>
      <c r="G683" s="26">
        <f ca="1">'Preventative costs A'!G683-'Preventative costs B'!G683</f>
        <v>2230879.2303936169</v>
      </c>
      <c r="H683" s="26">
        <f ca="1">'Preventative costs A'!H683-'Preventative costs B'!H683</f>
        <v>2018576.8774254497</v>
      </c>
      <c r="I683" s="26">
        <f ca="1">'Preventative costs A'!I683-'Preventative costs B'!I683</f>
        <v>1239321.4814534457</v>
      </c>
      <c r="J683" s="26">
        <f ca="1">'Preventative costs A'!J683-'Preventative costs B'!J683</f>
        <v>695434.91778733814</v>
      </c>
      <c r="K683" s="26">
        <f ca="1">'Preventative costs A'!K683-'Preventative costs B'!K683</f>
        <v>386666.10291244095</v>
      </c>
      <c r="M683" s="4" t="str">
        <f t="shared" si="52"/>
        <v>$M(2015)</v>
      </c>
    </row>
    <row r="684" spans="1:13" ht="13.5" thickBot="1" x14ac:dyDescent="0.25">
      <c r="A684" s="4" t="str">
        <v>LA</v>
      </c>
      <c r="B684" s="35">
        <f ca="1">'Preventative costs A'!B684-'Preventative costs B'!B684</f>
        <v>0</v>
      </c>
      <c r="C684" s="35">
        <f ca="1">'Preventative costs A'!C684-'Preventative costs B'!C684</f>
        <v>0</v>
      </c>
      <c r="D684" s="35">
        <f ca="1">'Preventative costs A'!D684-'Preventative costs B'!D684</f>
        <v>0</v>
      </c>
      <c r="E684" s="35">
        <f ca="1">'Preventative costs A'!E684-'Preventative costs B'!E684</f>
        <v>0</v>
      </c>
      <c r="F684" s="35">
        <f ca="1">'Preventative costs A'!F684-'Preventative costs B'!F684</f>
        <v>5573.6333360459157</v>
      </c>
      <c r="G684" s="35">
        <f ca="1">'Preventative costs A'!G684-'Preventative costs B'!G684</f>
        <v>148333.44397255426</v>
      </c>
      <c r="H684" s="35">
        <f ca="1">'Preventative costs A'!H684-'Preventative costs B'!H684</f>
        <v>207083.31309942665</v>
      </c>
      <c r="I684" s="35">
        <f ca="1">'Preventative costs A'!I684-'Preventative costs B'!I684</f>
        <v>175761.64692833429</v>
      </c>
      <c r="J684" s="35">
        <f ca="1">'Preventative costs A'!J684-'Preventative costs B'!J684</f>
        <v>113872.16819065408</v>
      </c>
      <c r="K684" s="35">
        <f ca="1">'Preventative costs A'!K684-'Preventative costs B'!K684</f>
        <v>83931.700685821561</v>
      </c>
      <c r="M684" s="4" t="str">
        <f t="shared" si="52"/>
        <v>$M(2015)</v>
      </c>
    </row>
    <row r="685" spans="1:13" ht="14.25" thickTop="1" thickBot="1" x14ac:dyDescent="0.25">
      <c r="A685" s="2" t="s">
        <v>204</v>
      </c>
      <c r="B685" s="42">
        <f ca="1">'Preventative costs A'!B685-'Preventative costs B'!B685</f>
        <v>0</v>
      </c>
      <c r="C685" s="42">
        <f ca="1">'Preventative costs A'!C685-'Preventative costs B'!C685</f>
        <v>0</v>
      </c>
      <c r="D685" s="42">
        <f ca="1">'Preventative costs A'!D685-'Preventative costs B'!D685</f>
        <v>0</v>
      </c>
      <c r="E685" s="42">
        <f ca="1">'Preventative costs A'!E685-'Preventative costs B'!E685</f>
        <v>0</v>
      </c>
      <c r="F685" s="42">
        <f ca="1">'Preventative costs A'!F685-'Preventative costs B'!F685</f>
        <v>536409.69370071532</v>
      </c>
      <c r="G685" s="42">
        <f ca="1">'Preventative costs A'!G685-'Preventative costs B'!G685</f>
        <v>3603193.8356269216</v>
      </c>
      <c r="H685" s="42">
        <f ca="1">'Preventative costs A'!H685-'Preventative costs B'!H685</f>
        <v>3639399.8438488948</v>
      </c>
      <c r="I685" s="42">
        <f ca="1">'Preventative costs A'!I685-'Preventative costs B'!I685</f>
        <v>2408147.4588438137</v>
      </c>
      <c r="J685" s="42">
        <f ca="1">'Preventative costs A'!J685-'Preventative costs B'!J685</f>
        <v>1423973.7853027789</v>
      </c>
      <c r="K685" s="42">
        <f ca="1">'Preventative costs A'!K685-'Preventative costs B'!K685</f>
        <v>840854.9545157809</v>
      </c>
      <c r="L685" s="1"/>
      <c r="M685" s="4" t="str">
        <f t="shared" si="52"/>
        <v>$M(2015)</v>
      </c>
    </row>
    <row r="686" spans="1:13" ht="15" thickTop="1" x14ac:dyDescent="0.25">
      <c r="A686" s="2" t="s">
        <v>112</v>
      </c>
      <c r="B686" s="53" t="s">
        <v>361</v>
      </c>
      <c r="C686" s="1"/>
      <c r="D686" s="1"/>
      <c r="E686" s="1"/>
      <c r="F686" s="1"/>
      <c r="G686" s="1"/>
      <c r="H686" s="1"/>
      <c r="I686" s="1"/>
      <c r="J686" s="1"/>
      <c r="K686" s="1"/>
      <c r="L686" s="1"/>
      <c r="M686" s="1"/>
    </row>
    <row r="687" spans="1:13" x14ac:dyDescent="0.2">
      <c r="A687" s="1" t="str">
        <f t="array" ref="A687:A694">R_CODE&amp;" total"</f>
        <v>EU total</v>
      </c>
      <c r="B687" s="27">
        <f ca="1">'Preventative costs A'!B687-'Preventative costs B'!B687</f>
        <v>0</v>
      </c>
      <c r="C687" s="27">
        <f ca="1">'Preventative costs A'!C687-'Preventative costs B'!C687</f>
        <v>0</v>
      </c>
      <c r="D687" s="27">
        <f ca="1">'Preventative costs A'!D687-'Preventative costs B'!D687</f>
        <v>0</v>
      </c>
      <c r="E687" s="27">
        <f ca="1">'Preventative costs A'!E687-'Preventative costs B'!E687</f>
        <v>0</v>
      </c>
      <c r="F687" s="27">
        <f ca="1">'Preventative costs A'!F687-'Preventative costs B'!F687</f>
        <v>1466.5408687313218</v>
      </c>
      <c r="G687" s="27">
        <f ca="1">'Preventative costs A'!G687-'Preventative costs B'!G687</f>
        <v>40164.518274410679</v>
      </c>
      <c r="H687" s="27">
        <f ca="1">'Preventative costs A'!H687-'Preventative costs B'!H687</f>
        <v>53851.259207699419</v>
      </c>
      <c r="I687" s="27">
        <f ca="1">'Preventative costs A'!I687-'Preventative costs B'!I687</f>
        <v>37598.580446009335</v>
      </c>
      <c r="J687" s="27">
        <f ca="1">'Preventative costs A'!J687-'Preventative costs B'!J687</f>
        <v>23391.535522570903</v>
      </c>
      <c r="K687" s="27">
        <f ca="1">'Preventative costs A'!K687-'Preventative costs B'!K687</f>
        <v>13728.692018649226</v>
      </c>
      <c r="L687" s="1"/>
      <c r="M687" s="4" t="str">
        <f t="shared" ref="M687:M695" si="53">CURRENCY_NAME</f>
        <v>$M(2015)</v>
      </c>
    </row>
    <row r="688" spans="1:13" x14ac:dyDescent="0.2">
      <c r="A688" s="1" t="str">
        <v>US total</v>
      </c>
      <c r="B688" s="28">
        <f ca="1">'Preventative costs A'!B688-'Preventative costs B'!B688</f>
        <v>0</v>
      </c>
      <c r="C688" s="28">
        <f ca="1">'Preventative costs A'!C688-'Preventative costs B'!C688</f>
        <v>0</v>
      </c>
      <c r="D688" s="28">
        <f ca="1">'Preventative costs A'!D688-'Preventative costs B'!D688</f>
        <v>0</v>
      </c>
      <c r="E688" s="28">
        <f ca="1">'Preventative costs A'!E688-'Preventative costs B'!E688</f>
        <v>0</v>
      </c>
      <c r="F688" s="28">
        <f ca="1">'Preventative costs A'!F688-'Preventative costs B'!F688</f>
        <v>4331.9182285801007</v>
      </c>
      <c r="G688" s="28">
        <f ca="1">'Preventative costs A'!G688-'Preventative costs B'!G688</f>
        <v>79816.373089496818</v>
      </c>
      <c r="H688" s="28">
        <f ca="1">'Preventative costs A'!H688-'Preventative costs B'!H688</f>
        <v>96744.732254895396</v>
      </c>
      <c r="I688" s="28">
        <f ca="1">'Preventative costs A'!I688-'Preventative costs B'!I688</f>
        <v>67131.987188814383</v>
      </c>
      <c r="J688" s="28">
        <f ca="1">'Preventative costs A'!J688-'Preventative costs B'!J688</f>
        <v>38712.935387029662</v>
      </c>
      <c r="K688" s="28">
        <f ca="1">'Preventative costs A'!K688-'Preventative costs B'!K688</f>
        <v>22018.546564024302</v>
      </c>
      <c r="L688" s="1"/>
      <c r="M688" s="4" t="str">
        <f t="shared" si="53"/>
        <v>$M(2015)</v>
      </c>
    </row>
    <row r="689" spans="1:13" x14ac:dyDescent="0.2">
      <c r="A689" s="1" t="str">
        <v>OT total</v>
      </c>
      <c r="B689" s="28">
        <f ca="1">'Preventative costs A'!B689-'Preventative costs B'!B689</f>
        <v>0</v>
      </c>
      <c r="C689" s="28">
        <f ca="1">'Preventative costs A'!C689-'Preventative costs B'!C689</f>
        <v>0</v>
      </c>
      <c r="D689" s="28">
        <f ca="1">'Preventative costs A'!D689-'Preventative costs B'!D689</f>
        <v>0</v>
      </c>
      <c r="E689" s="28">
        <f ca="1">'Preventative costs A'!E689-'Preventative costs B'!E689</f>
        <v>0</v>
      </c>
      <c r="F689" s="28">
        <f ca="1">'Preventative costs A'!F689-'Preventative costs B'!F689</f>
        <v>1974.2928096690714</v>
      </c>
      <c r="G689" s="28">
        <f ca="1">'Preventative costs A'!G689-'Preventative costs B'!G689</f>
        <v>56141.651888170134</v>
      </c>
      <c r="H689" s="28">
        <f ca="1">'Preventative costs A'!H689-'Preventative costs B'!H689</f>
        <v>70635.691669998036</v>
      </c>
      <c r="I689" s="28">
        <f ca="1">'Preventative costs A'!I689-'Preventative costs B'!I689</f>
        <v>48230.305027412265</v>
      </c>
      <c r="J689" s="28">
        <f ca="1">'Preventative costs A'!J689-'Preventative costs B'!J689</f>
        <v>29777.223084752524</v>
      </c>
      <c r="K689" s="28">
        <f ca="1">'Preventative costs A'!K689-'Preventative costs B'!K689</f>
        <v>17990.759552312535</v>
      </c>
      <c r="L689" s="1"/>
      <c r="M689" s="4" t="str">
        <f t="shared" si="53"/>
        <v>$M(2015)</v>
      </c>
    </row>
    <row r="690" spans="1:13" x14ac:dyDescent="0.2">
      <c r="A690" s="1" t="str">
        <v>EE total</v>
      </c>
      <c r="B690" s="28">
        <f ca="1">'Preventative costs A'!B690-'Preventative costs B'!B690</f>
        <v>0</v>
      </c>
      <c r="C690" s="28">
        <f ca="1">'Preventative costs A'!C690-'Preventative costs B'!C690</f>
        <v>0</v>
      </c>
      <c r="D690" s="28">
        <f ca="1">'Preventative costs A'!D690-'Preventative costs B'!D690</f>
        <v>0</v>
      </c>
      <c r="E690" s="28">
        <f ca="1">'Preventative costs A'!E690-'Preventative costs B'!E690</f>
        <v>0</v>
      </c>
      <c r="F690" s="28">
        <f ca="1">'Preventative costs A'!F690-'Preventative costs B'!F690</f>
        <v>20259.153977707701</v>
      </c>
      <c r="G690" s="28">
        <f ca="1">'Preventative costs A'!G690-'Preventative costs B'!G690</f>
        <v>106304.37585543179</v>
      </c>
      <c r="H690" s="28">
        <f ca="1">'Preventative costs A'!H690-'Preventative costs B'!H690</f>
        <v>95362.078627935669</v>
      </c>
      <c r="I690" s="28">
        <f ca="1">'Preventative costs A'!I690-'Preventative costs B'!I690</f>
        <v>56718.029130531431</v>
      </c>
      <c r="J690" s="28">
        <f ca="1">'Preventative costs A'!J690-'Preventative costs B'!J690</f>
        <v>31249.629889430693</v>
      </c>
      <c r="K690" s="28">
        <f ca="1">'Preventative costs A'!K690-'Preventative costs B'!K690</f>
        <v>17612.915455278137</v>
      </c>
      <c r="L690" s="1"/>
      <c r="M690" s="4" t="str">
        <f t="shared" si="53"/>
        <v>$M(2015)</v>
      </c>
    </row>
    <row r="691" spans="1:13" x14ac:dyDescent="0.2">
      <c r="A691" s="1" t="str">
        <v>CA total</v>
      </c>
      <c r="B691" s="28">
        <f ca="1">'Preventative costs A'!B691-'Preventative costs B'!B691</f>
        <v>0</v>
      </c>
      <c r="C691" s="28">
        <f ca="1">'Preventative costs A'!C691-'Preventative costs B'!C691</f>
        <v>0</v>
      </c>
      <c r="D691" s="28">
        <f ca="1">'Preventative costs A'!D691-'Preventative costs B'!D691</f>
        <v>0</v>
      </c>
      <c r="E691" s="28">
        <f ca="1">'Preventative costs A'!E691-'Preventative costs B'!E691</f>
        <v>0</v>
      </c>
      <c r="F691" s="28">
        <f ca="1">'Preventative costs A'!F691-'Preventative costs B'!F691</f>
        <v>13608.442372337116</v>
      </c>
      <c r="G691" s="28">
        <f ca="1">'Preventative costs A'!G691-'Preventative costs B'!G691</f>
        <v>119716.03689560371</v>
      </c>
      <c r="H691" s="28">
        <f ca="1">'Preventative costs A'!H691-'Preventative costs B'!H691</f>
        <v>130094.72944897722</v>
      </c>
      <c r="I691" s="28">
        <f ca="1">'Preventative costs A'!I691-'Preventative costs B'!I691</f>
        <v>80501.504935580902</v>
      </c>
      <c r="J691" s="28">
        <f ca="1">'Preventative costs A'!J691-'Preventative costs B'!J691</f>
        <v>43113.007988008947</v>
      </c>
      <c r="K691" s="28">
        <f ca="1">'Preventative costs A'!K691-'Preventative costs B'!K691</f>
        <v>23306.693691453209</v>
      </c>
      <c r="L691" s="1"/>
      <c r="M691" s="4" t="str">
        <f t="shared" si="53"/>
        <v>$M(2015)</v>
      </c>
    </row>
    <row r="692" spans="1:13" x14ac:dyDescent="0.2">
      <c r="A692" s="1" t="str">
        <v>IA total</v>
      </c>
      <c r="B692" s="28">
        <f ca="1">'Preventative costs A'!B692-'Preventative costs B'!B692</f>
        <v>0</v>
      </c>
      <c r="C692" s="28">
        <f ca="1">'Preventative costs A'!C692-'Preventative costs B'!C692</f>
        <v>0</v>
      </c>
      <c r="D692" s="28">
        <f ca="1">'Preventative costs A'!D692-'Preventative costs B'!D692</f>
        <v>0</v>
      </c>
      <c r="E692" s="28">
        <f ca="1">'Preventative costs A'!E692-'Preventative costs B'!E692</f>
        <v>0</v>
      </c>
      <c r="F692" s="28">
        <f ca="1">'Preventative costs A'!F692-'Preventative costs B'!F692</f>
        <v>80821.920123403048</v>
      </c>
      <c r="G692" s="28">
        <f ca="1">'Preventative costs A'!G692-'Preventative costs B'!G692</f>
        <v>368519.24648407684</v>
      </c>
      <c r="H692" s="28">
        <f ca="1">'Preventative costs A'!H692-'Preventative costs B'!H692</f>
        <v>356489.77645776473</v>
      </c>
      <c r="I692" s="28">
        <f ca="1">'Preventative costs A'!I692-'Preventative costs B'!I692</f>
        <v>218884.40218531244</v>
      </c>
      <c r="J692" s="28">
        <f ca="1">'Preventative costs A'!J692-'Preventative costs B'!J692</f>
        <v>118063.3285118705</v>
      </c>
      <c r="K692" s="28">
        <f ca="1">'Preventative costs A'!K692-'Preventative costs B'!K692</f>
        <v>59869.798927387536</v>
      </c>
      <c r="L692" s="1"/>
      <c r="M692" s="4" t="str">
        <f t="shared" si="53"/>
        <v>$M(2015)</v>
      </c>
    </row>
    <row r="693" spans="1:13" x14ac:dyDescent="0.2">
      <c r="A693" s="1" t="str">
        <v>AF total</v>
      </c>
      <c r="B693" s="28">
        <f ca="1">'Preventative costs A'!B693-'Preventative costs B'!B693</f>
        <v>0</v>
      </c>
      <c r="C693" s="28">
        <f ca="1">'Preventative costs A'!C693-'Preventative costs B'!C693</f>
        <v>0</v>
      </c>
      <c r="D693" s="28">
        <f ca="1">'Preventative costs A'!D693-'Preventative costs B'!D693</f>
        <v>0</v>
      </c>
      <c r="E693" s="28">
        <f ca="1">'Preventative costs A'!E693-'Preventative costs B'!E693</f>
        <v>0</v>
      </c>
      <c r="F693" s="28">
        <f ca="1">'Preventative costs A'!F693-'Preventative costs B'!F693</f>
        <v>247959.55030125013</v>
      </c>
      <c r="G693" s="28">
        <f ca="1">'Preventative costs A'!G693-'Preventative costs B'!G693</f>
        <v>1404641.1461163098</v>
      </c>
      <c r="H693" s="28">
        <f ca="1">'Preventative costs A'!H693-'Preventative costs B'!H693</f>
        <v>1146800.3148612229</v>
      </c>
      <c r="I693" s="28">
        <f ca="1">'Preventative costs A'!I693-'Preventative costs B'!I693</f>
        <v>635301.19226532162</v>
      </c>
      <c r="J693" s="28">
        <f ca="1">'Preventative costs A'!J693-'Preventative costs B'!J693</f>
        <v>321666.15605240461</v>
      </c>
      <c r="K693" s="28">
        <f ca="1">'Preventative costs A'!K693-'Preventative costs B'!K693</f>
        <v>161375.70821786197</v>
      </c>
      <c r="L693" s="1"/>
      <c r="M693" s="4" t="str">
        <f t="shared" si="53"/>
        <v>$M(2015)</v>
      </c>
    </row>
    <row r="694" spans="1:13" x14ac:dyDescent="0.2">
      <c r="A694" s="1" t="str">
        <v>LA total</v>
      </c>
      <c r="B694" s="28">
        <f ca="1">'Preventative costs A'!B694-'Preventative costs B'!B694</f>
        <v>0</v>
      </c>
      <c r="C694" s="28">
        <f ca="1">'Preventative costs A'!C694-'Preventative costs B'!C694</f>
        <v>0</v>
      </c>
      <c r="D694" s="28">
        <f ca="1">'Preventative costs A'!D694-'Preventative costs B'!D694</f>
        <v>0</v>
      </c>
      <c r="E694" s="28">
        <f ca="1">'Preventative costs A'!E694-'Preventative costs B'!E694</f>
        <v>0</v>
      </c>
      <c r="F694" s="28">
        <f ca="1">'Preventative costs A'!F694-'Preventative costs B'!F694</f>
        <v>3889.3277061559088</v>
      </c>
      <c r="G694" s="28">
        <f ca="1">'Preventative costs A'!G694-'Preventative costs B'!G694</f>
        <v>93396.02785769169</v>
      </c>
      <c r="H694" s="28">
        <f ca="1">'Preventative costs A'!H694-'Preventative costs B'!H694</f>
        <v>117648.83038183839</v>
      </c>
      <c r="I694" s="28">
        <f ca="1">'Preventative costs A'!I694-'Preventative costs B'!I694</f>
        <v>90098.965860846147</v>
      </c>
      <c r="J694" s="28">
        <f ca="1">'Preventative costs A'!J694-'Preventative costs B'!J694</f>
        <v>52670.381780343079</v>
      </c>
      <c r="K694" s="28">
        <f ca="1">'Preventative costs A'!K694-'Preventative costs B'!K694</f>
        <v>35029.027727240871</v>
      </c>
      <c r="L694" s="1"/>
      <c r="M694" s="4" t="str">
        <f t="shared" si="53"/>
        <v>$M(2015)</v>
      </c>
    </row>
    <row r="695" spans="1:13" x14ac:dyDescent="0.2">
      <c r="A695" s="2" t="s">
        <v>255</v>
      </c>
      <c r="B695" s="40">
        <f ca="1">'Preventative costs A'!B695-'Preventative costs B'!B695</f>
        <v>0</v>
      </c>
      <c r="C695" s="40">
        <f ca="1">'Preventative costs A'!C695-'Preventative costs B'!C695</f>
        <v>0</v>
      </c>
      <c r="D695" s="40">
        <f ca="1">'Preventative costs A'!D695-'Preventative costs B'!D695</f>
        <v>0</v>
      </c>
      <c r="E695" s="40">
        <f ca="1">'Preventative costs A'!E695-'Preventative costs B'!E695</f>
        <v>0</v>
      </c>
      <c r="F695" s="40">
        <f ca="1">'Preventative costs A'!F695-'Preventative costs B'!F695</f>
        <v>374311.14638783439</v>
      </c>
      <c r="G695" s="40">
        <f ca="1">'Preventative costs A'!G695-'Preventative costs B'!G695</f>
        <v>2268699.3764611916</v>
      </c>
      <c r="H695" s="40">
        <f ca="1">'Preventative costs A'!H695-'Preventative costs B'!H695</f>
        <v>2067627.4129103317</v>
      </c>
      <c r="I695" s="40">
        <f ca="1">'Preventative costs A'!I695-'Preventative costs B'!I695</f>
        <v>1234464.9670398284</v>
      </c>
      <c r="J695" s="40">
        <f ca="1">'Preventative costs A'!J695-'Preventative costs B'!J695</f>
        <v>658644.19821641105</v>
      </c>
      <c r="K695" s="40">
        <f ca="1">'Preventative costs A'!K695-'Preventative costs B'!K695</f>
        <v>350932.1421542078</v>
      </c>
      <c r="L695" s="1"/>
      <c r="M695" s="4" t="str">
        <f t="shared" si="53"/>
        <v>$M(2015)</v>
      </c>
    </row>
    <row r="696" spans="1:13" s="2" customFormat="1" ht="14.25" x14ac:dyDescent="0.25">
      <c r="A696" s="2" t="s">
        <v>111</v>
      </c>
      <c r="B696" s="2" t="s">
        <v>363</v>
      </c>
      <c r="L696" s="2" t="s">
        <v>86</v>
      </c>
    </row>
    <row r="697" spans="1:13" x14ac:dyDescent="0.2">
      <c r="A697" s="1" t="str">
        <f t="array" ref="A697:A704">R_CODE&amp;" total"</f>
        <v>EU total</v>
      </c>
      <c r="B697" s="27">
        <f ca="1">'Preventative costs A'!B697-'Preventative costs B'!B697</f>
        <v>0</v>
      </c>
      <c r="C697" s="27">
        <f ca="1">'Preventative costs A'!C697-'Preventative costs B'!C697</f>
        <v>0</v>
      </c>
      <c r="D697" s="27">
        <f ca="1">'Preventative costs A'!D697-'Preventative costs B'!D697</f>
        <v>0</v>
      </c>
      <c r="E697" s="27">
        <f ca="1">'Preventative costs A'!E697-'Preventative costs B'!E697</f>
        <v>0</v>
      </c>
      <c r="F697" s="27">
        <f ca="1">'Preventative costs A'!F697-'Preventative costs B'!F697</f>
        <v>14665.408687313218</v>
      </c>
      <c r="G697" s="27">
        <f ca="1">'Preventative costs A'!G697-'Preventative costs B'!G697</f>
        <v>401645.1827441068</v>
      </c>
      <c r="H697" s="27">
        <f ca="1">'Preventative costs A'!H697-'Preventative costs B'!H697</f>
        <v>538512.59207699425</v>
      </c>
      <c r="I697" s="27">
        <f ca="1">'Preventative costs A'!I697-'Preventative costs B'!I697</f>
        <v>375985.80446009338</v>
      </c>
      <c r="J697" s="27">
        <f ca="1">'Preventative costs A'!J697-'Preventative costs B'!J697</f>
        <v>233915.35522570903</v>
      </c>
      <c r="K697" s="27">
        <f ca="1">'Preventative costs A'!K697-'Preventative costs B'!K697</f>
        <v>68643.460093246133</v>
      </c>
      <c r="L697" s="40">
        <f ca="1">'Preventative costs A'!L697-'Preventative costs B'!L697</f>
        <v>1633367.8032874628</v>
      </c>
      <c r="M697" s="4" t="str">
        <f t="shared" ref="M697:M706" si="54">CURRENCY_NAME</f>
        <v>$M(2015)</v>
      </c>
    </row>
    <row r="698" spans="1:13" x14ac:dyDescent="0.2">
      <c r="A698" s="1" t="str">
        <v>US total</v>
      </c>
      <c r="B698" s="28">
        <f ca="1">'Preventative costs A'!B698-'Preventative costs B'!B698</f>
        <v>0</v>
      </c>
      <c r="C698" s="28">
        <f ca="1">'Preventative costs A'!C698-'Preventative costs B'!C698</f>
        <v>0</v>
      </c>
      <c r="D698" s="28">
        <f ca="1">'Preventative costs A'!D698-'Preventative costs B'!D698</f>
        <v>0</v>
      </c>
      <c r="E698" s="28">
        <f ca="1">'Preventative costs A'!E698-'Preventative costs B'!E698</f>
        <v>0</v>
      </c>
      <c r="F698" s="28">
        <f ca="1">'Preventative costs A'!F698-'Preventative costs B'!F698</f>
        <v>43319.182285801005</v>
      </c>
      <c r="G698" s="28">
        <f ca="1">'Preventative costs A'!G698-'Preventative costs B'!G698</f>
        <v>798163.73089496815</v>
      </c>
      <c r="H698" s="28">
        <f ca="1">'Preventative costs A'!H698-'Preventative costs B'!H698</f>
        <v>967447.32254895393</v>
      </c>
      <c r="I698" s="28">
        <f ca="1">'Preventative costs A'!I698-'Preventative costs B'!I698</f>
        <v>671319.87188814383</v>
      </c>
      <c r="J698" s="28">
        <f ca="1">'Preventative costs A'!J698-'Preventative costs B'!J698</f>
        <v>387129.35387029662</v>
      </c>
      <c r="K698" s="28">
        <f ca="1">'Preventative costs A'!K698-'Preventative costs B'!K698</f>
        <v>110092.73282012151</v>
      </c>
      <c r="L698" s="40">
        <f ca="1">'Preventative costs A'!L698-'Preventative costs B'!L698</f>
        <v>2977472.1943082856</v>
      </c>
      <c r="M698" s="4" t="str">
        <f t="shared" si="54"/>
        <v>$M(2015)</v>
      </c>
    </row>
    <row r="699" spans="1:13" x14ac:dyDescent="0.2">
      <c r="A699" s="1" t="str">
        <v>OT total</v>
      </c>
      <c r="B699" s="28">
        <f ca="1">'Preventative costs A'!B699-'Preventative costs B'!B699</f>
        <v>0</v>
      </c>
      <c r="C699" s="28">
        <f ca="1">'Preventative costs A'!C699-'Preventative costs B'!C699</f>
        <v>0</v>
      </c>
      <c r="D699" s="28">
        <f ca="1">'Preventative costs A'!D699-'Preventative costs B'!D699</f>
        <v>0</v>
      </c>
      <c r="E699" s="28">
        <f ca="1">'Preventative costs A'!E699-'Preventative costs B'!E699</f>
        <v>0</v>
      </c>
      <c r="F699" s="28">
        <f ca="1">'Preventative costs A'!F699-'Preventative costs B'!F699</f>
        <v>19742.928096690714</v>
      </c>
      <c r="G699" s="28">
        <f ca="1">'Preventative costs A'!G699-'Preventative costs B'!G699</f>
        <v>561416.5188817014</v>
      </c>
      <c r="H699" s="28">
        <f ca="1">'Preventative costs A'!H699-'Preventative costs B'!H699</f>
        <v>706356.91669998039</v>
      </c>
      <c r="I699" s="28">
        <f ca="1">'Preventative costs A'!I699-'Preventative costs B'!I699</f>
        <v>482303.05027412262</v>
      </c>
      <c r="J699" s="28">
        <f ca="1">'Preventative costs A'!J699-'Preventative costs B'!J699</f>
        <v>297772.23084752524</v>
      </c>
      <c r="K699" s="28">
        <f ca="1">'Preventative costs A'!K699-'Preventative costs B'!K699</f>
        <v>89953.797761562673</v>
      </c>
      <c r="L699" s="40">
        <f ca="1">'Preventative costs A'!L699-'Preventative costs B'!L699</f>
        <v>2157545.4425615827</v>
      </c>
      <c r="M699" s="4" t="str">
        <f t="shared" si="54"/>
        <v>$M(2015)</v>
      </c>
    </row>
    <row r="700" spans="1:13" x14ac:dyDescent="0.2">
      <c r="A700" s="1" t="str">
        <v>EE total</v>
      </c>
      <c r="B700" s="28">
        <f ca="1">'Preventative costs A'!B700-'Preventative costs B'!B700</f>
        <v>0</v>
      </c>
      <c r="C700" s="28">
        <f ca="1">'Preventative costs A'!C700-'Preventative costs B'!C700</f>
        <v>0</v>
      </c>
      <c r="D700" s="28">
        <f ca="1">'Preventative costs A'!D700-'Preventative costs B'!D700</f>
        <v>0</v>
      </c>
      <c r="E700" s="28">
        <f ca="1">'Preventative costs A'!E700-'Preventative costs B'!E700</f>
        <v>0</v>
      </c>
      <c r="F700" s="28">
        <f ca="1">'Preventative costs A'!F700-'Preventative costs B'!F700</f>
        <v>202591.53977707701</v>
      </c>
      <c r="G700" s="28">
        <f ca="1">'Preventative costs A'!G700-'Preventative costs B'!G700</f>
        <v>1063043.758554318</v>
      </c>
      <c r="H700" s="28">
        <f ca="1">'Preventative costs A'!H700-'Preventative costs B'!H700</f>
        <v>953620.78627935669</v>
      </c>
      <c r="I700" s="28">
        <f ca="1">'Preventative costs A'!I700-'Preventative costs B'!I700</f>
        <v>567180.29130531428</v>
      </c>
      <c r="J700" s="28">
        <f ca="1">'Preventative costs A'!J700-'Preventative costs B'!J700</f>
        <v>312496.29889430694</v>
      </c>
      <c r="K700" s="28">
        <f ca="1">'Preventative costs A'!K700-'Preventative costs B'!K700</f>
        <v>88064.577276390686</v>
      </c>
      <c r="L700" s="40">
        <f ca="1">'Preventative costs A'!L700-'Preventative costs B'!L700</f>
        <v>3186997.2520867637</v>
      </c>
      <c r="M700" s="4" t="str">
        <f t="shared" si="54"/>
        <v>$M(2015)</v>
      </c>
    </row>
    <row r="701" spans="1:13" x14ac:dyDescent="0.2">
      <c r="A701" s="1" t="str">
        <v>CA total</v>
      </c>
      <c r="B701" s="28">
        <f ca="1">'Preventative costs A'!B701-'Preventative costs B'!B701</f>
        <v>0</v>
      </c>
      <c r="C701" s="28">
        <f ca="1">'Preventative costs A'!C701-'Preventative costs B'!C701</f>
        <v>0</v>
      </c>
      <c r="D701" s="28">
        <f ca="1">'Preventative costs A'!D701-'Preventative costs B'!D701</f>
        <v>0</v>
      </c>
      <c r="E701" s="28">
        <f ca="1">'Preventative costs A'!E701-'Preventative costs B'!E701</f>
        <v>0</v>
      </c>
      <c r="F701" s="28">
        <f ca="1">'Preventative costs A'!F701-'Preventative costs B'!F701</f>
        <v>136084.42372337118</v>
      </c>
      <c r="G701" s="28">
        <f ca="1">'Preventative costs A'!G701-'Preventative costs B'!G701</f>
        <v>1197160.3689560371</v>
      </c>
      <c r="H701" s="28">
        <f ca="1">'Preventative costs A'!H701-'Preventative costs B'!H701</f>
        <v>1300947.2944897721</v>
      </c>
      <c r="I701" s="28">
        <f ca="1">'Preventative costs A'!I701-'Preventative costs B'!I701</f>
        <v>805015.04935580899</v>
      </c>
      <c r="J701" s="28">
        <f ca="1">'Preventative costs A'!J701-'Preventative costs B'!J701</f>
        <v>431130.0798800895</v>
      </c>
      <c r="K701" s="28">
        <f ca="1">'Preventative costs A'!K701-'Preventative costs B'!K701</f>
        <v>116533.46845726605</v>
      </c>
      <c r="L701" s="40">
        <f ca="1">'Preventative costs A'!L701-'Preventative costs B'!L701</f>
        <v>3986870.6848623455</v>
      </c>
      <c r="M701" s="4" t="str">
        <f t="shared" si="54"/>
        <v>$M(2015)</v>
      </c>
    </row>
    <row r="702" spans="1:13" x14ac:dyDescent="0.2">
      <c r="A702" s="1" t="str">
        <v>IA total</v>
      </c>
      <c r="B702" s="28">
        <f ca="1">'Preventative costs A'!B702-'Preventative costs B'!B702</f>
        <v>0</v>
      </c>
      <c r="C702" s="28">
        <f ca="1">'Preventative costs A'!C702-'Preventative costs B'!C702</f>
        <v>0</v>
      </c>
      <c r="D702" s="28">
        <f ca="1">'Preventative costs A'!D702-'Preventative costs B'!D702</f>
        <v>0</v>
      </c>
      <c r="E702" s="28">
        <f ca="1">'Preventative costs A'!E702-'Preventative costs B'!E702</f>
        <v>0</v>
      </c>
      <c r="F702" s="28">
        <f ca="1">'Preventative costs A'!F702-'Preventative costs B'!F702</f>
        <v>808219.20123403054</v>
      </c>
      <c r="G702" s="28">
        <f ca="1">'Preventative costs A'!G702-'Preventative costs B'!G702</f>
        <v>3685192.4648407684</v>
      </c>
      <c r="H702" s="28">
        <f ca="1">'Preventative costs A'!H702-'Preventative costs B'!H702</f>
        <v>3564897.7645776472</v>
      </c>
      <c r="I702" s="28">
        <f ca="1">'Preventative costs A'!I702-'Preventative costs B'!I702</f>
        <v>2188844.0218531243</v>
      </c>
      <c r="J702" s="28">
        <f ca="1">'Preventative costs A'!J702-'Preventative costs B'!J702</f>
        <v>1180633.2851187049</v>
      </c>
      <c r="K702" s="28">
        <f ca="1">'Preventative costs A'!K702-'Preventative costs B'!K702</f>
        <v>299348.99463693768</v>
      </c>
      <c r="L702" s="40">
        <f ca="1">'Preventative costs A'!L702-'Preventative costs B'!L702</f>
        <v>11727135.732261214</v>
      </c>
      <c r="M702" s="4" t="str">
        <f t="shared" si="54"/>
        <v>$M(2015)</v>
      </c>
    </row>
    <row r="703" spans="1:13" x14ac:dyDescent="0.2">
      <c r="A703" s="1" t="str">
        <v>AF total</v>
      </c>
      <c r="B703" s="28">
        <f ca="1">'Preventative costs A'!B703-'Preventative costs B'!B703</f>
        <v>0</v>
      </c>
      <c r="C703" s="28">
        <f ca="1">'Preventative costs A'!C703-'Preventative costs B'!C703</f>
        <v>0</v>
      </c>
      <c r="D703" s="28">
        <f ca="1">'Preventative costs A'!D703-'Preventative costs B'!D703</f>
        <v>0</v>
      </c>
      <c r="E703" s="28">
        <f ca="1">'Preventative costs A'!E703-'Preventative costs B'!E703</f>
        <v>0</v>
      </c>
      <c r="F703" s="28">
        <f ca="1">'Preventative costs A'!F703-'Preventative costs B'!F703</f>
        <v>2479595.5030125012</v>
      </c>
      <c r="G703" s="28">
        <f ca="1">'Preventative costs A'!G703-'Preventative costs B'!G703</f>
        <v>14046411.461163098</v>
      </c>
      <c r="H703" s="28">
        <f ca="1">'Preventative costs A'!H703-'Preventative costs B'!H703</f>
        <v>11468003.148612229</v>
      </c>
      <c r="I703" s="28">
        <f ca="1">'Preventative costs A'!I703-'Preventative costs B'!I703</f>
        <v>6353011.9226532159</v>
      </c>
      <c r="J703" s="28">
        <f ca="1">'Preventative costs A'!J703-'Preventative costs B'!J703</f>
        <v>3216661.560524046</v>
      </c>
      <c r="K703" s="28">
        <f ca="1">'Preventative costs A'!K703-'Preventative costs B'!K703</f>
        <v>806878.54108930985</v>
      </c>
      <c r="L703" s="40">
        <f ca="1">'Preventative costs A'!L703-'Preventative costs B'!L703</f>
        <v>38370562.137054399</v>
      </c>
      <c r="M703" s="4" t="str">
        <f t="shared" si="54"/>
        <v>$M(2015)</v>
      </c>
    </row>
    <row r="704" spans="1:13" x14ac:dyDescent="0.2">
      <c r="A704" s="1" t="str">
        <v>LA total</v>
      </c>
      <c r="B704" s="28">
        <f ca="1">'Preventative costs A'!B704-'Preventative costs B'!B704</f>
        <v>0</v>
      </c>
      <c r="C704" s="28">
        <f ca="1">'Preventative costs A'!C704-'Preventative costs B'!C704</f>
        <v>0</v>
      </c>
      <c r="D704" s="28">
        <f ca="1">'Preventative costs A'!D704-'Preventative costs B'!D704</f>
        <v>0</v>
      </c>
      <c r="E704" s="28">
        <f ca="1">'Preventative costs A'!E704-'Preventative costs B'!E704</f>
        <v>0</v>
      </c>
      <c r="F704" s="28">
        <f ca="1">'Preventative costs A'!F704-'Preventative costs B'!F704</f>
        <v>38893.277061559085</v>
      </c>
      <c r="G704" s="28">
        <f ca="1">'Preventative costs A'!G704-'Preventative costs B'!G704</f>
        <v>933960.2785769169</v>
      </c>
      <c r="H704" s="28">
        <f ca="1">'Preventative costs A'!H704-'Preventative costs B'!H704</f>
        <v>1176488.303818384</v>
      </c>
      <c r="I704" s="28">
        <f ca="1">'Preventative costs A'!I704-'Preventative costs B'!I704</f>
        <v>900989.6586084615</v>
      </c>
      <c r="J704" s="28">
        <f ca="1">'Preventative costs A'!J704-'Preventative costs B'!J704</f>
        <v>526703.81780343084</v>
      </c>
      <c r="K704" s="28">
        <f ca="1">'Preventative costs A'!K704-'Preventative costs B'!K704</f>
        <v>175145.13863620436</v>
      </c>
      <c r="L704" s="40">
        <f ca="1">'Preventative costs A'!L704-'Preventative costs B'!L704</f>
        <v>3752180.4745049565</v>
      </c>
      <c r="M704" s="4" t="str">
        <f t="shared" si="54"/>
        <v>$M(2015)</v>
      </c>
    </row>
    <row r="705" spans="1:13" x14ac:dyDescent="0.2">
      <c r="A705" s="2" t="s">
        <v>255</v>
      </c>
      <c r="B705" s="40">
        <f ca="1">'Preventative costs A'!B705-'Preventative costs B'!B705</f>
        <v>0</v>
      </c>
      <c r="C705" s="40">
        <f ca="1">'Preventative costs A'!C705-'Preventative costs B'!C705</f>
        <v>0</v>
      </c>
      <c r="D705" s="40">
        <f ca="1">'Preventative costs A'!D705-'Preventative costs B'!D705</f>
        <v>0</v>
      </c>
      <c r="E705" s="40">
        <f ca="1">'Preventative costs A'!E705-'Preventative costs B'!E705</f>
        <v>0</v>
      </c>
      <c r="F705" s="40">
        <f ca="1">'Preventative costs A'!F705-'Preventative costs B'!F705</f>
        <v>3743111.4638783438</v>
      </c>
      <c r="G705" s="40">
        <f ca="1">'Preventative costs A'!G705-'Preventative costs B'!G705</f>
        <v>22686993.764611915</v>
      </c>
      <c r="H705" s="40">
        <f ca="1">'Preventative costs A'!H705-'Preventative costs B'!H705</f>
        <v>20676274.129103318</v>
      </c>
      <c r="I705" s="40">
        <f ca="1">'Preventative costs A'!I705-'Preventative costs B'!I705</f>
        <v>12344649.670398286</v>
      </c>
      <c r="J705" s="40">
        <f ca="1">'Preventative costs A'!J705-'Preventative costs B'!J705</f>
        <v>6586441.9821641091</v>
      </c>
      <c r="K705" s="40">
        <f ca="1">'Preventative costs A'!K705-'Preventative costs B'!K705</f>
        <v>1754660.7107710391</v>
      </c>
      <c r="L705" s="40">
        <f ca="1">'Preventative costs A'!L705-'Preventative costs B'!L705</f>
        <v>67792131.720927015</v>
      </c>
      <c r="M705" s="4" t="str">
        <f t="shared" si="54"/>
        <v>$M(2015)</v>
      </c>
    </row>
    <row r="706" spans="1:13" ht="13.5" thickBot="1" x14ac:dyDescent="0.25">
      <c r="A706" s="2" t="s">
        <v>364</v>
      </c>
      <c r="L706" s="42">
        <f ca="1">'Preventative costs A'!L706-'Preventative costs B'!L706</f>
        <v>67792131.720927015</v>
      </c>
      <c r="M706" s="4" t="str">
        <f t="shared" si="54"/>
        <v>$M(2015)</v>
      </c>
    </row>
    <row r="707" spans="1:13" ht="13.5" thickTop="1" x14ac:dyDescent="0.2"/>
  </sheetData>
  <phoneticPr fontId="21" type="noConversion"/>
  <pageMargins left="0.75" right="0.75" top="1" bottom="1" header="0.5" footer="0.5"/>
  <pageSetup paperSize="9" orientation="portrait" horizontalDpi="4294967293"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X180"/>
  <sheetViews>
    <sheetView topLeftCell="A148" workbookViewId="0">
      <selection activeCell="O170" sqref="O170"/>
    </sheetView>
  </sheetViews>
  <sheetFormatPr defaultRowHeight="12.75" x14ac:dyDescent="0.2"/>
  <cols>
    <col min="1" max="1" width="25.5703125" bestFit="1" customWidth="1"/>
    <col min="2" max="2" width="9.42578125" bestFit="1" customWidth="1"/>
    <col min="3" max="4" width="9.140625" bestFit="1" customWidth="1"/>
    <col min="5" max="5" width="9.42578125" bestFit="1" customWidth="1"/>
    <col min="6" max="13" width="9" bestFit="1" customWidth="1"/>
  </cols>
  <sheetData>
    <row r="1" spans="1:13" x14ac:dyDescent="0.2">
      <c r="A1" s="2" t="str">
        <f>MODEL_NAME</f>
        <v>PAGE-ICE Nonlinear Arctic Feedbacks</v>
      </c>
      <c r="B1" t="s">
        <v>37</v>
      </c>
      <c r="C1" s="51" t="str">
        <f>VERSION</f>
        <v>6.22</v>
      </c>
    </row>
    <row r="2" spans="1:13" x14ac:dyDescent="0.2">
      <c r="A2" s="2" t="s">
        <v>88</v>
      </c>
      <c r="B2" s="3" t="s">
        <v>366</v>
      </c>
      <c r="C2" s="3" t="s">
        <v>366</v>
      </c>
      <c r="D2" s="3" t="str">
        <f>I_1_NAME</f>
        <v>Economic</v>
      </c>
      <c r="E2" s="3" t="str">
        <f>I_1_NAME</f>
        <v>Economic</v>
      </c>
      <c r="F2" s="3" t="str">
        <f>I_2_NAME</f>
        <v>Non-econ</v>
      </c>
      <c r="G2" s="3" t="str">
        <f>I_2_NAME</f>
        <v>Non-econ</v>
      </c>
    </row>
    <row r="3" spans="1:13" x14ac:dyDescent="0.2">
      <c r="B3" s="3" t="s">
        <v>47</v>
      </c>
      <c r="C3" s="3" t="s">
        <v>367</v>
      </c>
      <c r="D3" s="3" t="s">
        <v>47</v>
      </c>
      <c r="E3" s="3" t="s">
        <v>367</v>
      </c>
      <c r="F3" s="3" t="s">
        <v>47</v>
      </c>
      <c r="G3" s="3" t="s">
        <v>367</v>
      </c>
    </row>
    <row r="4" spans="1:13" ht="15.75" x14ac:dyDescent="0.3">
      <c r="B4" s="3" t="s">
        <v>368</v>
      </c>
      <c r="C4" s="3" t="s">
        <v>369</v>
      </c>
      <c r="D4" s="3" t="s">
        <v>89</v>
      </c>
      <c r="E4" s="3" t="s">
        <v>90</v>
      </c>
      <c r="F4" s="3" t="s">
        <v>91</v>
      </c>
      <c r="G4" s="3" t="s">
        <v>92</v>
      </c>
    </row>
    <row r="5" spans="1:13" x14ac:dyDescent="0.2">
      <c r="A5" t="str">
        <f t="array" ref="A5:A12">R_CODE</f>
        <v>EU</v>
      </c>
      <c r="B5" s="11">
        <f ca="1">CP_S_1</f>
        <v>2.3333333333333334E-2</v>
      </c>
      <c r="C5" s="11">
        <f ca="1">CI_S_1</f>
        <v>1.1666666666666668E-3</v>
      </c>
      <c r="D5" s="11">
        <f ca="1">CP_1_1</f>
        <v>1.1666666666666667E-2</v>
      </c>
      <c r="E5" s="11">
        <f ca="1">CI_1_1</f>
        <v>4.0000000000000001E-3</v>
      </c>
      <c r="F5" s="11">
        <f ca="1">CP_2_1</f>
        <v>2.3333333333333334E-2</v>
      </c>
      <c r="G5" s="11">
        <f ca="1">CI_2_1</f>
        <v>5.6666666666666671E-3</v>
      </c>
    </row>
    <row r="6" spans="1:13" x14ac:dyDescent="0.2">
      <c r="A6" t="str">
        <v>US</v>
      </c>
      <c r="B6" s="13">
        <f t="array" aca="1" ref="B6:B12" ca="1">CP_S_1*CF</f>
        <v>1.8666666666666665E-2</v>
      </c>
      <c r="C6" s="13">
        <f t="array" aca="1" ref="C6:C12" ca="1">CI_S_1*CF</f>
        <v>9.3333333333333332E-4</v>
      </c>
      <c r="D6" s="13">
        <f t="array" aca="1" ref="D6:D12" ca="1">CP_1_1*CF</f>
        <v>9.3333333333333324E-3</v>
      </c>
      <c r="E6" s="13">
        <f t="array" aca="1" ref="E6:E12" ca="1">CI_1_1*CF</f>
        <v>3.1999999999999997E-3</v>
      </c>
      <c r="F6" s="13">
        <f t="array" aca="1" ref="F6:F12" ca="1">CP_2_1*CF</f>
        <v>1.8666666666666665E-2</v>
      </c>
      <c r="G6" s="13">
        <f t="array" aca="1" ref="G6:G12" ca="1">CI_2_1*CF</f>
        <v>4.5333333333333337E-3</v>
      </c>
    </row>
    <row r="7" spans="1:13" x14ac:dyDescent="0.2">
      <c r="A7" t="str">
        <v>OT</v>
      </c>
      <c r="B7" s="13">
        <f ca="1"/>
        <v>1.8666666666666672E-2</v>
      </c>
      <c r="C7" s="13">
        <f ca="1"/>
        <v>9.3333333333333354E-4</v>
      </c>
      <c r="D7" s="13">
        <f ca="1"/>
        <v>9.3333333333333358E-3</v>
      </c>
      <c r="E7" s="13">
        <f ca="1"/>
        <v>3.2000000000000006E-3</v>
      </c>
      <c r="F7" s="13">
        <f ca="1"/>
        <v>1.8666666666666672E-2</v>
      </c>
      <c r="G7" s="13">
        <f ca="1"/>
        <v>4.5333333333333345E-3</v>
      </c>
    </row>
    <row r="8" spans="1:13" x14ac:dyDescent="0.2">
      <c r="A8" t="str">
        <v>EE</v>
      </c>
      <c r="B8" s="13">
        <f ca="1"/>
        <v>9.3333333333333358E-3</v>
      </c>
      <c r="C8" s="13">
        <f ca="1"/>
        <v>4.6666666666666677E-4</v>
      </c>
      <c r="D8" s="13">
        <f ca="1"/>
        <v>4.6666666666666679E-3</v>
      </c>
      <c r="E8" s="13">
        <f ca="1"/>
        <v>1.6000000000000003E-3</v>
      </c>
      <c r="F8" s="13">
        <f ca="1"/>
        <v>9.3333333333333358E-3</v>
      </c>
      <c r="G8" s="13">
        <f ca="1"/>
        <v>2.2666666666666673E-3</v>
      </c>
    </row>
    <row r="9" spans="1:13" x14ac:dyDescent="0.2">
      <c r="A9" t="str">
        <v>CA</v>
      </c>
      <c r="B9" s="13">
        <f ca="1"/>
        <v>1.8666666666666672E-2</v>
      </c>
      <c r="C9" s="13">
        <f ca="1"/>
        <v>9.3333333333333354E-4</v>
      </c>
      <c r="D9" s="13">
        <f ca="1"/>
        <v>9.3333333333333358E-3</v>
      </c>
      <c r="E9" s="13">
        <f ca="1"/>
        <v>3.2000000000000006E-3</v>
      </c>
      <c r="F9" s="13">
        <f ca="1"/>
        <v>1.8666666666666672E-2</v>
      </c>
      <c r="G9" s="13">
        <f ca="1"/>
        <v>4.5333333333333345E-3</v>
      </c>
    </row>
    <row r="10" spans="1:13" x14ac:dyDescent="0.2">
      <c r="A10" t="str">
        <v>IA</v>
      </c>
      <c r="B10" s="13">
        <f ca="1"/>
        <v>1.8666666666666672E-2</v>
      </c>
      <c r="C10" s="13">
        <f ca="1"/>
        <v>9.3333333333333354E-4</v>
      </c>
      <c r="D10" s="13">
        <f ca="1"/>
        <v>9.3333333333333358E-3</v>
      </c>
      <c r="E10" s="13">
        <f ca="1"/>
        <v>3.2000000000000006E-3</v>
      </c>
      <c r="F10" s="13">
        <f ca="1"/>
        <v>1.8666666666666672E-2</v>
      </c>
      <c r="G10" s="13">
        <f ca="1"/>
        <v>4.5333333333333345E-3</v>
      </c>
    </row>
    <row r="11" spans="1:13" x14ac:dyDescent="0.2">
      <c r="A11" t="str">
        <v>AF</v>
      </c>
      <c r="B11" s="13">
        <f ca="1"/>
        <v>1.4E-2</v>
      </c>
      <c r="C11" s="13">
        <f ca="1"/>
        <v>6.9999999999999999E-4</v>
      </c>
      <c r="D11" s="13">
        <f ca="1"/>
        <v>7.0000000000000001E-3</v>
      </c>
      <c r="E11" s="13">
        <f ca="1"/>
        <v>2.3999999999999998E-3</v>
      </c>
      <c r="F11" s="13">
        <f ca="1"/>
        <v>1.4E-2</v>
      </c>
      <c r="G11" s="13">
        <f ca="1"/>
        <v>3.4000000000000002E-3</v>
      </c>
    </row>
    <row r="12" spans="1:13" ht="13.5" thickBot="1" x14ac:dyDescent="0.25">
      <c r="A12" t="str">
        <v>LA</v>
      </c>
      <c r="B12" s="15">
        <f ca="1"/>
        <v>1.4E-2</v>
      </c>
      <c r="C12" s="15">
        <f ca="1"/>
        <v>6.9999999999999999E-4</v>
      </c>
      <c r="D12" s="15">
        <f ca="1"/>
        <v>7.0000000000000001E-3</v>
      </c>
      <c r="E12" s="15">
        <f ca="1"/>
        <v>2.3999999999999998E-3</v>
      </c>
      <c r="F12" s="15">
        <f ca="1"/>
        <v>1.4E-2</v>
      </c>
      <c r="G12" s="15">
        <f ca="1"/>
        <v>3.4000000000000002E-3</v>
      </c>
    </row>
    <row r="13" spans="1:13" ht="13.5" thickTop="1" x14ac:dyDescent="0.2">
      <c r="B13" t="str">
        <f>'Library data'!$G$115</f>
        <v>%GDP per metre</v>
      </c>
      <c r="C13" t="str">
        <f>'Library data'!$G$116</f>
        <v>%GDP per %reduction per metre</v>
      </c>
      <c r="D13" t="str">
        <f>'Library data'!$G$117</f>
        <v>%GDP per degC</v>
      </c>
      <c r="E13" t="str">
        <f>'Library data'!$G$118</f>
        <v>%GDP per %reduction per degC</v>
      </c>
      <c r="F13" t="str">
        <f>'Library data'!$G$119</f>
        <v>%GDP per degC</v>
      </c>
      <c r="G13" t="str">
        <f>'Library data'!$G$120</f>
        <v>%GDP per %reduction per degC</v>
      </c>
    </row>
    <row r="15" spans="1:13" x14ac:dyDescent="0.2">
      <c r="B15">
        <f t="array" ref="B15:K15">Y</f>
        <v>2020</v>
      </c>
      <c r="C15">
        <v>2025</v>
      </c>
      <c r="D15">
        <v>2030</v>
      </c>
      <c r="E15">
        <v>2040</v>
      </c>
      <c r="F15">
        <v>2050</v>
      </c>
      <c r="G15">
        <v>2060</v>
      </c>
      <c r="H15">
        <v>2070</v>
      </c>
      <c r="I15">
        <v>2080</v>
      </c>
      <c r="J15">
        <v>2090</v>
      </c>
      <c r="K15">
        <v>2100</v>
      </c>
    </row>
    <row r="16" spans="1:13" s="4" customFormat="1" x14ac:dyDescent="0.2">
      <c r="A16" s="4" t="s">
        <v>57</v>
      </c>
      <c r="B16" s="12">
        <f t="array" ref="B16:K16">YP</f>
        <v>5</v>
      </c>
      <c r="C16" s="12">
        <v>5</v>
      </c>
      <c r="D16" s="12">
        <v>5</v>
      </c>
      <c r="E16" s="12">
        <v>10</v>
      </c>
      <c r="F16" s="12">
        <v>10</v>
      </c>
      <c r="G16" s="12">
        <v>10</v>
      </c>
      <c r="H16" s="12">
        <v>10</v>
      </c>
      <c r="I16" s="12">
        <v>10</v>
      </c>
      <c r="J16" s="12">
        <v>10</v>
      </c>
      <c r="K16" s="12">
        <v>10</v>
      </c>
      <c r="M16" s="4" t="s">
        <v>39</v>
      </c>
    </row>
    <row r="17" spans="1:13" s="4" customFormat="1" x14ac:dyDescent="0.2">
      <c r="A17" s="4" t="s">
        <v>82</v>
      </c>
      <c r="B17" s="14">
        <f t="array" ref="B17:K17">Y_HI</f>
        <v>2022.5</v>
      </c>
      <c r="C17" s="14">
        <v>2027.5</v>
      </c>
      <c r="D17" s="14">
        <v>2035</v>
      </c>
      <c r="E17" s="14">
        <v>2045</v>
      </c>
      <c r="F17" s="14">
        <v>2055</v>
      </c>
      <c r="G17" s="14">
        <v>2065</v>
      </c>
      <c r="H17" s="14">
        <v>2075</v>
      </c>
      <c r="I17" s="14">
        <v>2085</v>
      </c>
      <c r="J17" s="14">
        <v>2095</v>
      </c>
      <c r="K17" s="14">
        <v>2100</v>
      </c>
    </row>
    <row r="18" spans="1:13" s="4" customFormat="1" x14ac:dyDescent="0.2">
      <c r="A18" s="4" t="s">
        <v>83</v>
      </c>
      <c r="B18" s="14">
        <f t="array" ref="B18:K18">Y_LO</f>
        <v>2015</v>
      </c>
      <c r="C18" s="14">
        <v>2022.5</v>
      </c>
      <c r="D18" s="14">
        <v>2027.5</v>
      </c>
      <c r="E18" s="14">
        <v>2035</v>
      </c>
      <c r="F18" s="14">
        <v>2045</v>
      </c>
      <c r="G18" s="14">
        <v>2055</v>
      </c>
      <c r="H18" s="14">
        <v>2065</v>
      </c>
      <c r="I18" s="14">
        <v>2075</v>
      </c>
      <c r="J18" s="14">
        <v>2085</v>
      </c>
      <c r="K18" s="14">
        <v>2095</v>
      </c>
    </row>
    <row r="19" spans="1:13" s="4" customFormat="1" ht="13.5" thickBot="1" x14ac:dyDescent="0.25">
      <c r="A19" s="4" t="s">
        <v>81</v>
      </c>
      <c r="B19" s="16">
        <f t="array" ref="B19:K19">YAGG</f>
        <v>7.5</v>
      </c>
      <c r="C19" s="16">
        <v>5</v>
      </c>
      <c r="D19" s="16">
        <v>7.5</v>
      </c>
      <c r="E19" s="16">
        <v>10</v>
      </c>
      <c r="F19" s="16">
        <v>10</v>
      </c>
      <c r="G19" s="16">
        <v>10</v>
      </c>
      <c r="H19" s="16">
        <v>10</v>
      </c>
      <c r="I19" s="16">
        <v>10</v>
      </c>
      <c r="J19" s="16">
        <v>10</v>
      </c>
      <c r="K19" s="16">
        <v>5</v>
      </c>
      <c r="M19" s="4" t="s">
        <v>39</v>
      </c>
    </row>
    <row r="20" spans="1:13" ht="13.5" thickTop="1" x14ac:dyDescent="0.2"/>
    <row r="21" spans="1:13" s="2" customFormat="1" ht="14.25" x14ac:dyDescent="0.25">
      <c r="A21" s="2" t="s">
        <v>370</v>
      </c>
      <c r="B21" s="2" t="s">
        <v>371</v>
      </c>
    </row>
    <row r="22" spans="1:13" s="4" customFormat="1" x14ac:dyDescent="0.2">
      <c r="A22" t="str">
        <f t="array" ref="A22:A29">R_CODE&amp;" sea level"</f>
        <v>EU sea level</v>
      </c>
      <c r="B22" s="27">
        <f t="array" aca="1" ref="B22:K29" ca="1">atl_s*CP_S*GDP/100*AUTOFAC</f>
        <v>464.47545589045814</v>
      </c>
      <c r="C22" s="27">
        <f ca="1"/>
        <v>635.56932420062253</v>
      </c>
      <c r="D22" s="27">
        <f ca="1"/>
        <v>836.90765499403335</v>
      </c>
      <c r="E22" s="27">
        <f ca="1"/>
        <v>1333.9531116546468</v>
      </c>
      <c r="F22" s="27">
        <f ca="1"/>
        <v>1943.1675560485028</v>
      </c>
      <c r="G22" s="27">
        <f ca="1"/>
        <v>2230.2004876666688</v>
      </c>
      <c r="H22" s="27">
        <f ca="1"/>
        <v>2547.9942053886525</v>
      </c>
      <c r="I22" s="27">
        <f ca="1"/>
        <v>2863.0389751120806</v>
      </c>
      <c r="J22" s="27">
        <f ca="1"/>
        <v>3178.7612176563666</v>
      </c>
      <c r="K22" s="27">
        <f ca="1"/>
        <v>3507.7809439323964</v>
      </c>
      <c r="M22" s="4" t="str">
        <f t="shared" ref="M22:M30" si="0">CURRENCY_NAME</f>
        <v>$M(2015)</v>
      </c>
    </row>
    <row r="23" spans="1:13" s="4" customFormat="1" x14ac:dyDescent="0.2">
      <c r="A23" t="str">
        <v>US sea level</v>
      </c>
      <c r="B23" s="28">
        <f ca="1"/>
        <v>349.14665069667024</v>
      </c>
      <c r="C23" s="28">
        <f ca="1"/>
        <v>478.0340013086012</v>
      </c>
      <c r="D23" s="28">
        <f ca="1"/>
        <v>628.35480771744028</v>
      </c>
      <c r="E23" s="28">
        <f ca="1"/>
        <v>999.10737099193705</v>
      </c>
      <c r="F23" s="28">
        <f ca="1"/>
        <v>1458.3568398602467</v>
      </c>
      <c r="G23" s="28">
        <f ca="1"/>
        <v>1682.8874365333402</v>
      </c>
      <c r="H23" s="28">
        <f ca="1"/>
        <v>1943.3788025372005</v>
      </c>
      <c r="I23" s="28">
        <f ca="1"/>
        <v>2228.6277852077933</v>
      </c>
      <c r="J23" s="28">
        <f ca="1"/>
        <v>2527.6662942675548</v>
      </c>
      <c r="K23" s="28">
        <f ca="1"/>
        <v>2835.9008050149796</v>
      </c>
      <c r="M23" s="4" t="str">
        <f t="shared" si="0"/>
        <v>$M(2015)</v>
      </c>
    </row>
    <row r="24" spans="1:13" s="4" customFormat="1" x14ac:dyDescent="0.2">
      <c r="A24" t="str">
        <v>OT sea level</v>
      </c>
      <c r="B24" s="28">
        <f ca="1"/>
        <v>205.66595346850869</v>
      </c>
      <c r="C24" s="28">
        <f ca="1"/>
        <v>280.0668267504642</v>
      </c>
      <c r="D24" s="28">
        <f ca="1"/>
        <v>368.0498221221896</v>
      </c>
      <c r="E24" s="28">
        <f ca="1"/>
        <v>584.37152179616373</v>
      </c>
      <c r="F24" s="28">
        <f ca="1"/>
        <v>849.08249942274176</v>
      </c>
      <c r="G24" s="28">
        <f ca="1"/>
        <v>969.68856226666958</v>
      </c>
      <c r="H24" s="28">
        <f ca="1"/>
        <v>1094.0229356794971</v>
      </c>
      <c r="I24" s="28">
        <f ca="1"/>
        <v>1207.6108005856988</v>
      </c>
      <c r="J24" s="28">
        <f ca="1"/>
        <v>1309.9737546406773</v>
      </c>
      <c r="K24" s="28">
        <f ca="1"/>
        <v>1405.2707141915607</v>
      </c>
      <c r="M24" s="4" t="str">
        <f t="shared" si="0"/>
        <v>$M(2015)</v>
      </c>
    </row>
    <row r="25" spans="1:13" s="4" customFormat="1" x14ac:dyDescent="0.2">
      <c r="A25" t="str">
        <v>EE sea level</v>
      </c>
      <c r="B25" s="28">
        <f ca="1"/>
        <v>46.315807735790891</v>
      </c>
      <c r="C25" s="28">
        <f ca="1"/>
        <v>67.335149332356366</v>
      </c>
      <c r="D25" s="28">
        <f ca="1"/>
        <v>93.322660195148842</v>
      </c>
      <c r="E25" s="28">
        <f ca="1"/>
        <v>155.58281082015799</v>
      </c>
      <c r="F25" s="28">
        <f ca="1"/>
        <v>219.50471171540298</v>
      </c>
      <c r="G25" s="28">
        <f ca="1"/>
        <v>238.24014153333374</v>
      </c>
      <c r="H25" s="28">
        <f ca="1"/>
        <v>256.10194318703981</v>
      </c>
      <c r="I25" s="28">
        <f ca="1"/>
        <v>263.51250348880632</v>
      </c>
      <c r="J25" s="28">
        <f ca="1"/>
        <v>268.66791627747051</v>
      </c>
      <c r="K25" s="28">
        <f ca="1"/>
        <v>270.70223576988508</v>
      </c>
      <c r="M25" s="4" t="str">
        <f t="shared" si="0"/>
        <v>$M(2015)</v>
      </c>
    </row>
    <row r="26" spans="1:13" s="4" customFormat="1" x14ac:dyDescent="0.2">
      <c r="A26" t="str">
        <v>CA sea level</v>
      </c>
      <c r="B26" s="28">
        <f ca="1"/>
        <v>256.85667176117181</v>
      </c>
      <c r="C26" s="28">
        <f ca="1"/>
        <v>420.17197460268176</v>
      </c>
      <c r="D26" s="28">
        <f ca="1"/>
        <v>623.5592981435974</v>
      </c>
      <c r="E26" s="28">
        <f ca="1"/>
        <v>1082.1967910551111</v>
      </c>
      <c r="F26" s="28">
        <f ca="1"/>
        <v>1519.8821634001945</v>
      </c>
      <c r="G26" s="28">
        <f ca="1"/>
        <v>1859.0134772906722</v>
      </c>
      <c r="H26" s="28">
        <f ca="1"/>
        <v>2116.7800261880502</v>
      </c>
      <c r="I26" s="28">
        <f ca="1"/>
        <v>2142.2976101123513</v>
      </c>
      <c r="J26" s="28">
        <f ca="1"/>
        <v>1987.3325511034143</v>
      </c>
      <c r="K26" s="28">
        <f ca="1"/>
        <v>1800.5008819416862</v>
      </c>
      <c r="M26" s="4" t="str">
        <f t="shared" si="0"/>
        <v>$M(2015)</v>
      </c>
    </row>
    <row r="27" spans="1:13" s="4" customFormat="1" x14ac:dyDescent="0.2">
      <c r="A27" t="str">
        <v>IA sea level</v>
      </c>
      <c r="B27" s="28">
        <f ca="1"/>
        <v>195.6753364708008</v>
      </c>
      <c r="C27" s="28">
        <f ca="1"/>
        <v>321.2191009056001</v>
      </c>
      <c r="D27" s="28">
        <f ca="1"/>
        <v>494.48990133611181</v>
      </c>
      <c r="E27" s="28">
        <f ca="1"/>
        <v>995.75865244972715</v>
      </c>
      <c r="F27" s="28">
        <f ca="1"/>
        <v>1683.8042089358821</v>
      </c>
      <c r="G27" s="28">
        <f ca="1"/>
        <v>2504.2849084586755</v>
      </c>
      <c r="H27" s="28">
        <f ca="1"/>
        <v>3407.9151577848675</v>
      </c>
      <c r="I27" s="28">
        <f ca="1"/>
        <v>4061.6479773354358</v>
      </c>
      <c r="J27" s="28">
        <f ca="1"/>
        <v>4383.4386539072584</v>
      </c>
      <c r="K27" s="28">
        <f ca="1"/>
        <v>4592.2714281309409</v>
      </c>
      <c r="M27" s="4" t="str">
        <f t="shared" si="0"/>
        <v>$M(2015)</v>
      </c>
    </row>
    <row r="28" spans="1:13" s="4" customFormat="1" x14ac:dyDescent="0.2">
      <c r="A28" t="str">
        <v>AF sea level</v>
      </c>
      <c r="B28" s="28">
        <f ca="1"/>
        <v>66.955072610716797</v>
      </c>
      <c r="C28" s="28">
        <f ca="1"/>
        <v>104.10493006629015</v>
      </c>
      <c r="D28" s="28">
        <f ca="1"/>
        <v>157.04542427716171</v>
      </c>
      <c r="E28" s="28">
        <f ca="1"/>
        <v>326.63755048085676</v>
      </c>
      <c r="F28" s="28">
        <f ca="1"/>
        <v>597.74900188751155</v>
      </c>
      <c r="G28" s="28">
        <f ca="1"/>
        <v>989.28528608000499</v>
      </c>
      <c r="H28" s="28">
        <f ca="1"/>
        <v>1514.944835716746</v>
      </c>
      <c r="I28" s="28">
        <f ca="1"/>
        <v>2031.2047360825522</v>
      </c>
      <c r="J28" s="28">
        <f ca="1"/>
        <v>2475.0278220241207</v>
      </c>
      <c r="K28" s="28">
        <f ca="1"/>
        <v>2934.1739805867855</v>
      </c>
      <c r="M28" s="4" t="str">
        <f t="shared" si="0"/>
        <v>$M(2015)</v>
      </c>
    </row>
    <row r="29" spans="1:13" s="4" customFormat="1" x14ac:dyDescent="0.2">
      <c r="A29" t="str">
        <v>LA sea level</v>
      </c>
      <c r="B29" s="28">
        <f ca="1"/>
        <v>68.015999177934134</v>
      </c>
      <c r="C29" s="28">
        <f ca="1"/>
        <v>97.756290183968787</v>
      </c>
      <c r="D29" s="28">
        <f ca="1"/>
        <v>135.06396083406256</v>
      </c>
      <c r="E29" s="28">
        <f ca="1"/>
        <v>237.28043132272344</v>
      </c>
      <c r="F29" s="28">
        <f ca="1"/>
        <v>370.73524212496864</v>
      </c>
      <c r="G29" s="28">
        <f ca="1"/>
        <v>518.51981126400051</v>
      </c>
      <c r="H29" s="28">
        <f ca="1"/>
        <v>670.26306219555329</v>
      </c>
      <c r="I29" s="28">
        <f ca="1"/>
        <v>770.38296437047438</v>
      </c>
      <c r="J29" s="28">
        <f ca="1"/>
        <v>806.999562617175</v>
      </c>
      <c r="K29" s="28">
        <f ca="1"/>
        <v>821.30502944073271</v>
      </c>
      <c r="M29" s="4" t="str">
        <f t="shared" si="0"/>
        <v>$M(2015)</v>
      </c>
    </row>
    <row r="30" spans="1:13" ht="13.5" thickBot="1" x14ac:dyDescent="0.25">
      <c r="A30" s="2" t="s">
        <v>374</v>
      </c>
      <c r="B30" s="42">
        <f ca="1">SUM(B22:B29)</f>
        <v>1653.1069478120517</v>
      </c>
      <c r="C30" s="42">
        <f t="shared" ref="C30:K30" ca="1" si="1">SUM(C22:C29)</f>
        <v>2404.2575973505855</v>
      </c>
      <c r="D30" s="42">
        <f t="shared" ca="1" si="1"/>
        <v>3336.7935296197456</v>
      </c>
      <c r="E30" s="42">
        <f t="shared" ca="1" si="1"/>
        <v>5714.8882405713239</v>
      </c>
      <c r="F30" s="42">
        <f t="shared" ca="1" si="1"/>
        <v>8642.2822233954503</v>
      </c>
      <c r="G30" s="42">
        <f t="shared" ca="1" si="1"/>
        <v>10992.120111093365</v>
      </c>
      <c r="H30" s="42">
        <f t="shared" ca="1" si="1"/>
        <v>13551.400968677608</v>
      </c>
      <c r="I30" s="42">
        <f t="shared" ca="1" si="1"/>
        <v>15568.323352295192</v>
      </c>
      <c r="J30" s="42">
        <f t="shared" ca="1" si="1"/>
        <v>16937.867772494039</v>
      </c>
      <c r="K30" s="42">
        <f t="shared" ca="1" si="1"/>
        <v>18167.906019008969</v>
      </c>
      <c r="L30" s="1"/>
      <c r="M30" s="4" t="str">
        <f t="shared" si="0"/>
        <v>$M(2015)</v>
      </c>
    </row>
    <row r="31" spans="1:13" s="2" customFormat="1" ht="15" thickTop="1" x14ac:dyDescent="0.25">
      <c r="A31" s="2" t="s">
        <v>372</v>
      </c>
      <c r="B31" s="2" t="s">
        <v>373</v>
      </c>
    </row>
    <row r="32" spans="1:13" x14ac:dyDescent="0.2">
      <c r="A32" t="str">
        <f t="array" ref="A32:A39">R_CODE&amp;" sea level"</f>
        <v>EU sea level</v>
      </c>
      <c r="B32" s="27">
        <f t="array" ref="B32:K39" ca="1">imp_s*CI_S*GDP/100*impmax_s_a*AUTOFAC</f>
        <v>0</v>
      </c>
      <c r="C32" s="27">
        <f ca="1"/>
        <v>1271.1386484012451</v>
      </c>
      <c r="D32" s="27">
        <f ca="1"/>
        <v>2789.6921833134443</v>
      </c>
      <c r="E32" s="27">
        <f ca="1"/>
        <v>6669.765558273235</v>
      </c>
      <c r="F32" s="27">
        <f ca="1"/>
        <v>11659.005336291018</v>
      </c>
      <c r="G32" s="27">
        <f ca="1"/>
        <v>17841.60390133335</v>
      </c>
      <c r="H32" s="27">
        <f ca="1"/>
        <v>25479.94205388652</v>
      </c>
      <c r="I32" s="27">
        <f ca="1"/>
        <v>28630.389751120805</v>
      </c>
      <c r="J32" s="27">
        <f ca="1"/>
        <v>31787.612176563671</v>
      </c>
      <c r="K32" s="27">
        <f ca="1"/>
        <v>35077.809439323966</v>
      </c>
      <c r="M32" s="4" t="str">
        <f t="shared" ref="M32:M40" si="2">CURRENCY_NAME</f>
        <v>$M(2015)</v>
      </c>
    </row>
    <row r="33" spans="1:13" x14ac:dyDescent="0.2">
      <c r="A33" t="str">
        <v>US sea level</v>
      </c>
      <c r="B33" s="28">
        <f ca="1"/>
        <v>0</v>
      </c>
      <c r="C33" s="28">
        <f ca="1"/>
        <v>956.06800261720241</v>
      </c>
      <c r="D33" s="28">
        <f ca="1"/>
        <v>2094.5160257248012</v>
      </c>
      <c r="E33" s="28">
        <f ca="1"/>
        <v>4995.5368549596851</v>
      </c>
      <c r="F33" s="28">
        <f ca="1"/>
        <v>8750.1410391614809</v>
      </c>
      <c r="G33" s="28">
        <f ca="1"/>
        <v>13463.099492266721</v>
      </c>
      <c r="H33" s="28">
        <f ca="1"/>
        <v>19433.78802537201</v>
      </c>
      <c r="I33" s="28">
        <f ca="1"/>
        <v>22286.277852077936</v>
      </c>
      <c r="J33" s="28">
        <f ca="1"/>
        <v>25276.662942675553</v>
      </c>
      <c r="K33" s="28">
        <f ca="1"/>
        <v>28359.008050149801</v>
      </c>
      <c r="M33" s="4" t="str">
        <f t="shared" si="2"/>
        <v>$M(2015)</v>
      </c>
    </row>
    <row r="34" spans="1:13" x14ac:dyDescent="0.2">
      <c r="A34" t="str">
        <v>OT sea level</v>
      </c>
      <c r="B34" s="28">
        <f ca="1"/>
        <v>0</v>
      </c>
      <c r="C34" s="28">
        <f ca="1"/>
        <v>560.1336535009284</v>
      </c>
      <c r="D34" s="28">
        <f ca="1"/>
        <v>1226.8327404072988</v>
      </c>
      <c r="E34" s="28">
        <f ca="1"/>
        <v>2921.857608980818</v>
      </c>
      <c r="F34" s="28">
        <f ca="1"/>
        <v>5094.4949965364513</v>
      </c>
      <c r="G34" s="28">
        <f ca="1"/>
        <v>7757.5084981333566</v>
      </c>
      <c r="H34" s="28">
        <f ca="1"/>
        <v>10940.229356794971</v>
      </c>
      <c r="I34" s="28">
        <f ca="1"/>
        <v>12076.108005856986</v>
      </c>
      <c r="J34" s="28">
        <f ca="1"/>
        <v>13099.737546406774</v>
      </c>
      <c r="K34" s="28">
        <f ca="1"/>
        <v>14052.707141915607</v>
      </c>
      <c r="M34" s="4" t="str">
        <f t="shared" si="2"/>
        <v>$M(2015)</v>
      </c>
    </row>
    <row r="35" spans="1:13" x14ac:dyDescent="0.2">
      <c r="A35" t="str">
        <v>EE sea level</v>
      </c>
      <c r="B35" s="28">
        <f ca="1"/>
        <v>0</v>
      </c>
      <c r="C35" s="28">
        <f ca="1"/>
        <v>134.67029866471273</v>
      </c>
      <c r="D35" s="28">
        <f ca="1"/>
        <v>311.07553398382942</v>
      </c>
      <c r="E35" s="28">
        <f ca="1"/>
        <v>777.91405410078994</v>
      </c>
      <c r="F35" s="28">
        <f ca="1"/>
        <v>1317.0282702924178</v>
      </c>
      <c r="G35" s="28">
        <f ca="1"/>
        <v>1905.9211322666699</v>
      </c>
      <c r="H35" s="28">
        <f ca="1"/>
        <v>2561.019431870398</v>
      </c>
      <c r="I35" s="28">
        <f ca="1"/>
        <v>2635.1250348880635</v>
      </c>
      <c r="J35" s="28">
        <f ca="1"/>
        <v>2686.6791627747052</v>
      </c>
      <c r="K35" s="28">
        <f ca="1"/>
        <v>2707.0223576988506</v>
      </c>
      <c r="M35" s="4" t="str">
        <f t="shared" si="2"/>
        <v>$M(2015)</v>
      </c>
    </row>
    <row r="36" spans="1:13" x14ac:dyDescent="0.2">
      <c r="A36" t="str">
        <v>CA sea level</v>
      </c>
      <c r="B36" s="28">
        <f ca="1"/>
        <v>0</v>
      </c>
      <c r="C36" s="28">
        <f ca="1"/>
        <v>525.21496825335214</v>
      </c>
      <c r="D36" s="28">
        <f ca="1"/>
        <v>1299.0818711324944</v>
      </c>
      <c r="E36" s="28">
        <f ca="1"/>
        <v>3381.8649720472213</v>
      </c>
      <c r="F36" s="28">
        <f ca="1"/>
        <v>5699.5581127507294</v>
      </c>
      <c r="G36" s="28">
        <f ca="1"/>
        <v>7745.8894887111337</v>
      </c>
      <c r="H36" s="28">
        <f ca="1"/>
        <v>9449.9108311966502</v>
      </c>
      <c r="I36" s="28">
        <f ca="1"/>
        <v>10711.488050561755</v>
      </c>
      <c r="J36" s="28">
        <f ca="1"/>
        <v>11592.773214769915</v>
      </c>
      <c r="K36" s="28">
        <f ca="1"/>
        <v>11253.13051213554</v>
      </c>
      <c r="M36" s="4" t="str">
        <f t="shared" si="2"/>
        <v>$M(2015)</v>
      </c>
    </row>
    <row r="37" spans="1:13" x14ac:dyDescent="0.2">
      <c r="A37" t="str">
        <v>IA sea level</v>
      </c>
      <c r="B37" s="28">
        <f ca="1"/>
        <v>0</v>
      </c>
      <c r="C37" s="28">
        <f ca="1"/>
        <v>401.52387613200017</v>
      </c>
      <c r="D37" s="28">
        <f ca="1"/>
        <v>1030.1872944502329</v>
      </c>
      <c r="E37" s="28">
        <f ca="1"/>
        <v>3111.7457889053971</v>
      </c>
      <c r="F37" s="28">
        <f ca="1"/>
        <v>6314.2657835095588</v>
      </c>
      <c r="G37" s="28">
        <f ca="1"/>
        <v>10434.520451911145</v>
      </c>
      <c r="H37" s="28">
        <f ca="1"/>
        <v>15213.906954396729</v>
      </c>
      <c r="I37" s="28">
        <f ca="1"/>
        <v>20308.23988667718</v>
      </c>
      <c r="J37" s="28">
        <f ca="1"/>
        <v>25570.058814459004</v>
      </c>
      <c r="K37" s="28">
        <f ca="1"/>
        <v>28701.696425818376</v>
      </c>
      <c r="M37" s="4" t="str">
        <f t="shared" si="2"/>
        <v>$M(2015)</v>
      </c>
    </row>
    <row r="38" spans="1:13" x14ac:dyDescent="0.2">
      <c r="A38" t="str">
        <v>AF sea level</v>
      </c>
      <c r="B38" s="28">
        <f ca="1"/>
        <v>0</v>
      </c>
      <c r="C38" s="28">
        <f ca="1"/>
        <v>130.13116258286269</v>
      </c>
      <c r="D38" s="28">
        <f ca="1"/>
        <v>327.1779672440868</v>
      </c>
      <c r="E38" s="28">
        <f ca="1"/>
        <v>1020.7423452526773</v>
      </c>
      <c r="F38" s="28">
        <f ca="1"/>
        <v>2241.5587570781686</v>
      </c>
      <c r="G38" s="28">
        <f ca="1"/>
        <v>4122.0220253333537</v>
      </c>
      <c r="H38" s="28">
        <f ca="1"/>
        <v>6763.1465880211863</v>
      </c>
      <c r="I38" s="28">
        <f ca="1"/>
        <v>10156.02368041276</v>
      </c>
      <c r="J38" s="28">
        <f ca="1"/>
        <v>14437.662295140701</v>
      </c>
      <c r="K38" s="28">
        <f ca="1"/>
        <v>18338.587378667402</v>
      </c>
      <c r="M38" s="4" t="str">
        <f t="shared" si="2"/>
        <v>$M(2015)</v>
      </c>
    </row>
    <row r="39" spans="1:13" x14ac:dyDescent="0.2">
      <c r="A39" t="str">
        <v>LA sea level</v>
      </c>
      <c r="B39" s="28">
        <f ca="1"/>
        <v>0</v>
      </c>
      <c r="C39" s="28">
        <f ca="1"/>
        <v>122.195362729961</v>
      </c>
      <c r="D39" s="28">
        <f ca="1"/>
        <v>281.38325173763025</v>
      </c>
      <c r="E39" s="28">
        <f ca="1"/>
        <v>741.50134788351079</v>
      </c>
      <c r="F39" s="28">
        <f ca="1"/>
        <v>1390.2571579686323</v>
      </c>
      <c r="G39" s="28">
        <f ca="1"/>
        <v>2160.4992136000019</v>
      </c>
      <c r="H39" s="28">
        <f ca="1"/>
        <v>2992.2458133730051</v>
      </c>
      <c r="I39" s="28">
        <f ca="1"/>
        <v>3851.914821852371</v>
      </c>
      <c r="J39" s="28">
        <f ca="1"/>
        <v>4707.4974486001865</v>
      </c>
      <c r="K39" s="28">
        <f ca="1"/>
        <v>5133.1564340045779</v>
      </c>
      <c r="M39" s="4" t="str">
        <f t="shared" si="2"/>
        <v>$M(2015)</v>
      </c>
    </row>
    <row r="40" spans="1:13" ht="13.5" thickBot="1" x14ac:dyDescent="0.25">
      <c r="A40" s="2" t="s">
        <v>374</v>
      </c>
      <c r="B40" s="42">
        <f t="shared" ref="B40:K40" ca="1" si="3">SUM(B32:B39)</f>
        <v>0</v>
      </c>
      <c r="C40" s="42">
        <f t="shared" ca="1" si="3"/>
        <v>4101.075972882265</v>
      </c>
      <c r="D40" s="42">
        <f t="shared" ca="1" si="3"/>
        <v>9359.9468679938182</v>
      </c>
      <c r="E40" s="42">
        <f t="shared" ca="1" si="3"/>
        <v>23620.928530403333</v>
      </c>
      <c r="F40" s="42">
        <f t="shared" ca="1" si="3"/>
        <v>42466.309453588459</v>
      </c>
      <c r="G40" s="42">
        <f t="shared" ca="1" si="3"/>
        <v>65431.064203555725</v>
      </c>
      <c r="H40" s="42">
        <f t="shared" ca="1" si="3"/>
        <v>92834.189054911491</v>
      </c>
      <c r="I40" s="42">
        <f t="shared" ca="1" si="3"/>
        <v>110655.56708344788</v>
      </c>
      <c r="J40" s="42">
        <f t="shared" ca="1" si="3"/>
        <v>129158.68360139051</v>
      </c>
      <c r="K40" s="42">
        <f t="shared" ca="1" si="3"/>
        <v>143623.1177397141</v>
      </c>
      <c r="L40" s="1"/>
      <c r="M40" s="4" t="str">
        <f t="shared" si="2"/>
        <v>$M(2015)</v>
      </c>
    </row>
    <row r="41" spans="1:13" ht="15" thickTop="1" x14ac:dyDescent="0.25">
      <c r="A41" s="44" t="s">
        <v>110</v>
      </c>
      <c r="B41" s="2" t="s">
        <v>379</v>
      </c>
      <c r="C41" s="1"/>
      <c r="D41" s="1"/>
      <c r="E41" s="1"/>
      <c r="F41" s="1"/>
      <c r="G41" s="1"/>
      <c r="H41" s="1"/>
      <c r="I41" s="1"/>
      <c r="J41" s="1"/>
      <c r="K41" s="1"/>
      <c r="L41" s="1"/>
      <c r="M41" s="1"/>
    </row>
    <row r="42" spans="1:13" x14ac:dyDescent="0.2">
      <c r="A42" t="str">
        <f t="array" ref="A42:A49">R_CODE&amp;" sea level"</f>
        <v>EU sea level</v>
      </c>
      <c r="B42" s="28">
        <f t="array" aca="1" ref="B42:K49" ca="1">acp_s+aci_s</f>
        <v>464.47545589045814</v>
      </c>
      <c r="C42" s="28">
        <f ca="1"/>
        <v>1906.7079726018676</v>
      </c>
      <c r="D42" s="28">
        <f ca="1"/>
        <v>3626.5998383074775</v>
      </c>
      <c r="E42" s="28">
        <f ca="1"/>
        <v>8003.7186699278818</v>
      </c>
      <c r="F42" s="28">
        <f ca="1"/>
        <v>13602.17289233952</v>
      </c>
      <c r="G42" s="28">
        <f ca="1"/>
        <v>20071.804389000019</v>
      </c>
      <c r="H42" s="28">
        <f ca="1"/>
        <v>28027.936259275171</v>
      </c>
      <c r="I42" s="28">
        <f ca="1"/>
        <v>31493.428726232887</v>
      </c>
      <c r="J42" s="28">
        <f ca="1"/>
        <v>34966.373394220034</v>
      </c>
      <c r="K42" s="28">
        <f ca="1"/>
        <v>38585.590383256364</v>
      </c>
      <c r="L42" s="1"/>
      <c r="M42" s="4" t="str">
        <f t="shared" ref="M42:M50" si="4">CURRENCY_NAME</f>
        <v>$M(2015)</v>
      </c>
    </row>
    <row r="43" spans="1:13" x14ac:dyDescent="0.2">
      <c r="A43" t="str">
        <v>US sea level</v>
      </c>
      <c r="B43" s="28">
        <f ca="1"/>
        <v>349.14665069667024</v>
      </c>
      <c r="C43" s="28">
        <f ca="1"/>
        <v>1434.1020039258037</v>
      </c>
      <c r="D43" s="28">
        <f ca="1"/>
        <v>2722.8708334422417</v>
      </c>
      <c r="E43" s="28">
        <f ca="1"/>
        <v>5994.6442259516225</v>
      </c>
      <c r="F43" s="28">
        <f ca="1"/>
        <v>10208.497879021728</v>
      </c>
      <c r="G43" s="28">
        <f ca="1"/>
        <v>15145.986928800061</v>
      </c>
      <c r="H43" s="28">
        <f ca="1"/>
        <v>21377.166827909212</v>
      </c>
      <c r="I43" s="28">
        <f ca="1"/>
        <v>24514.90563728573</v>
      </c>
      <c r="J43" s="28">
        <f ca="1"/>
        <v>27804.329236943107</v>
      </c>
      <c r="K43" s="28">
        <f ca="1"/>
        <v>31194.90885516478</v>
      </c>
      <c r="L43" s="1"/>
      <c r="M43" s="4" t="str">
        <f t="shared" si="4"/>
        <v>$M(2015)</v>
      </c>
    </row>
    <row r="44" spans="1:13" x14ac:dyDescent="0.2">
      <c r="A44" t="str">
        <v>OT sea level</v>
      </c>
      <c r="B44" s="28">
        <f ca="1"/>
        <v>205.66595346850869</v>
      </c>
      <c r="C44" s="28">
        <f ca="1"/>
        <v>840.20048025139261</v>
      </c>
      <c r="D44" s="28">
        <f ca="1"/>
        <v>1594.8825625294885</v>
      </c>
      <c r="E44" s="28">
        <f ca="1"/>
        <v>3506.2291307769819</v>
      </c>
      <c r="F44" s="28">
        <f ca="1"/>
        <v>5943.5774959591927</v>
      </c>
      <c r="G44" s="28">
        <f ca="1"/>
        <v>8727.1970604000271</v>
      </c>
      <c r="H44" s="28">
        <f ca="1"/>
        <v>12034.252292474468</v>
      </c>
      <c r="I44" s="28">
        <f ca="1"/>
        <v>13283.718806442685</v>
      </c>
      <c r="J44" s="28">
        <f ca="1"/>
        <v>14409.711301047451</v>
      </c>
      <c r="K44" s="28">
        <f ca="1"/>
        <v>15457.977856107169</v>
      </c>
      <c r="L44" s="1"/>
      <c r="M44" s="4" t="str">
        <f t="shared" si="4"/>
        <v>$M(2015)</v>
      </c>
    </row>
    <row r="45" spans="1:13" x14ac:dyDescent="0.2">
      <c r="A45" t="str">
        <v>EE sea level</v>
      </c>
      <c r="B45" s="28">
        <f ca="1"/>
        <v>46.315807735790891</v>
      </c>
      <c r="C45" s="28">
        <f ca="1"/>
        <v>202.0054479970691</v>
      </c>
      <c r="D45" s="28">
        <f ca="1"/>
        <v>404.39819417897826</v>
      </c>
      <c r="E45" s="28">
        <f ca="1"/>
        <v>933.49686492094793</v>
      </c>
      <c r="F45" s="28">
        <f ca="1"/>
        <v>1536.5329820078207</v>
      </c>
      <c r="G45" s="28">
        <f ca="1"/>
        <v>2144.1612738000035</v>
      </c>
      <c r="H45" s="28">
        <f ca="1"/>
        <v>2817.1213750574379</v>
      </c>
      <c r="I45" s="28">
        <f ca="1"/>
        <v>2898.63753837687</v>
      </c>
      <c r="J45" s="28">
        <f ca="1"/>
        <v>2955.3470790521756</v>
      </c>
      <c r="K45" s="28">
        <f ca="1"/>
        <v>2977.7245934687357</v>
      </c>
      <c r="L45" s="1"/>
      <c r="M45" s="4" t="str">
        <f t="shared" si="4"/>
        <v>$M(2015)</v>
      </c>
    </row>
    <row r="46" spans="1:13" x14ac:dyDescent="0.2">
      <c r="A46" t="str">
        <v>CA sea level</v>
      </c>
      <c r="B46" s="28">
        <f ca="1"/>
        <v>256.85667176117181</v>
      </c>
      <c r="C46" s="28">
        <f ca="1"/>
        <v>945.3869428560339</v>
      </c>
      <c r="D46" s="28">
        <f ca="1"/>
        <v>1922.6411692760917</v>
      </c>
      <c r="E46" s="28">
        <f ca="1"/>
        <v>4464.0617631023324</v>
      </c>
      <c r="F46" s="28">
        <f ca="1"/>
        <v>7219.4402761509236</v>
      </c>
      <c r="G46" s="28">
        <f ca="1"/>
        <v>9604.9029660018059</v>
      </c>
      <c r="H46" s="28">
        <f ca="1"/>
        <v>11566.690857384699</v>
      </c>
      <c r="I46" s="28">
        <f ca="1"/>
        <v>12853.785660674106</v>
      </c>
      <c r="J46" s="28">
        <f ca="1"/>
        <v>13580.10576587333</v>
      </c>
      <c r="K46" s="28">
        <f ca="1"/>
        <v>13053.631394077227</v>
      </c>
      <c r="L46" s="1"/>
      <c r="M46" s="4" t="str">
        <f t="shared" si="4"/>
        <v>$M(2015)</v>
      </c>
    </row>
    <row r="47" spans="1:13" x14ac:dyDescent="0.2">
      <c r="A47" t="str">
        <v>IA sea level</v>
      </c>
      <c r="B47" s="28">
        <f ca="1"/>
        <v>195.6753364708008</v>
      </c>
      <c r="C47" s="28">
        <f ca="1"/>
        <v>722.74297703760021</v>
      </c>
      <c r="D47" s="28">
        <f ca="1"/>
        <v>1524.6771957863448</v>
      </c>
      <c r="E47" s="28">
        <f ca="1"/>
        <v>4107.5044413551241</v>
      </c>
      <c r="F47" s="28">
        <f ca="1"/>
        <v>7998.0699924454411</v>
      </c>
      <c r="G47" s="28">
        <f ca="1"/>
        <v>12938.805360369821</v>
      </c>
      <c r="H47" s="28">
        <f ca="1"/>
        <v>18621.822112181595</v>
      </c>
      <c r="I47" s="28">
        <f ca="1"/>
        <v>24369.887864012617</v>
      </c>
      <c r="J47" s="28">
        <f ca="1"/>
        <v>29953.497468366262</v>
      </c>
      <c r="K47" s="28">
        <f ca="1"/>
        <v>33293.967853949318</v>
      </c>
      <c r="L47" s="1"/>
      <c r="M47" s="4" t="str">
        <f t="shared" si="4"/>
        <v>$M(2015)</v>
      </c>
    </row>
    <row r="48" spans="1:13" x14ac:dyDescent="0.2">
      <c r="A48" t="str">
        <v>AF sea level</v>
      </c>
      <c r="B48" s="28">
        <f ca="1"/>
        <v>66.955072610716797</v>
      </c>
      <c r="C48" s="28">
        <f ca="1"/>
        <v>234.23609264915285</v>
      </c>
      <c r="D48" s="28">
        <f ca="1"/>
        <v>484.22339152124852</v>
      </c>
      <c r="E48" s="28">
        <f ca="1"/>
        <v>1347.3798957335341</v>
      </c>
      <c r="F48" s="28">
        <f ca="1"/>
        <v>2839.30775896568</v>
      </c>
      <c r="G48" s="28">
        <f ca="1"/>
        <v>5111.3073114133585</v>
      </c>
      <c r="H48" s="28">
        <f ca="1"/>
        <v>8278.0914237379329</v>
      </c>
      <c r="I48" s="28">
        <f ca="1"/>
        <v>12187.228416495313</v>
      </c>
      <c r="J48" s="28">
        <f ca="1"/>
        <v>16912.690117164821</v>
      </c>
      <c r="K48" s="28">
        <f ca="1"/>
        <v>21272.761359254189</v>
      </c>
      <c r="L48" s="1"/>
      <c r="M48" s="4" t="str">
        <f t="shared" si="4"/>
        <v>$M(2015)</v>
      </c>
    </row>
    <row r="49" spans="1:13" x14ac:dyDescent="0.2">
      <c r="A49" t="str">
        <v>LA sea level</v>
      </c>
      <c r="B49" s="28">
        <f ca="1"/>
        <v>68.015999177934134</v>
      </c>
      <c r="C49" s="28">
        <f ca="1"/>
        <v>219.95165291392979</v>
      </c>
      <c r="D49" s="28">
        <f ca="1"/>
        <v>416.44721257169283</v>
      </c>
      <c r="E49" s="28">
        <f ca="1"/>
        <v>978.78177920623421</v>
      </c>
      <c r="F49" s="28">
        <f ca="1"/>
        <v>1760.992400093601</v>
      </c>
      <c r="G49" s="28">
        <f ca="1"/>
        <v>2679.0190248640024</v>
      </c>
      <c r="H49" s="28">
        <f ca="1"/>
        <v>3662.5088755685583</v>
      </c>
      <c r="I49" s="28">
        <f ca="1"/>
        <v>4622.2977862228454</v>
      </c>
      <c r="J49" s="28">
        <f ca="1"/>
        <v>5514.4970112173614</v>
      </c>
      <c r="K49" s="28">
        <f ca="1"/>
        <v>5954.461463445311</v>
      </c>
      <c r="L49" s="1"/>
      <c r="M49" s="4" t="str">
        <f t="shared" si="4"/>
        <v>$M(2015)</v>
      </c>
    </row>
    <row r="50" spans="1:13" ht="13.5" thickBot="1" x14ac:dyDescent="0.25">
      <c r="A50" s="2" t="s">
        <v>374</v>
      </c>
      <c r="B50" s="42">
        <f t="shared" ref="B50:K50" ca="1" si="5">SUM(B42:B49)</f>
        <v>1653.1069478120517</v>
      </c>
      <c r="C50" s="42">
        <f t="shared" ca="1" si="5"/>
        <v>6505.3335702328504</v>
      </c>
      <c r="D50" s="42">
        <f t="shared" ca="1" si="5"/>
        <v>12696.740397613565</v>
      </c>
      <c r="E50" s="42">
        <f t="shared" ca="1" si="5"/>
        <v>29335.816770974659</v>
      </c>
      <c r="F50" s="42">
        <f t="shared" ca="1" si="5"/>
        <v>51108.59167698391</v>
      </c>
      <c r="G50" s="42">
        <f t="shared" ca="1" si="5"/>
        <v>76423.184314649101</v>
      </c>
      <c r="H50" s="42">
        <f t="shared" ca="1" si="5"/>
        <v>106385.59002358907</v>
      </c>
      <c r="I50" s="42">
        <f t="shared" ca="1" si="5"/>
        <v>126223.89043574307</v>
      </c>
      <c r="J50" s="42">
        <f t="shared" ca="1" si="5"/>
        <v>146096.55137388455</v>
      </c>
      <c r="K50" s="42">
        <f t="shared" ca="1" si="5"/>
        <v>161791.02375872308</v>
      </c>
      <c r="L50" s="1"/>
      <c r="M50" s="4" t="str">
        <f t="shared" si="4"/>
        <v>$M(2015)</v>
      </c>
    </row>
    <row r="51" spans="1:13" s="2" customFormat="1" ht="15" thickTop="1" x14ac:dyDescent="0.25">
      <c r="A51" s="2" t="s">
        <v>370</v>
      </c>
      <c r="B51" s="2" t="s">
        <v>375</v>
      </c>
    </row>
    <row r="52" spans="1:13" s="4" customFormat="1" x14ac:dyDescent="0.2">
      <c r="A52" t="str">
        <f t="array" ref="A52:A59">R_CODE&amp;" "&amp;I_1_NAME</f>
        <v>EU Economic</v>
      </c>
      <c r="B52" s="27">
        <f t="array" ref="B52:K59" ca="1">atl_1*CP_1*GDP/100*AUTOFAC</f>
        <v>0</v>
      </c>
      <c r="C52" s="27">
        <f ca="1"/>
        <v>0</v>
      </c>
      <c r="D52" s="27">
        <f ca="1"/>
        <v>0</v>
      </c>
      <c r="E52" s="27">
        <f ca="1"/>
        <v>0</v>
      </c>
      <c r="F52" s="27">
        <f ca="1"/>
        <v>0</v>
      </c>
      <c r="G52" s="27">
        <f ca="1"/>
        <v>0</v>
      </c>
      <c r="H52" s="27">
        <f ca="1"/>
        <v>0</v>
      </c>
      <c r="I52" s="27">
        <f ca="1"/>
        <v>0</v>
      </c>
      <c r="J52" s="27">
        <f ca="1"/>
        <v>0</v>
      </c>
      <c r="K52" s="27">
        <f ca="1"/>
        <v>0</v>
      </c>
      <c r="M52" s="4" t="str">
        <f t="shared" ref="M52:M60" si="6">CURRENCY_NAME</f>
        <v>$M(2015)</v>
      </c>
    </row>
    <row r="53" spans="1:13" s="4" customFormat="1" x14ac:dyDescent="0.2">
      <c r="A53" t="str">
        <v>US Economic</v>
      </c>
      <c r="B53" s="28">
        <f ca="1"/>
        <v>0</v>
      </c>
      <c r="C53" s="28">
        <f ca="1"/>
        <v>0</v>
      </c>
      <c r="D53" s="28">
        <f ca="1"/>
        <v>0</v>
      </c>
      <c r="E53" s="28">
        <f ca="1"/>
        <v>0</v>
      </c>
      <c r="F53" s="28">
        <f ca="1"/>
        <v>0</v>
      </c>
      <c r="G53" s="28">
        <f ca="1"/>
        <v>0</v>
      </c>
      <c r="H53" s="28">
        <f ca="1"/>
        <v>0</v>
      </c>
      <c r="I53" s="28">
        <f ca="1"/>
        <v>0</v>
      </c>
      <c r="J53" s="28">
        <f ca="1"/>
        <v>0</v>
      </c>
      <c r="K53" s="28">
        <f ca="1"/>
        <v>0</v>
      </c>
      <c r="M53" s="4" t="str">
        <f t="shared" si="6"/>
        <v>$M(2015)</v>
      </c>
    </row>
    <row r="54" spans="1:13" s="4" customFormat="1" x14ac:dyDescent="0.2">
      <c r="A54" t="str">
        <v>OT Economic</v>
      </c>
      <c r="B54" s="28">
        <f ca="1"/>
        <v>0</v>
      </c>
      <c r="C54" s="28">
        <f ca="1"/>
        <v>0</v>
      </c>
      <c r="D54" s="28">
        <f ca="1"/>
        <v>0</v>
      </c>
      <c r="E54" s="28">
        <f ca="1"/>
        <v>0</v>
      </c>
      <c r="F54" s="28">
        <f ca="1"/>
        <v>0</v>
      </c>
      <c r="G54" s="28">
        <f ca="1"/>
        <v>0</v>
      </c>
      <c r="H54" s="28">
        <f ca="1"/>
        <v>0</v>
      </c>
      <c r="I54" s="28">
        <f ca="1"/>
        <v>0</v>
      </c>
      <c r="J54" s="28">
        <f ca="1"/>
        <v>0</v>
      </c>
      <c r="K54" s="28">
        <f ca="1"/>
        <v>0</v>
      </c>
      <c r="M54" s="4" t="str">
        <f t="shared" si="6"/>
        <v>$M(2015)</v>
      </c>
    </row>
    <row r="55" spans="1:13" s="4" customFormat="1" x14ac:dyDescent="0.2">
      <c r="A55" t="str">
        <v>EE Economic</v>
      </c>
      <c r="B55" s="28">
        <f ca="1"/>
        <v>0</v>
      </c>
      <c r="C55" s="28">
        <f ca="1"/>
        <v>0</v>
      </c>
      <c r="D55" s="28">
        <f ca="1"/>
        <v>0</v>
      </c>
      <c r="E55" s="28">
        <f ca="1"/>
        <v>0</v>
      </c>
      <c r="F55" s="28">
        <f ca="1"/>
        <v>0</v>
      </c>
      <c r="G55" s="28">
        <f ca="1"/>
        <v>0</v>
      </c>
      <c r="H55" s="28">
        <f ca="1"/>
        <v>0</v>
      </c>
      <c r="I55" s="28">
        <f ca="1"/>
        <v>0</v>
      </c>
      <c r="J55" s="28">
        <f ca="1"/>
        <v>0</v>
      </c>
      <c r="K55" s="28">
        <f ca="1"/>
        <v>0</v>
      </c>
      <c r="M55" s="4" t="str">
        <f t="shared" si="6"/>
        <v>$M(2015)</v>
      </c>
    </row>
    <row r="56" spans="1:13" s="4" customFormat="1" x14ac:dyDescent="0.2">
      <c r="A56" t="str">
        <v>CA Economic</v>
      </c>
      <c r="B56" s="28">
        <f ca="1"/>
        <v>0</v>
      </c>
      <c r="C56" s="28">
        <f ca="1"/>
        <v>0</v>
      </c>
      <c r="D56" s="28">
        <f ca="1"/>
        <v>0</v>
      </c>
      <c r="E56" s="28">
        <f ca="1"/>
        <v>0</v>
      </c>
      <c r="F56" s="28">
        <f ca="1"/>
        <v>0</v>
      </c>
      <c r="G56" s="28">
        <f ca="1"/>
        <v>0</v>
      </c>
      <c r="H56" s="28">
        <f ca="1"/>
        <v>0</v>
      </c>
      <c r="I56" s="28">
        <f ca="1"/>
        <v>0</v>
      </c>
      <c r="J56" s="28">
        <f ca="1"/>
        <v>0</v>
      </c>
      <c r="K56" s="28">
        <f ca="1"/>
        <v>0</v>
      </c>
      <c r="M56" s="4" t="str">
        <f t="shared" si="6"/>
        <v>$M(2015)</v>
      </c>
    </row>
    <row r="57" spans="1:13" s="4" customFormat="1" x14ac:dyDescent="0.2">
      <c r="A57" t="str">
        <v>IA Economic</v>
      </c>
      <c r="B57" s="28">
        <f ca="1"/>
        <v>0</v>
      </c>
      <c r="C57" s="28">
        <f ca="1"/>
        <v>0</v>
      </c>
      <c r="D57" s="28">
        <f ca="1"/>
        <v>0</v>
      </c>
      <c r="E57" s="28">
        <f ca="1"/>
        <v>0</v>
      </c>
      <c r="F57" s="28">
        <f ca="1"/>
        <v>0</v>
      </c>
      <c r="G57" s="28">
        <f ca="1"/>
        <v>0</v>
      </c>
      <c r="H57" s="28">
        <f ca="1"/>
        <v>0</v>
      </c>
      <c r="I57" s="28">
        <f ca="1"/>
        <v>0</v>
      </c>
      <c r="J57" s="28">
        <f ca="1"/>
        <v>0</v>
      </c>
      <c r="K57" s="28">
        <f ca="1"/>
        <v>0</v>
      </c>
      <c r="M57" s="4" t="str">
        <f t="shared" si="6"/>
        <v>$M(2015)</v>
      </c>
    </row>
    <row r="58" spans="1:13" s="4" customFormat="1" x14ac:dyDescent="0.2">
      <c r="A58" t="str">
        <v>AF Economic</v>
      </c>
      <c r="B58" s="28">
        <f ca="1"/>
        <v>0</v>
      </c>
      <c r="C58" s="28">
        <f ca="1"/>
        <v>0</v>
      </c>
      <c r="D58" s="28">
        <f ca="1"/>
        <v>0</v>
      </c>
      <c r="E58" s="28">
        <f ca="1"/>
        <v>0</v>
      </c>
      <c r="F58" s="28">
        <f ca="1"/>
        <v>0</v>
      </c>
      <c r="G58" s="28">
        <f ca="1"/>
        <v>0</v>
      </c>
      <c r="H58" s="28">
        <f ca="1"/>
        <v>0</v>
      </c>
      <c r="I58" s="28">
        <f ca="1"/>
        <v>0</v>
      </c>
      <c r="J58" s="28">
        <f ca="1"/>
        <v>0</v>
      </c>
      <c r="K58" s="28">
        <f ca="1"/>
        <v>0</v>
      </c>
      <c r="M58" s="4" t="str">
        <f t="shared" si="6"/>
        <v>$M(2015)</v>
      </c>
    </row>
    <row r="59" spans="1:13" s="4" customFormat="1" x14ac:dyDescent="0.2">
      <c r="A59" t="str">
        <v>LA Economic</v>
      </c>
      <c r="B59" s="28">
        <f ca="1"/>
        <v>0</v>
      </c>
      <c r="C59" s="28">
        <f ca="1"/>
        <v>0</v>
      </c>
      <c r="D59" s="28">
        <f ca="1"/>
        <v>0</v>
      </c>
      <c r="E59" s="28">
        <f ca="1"/>
        <v>0</v>
      </c>
      <c r="F59" s="28">
        <f ca="1"/>
        <v>0</v>
      </c>
      <c r="G59" s="28">
        <f ca="1"/>
        <v>0</v>
      </c>
      <c r="H59" s="28">
        <f ca="1"/>
        <v>0</v>
      </c>
      <c r="I59" s="28">
        <f ca="1"/>
        <v>0</v>
      </c>
      <c r="J59" s="28">
        <f ca="1"/>
        <v>0</v>
      </c>
      <c r="K59" s="28">
        <f ca="1"/>
        <v>0</v>
      </c>
      <c r="M59" s="4" t="str">
        <f t="shared" si="6"/>
        <v>$M(2015)</v>
      </c>
    </row>
    <row r="60" spans="1:13" ht="13.5" thickBot="1" x14ac:dyDescent="0.25">
      <c r="A60" s="2" t="str">
        <f>"Global "&amp;I_1_NAME</f>
        <v>Global Economic</v>
      </c>
      <c r="B60" s="42">
        <f ca="1">SUM(B52:B59)</f>
        <v>0</v>
      </c>
      <c r="C60" s="42">
        <f t="shared" ref="C60:K60" ca="1" si="7">SUM(C52:C59)</f>
        <v>0</v>
      </c>
      <c r="D60" s="42">
        <f t="shared" ca="1" si="7"/>
        <v>0</v>
      </c>
      <c r="E60" s="42">
        <f t="shared" ca="1" si="7"/>
        <v>0</v>
      </c>
      <c r="F60" s="42">
        <f t="shared" ca="1" si="7"/>
        <v>0</v>
      </c>
      <c r="G60" s="42">
        <f t="shared" ca="1" si="7"/>
        <v>0</v>
      </c>
      <c r="H60" s="42">
        <f t="shared" ca="1" si="7"/>
        <v>0</v>
      </c>
      <c r="I60" s="42">
        <f t="shared" ca="1" si="7"/>
        <v>0</v>
      </c>
      <c r="J60" s="42">
        <f t="shared" ca="1" si="7"/>
        <v>0</v>
      </c>
      <c r="K60" s="42">
        <f t="shared" ca="1" si="7"/>
        <v>0</v>
      </c>
      <c r="L60" s="1"/>
      <c r="M60" s="4" t="str">
        <f t="shared" si="6"/>
        <v>$M(2015)</v>
      </c>
    </row>
    <row r="61" spans="1:13" s="2" customFormat="1" ht="15" thickTop="1" x14ac:dyDescent="0.25">
      <c r="A61" s="2" t="s">
        <v>372</v>
      </c>
      <c r="B61" s="2" t="s">
        <v>376</v>
      </c>
    </row>
    <row r="62" spans="1:13" x14ac:dyDescent="0.2">
      <c r="A62" t="str">
        <f t="array" ref="A62:A69">R_CODE&amp;" "&amp;I_1_NAME</f>
        <v>EU Economic</v>
      </c>
      <c r="B62" s="27">
        <f t="array" aca="1" ref="B62:K69" ca="1">imp_1*CI_1*GDP/100*impmax_1_a*AUTOFAC</f>
        <v>0</v>
      </c>
      <c r="C62" s="27">
        <f ca="1"/>
        <v>0</v>
      </c>
      <c r="D62" s="27">
        <f ca="1"/>
        <v>0</v>
      </c>
      <c r="E62" s="27">
        <f ca="1"/>
        <v>0</v>
      </c>
      <c r="F62" s="27">
        <f ca="1"/>
        <v>0</v>
      </c>
      <c r="G62" s="27">
        <f ca="1"/>
        <v>0</v>
      </c>
      <c r="H62" s="27">
        <f ca="1"/>
        <v>0</v>
      </c>
      <c r="I62" s="27">
        <f ca="1"/>
        <v>0</v>
      </c>
      <c r="J62" s="27">
        <f ca="1"/>
        <v>0</v>
      </c>
      <c r="K62" s="27">
        <f ca="1"/>
        <v>0</v>
      </c>
      <c r="M62" s="4" t="str">
        <f t="shared" ref="M62:M70" si="8">CURRENCY_NAME</f>
        <v>$M(2015)</v>
      </c>
    </row>
    <row r="63" spans="1:13" x14ac:dyDescent="0.2">
      <c r="A63" t="str">
        <v>US Economic</v>
      </c>
      <c r="B63" s="28">
        <f ca="1"/>
        <v>0</v>
      </c>
      <c r="C63" s="28">
        <f ca="1"/>
        <v>0</v>
      </c>
      <c r="D63" s="28">
        <f ca="1"/>
        <v>0</v>
      </c>
      <c r="E63" s="28">
        <f ca="1"/>
        <v>0</v>
      </c>
      <c r="F63" s="28">
        <f ca="1"/>
        <v>0</v>
      </c>
      <c r="G63" s="28">
        <f ca="1"/>
        <v>0</v>
      </c>
      <c r="H63" s="28">
        <f ca="1"/>
        <v>0</v>
      </c>
      <c r="I63" s="28">
        <f ca="1"/>
        <v>0</v>
      </c>
      <c r="J63" s="28">
        <f ca="1"/>
        <v>0</v>
      </c>
      <c r="K63" s="28">
        <f ca="1"/>
        <v>0</v>
      </c>
      <c r="M63" s="4" t="str">
        <f t="shared" si="8"/>
        <v>$M(2015)</v>
      </c>
    </row>
    <row r="64" spans="1:13" x14ac:dyDescent="0.2">
      <c r="A64" t="str">
        <v>OT Economic</v>
      </c>
      <c r="B64" s="28">
        <f ca="1"/>
        <v>0</v>
      </c>
      <c r="C64" s="28">
        <f ca="1"/>
        <v>0</v>
      </c>
      <c r="D64" s="28">
        <f ca="1"/>
        <v>0</v>
      </c>
      <c r="E64" s="28">
        <f ca="1"/>
        <v>0</v>
      </c>
      <c r="F64" s="28">
        <f ca="1"/>
        <v>0</v>
      </c>
      <c r="G64" s="28">
        <f ca="1"/>
        <v>0</v>
      </c>
      <c r="H64" s="28">
        <f ca="1"/>
        <v>0</v>
      </c>
      <c r="I64" s="28">
        <f ca="1"/>
        <v>0</v>
      </c>
      <c r="J64" s="28">
        <f ca="1"/>
        <v>0</v>
      </c>
      <c r="K64" s="28">
        <f ca="1"/>
        <v>0</v>
      </c>
      <c r="M64" s="4" t="str">
        <f t="shared" si="8"/>
        <v>$M(2015)</v>
      </c>
    </row>
    <row r="65" spans="1:13" x14ac:dyDescent="0.2">
      <c r="A65" t="str">
        <v>EE Economic</v>
      </c>
      <c r="B65" s="28">
        <f ca="1"/>
        <v>0</v>
      </c>
      <c r="C65" s="28">
        <f ca="1"/>
        <v>0</v>
      </c>
      <c r="D65" s="28">
        <f ca="1"/>
        <v>0</v>
      </c>
      <c r="E65" s="28">
        <f ca="1"/>
        <v>0</v>
      </c>
      <c r="F65" s="28">
        <f ca="1"/>
        <v>0</v>
      </c>
      <c r="G65" s="28">
        <f ca="1"/>
        <v>0</v>
      </c>
      <c r="H65" s="28">
        <f ca="1"/>
        <v>0</v>
      </c>
      <c r="I65" s="28">
        <f ca="1"/>
        <v>0</v>
      </c>
      <c r="J65" s="28">
        <f ca="1"/>
        <v>0</v>
      </c>
      <c r="K65" s="28">
        <f ca="1"/>
        <v>0</v>
      </c>
      <c r="M65" s="4" t="str">
        <f t="shared" si="8"/>
        <v>$M(2015)</v>
      </c>
    </row>
    <row r="66" spans="1:13" x14ac:dyDescent="0.2">
      <c r="A66" t="str">
        <v>CA Economic</v>
      </c>
      <c r="B66" s="28">
        <f ca="1"/>
        <v>0</v>
      </c>
      <c r="C66" s="28">
        <f ca="1"/>
        <v>0</v>
      </c>
      <c r="D66" s="28">
        <f ca="1"/>
        <v>0</v>
      </c>
      <c r="E66" s="28">
        <f ca="1"/>
        <v>0</v>
      </c>
      <c r="F66" s="28">
        <f ca="1"/>
        <v>0</v>
      </c>
      <c r="G66" s="28">
        <f ca="1"/>
        <v>0</v>
      </c>
      <c r="H66" s="28">
        <f ca="1"/>
        <v>0</v>
      </c>
      <c r="I66" s="28">
        <f ca="1"/>
        <v>0</v>
      </c>
      <c r="J66" s="28">
        <f ca="1"/>
        <v>0</v>
      </c>
      <c r="K66" s="28">
        <f ca="1"/>
        <v>0</v>
      </c>
      <c r="M66" s="4" t="str">
        <f t="shared" si="8"/>
        <v>$M(2015)</v>
      </c>
    </row>
    <row r="67" spans="1:13" x14ac:dyDescent="0.2">
      <c r="A67" t="str">
        <v>IA Economic</v>
      </c>
      <c r="B67" s="28">
        <f ca="1"/>
        <v>0</v>
      </c>
      <c r="C67" s="28">
        <f ca="1"/>
        <v>0</v>
      </c>
      <c r="D67" s="28">
        <f ca="1"/>
        <v>0</v>
      </c>
      <c r="E67" s="28">
        <f ca="1"/>
        <v>0</v>
      </c>
      <c r="F67" s="28">
        <f ca="1"/>
        <v>0</v>
      </c>
      <c r="G67" s="28">
        <f ca="1"/>
        <v>0</v>
      </c>
      <c r="H67" s="28">
        <f ca="1"/>
        <v>0</v>
      </c>
      <c r="I67" s="28">
        <f ca="1"/>
        <v>0</v>
      </c>
      <c r="J67" s="28">
        <f ca="1"/>
        <v>0</v>
      </c>
      <c r="K67" s="28">
        <f ca="1"/>
        <v>0</v>
      </c>
      <c r="M67" s="4" t="str">
        <f t="shared" si="8"/>
        <v>$M(2015)</v>
      </c>
    </row>
    <row r="68" spans="1:13" x14ac:dyDescent="0.2">
      <c r="A68" t="str">
        <v>AF Economic</v>
      </c>
      <c r="B68" s="28">
        <f ca="1"/>
        <v>0</v>
      </c>
      <c r="C68" s="28">
        <f ca="1"/>
        <v>0</v>
      </c>
      <c r="D68" s="28">
        <f ca="1"/>
        <v>0</v>
      </c>
      <c r="E68" s="28">
        <f ca="1"/>
        <v>0</v>
      </c>
      <c r="F68" s="28">
        <f ca="1"/>
        <v>0</v>
      </c>
      <c r="G68" s="28">
        <f ca="1"/>
        <v>0</v>
      </c>
      <c r="H68" s="28">
        <f ca="1"/>
        <v>0</v>
      </c>
      <c r="I68" s="28">
        <f ca="1"/>
        <v>0</v>
      </c>
      <c r="J68" s="28">
        <f ca="1"/>
        <v>0</v>
      </c>
      <c r="K68" s="28">
        <f ca="1"/>
        <v>0</v>
      </c>
      <c r="M68" s="4" t="str">
        <f t="shared" si="8"/>
        <v>$M(2015)</v>
      </c>
    </row>
    <row r="69" spans="1:13" x14ac:dyDescent="0.2">
      <c r="A69" t="str">
        <v>LA Economic</v>
      </c>
      <c r="B69" s="28">
        <f ca="1"/>
        <v>0</v>
      </c>
      <c r="C69" s="28">
        <f ca="1"/>
        <v>0</v>
      </c>
      <c r="D69" s="28">
        <f ca="1"/>
        <v>0</v>
      </c>
      <c r="E69" s="28">
        <f ca="1"/>
        <v>0</v>
      </c>
      <c r="F69" s="28">
        <f ca="1"/>
        <v>0</v>
      </c>
      <c r="G69" s="28">
        <f ca="1"/>
        <v>0</v>
      </c>
      <c r="H69" s="28">
        <f ca="1"/>
        <v>0</v>
      </c>
      <c r="I69" s="28">
        <f ca="1"/>
        <v>0</v>
      </c>
      <c r="J69" s="28">
        <f ca="1"/>
        <v>0</v>
      </c>
      <c r="K69" s="28">
        <f ca="1"/>
        <v>0</v>
      </c>
      <c r="M69" s="4" t="str">
        <f t="shared" si="8"/>
        <v>$M(2015)</v>
      </c>
    </row>
    <row r="70" spans="1:13" ht="13.5" thickBot="1" x14ac:dyDescent="0.25">
      <c r="A70" s="2" t="str">
        <f>"Global "&amp;I_1_NAME</f>
        <v>Global Economic</v>
      </c>
      <c r="B70" s="42">
        <f t="shared" ref="B70:K70" ca="1" si="9">SUM(B62:B69)</f>
        <v>0</v>
      </c>
      <c r="C70" s="42">
        <f t="shared" ca="1" si="9"/>
        <v>0</v>
      </c>
      <c r="D70" s="42">
        <f t="shared" ca="1" si="9"/>
        <v>0</v>
      </c>
      <c r="E70" s="42">
        <f t="shared" ca="1" si="9"/>
        <v>0</v>
      </c>
      <c r="F70" s="42">
        <f t="shared" ca="1" si="9"/>
        <v>0</v>
      </c>
      <c r="G70" s="42">
        <f t="shared" ca="1" si="9"/>
        <v>0</v>
      </c>
      <c r="H70" s="42">
        <f t="shared" ca="1" si="9"/>
        <v>0</v>
      </c>
      <c r="I70" s="42">
        <f t="shared" ca="1" si="9"/>
        <v>0</v>
      </c>
      <c r="J70" s="42">
        <f t="shared" ca="1" si="9"/>
        <v>0</v>
      </c>
      <c r="K70" s="42">
        <f t="shared" ca="1" si="9"/>
        <v>0</v>
      </c>
      <c r="L70" s="1"/>
      <c r="M70" s="4" t="str">
        <f t="shared" si="8"/>
        <v>$M(2015)</v>
      </c>
    </row>
    <row r="71" spans="1:13" ht="15" thickTop="1" x14ac:dyDescent="0.25">
      <c r="A71" s="44" t="s">
        <v>110</v>
      </c>
      <c r="B71" s="2" t="s">
        <v>93</v>
      </c>
      <c r="C71" s="1"/>
      <c r="D71" s="1"/>
      <c r="E71" s="1"/>
      <c r="F71" s="1"/>
      <c r="G71" s="1"/>
      <c r="H71" s="1"/>
      <c r="I71" s="1"/>
      <c r="J71" s="1"/>
      <c r="K71" s="1"/>
      <c r="L71" s="1"/>
      <c r="M71" s="1"/>
    </row>
    <row r="72" spans="1:13" x14ac:dyDescent="0.2">
      <c r="A72" t="str">
        <f t="array" ref="A72:A79">R_CODE&amp;" "&amp;I_1_NAME</f>
        <v>EU Economic</v>
      </c>
      <c r="B72" s="28">
        <f t="array" aca="1" ref="B72:K79" ca="1">acp_1+aci_1</f>
        <v>0</v>
      </c>
      <c r="C72" s="28">
        <f ca="1"/>
        <v>0</v>
      </c>
      <c r="D72" s="28">
        <f ca="1"/>
        <v>0</v>
      </c>
      <c r="E72" s="28">
        <f ca="1"/>
        <v>0</v>
      </c>
      <c r="F72" s="28">
        <f ca="1"/>
        <v>0</v>
      </c>
      <c r="G72" s="28">
        <f ca="1"/>
        <v>0</v>
      </c>
      <c r="H72" s="28">
        <f ca="1"/>
        <v>0</v>
      </c>
      <c r="I72" s="28">
        <f ca="1"/>
        <v>0</v>
      </c>
      <c r="J72" s="28">
        <f ca="1"/>
        <v>0</v>
      </c>
      <c r="K72" s="28">
        <f ca="1"/>
        <v>0</v>
      </c>
      <c r="L72" s="1"/>
      <c r="M72" s="4" t="str">
        <f t="shared" ref="M72:M80" si="10">CURRENCY_NAME</f>
        <v>$M(2015)</v>
      </c>
    </row>
    <row r="73" spans="1:13" x14ac:dyDescent="0.2">
      <c r="A73" t="str">
        <v>US Economic</v>
      </c>
      <c r="B73" s="28">
        <f ca="1"/>
        <v>0</v>
      </c>
      <c r="C73" s="28">
        <f ca="1"/>
        <v>0</v>
      </c>
      <c r="D73" s="28">
        <f ca="1"/>
        <v>0</v>
      </c>
      <c r="E73" s="28">
        <f ca="1"/>
        <v>0</v>
      </c>
      <c r="F73" s="28">
        <f ca="1"/>
        <v>0</v>
      </c>
      <c r="G73" s="28">
        <f ca="1"/>
        <v>0</v>
      </c>
      <c r="H73" s="28">
        <f ca="1"/>
        <v>0</v>
      </c>
      <c r="I73" s="28">
        <f ca="1"/>
        <v>0</v>
      </c>
      <c r="J73" s="28">
        <f ca="1"/>
        <v>0</v>
      </c>
      <c r="K73" s="28">
        <f ca="1"/>
        <v>0</v>
      </c>
      <c r="L73" s="1"/>
      <c r="M73" s="4" t="str">
        <f t="shared" si="10"/>
        <v>$M(2015)</v>
      </c>
    </row>
    <row r="74" spans="1:13" x14ac:dyDescent="0.2">
      <c r="A74" t="str">
        <v>OT Economic</v>
      </c>
      <c r="B74" s="28">
        <f ca="1"/>
        <v>0</v>
      </c>
      <c r="C74" s="28">
        <f ca="1"/>
        <v>0</v>
      </c>
      <c r="D74" s="28">
        <f ca="1"/>
        <v>0</v>
      </c>
      <c r="E74" s="28">
        <f ca="1"/>
        <v>0</v>
      </c>
      <c r="F74" s="28">
        <f ca="1"/>
        <v>0</v>
      </c>
      <c r="G74" s="28">
        <f ca="1"/>
        <v>0</v>
      </c>
      <c r="H74" s="28">
        <f ca="1"/>
        <v>0</v>
      </c>
      <c r="I74" s="28">
        <f ca="1"/>
        <v>0</v>
      </c>
      <c r="J74" s="28">
        <f ca="1"/>
        <v>0</v>
      </c>
      <c r="K74" s="28">
        <f ca="1"/>
        <v>0</v>
      </c>
      <c r="L74" s="1"/>
      <c r="M74" s="4" t="str">
        <f t="shared" si="10"/>
        <v>$M(2015)</v>
      </c>
    </row>
    <row r="75" spans="1:13" x14ac:dyDescent="0.2">
      <c r="A75" t="str">
        <v>EE Economic</v>
      </c>
      <c r="B75" s="28">
        <f ca="1"/>
        <v>0</v>
      </c>
      <c r="C75" s="28">
        <f ca="1"/>
        <v>0</v>
      </c>
      <c r="D75" s="28">
        <f ca="1"/>
        <v>0</v>
      </c>
      <c r="E75" s="28">
        <f ca="1"/>
        <v>0</v>
      </c>
      <c r="F75" s="28">
        <f ca="1"/>
        <v>0</v>
      </c>
      <c r="G75" s="28">
        <f ca="1"/>
        <v>0</v>
      </c>
      <c r="H75" s="28">
        <f ca="1"/>
        <v>0</v>
      </c>
      <c r="I75" s="28">
        <f ca="1"/>
        <v>0</v>
      </c>
      <c r="J75" s="28">
        <f ca="1"/>
        <v>0</v>
      </c>
      <c r="K75" s="28">
        <f ca="1"/>
        <v>0</v>
      </c>
      <c r="L75" s="1"/>
      <c r="M75" s="4" t="str">
        <f t="shared" si="10"/>
        <v>$M(2015)</v>
      </c>
    </row>
    <row r="76" spans="1:13" x14ac:dyDescent="0.2">
      <c r="A76" t="str">
        <v>CA Economic</v>
      </c>
      <c r="B76" s="28">
        <f ca="1"/>
        <v>0</v>
      </c>
      <c r="C76" s="28">
        <f ca="1"/>
        <v>0</v>
      </c>
      <c r="D76" s="28">
        <f ca="1"/>
        <v>0</v>
      </c>
      <c r="E76" s="28">
        <f ca="1"/>
        <v>0</v>
      </c>
      <c r="F76" s="28">
        <f ca="1"/>
        <v>0</v>
      </c>
      <c r="G76" s="28">
        <f ca="1"/>
        <v>0</v>
      </c>
      <c r="H76" s="28">
        <f ca="1"/>
        <v>0</v>
      </c>
      <c r="I76" s="28">
        <f ca="1"/>
        <v>0</v>
      </c>
      <c r="J76" s="28">
        <f ca="1"/>
        <v>0</v>
      </c>
      <c r="K76" s="28">
        <f ca="1"/>
        <v>0</v>
      </c>
      <c r="L76" s="1"/>
      <c r="M76" s="4" t="str">
        <f t="shared" si="10"/>
        <v>$M(2015)</v>
      </c>
    </row>
    <row r="77" spans="1:13" x14ac:dyDescent="0.2">
      <c r="A77" t="str">
        <v>IA Economic</v>
      </c>
      <c r="B77" s="28">
        <f ca="1"/>
        <v>0</v>
      </c>
      <c r="C77" s="28">
        <f ca="1"/>
        <v>0</v>
      </c>
      <c r="D77" s="28">
        <f ca="1"/>
        <v>0</v>
      </c>
      <c r="E77" s="28">
        <f ca="1"/>
        <v>0</v>
      </c>
      <c r="F77" s="28">
        <f ca="1"/>
        <v>0</v>
      </c>
      <c r="G77" s="28">
        <f ca="1"/>
        <v>0</v>
      </c>
      <c r="H77" s="28">
        <f ca="1"/>
        <v>0</v>
      </c>
      <c r="I77" s="28">
        <f ca="1"/>
        <v>0</v>
      </c>
      <c r="J77" s="28">
        <f ca="1"/>
        <v>0</v>
      </c>
      <c r="K77" s="28">
        <f ca="1"/>
        <v>0</v>
      </c>
      <c r="L77" s="1"/>
      <c r="M77" s="4" t="str">
        <f t="shared" si="10"/>
        <v>$M(2015)</v>
      </c>
    </row>
    <row r="78" spans="1:13" x14ac:dyDescent="0.2">
      <c r="A78" t="str">
        <v>AF Economic</v>
      </c>
      <c r="B78" s="28">
        <f ca="1"/>
        <v>0</v>
      </c>
      <c r="C78" s="28">
        <f ca="1"/>
        <v>0</v>
      </c>
      <c r="D78" s="28">
        <f ca="1"/>
        <v>0</v>
      </c>
      <c r="E78" s="28">
        <f ca="1"/>
        <v>0</v>
      </c>
      <c r="F78" s="28">
        <f ca="1"/>
        <v>0</v>
      </c>
      <c r="G78" s="28">
        <f ca="1"/>
        <v>0</v>
      </c>
      <c r="H78" s="28">
        <f ca="1"/>
        <v>0</v>
      </c>
      <c r="I78" s="28">
        <f ca="1"/>
        <v>0</v>
      </c>
      <c r="J78" s="28">
        <f ca="1"/>
        <v>0</v>
      </c>
      <c r="K78" s="28">
        <f ca="1"/>
        <v>0</v>
      </c>
      <c r="L78" s="1"/>
      <c r="M78" s="4" t="str">
        <f t="shared" si="10"/>
        <v>$M(2015)</v>
      </c>
    </row>
    <row r="79" spans="1:13" x14ac:dyDescent="0.2">
      <c r="A79" t="str">
        <v>LA Economic</v>
      </c>
      <c r="B79" s="28">
        <f ca="1"/>
        <v>0</v>
      </c>
      <c r="C79" s="28">
        <f ca="1"/>
        <v>0</v>
      </c>
      <c r="D79" s="28">
        <f ca="1"/>
        <v>0</v>
      </c>
      <c r="E79" s="28">
        <f ca="1"/>
        <v>0</v>
      </c>
      <c r="F79" s="28">
        <f ca="1"/>
        <v>0</v>
      </c>
      <c r="G79" s="28">
        <f ca="1"/>
        <v>0</v>
      </c>
      <c r="H79" s="28">
        <f ca="1"/>
        <v>0</v>
      </c>
      <c r="I79" s="28">
        <f ca="1"/>
        <v>0</v>
      </c>
      <c r="J79" s="28">
        <f ca="1"/>
        <v>0</v>
      </c>
      <c r="K79" s="28">
        <f ca="1"/>
        <v>0</v>
      </c>
      <c r="L79" s="1"/>
      <c r="M79" s="4" t="str">
        <f t="shared" si="10"/>
        <v>$M(2015)</v>
      </c>
    </row>
    <row r="80" spans="1:13" ht="13.5" thickBot="1" x14ac:dyDescent="0.25">
      <c r="A80" s="2" t="str">
        <f>"Global "&amp;I_1_NAME</f>
        <v>Global Economic</v>
      </c>
      <c r="B80" s="42">
        <f t="shared" ref="B80:K80" ca="1" si="11">SUM(B72:B79)</f>
        <v>0</v>
      </c>
      <c r="C80" s="42">
        <f t="shared" ca="1" si="11"/>
        <v>0</v>
      </c>
      <c r="D80" s="42">
        <f t="shared" ca="1" si="11"/>
        <v>0</v>
      </c>
      <c r="E80" s="42">
        <f t="shared" ca="1" si="11"/>
        <v>0</v>
      </c>
      <c r="F80" s="42">
        <f t="shared" ca="1" si="11"/>
        <v>0</v>
      </c>
      <c r="G80" s="42">
        <f t="shared" ca="1" si="11"/>
        <v>0</v>
      </c>
      <c r="H80" s="42">
        <f t="shared" ca="1" si="11"/>
        <v>0</v>
      </c>
      <c r="I80" s="42">
        <f t="shared" ca="1" si="11"/>
        <v>0</v>
      </c>
      <c r="J80" s="42">
        <f t="shared" ca="1" si="11"/>
        <v>0</v>
      </c>
      <c r="K80" s="42">
        <f t="shared" ca="1" si="11"/>
        <v>0</v>
      </c>
      <c r="L80" s="1"/>
      <c r="M80" s="4" t="str">
        <f t="shared" si="10"/>
        <v>$M(2015)</v>
      </c>
    </row>
    <row r="81" spans="1:13" s="2" customFormat="1" ht="15" thickTop="1" x14ac:dyDescent="0.25">
      <c r="A81" s="2" t="s">
        <v>370</v>
      </c>
      <c r="B81" s="2" t="s">
        <v>377</v>
      </c>
    </row>
    <row r="82" spans="1:13" s="4" customFormat="1" x14ac:dyDescent="0.2">
      <c r="A82" t="str">
        <f t="array" ref="A82:A89">R_CODE&amp;" "&amp;I_2_NAME</f>
        <v>EU Non-econ</v>
      </c>
      <c r="B82" s="27">
        <f t="array" ref="B82:K89" ca="1">atl_2*CP_2*GDP/100*AUTOFAC</f>
        <v>0</v>
      </c>
      <c r="C82" s="27">
        <f ca="1"/>
        <v>0</v>
      </c>
      <c r="D82" s="27">
        <f ca="1"/>
        <v>0</v>
      </c>
      <c r="E82" s="27">
        <f ca="1"/>
        <v>0</v>
      </c>
      <c r="F82" s="27">
        <f ca="1"/>
        <v>0</v>
      </c>
      <c r="G82" s="27">
        <f ca="1"/>
        <v>0</v>
      </c>
      <c r="H82" s="27">
        <f ca="1"/>
        <v>0</v>
      </c>
      <c r="I82" s="27">
        <f ca="1"/>
        <v>0</v>
      </c>
      <c r="J82" s="27">
        <f ca="1"/>
        <v>0</v>
      </c>
      <c r="K82" s="27">
        <f ca="1"/>
        <v>0</v>
      </c>
      <c r="M82" s="4" t="str">
        <f t="shared" ref="M82:M90" si="12">CURRENCY_NAME</f>
        <v>$M(2015)</v>
      </c>
    </row>
    <row r="83" spans="1:13" s="4" customFormat="1" x14ac:dyDescent="0.2">
      <c r="A83" t="str">
        <v>US Non-econ</v>
      </c>
      <c r="B83" s="28">
        <f ca="1"/>
        <v>0</v>
      </c>
      <c r="C83" s="28">
        <f ca="1"/>
        <v>0</v>
      </c>
      <c r="D83" s="28">
        <f ca="1"/>
        <v>0</v>
      </c>
      <c r="E83" s="28">
        <f ca="1"/>
        <v>0</v>
      </c>
      <c r="F83" s="28">
        <f ca="1"/>
        <v>0</v>
      </c>
      <c r="G83" s="28">
        <f ca="1"/>
        <v>0</v>
      </c>
      <c r="H83" s="28">
        <f ca="1"/>
        <v>0</v>
      </c>
      <c r="I83" s="28">
        <f ca="1"/>
        <v>0</v>
      </c>
      <c r="J83" s="28">
        <f ca="1"/>
        <v>0</v>
      </c>
      <c r="K83" s="28">
        <f ca="1"/>
        <v>0</v>
      </c>
      <c r="M83" s="4" t="str">
        <f t="shared" si="12"/>
        <v>$M(2015)</v>
      </c>
    </row>
    <row r="84" spans="1:13" s="4" customFormat="1" x14ac:dyDescent="0.2">
      <c r="A84" t="str">
        <v>OT Non-econ</v>
      </c>
      <c r="B84" s="28">
        <f ca="1"/>
        <v>0</v>
      </c>
      <c r="C84" s="28">
        <f ca="1"/>
        <v>0</v>
      </c>
      <c r="D84" s="28">
        <f ca="1"/>
        <v>0</v>
      </c>
      <c r="E84" s="28">
        <f ca="1"/>
        <v>0</v>
      </c>
      <c r="F84" s="28">
        <f ca="1"/>
        <v>0</v>
      </c>
      <c r="G84" s="28">
        <f ca="1"/>
        <v>0</v>
      </c>
      <c r="H84" s="28">
        <f ca="1"/>
        <v>0</v>
      </c>
      <c r="I84" s="28">
        <f ca="1"/>
        <v>0</v>
      </c>
      <c r="J84" s="28">
        <f ca="1"/>
        <v>0</v>
      </c>
      <c r="K84" s="28">
        <f ca="1"/>
        <v>0</v>
      </c>
      <c r="M84" s="4" t="str">
        <f t="shared" si="12"/>
        <v>$M(2015)</v>
      </c>
    </row>
    <row r="85" spans="1:13" s="4" customFormat="1" x14ac:dyDescent="0.2">
      <c r="A85" t="str">
        <v>EE Non-econ</v>
      </c>
      <c r="B85" s="28">
        <f ca="1"/>
        <v>0</v>
      </c>
      <c r="C85" s="28">
        <f ca="1"/>
        <v>0</v>
      </c>
      <c r="D85" s="28">
        <f ca="1"/>
        <v>0</v>
      </c>
      <c r="E85" s="28">
        <f ca="1"/>
        <v>0</v>
      </c>
      <c r="F85" s="28">
        <f ca="1"/>
        <v>0</v>
      </c>
      <c r="G85" s="28">
        <f ca="1"/>
        <v>0</v>
      </c>
      <c r="H85" s="28">
        <f ca="1"/>
        <v>0</v>
      </c>
      <c r="I85" s="28">
        <f ca="1"/>
        <v>0</v>
      </c>
      <c r="J85" s="28">
        <f ca="1"/>
        <v>0</v>
      </c>
      <c r="K85" s="28">
        <f ca="1"/>
        <v>0</v>
      </c>
      <c r="M85" s="4" t="str">
        <f t="shared" si="12"/>
        <v>$M(2015)</v>
      </c>
    </row>
    <row r="86" spans="1:13" s="4" customFormat="1" x14ac:dyDescent="0.2">
      <c r="A86" t="str">
        <v>CA Non-econ</v>
      </c>
      <c r="B86" s="28">
        <f ca="1"/>
        <v>0</v>
      </c>
      <c r="C86" s="28">
        <f ca="1"/>
        <v>0</v>
      </c>
      <c r="D86" s="28">
        <f ca="1"/>
        <v>0</v>
      </c>
      <c r="E86" s="28">
        <f ca="1"/>
        <v>0</v>
      </c>
      <c r="F86" s="28">
        <f ca="1"/>
        <v>0</v>
      </c>
      <c r="G86" s="28">
        <f ca="1"/>
        <v>0</v>
      </c>
      <c r="H86" s="28">
        <f ca="1"/>
        <v>0</v>
      </c>
      <c r="I86" s="28">
        <f ca="1"/>
        <v>0</v>
      </c>
      <c r="J86" s="28">
        <f ca="1"/>
        <v>0</v>
      </c>
      <c r="K86" s="28">
        <f ca="1"/>
        <v>0</v>
      </c>
      <c r="M86" s="4" t="str">
        <f t="shared" si="12"/>
        <v>$M(2015)</v>
      </c>
    </row>
    <row r="87" spans="1:13" s="4" customFormat="1" x14ac:dyDescent="0.2">
      <c r="A87" t="str">
        <v>IA Non-econ</v>
      </c>
      <c r="B87" s="28">
        <f ca="1"/>
        <v>0</v>
      </c>
      <c r="C87" s="28">
        <f ca="1"/>
        <v>0</v>
      </c>
      <c r="D87" s="28">
        <f ca="1"/>
        <v>0</v>
      </c>
      <c r="E87" s="28">
        <f ca="1"/>
        <v>0</v>
      </c>
      <c r="F87" s="28">
        <f ca="1"/>
        <v>0</v>
      </c>
      <c r="G87" s="28">
        <f ca="1"/>
        <v>0</v>
      </c>
      <c r="H87" s="28">
        <f ca="1"/>
        <v>0</v>
      </c>
      <c r="I87" s="28">
        <f ca="1"/>
        <v>0</v>
      </c>
      <c r="J87" s="28">
        <f ca="1"/>
        <v>0</v>
      </c>
      <c r="K87" s="28">
        <f ca="1"/>
        <v>0</v>
      </c>
      <c r="M87" s="4" t="str">
        <f t="shared" si="12"/>
        <v>$M(2015)</v>
      </c>
    </row>
    <row r="88" spans="1:13" s="4" customFormat="1" x14ac:dyDescent="0.2">
      <c r="A88" t="str">
        <v>AF Non-econ</v>
      </c>
      <c r="B88" s="28">
        <f ca="1"/>
        <v>0</v>
      </c>
      <c r="C88" s="28">
        <f ca="1"/>
        <v>0</v>
      </c>
      <c r="D88" s="28">
        <f ca="1"/>
        <v>0</v>
      </c>
      <c r="E88" s="28">
        <f ca="1"/>
        <v>0</v>
      </c>
      <c r="F88" s="28">
        <f ca="1"/>
        <v>0</v>
      </c>
      <c r="G88" s="28">
        <f ca="1"/>
        <v>0</v>
      </c>
      <c r="H88" s="28">
        <f ca="1"/>
        <v>0</v>
      </c>
      <c r="I88" s="28">
        <f ca="1"/>
        <v>0</v>
      </c>
      <c r="J88" s="28">
        <f ca="1"/>
        <v>0</v>
      </c>
      <c r="K88" s="28">
        <f ca="1"/>
        <v>0</v>
      </c>
      <c r="M88" s="4" t="str">
        <f t="shared" si="12"/>
        <v>$M(2015)</v>
      </c>
    </row>
    <row r="89" spans="1:13" s="4" customFormat="1" x14ac:dyDescent="0.2">
      <c r="A89" t="str">
        <v>LA Non-econ</v>
      </c>
      <c r="B89" s="28">
        <f ca="1"/>
        <v>0</v>
      </c>
      <c r="C89" s="28">
        <f ca="1"/>
        <v>0</v>
      </c>
      <c r="D89" s="28">
        <f ca="1"/>
        <v>0</v>
      </c>
      <c r="E89" s="28">
        <f ca="1"/>
        <v>0</v>
      </c>
      <c r="F89" s="28">
        <f ca="1"/>
        <v>0</v>
      </c>
      <c r="G89" s="28">
        <f ca="1"/>
        <v>0</v>
      </c>
      <c r="H89" s="28">
        <f ca="1"/>
        <v>0</v>
      </c>
      <c r="I89" s="28">
        <f ca="1"/>
        <v>0</v>
      </c>
      <c r="J89" s="28">
        <f ca="1"/>
        <v>0</v>
      </c>
      <c r="K89" s="28">
        <f ca="1"/>
        <v>0</v>
      </c>
      <c r="M89" s="4" t="str">
        <f t="shared" si="12"/>
        <v>$M(2015)</v>
      </c>
    </row>
    <row r="90" spans="1:13" ht="13.5" thickBot="1" x14ac:dyDescent="0.25">
      <c r="A90" s="2" t="str">
        <f>"Global "&amp;I_2_NAME</f>
        <v>Global Non-econ</v>
      </c>
      <c r="B90" s="42">
        <f ca="1">SUM(B82:B89)</f>
        <v>0</v>
      </c>
      <c r="C90" s="42">
        <f t="shared" ref="C90:K90" ca="1" si="13">SUM(C82:C89)</f>
        <v>0</v>
      </c>
      <c r="D90" s="42">
        <f t="shared" ca="1" si="13"/>
        <v>0</v>
      </c>
      <c r="E90" s="42">
        <f t="shared" ca="1" si="13"/>
        <v>0</v>
      </c>
      <c r="F90" s="42">
        <f t="shared" ca="1" si="13"/>
        <v>0</v>
      </c>
      <c r="G90" s="42">
        <f t="shared" ca="1" si="13"/>
        <v>0</v>
      </c>
      <c r="H90" s="42">
        <f t="shared" ca="1" si="13"/>
        <v>0</v>
      </c>
      <c r="I90" s="42">
        <f t="shared" ca="1" si="13"/>
        <v>0</v>
      </c>
      <c r="J90" s="42">
        <f t="shared" ca="1" si="13"/>
        <v>0</v>
      </c>
      <c r="K90" s="42">
        <f t="shared" ca="1" si="13"/>
        <v>0</v>
      </c>
      <c r="L90" s="1"/>
      <c r="M90" s="4" t="str">
        <f t="shared" si="12"/>
        <v>$M(2015)</v>
      </c>
    </row>
    <row r="91" spans="1:13" s="2" customFormat="1" ht="15" thickTop="1" x14ac:dyDescent="0.25">
      <c r="A91" s="2" t="s">
        <v>372</v>
      </c>
      <c r="B91" s="2" t="s">
        <v>378</v>
      </c>
    </row>
    <row r="92" spans="1:13" x14ac:dyDescent="0.2">
      <c r="A92" t="str">
        <f t="array" ref="A92:A99">R_CODE&amp;" "&amp;I_2_NAME</f>
        <v>EU Non-econ</v>
      </c>
      <c r="B92" s="27">
        <f t="array" ref="B92:K99" ca="1">imp_2*CI_2*GDP/100*impmax_2_a*AUTOFAC</f>
        <v>0</v>
      </c>
      <c r="C92" s="27">
        <f ca="1"/>
        <v>0</v>
      </c>
      <c r="D92" s="27">
        <f ca="1"/>
        <v>0</v>
      </c>
      <c r="E92" s="27">
        <f ca="1"/>
        <v>0</v>
      </c>
      <c r="F92" s="27">
        <f ca="1"/>
        <v>0</v>
      </c>
      <c r="G92" s="27">
        <f ca="1"/>
        <v>0</v>
      </c>
      <c r="H92" s="27">
        <f ca="1"/>
        <v>0</v>
      </c>
      <c r="I92" s="27">
        <f ca="1"/>
        <v>0</v>
      </c>
      <c r="J92" s="27">
        <f ca="1"/>
        <v>0</v>
      </c>
      <c r="K92" s="27">
        <f ca="1"/>
        <v>0</v>
      </c>
      <c r="M92" s="4" t="str">
        <f t="shared" ref="M92:M100" si="14">CURRENCY_NAME</f>
        <v>$M(2015)</v>
      </c>
    </row>
    <row r="93" spans="1:13" x14ac:dyDescent="0.2">
      <c r="A93" t="str">
        <v>US Non-econ</v>
      </c>
      <c r="B93" s="28">
        <f ca="1"/>
        <v>0</v>
      </c>
      <c r="C93" s="28">
        <f ca="1"/>
        <v>0</v>
      </c>
      <c r="D93" s="28">
        <f ca="1"/>
        <v>0</v>
      </c>
      <c r="E93" s="28">
        <f ca="1"/>
        <v>0</v>
      </c>
      <c r="F93" s="28">
        <f ca="1"/>
        <v>0</v>
      </c>
      <c r="G93" s="28">
        <f ca="1"/>
        <v>0</v>
      </c>
      <c r="H93" s="28">
        <f ca="1"/>
        <v>0</v>
      </c>
      <c r="I93" s="28">
        <f ca="1"/>
        <v>0</v>
      </c>
      <c r="J93" s="28">
        <f ca="1"/>
        <v>0</v>
      </c>
      <c r="K93" s="28">
        <f ca="1"/>
        <v>0</v>
      </c>
      <c r="M93" s="4" t="str">
        <f t="shared" si="14"/>
        <v>$M(2015)</v>
      </c>
    </row>
    <row r="94" spans="1:13" x14ac:dyDescent="0.2">
      <c r="A94" t="str">
        <v>OT Non-econ</v>
      </c>
      <c r="B94" s="28">
        <f ca="1"/>
        <v>0</v>
      </c>
      <c r="C94" s="28">
        <f ca="1"/>
        <v>0</v>
      </c>
      <c r="D94" s="28">
        <f ca="1"/>
        <v>0</v>
      </c>
      <c r="E94" s="28">
        <f ca="1"/>
        <v>0</v>
      </c>
      <c r="F94" s="28">
        <f ca="1"/>
        <v>0</v>
      </c>
      <c r="G94" s="28">
        <f ca="1"/>
        <v>0</v>
      </c>
      <c r="H94" s="28">
        <f ca="1"/>
        <v>0</v>
      </c>
      <c r="I94" s="28">
        <f ca="1"/>
        <v>0</v>
      </c>
      <c r="J94" s="28">
        <f ca="1"/>
        <v>0</v>
      </c>
      <c r="K94" s="28">
        <f ca="1"/>
        <v>0</v>
      </c>
      <c r="M94" s="4" t="str">
        <f t="shared" si="14"/>
        <v>$M(2015)</v>
      </c>
    </row>
    <row r="95" spans="1:13" x14ac:dyDescent="0.2">
      <c r="A95" t="str">
        <v>EE Non-econ</v>
      </c>
      <c r="B95" s="28">
        <f ca="1"/>
        <v>0</v>
      </c>
      <c r="C95" s="28">
        <f ca="1"/>
        <v>0</v>
      </c>
      <c r="D95" s="28">
        <f ca="1"/>
        <v>0</v>
      </c>
      <c r="E95" s="28">
        <f ca="1"/>
        <v>0</v>
      </c>
      <c r="F95" s="28">
        <f ca="1"/>
        <v>0</v>
      </c>
      <c r="G95" s="28">
        <f ca="1"/>
        <v>0</v>
      </c>
      <c r="H95" s="28">
        <f ca="1"/>
        <v>0</v>
      </c>
      <c r="I95" s="28">
        <f ca="1"/>
        <v>0</v>
      </c>
      <c r="J95" s="28">
        <f ca="1"/>
        <v>0</v>
      </c>
      <c r="K95" s="28">
        <f ca="1"/>
        <v>0</v>
      </c>
      <c r="M95" s="4" t="str">
        <f t="shared" si="14"/>
        <v>$M(2015)</v>
      </c>
    </row>
    <row r="96" spans="1:13" x14ac:dyDescent="0.2">
      <c r="A96" t="str">
        <v>CA Non-econ</v>
      </c>
      <c r="B96" s="28">
        <f ca="1"/>
        <v>0</v>
      </c>
      <c r="C96" s="28">
        <f ca="1"/>
        <v>0</v>
      </c>
      <c r="D96" s="28">
        <f ca="1"/>
        <v>0</v>
      </c>
      <c r="E96" s="28">
        <f ca="1"/>
        <v>0</v>
      </c>
      <c r="F96" s="28">
        <f ca="1"/>
        <v>0</v>
      </c>
      <c r="G96" s="28">
        <f ca="1"/>
        <v>0</v>
      </c>
      <c r="H96" s="28">
        <f ca="1"/>
        <v>0</v>
      </c>
      <c r="I96" s="28">
        <f ca="1"/>
        <v>0</v>
      </c>
      <c r="J96" s="28">
        <f ca="1"/>
        <v>0</v>
      </c>
      <c r="K96" s="28">
        <f ca="1"/>
        <v>0</v>
      </c>
      <c r="M96" s="4" t="str">
        <f t="shared" si="14"/>
        <v>$M(2015)</v>
      </c>
    </row>
    <row r="97" spans="1:13" x14ac:dyDescent="0.2">
      <c r="A97" t="str">
        <v>IA Non-econ</v>
      </c>
      <c r="B97" s="28">
        <f ca="1"/>
        <v>0</v>
      </c>
      <c r="C97" s="28">
        <f ca="1"/>
        <v>0</v>
      </c>
      <c r="D97" s="28">
        <f ca="1"/>
        <v>0</v>
      </c>
      <c r="E97" s="28">
        <f ca="1"/>
        <v>0</v>
      </c>
      <c r="F97" s="28">
        <f ca="1"/>
        <v>0</v>
      </c>
      <c r="G97" s="28">
        <f ca="1"/>
        <v>0</v>
      </c>
      <c r="H97" s="28">
        <f ca="1"/>
        <v>0</v>
      </c>
      <c r="I97" s="28">
        <f ca="1"/>
        <v>0</v>
      </c>
      <c r="J97" s="28">
        <f ca="1"/>
        <v>0</v>
      </c>
      <c r="K97" s="28">
        <f ca="1"/>
        <v>0</v>
      </c>
      <c r="M97" s="4" t="str">
        <f t="shared" si="14"/>
        <v>$M(2015)</v>
      </c>
    </row>
    <row r="98" spans="1:13" x14ac:dyDescent="0.2">
      <c r="A98" t="str">
        <v>AF Non-econ</v>
      </c>
      <c r="B98" s="28">
        <f ca="1"/>
        <v>0</v>
      </c>
      <c r="C98" s="28">
        <f ca="1"/>
        <v>0</v>
      </c>
      <c r="D98" s="28">
        <f ca="1"/>
        <v>0</v>
      </c>
      <c r="E98" s="28">
        <f ca="1"/>
        <v>0</v>
      </c>
      <c r="F98" s="28">
        <f ca="1"/>
        <v>0</v>
      </c>
      <c r="G98" s="28">
        <f ca="1"/>
        <v>0</v>
      </c>
      <c r="H98" s="28">
        <f ca="1"/>
        <v>0</v>
      </c>
      <c r="I98" s="28">
        <f ca="1"/>
        <v>0</v>
      </c>
      <c r="J98" s="28">
        <f ca="1"/>
        <v>0</v>
      </c>
      <c r="K98" s="28">
        <f ca="1"/>
        <v>0</v>
      </c>
      <c r="M98" s="4" t="str">
        <f t="shared" si="14"/>
        <v>$M(2015)</v>
      </c>
    </row>
    <row r="99" spans="1:13" x14ac:dyDescent="0.2">
      <c r="A99" t="str">
        <v>LA Non-econ</v>
      </c>
      <c r="B99" s="28">
        <f ca="1"/>
        <v>0</v>
      </c>
      <c r="C99" s="28">
        <f ca="1"/>
        <v>0</v>
      </c>
      <c r="D99" s="28">
        <f ca="1"/>
        <v>0</v>
      </c>
      <c r="E99" s="28">
        <f ca="1"/>
        <v>0</v>
      </c>
      <c r="F99" s="28">
        <f ca="1"/>
        <v>0</v>
      </c>
      <c r="G99" s="28">
        <f ca="1"/>
        <v>0</v>
      </c>
      <c r="H99" s="28">
        <f ca="1"/>
        <v>0</v>
      </c>
      <c r="I99" s="28">
        <f ca="1"/>
        <v>0</v>
      </c>
      <c r="J99" s="28">
        <f ca="1"/>
        <v>0</v>
      </c>
      <c r="K99" s="28">
        <f ca="1"/>
        <v>0</v>
      </c>
      <c r="M99" s="4" t="str">
        <f t="shared" si="14"/>
        <v>$M(2015)</v>
      </c>
    </row>
    <row r="100" spans="1:13" ht="13.5" thickBot="1" x14ac:dyDescent="0.25">
      <c r="A100" s="2" t="str">
        <f>"Global "&amp;I_2_NAME</f>
        <v>Global Non-econ</v>
      </c>
      <c r="B100" s="42">
        <f t="shared" ref="B100:K100" ca="1" si="15">SUM(B92:B99)</f>
        <v>0</v>
      </c>
      <c r="C100" s="42">
        <f t="shared" ca="1" si="15"/>
        <v>0</v>
      </c>
      <c r="D100" s="42">
        <f t="shared" ca="1" si="15"/>
        <v>0</v>
      </c>
      <c r="E100" s="42">
        <f t="shared" ca="1" si="15"/>
        <v>0</v>
      </c>
      <c r="F100" s="42">
        <f t="shared" ca="1" si="15"/>
        <v>0</v>
      </c>
      <c r="G100" s="42">
        <f t="shared" ca="1" si="15"/>
        <v>0</v>
      </c>
      <c r="H100" s="42">
        <f t="shared" ca="1" si="15"/>
        <v>0</v>
      </c>
      <c r="I100" s="42">
        <f t="shared" ca="1" si="15"/>
        <v>0</v>
      </c>
      <c r="J100" s="42">
        <f t="shared" ca="1" si="15"/>
        <v>0</v>
      </c>
      <c r="K100" s="42">
        <f t="shared" ca="1" si="15"/>
        <v>0</v>
      </c>
      <c r="L100" s="1"/>
      <c r="M100" s="4" t="str">
        <f t="shared" si="14"/>
        <v>$M(2015)</v>
      </c>
    </row>
    <row r="101" spans="1:13" ht="15" thickTop="1" x14ac:dyDescent="0.25">
      <c r="A101" s="44" t="s">
        <v>110</v>
      </c>
      <c r="B101" s="2" t="s">
        <v>94</v>
      </c>
      <c r="C101" s="1"/>
      <c r="D101" s="1"/>
      <c r="E101" s="1"/>
      <c r="F101" s="1"/>
      <c r="G101" s="1"/>
      <c r="H101" s="1"/>
      <c r="I101" s="1"/>
      <c r="J101" s="1"/>
      <c r="K101" s="1"/>
      <c r="L101" s="1"/>
      <c r="M101" s="1"/>
    </row>
    <row r="102" spans="1:13" x14ac:dyDescent="0.2">
      <c r="A102" t="str">
        <f t="array" ref="A102:A109">R_CODE&amp;" "&amp;I_2_NAME</f>
        <v>EU Non-econ</v>
      </c>
      <c r="B102" s="28">
        <f t="array" aca="1" ref="B102:K109" ca="1">acp_2+aci_2</f>
        <v>0</v>
      </c>
      <c r="C102" s="28">
        <f ca="1"/>
        <v>0</v>
      </c>
      <c r="D102" s="28">
        <f ca="1"/>
        <v>0</v>
      </c>
      <c r="E102" s="28">
        <f ca="1"/>
        <v>0</v>
      </c>
      <c r="F102" s="28">
        <f ca="1"/>
        <v>0</v>
      </c>
      <c r="G102" s="28">
        <f ca="1"/>
        <v>0</v>
      </c>
      <c r="H102" s="28">
        <f ca="1"/>
        <v>0</v>
      </c>
      <c r="I102" s="28">
        <f ca="1"/>
        <v>0</v>
      </c>
      <c r="J102" s="28">
        <f ca="1"/>
        <v>0</v>
      </c>
      <c r="K102" s="28">
        <f ca="1"/>
        <v>0</v>
      </c>
      <c r="L102" s="1"/>
      <c r="M102" s="4" t="str">
        <f t="shared" ref="M102:M110" si="16">CURRENCY_NAME</f>
        <v>$M(2015)</v>
      </c>
    </row>
    <row r="103" spans="1:13" x14ac:dyDescent="0.2">
      <c r="A103" t="str">
        <v>US Non-econ</v>
      </c>
      <c r="B103" s="28">
        <f ca="1"/>
        <v>0</v>
      </c>
      <c r="C103" s="28">
        <f ca="1"/>
        <v>0</v>
      </c>
      <c r="D103" s="28">
        <f ca="1"/>
        <v>0</v>
      </c>
      <c r="E103" s="28">
        <f ca="1"/>
        <v>0</v>
      </c>
      <c r="F103" s="28">
        <f ca="1"/>
        <v>0</v>
      </c>
      <c r="G103" s="28">
        <f ca="1"/>
        <v>0</v>
      </c>
      <c r="H103" s="28">
        <f ca="1"/>
        <v>0</v>
      </c>
      <c r="I103" s="28">
        <f ca="1"/>
        <v>0</v>
      </c>
      <c r="J103" s="28">
        <f ca="1"/>
        <v>0</v>
      </c>
      <c r="K103" s="28">
        <f ca="1"/>
        <v>0</v>
      </c>
      <c r="L103" s="1"/>
      <c r="M103" s="4" t="str">
        <f t="shared" si="16"/>
        <v>$M(2015)</v>
      </c>
    </row>
    <row r="104" spans="1:13" x14ac:dyDescent="0.2">
      <c r="A104" t="str">
        <v>OT Non-econ</v>
      </c>
      <c r="B104" s="28">
        <f ca="1"/>
        <v>0</v>
      </c>
      <c r="C104" s="28">
        <f ca="1"/>
        <v>0</v>
      </c>
      <c r="D104" s="28">
        <f ca="1"/>
        <v>0</v>
      </c>
      <c r="E104" s="28">
        <f ca="1"/>
        <v>0</v>
      </c>
      <c r="F104" s="28">
        <f ca="1"/>
        <v>0</v>
      </c>
      <c r="G104" s="28">
        <f ca="1"/>
        <v>0</v>
      </c>
      <c r="H104" s="28">
        <f ca="1"/>
        <v>0</v>
      </c>
      <c r="I104" s="28">
        <f ca="1"/>
        <v>0</v>
      </c>
      <c r="J104" s="28">
        <f ca="1"/>
        <v>0</v>
      </c>
      <c r="K104" s="28">
        <f ca="1"/>
        <v>0</v>
      </c>
      <c r="L104" s="1"/>
      <c r="M104" s="4" t="str">
        <f t="shared" si="16"/>
        <v>$M(2015)</v>
      </c>
    </row>
    <row r="105" spans="1:13" x14ac:dyDescent="0.2">
      <c r="A105" t="str">
        <v>EE Non-econ</v>
      </c>
      <c r="B105" s="28">
        <f ca="1"/>
        <v>0</v>
      </c>
      <c r="C105" s="28">
        <f ca="1"/>
        <v>0</v>
      </c>
      <c r="D105" s="28">
        <f ca="1"/>
        <v>0</v>
      </c>
      <c r="E105" s="28">
        <f ca="1"/>
        <v>0</v>
      </c>
      <c r="F105" s="28">
        <f ca="1"/>
        <v>0</v>
      </c>
      <c r="G105" s="28">
        <f ca="1"/>
        <v>0</v>
      </c>
      <c r="H105" s="28">
        <f ca="1"/>
        <v>0</v>
      </c>
      <c r="I105" s="28">
        <f ca="1"/>
        <v>0</v>
      </c>
      <c r="J105" s="28">
        <f ca="1"/>
        <v>0</v>
      </c>
      <c r="K105" s="28">
        <f ca="1"/>
        <v>0</v>
      </c>
      <c r="L105" s="1"/>
      <c r="M105" s="4" t="str">
        <f t="shared" si="16"/>
        <v>$M(2015)</v>
      </c>
    </row>
    <row r="106" spans="1:13" x14ac:dyDescent="0.2">
      <c r="A106" t="str">
        <v>CA Non-econ</v>
      </c>
      <c r="B106" s="28">
        <f ca="1"/>
        <v>0</v>
      </c>
      <c r="C106" s="28">
        <f ca="1"/>
        <v>0</v>
      </c>
      <c r="D106" s="28">
        <f ca="1"/>
        <v>0</v>
      </c>
      <c r="E106" s="28">
        <f ca="1"/>
        <v>0</v>
      </c>
      <c r="F106" s="28">
        <f ca="1"/>
        <v>0</v>
      </c>
      <c r="G106" s="28">
        <f ca="1"/>
        <v>0</v>
      </c>
      <c r="H106" s="28">
        <f ca="1"/>
        <v>0</v>
      </c>
      <c r="I106" s="28">
        <f ca="1"/>
        <v>0</v>
      </c>
      <c r="J106" s="28">
        <f ca="1"/>
        <v>0</v>
      </c>
      <c r="K106" s="28">
        <f ca="1"/>
        <v>0</v>
      </c>
      <c r="L106" s="1"/>
      <c r="M106" s="4" t="str">
        <f t="shared" si="16"/>
        <v>$M(2015)</v>
      </c>
    </row>
    <row r="107" spans="1:13" x14ac:dyDescent="0.2">
      <c r="A107" t="str">
        <v>IA Non-econ</v>
      </c>
      <c r="B107" s="28">
        <f ca="1"/>
        <v>0</v>
      </c>
      <c r="C107" s="28">
        <f ca="1"/>
        <v>0</v>
      </c>
      <c r="D107" s="28">
        <f ca="1"/>
        <v>0</v>
      </c>
      <c r="E107" s="28">
        <f ca="1"/>
        <v>0</v>
      </c>
      <c r="F107" s="28">
        <f ca="1"/>
        <v>0</v>
      </c>
      <c r="G107" s="28">
        <f ca="1"/>
        <v>0</v>
      </c>
      <c r="H107" s="28">
        <f ca="1"/>
        <v>0</v>
      </c>
      <c r="I107" s="28">
        <f ca="1"/>
        <v>0</v>
      </c>
      <c r="J107" s="28">
        <f ca="1"/>
        <v>0</v>
      </c>
      <c r="K107" s="28">
        <f ca="1"/>
        <v>0</v>
      </c>
      <c r="L107" s="1"/>
      <c r="M107" s="4" t="str">
        <f t="shared" si="16"/>
        <v>$M(2015)</v>
      </c>
    </row>
    <row r="108" spans="1:13" x14ac:dyDescent="0.2">
      <c r="A108" t="str">
        <v>AF Non-econ</v>
      </c>
      <c r="B108" s="28">
        <f ca="1"/>
        <v>0</v>
      </c>
      <c r="C108" s="28">
        <f ca="1"/>
        <v>0</v>
      </c>
      <c r="D108" s="28">
        <f ca="1"/>
        <v>0</v>
      </c>
      <c r="E108" s="28">
        <f ca="1"/>
        <v>0</v>
      </c>
      <c r="F108" s="28">
        <f ca="1"/>
        <v>0</v>
      </c>
      <c r="G108" s="28">
        <f ca="1"/>
        <v>0</v>
      </c>
      <c r="H108" s="28">
        <f ca="1"/>
        <v>0</v>
      </c>
      <c r="I108" s="28">
        <f ca="1"/>
        <v>0</v>
      </c>
      <c r="J108" s="28">
        <f ca="1"/>
        <v>0</v>
      </c>
      <c r="K108" s="28">
        <f ca="1"/>
        <v>0</v>
      </c>
      <c r="L108" s="1"/>
      <c r="M108" s="4" t="str">
        <f t="shared" si="16"/>
        <v>$M(2015)</v>
      </c>
    </row>
    <row r="109" spans="1:13" x14ac:dyDescent="0.2">
      <c r="A109" t="str">
        <v>LA Non-econ</v>
      </c>
      <c r="B109" s="28">
        <f ca="1"/>
        <v>0</v>
      </c>
      <c r="C109" s="28">
        <f ca="1"/>
        <v>0</v>
      </c>
      <c r="D109" s="28">
        <f ca="1"/>
        <v>0</v>
      </c>
      <c r="E109" s="28">
        <f ca="1"/>
        <v>0</v>
      </c>
      <c r="F109" s="28">
        <f ca="1"/>
        <v>0</v>
      </c>
      <c r="G109" s="28">
        <f ca="1"/>
        <v>0</v>
      </c>
      <c r="H109" s="28">
        <f ca="1"/>
        <v>0</v>
      </c>
      <c r="I109" s="28">
        <f ca="1"/>
        <v>0</v>
      </c>
      <c r="J109" s="28">
        <f ca="1"/>
        <v>0</v>
      </c>
      <c r="K109" s="28">
        <f ca="1"/>
        <v>0</v>
      </c>
      <c r="L109" s="1"/>
      <c r="M109" s="4" t="str">
        <f t="shared" si="16"/>
        <v>$M(2015)</v>
      </c>
    </row>
    <row r="110" spans="1:13" ht="13.5" thickBot="1" x14ac:dyDescent="0.25">
      <c r="A110" s="2" t="str">
        <f>"Global "&amp;I_2_NAME</f>
        <v>Global Non-econ</v>
      </c>
      <c r="B110" s="42">
        <f t="shared" ref="B110:K110" ca="1" si="17">SUM(B102:B109)</f>
        <v>0</v>
      </c>
      <c r="C110" s="42">
        <f t="shared" ca="1" si="17"/>
        <v>0</v>
      </c>
      <c r="D110" s="42">
        <f t="shared" ca="1" si="17"/>
        <v>0</v>
      </c>
      <c r="E110" s="42">
        <f t="shared" ca="1" si="17"/>
        <v>0</v>
      </c>
      <c r="F110" s="42">
        <f t="shared" ca="1" si="17"/>
        <v>0</v>
      </c>
      <c r="G110" s="42">
        <f t="shared" ca="1" si="17"/>
        <v>0</v>
      </c>
      <c r="H110" s="42">
        <f t="shared" ca="1" si="17"/>
        <v>0</v>
      </c>
      <c r="I110" s="42">
        <f t="shared" ca="1" si="17"/>
        <v>0</v>
      </c>
      <c r="J110" s="42">
        <f t="shared" ca="1" si="17"/>
        <v>0</v>
      </c>
      <c r="K110" s="42">
        <f t="shared" ca="1" si="17"/>
        <v>0</v>
      </c>
      <c r="L110" s="1"/>
      <c r="M110" s="4" t="str">
        <f t="shared" si="16"/>
        <v>$M(2015)</v>
      </c>
    </row>
    <row r="111" spans="1:13" ht="15" thickTop="1" x14ac:dyDescent="0.25">
      <c r="A111" s="44" t="s">
        <v>107</v>
      </c>
      <c r="B111" s="2" t="s">
        <v>380</v>
      </c>
      <c r="C111" s="1"/>
      <c r="D111" s="1"/>
      <c r="E111" s="1"/>
      <c r="F111" s="1"/>
      <c r="G111" s="1"/>
      <c r="H111" s="1"/>
      <c r="I111" s="1"/>
      <c r="J111" s="1"/>
      <c r="K111" s="1"/>
      <c r="L111" s="1"/>
      <c r="M111" s="1"/>
    </row>
    <row r="112" spans="1:13" x14ac:dyDescent="0.2">
      <c r="A112" t="str">
        <f t="array" ref="A112:A119">R_CODE</f>
        <v>EU</v>
      </c>
      <c r="B112" s="28">
        <f t="array" aca="1" ref="B112:K119" ca="1">ac_s+ac_1+ac_2</f>
        <v>464.47545589045814</v>
      </c>
      <c r="C112" s="28">
        <f ca="1"/>
        <v>1906.7079726018676</v>
      </c>
      <c r="D112" s="28">
        <f ca="1"/>
        <v>3626.5998383074775</v>
      </c>
      <c r="E112" s="28">
        <f ca="1"/>
        <v>8003.7186699278818</v>
      </c>
      <c r="F112" s="28">
        <f ca="1"/>
        <v>13602.17289233952</v>
      </c>
      <c r="G112" s="28">
        <f ca="1"/>
        <v>20071.804389000019</v>
      </c>
      <c r="H112" s="28">
        <f ca="1"/>
        <v>28027.936259275171</v>
      </c>
      <c r="I112" s="28">
        <f ca="1"/>
        <v>31493.428726232887</v>
      </c>
      <c r="J112" s="28">
        <f ca="1"/>
        <v>34966.373394220034</v>
      </c>
      <c r="K112" s="28">
        <f ca="1"/>
        <v>38585.590383256364</v>
      </c>
      <c r="L112" s="1"/>
      <c r="M112" s="4" t="str">
        <f t="shared" ref="M112:M120" si="18">CURRENCY_NAME</f>
        <v>$M(2015)</v>
      </c>
    </row>
    <row r="113" spans="1:13" x14ac:dyDescent="0.2">
      <c r="A113" t="str">
        <v>US</v>
      </c>
      <c r="B113" s="28">
        <f ca="1"/>
        <v>349.14665069667024</v>
      </c>
      <c r="C113" s="28">
        <f ca="1"/>
        <v>1434.1020039258037</v>
      </c>
      <c r="D113" s="28">
        <f ca="1"/>
        <v>2722.8708334422417</v>
      </c>
      <c r="E113" s="28">
        <f ca="1"/>
        <v>5994.6442259516225</v>
      </c>
      <c r="F113" s="28">
        <f ca="1"/>
        <v>10208.497879021728</v>
      </c>
      <c r="G113" s="28">
        <f ca="1"/>
        <v>15145.986928800061</v>
      </c>
      <c r="H113" s="28">
        <f ca="1"/>
        <v>21377.166827909212</v>
      </c>
      <c r="I113" s="28">
        <f ca="1"/>
        <v>24514.90563728573</v>
      </c>
      <c r="J113" s="28">
        <f ca="1"/>
        <v>27804.329236943107</v>
      </c>
      <c r="K113" s="28">
        <f ca="1"/>
        <v>31194.90885516478</v>
      </c>
      <c r="L113" s="1"/>
      <c r="M113" s="4" t="str">
        <f t="shared" si="18"/>
        <v>$M(2015)</v>
      </c>
    </row>
    <row r="114" spans="1:13" x14ac:dyDescent="0.2">
      <c r="A114" t="str">
        <v>OT</v>
      </c>
      <c r="B114" s="28">
        <f ca="1"/>
        <v>205.66595346850869</v>
      </c>
      <c r="C114" s="28">
        <f ca="1"/>
        <v>840.20048025139261</v>
      </c>
      <c r="D114" s="28">
        <f ca="1"/>
        <v>1594.8825625294885</v>
      </c>
      <c r="E114" s="28">
        <f ca="1"/>
        <v>3506.2291307769819</v>
      </c>
      <c r="F114" s="28">
        <f ca="1"/>
        <v>5943.5774959591927</v>
      </c>
      <c r="G114" s="28">
        <f ca="1"/>
        <v>8727.1970604000271</v>
      </c>
      <c r="H114" s="28">
        <f ca="1"/>
        <v>12034.252292474468</v>
      </c>
      <c r="I114" s="28">
        <f ca="1"/>
        <v>13283.718806442685</v>
      </c>
      <c r="J114" s="28">
        <f ca="1"/>
        <v>14409.711301047451</v>
      </c>
      <c r="K114" s="28">
        <f ca="1"/>
        <v>15457.977856107169</v>
      </c>
      <c r="L114" s="1"/>
      <c r="M114" s="4" t="str">
        <f t="shared" si="18"/>
        <v>$M(2015)</v>
      </c>
    </row>
    <row r="115" spans="1:13" x14ac:dyDescent="0.2">
      <c r="A115" t="str">
        <v>EE</v>
      </c>
      <c r="B115" s="28">
        <f ca="1"/>
        <v>46.315807735790891</v>
      </c>
      <c r="C115" s="28">
        <f ca="1"/>
        <v>202.0054479970691</v>
      </c>
      <c r="D115" s="28">
        <f ca="1"/>
        <v>404.39819417897826</v>
      </c>
      <c r="E115" s="28">
        <f ca="1"/>
        <v>933.49686492094793</v>
      </c>
      <c r="F115" s="28">
        <f ca="1"/>
        <v>1536.5329820078207</v>
      </c>
      <c r="G115" s="28">
        <f ca="1"/>
        <v>2144.1612738000035</v>
      </c>
      <c r="H115" s="28">
        <f ca="1"/>
        <v>2817.1213750574379</v>
      </c>
      <c r="I115" s="28">
        <f ca="1"/>
        <v>2898.63753837687</v>
      </c>
      <c r="J115" s="28">
        <f ca="1"/>
        <v>2955.3470790521756</v>
      </c>
      <c r="K115" s="28">
        <f ca="1"/>
        <v>2977.7245934687357</v>
      </c>
      <c r="L115" s="1"/>
      <c r="M115" s="4" t="str">
        <f t="shared" si="18"/>
        <v>$M(2015)</v>
      </c>
    </row>
    <row r="116" spans="1:13" x14ac:dyDescent="0.2">
      <c r="A116" t="str">
        <v>CA</v>
      </c>
      <c r="B116" s="28">
        <f ca="1"/>
        <v>256.85667176117181</v>
      </c>
      <c r="C116" s="28">
        <f ca="1"/>
        <v>945.3869428560339</v>
      </c>
      <c r="D116" s="28">
        <f ca="1"/>
        <v>1922.6411692760917</v>
      </c>
      <c r="E116" s="28">
        <f ca="1"/>
        <v>4464.0617631023324</v>
      </c>
      <c r="F116" s="28">
        <f ca="1"/>
        <v>7219.4402761509236</v>
      </c>
      <c r="G116" s="28">
        <f ca="1"/>
        <v>9604.9029660018059</v>
      </c>
      <c r="H116" s="28">
        <f ca="1"/>
        <v>11566.690857384699</v>
      </c>
      <c r="I116" s="28">
        <f ca="1"/>
        <v>12853.785660674106</v>
      </c>
      <c r="J116" s="28">
        <f ca="1"/>
        <v>13580.10576587333</v>
      </c>
      <c r="K116" s="28">
        <f ca="1"/>
        <v>13053.631394077227</v>
      </c>
      <c r="L116" s="1"/>
      <c r="M116" s="4" t="str">
        <f t="shared" si="18"/>
        <v>$M(2015)</v>
      </c>
    </row>
    <row r="117" spans="1:13" x14ac:dyDescent="0.2">
      <c r="A117" t="str">
        <v>IA</v>
      </c>
      <c r="B117" s="28">
        <f ca="1"/>
        <v>195.6753364708008</v>
      </c>
      <c r="C117" s="28">
        <f ca="1"/>
        <v>722.74297703760021</v>
      </c>
      <c r="D117" s="28">
        <f ca="1"/>
        <v>1524.6771957863448</v>
      </c>
      <c r="E117" s="28">
        <f ca="1"/>
        <v>4107.5044413551241</v>
      </c>
      <c r="F117" s="28">
        <f ca="1"/>
        <v>7998.0699924454411</v>
      </c>
      <c r="G117" s="28">
        <f ca="1"/>
        <v>12938.805360369821</v>
      </c>
      <c r="H117" s="28">
        <f ca="1"/>
        <v>18621.822112181595</v>
      </c>
      <c r="I117" s="28">
        <f ca="1"/>
        <v>24369.887864012617</v>
      </c>
      <c r="J117" s="28">
        <f ca="1"/>
        <v>29953.497468366262</v>
      </c>
      <c r="K117" s="28">
        <f ca="1"/>
        <v>33293.967853949318</v>
      </c>
      <c r="L117" s="1"/>
      <c r="M117" s="4" t="str">
        <f t="shared" si="18"/>
        <v>$M(2015)</v>
      </c>
    </row>
    <row r="118" spans="1:13" x14ac:dyDescent="0.2">
      <c r="A118" t="str">
        <v>AF</v>
      </c>
      <c r="B118" s="28">
        <f ca="1"/>
        <v>66.955072610716797</v>
      </c>
      <c r="C118" s="28">
        <f ca="1"/>
        <v>234.23609264915285</v>
      </c>
      <c r="D118" s="28">
        <f ca="1"/>
        <v>484.22339152124852</v>
      </c>
      <c r="E118" s="28">
        <f ca="1"/>
        <v>1347.3798957335341</v>
      </c>
      <c r="F118" s="28">
        <f ca="1"/>
        <v>2839.30775896568</v>
      </c>
      <c r="G118" s="28">
        <f ca="1"/>
        <v>5111.3073114133585</v>
      </c>
      <c r="H118" s="28">
        <f ca="1"/>
        <v>8278.0914237379329</v>
      </c>
      <c r="I118" s="28">
        <f ca="1"/>
        <v>12187.228416495313</v>
      </c>
      <c r="J118" s="28">
        <f ca="1"/>
        <v>16912.690117164821</v>
      </c>
      <c r="K118" s="28">
        <f ca="1"/>
        <v>21272.761359254189</v>
      </c>
      <c r="L118" s="1"/>
      <c r="M118" s="4" t="str">
        <f t="shared" si="18"/>
        <v>$M(2015)</v>
      </c>
    </row>
    <row r="119" spans="1:13" x14ac:dyDescent="0.2">
      <c r="A119" t="str">
        <v>LA</v>
      </c>
      <c r="B119" s="28">
        <f ca="1"/>
        <v>68.015999177934134</v>
      </c>
      <c r="C119" s="28">
        <f ca="1"/>
        <v>219.95165291392979</v>
      </c>
      <c r="D119" s="28">
        <f ca="1"/>
        <v>416.44721257169283</v>
      </c>
      <c r="E119" s="28">
        <f ca="1"/>
        <v>978.78177920623421</v>
      </c>
      <c r="F119" s="28">
        <f ca="1"/>
        <v>1760.992400093601</v>
      </c>
      <c r="G119" s="28">
        <f ca="1"/>
        <v>2679.0190248640024</v>
      </c>
      <c r="H119" s="28">
        <f ca="1"/>
        <v>3662.5088755685583</v>
      </c>
      <c r="I119" s="28">
        <f ca="1"/>
        <v>4622.2977862228454</v>
      </c>
      <c r="J119" s="28">
        <f ca="1"/>
        <v>5514.4970112173614</v>
      </c>
      <c r="K119" s="28">
        <f ca="1"/>
        <v>5954.461463445311</v>
      </c>
      <c r="L119" s="1"/>
      <c r="M119" s="4" t="str">
        <f t="shared" si="18"/>
        <v>$M(2015)</v>
      </c>
    </row>
    <row r="120" spans="1:13" ht="13.5" thickBot="1" x14ac:dyDescent="0.25">
      <c r="A120" s="2" t="s">
        <v>204</v>
      </c>
      <c r="B120" s="42">
        <f t="shared" ref="B120:K120" ca="1" si="19">SUM(B112:B119)</f>
        <v>1653.1069478120517</v>
      </c>
      <c r="C120" s="42">
        <f t="shared" ca="1" si="19"/>
        <v>6505.3335702328504</v>
      </c>
      <c r="D120" s="42">
        <f t="shared" ca="1" si="19"/>
        <v>12696.740397613565</v>
      </c>
      <c r="E120" s="42">
        <f t="shared" ca="1" si="19"/>
        <v>29335.816770974659</v>
      </c>
      <c r="F120" s="42">
        <f t="shared" ca="1" si="19"/>
        <v>51108.59167698391</v>
      </c>
      <c r="G120" s="42">
        <f t="shared" ca="1" si="19"/>
        <v>76423.184314649101</v>
      </c>
      <c r="H120" s="42">
        <f t="shared" ca="1" si="19"/>
        <v>106385.59002358907</v>
      </c>
      <c r="I120" s="42">
        <f t="shared" ca="1" si="19"/>
        <v>126223.89043574307</v>
      </c>
      <c r="J120" s="42">
        <f t="shared" ca="1" si="19"/>
        <v>146096.55137388455</v>
      </c>
      <c r="K120" s="42">
        <f t="shared" ca="1" si="19"/>
        <v>161791.02375872308</v>
      </c>
      <c r="L120" s="1"/>
      <c r="M120" s="4" t="str">
        <f t="shared" si="18"/>
        <v>$M(2015)</v>
      </c>
    </row>
    <row r="121" spans="1:13" ht="15" thickTop="1" x14ac:dyDescent="0.25">
      <c r="A121" s="44" t="s">
        <v>382</v>
      </c>
      <c r="B121" s="2" t="s">
        <v>384</v>
      </c>
      <c r="C121" s="1"/>
      <c r="D121" s="1"/>
      <c r="E121" s="1"/>
      <c r="F121" s="1"/>
      <c r="G121" s="1"/>
      <c r="H121" s="1"/>
      <c r="I121" s="1"/>
      <c r="J121" s="1"/>
      <c r="K121" s="1"/>
      <c r="L121" s="1"/>
      <c r="M121" s="1"/>
    </row>
    <row r="122" spans="1:13" x14ac:dyDescent="0.2">
      <c r="A122" t="str">
        <f t="array" ref="A122:A129">R_CODE</f>
        <v>EU</v>
      </c>
      <c r="B122" s="28">
        <f t="array" aca="1" ref="B122:K129" ca="1">act/POP</f>
        <v>0.88687067212970594</v>
      </c>
      <c r="C122" s="28">
        <f ca="1"/>
        <v>3.545595819390269</v>
      </c>
      <c r="D122" s="28">
        <f ca="1"/>
        <v>6.5619150499344574</v>
      </c>
      <c r="E122" s="28">
        <f ca="1"/>
        <v>13.709481474125754</v>
      </c>
      <c r="F122" s="28">
        <f ca="1"/>
        <v>21.99511154646132</v>
      </c>
      <c r="G122" s="28">
        <f ca="1"/>
        <v>30.685905762836271</v>
      </c>
      <c r="H122" s="28">
        <f ca="1"/>
        <v>40.924103427883551</v>
      </c>
      <c r="I122" s="28">
        <f ca="1"/>
        <v>44.381257796500982</v>
      </c>
      <c r="J122" s="28">
        <f ca="1"/>
        <v>48.104806156485523</v>
      </c>
      <c r="K122" s="28">
        <f ca="1"/>
        <v>52.294768547527866</v>
      </c>
      <c r="L122" s="1"/>
      <c r="M122" s="1" t="str">
        <f t="shared" ref="M122:M130" si="20">CURRENCY_NAME&amp;"/"&amp;POP_UNIT_NAME</f>
        <v>$M(2015)/million</v>
      </c>
    </row>
    <row r="123" spans="1:13" x14ac:dyDescent="0.2">
      <c r="A123" t="str">
        <v>US</v>
      </c>
      <c r="B123" s="28">
        <f ca="1"/>
        <v>1.0073329891278839</v>
      </c>
      <c r="C123" s="28">
        <f ca="1"/>
        <v>3.9093072620325429</v>
      </c>
      <c r="D123" s="28">
        <f ca="1"/>
        <v>7.015177084150678</v>
      </c>
      <c r="E123" s="28">
        <f ca="1"/>
        <v>13.888322056639971</v>
      </c>
      <c r="F123" s="28">
        <f ca="1"/>
        <v>21.346106384536803</v>
      </c>
      <c r="G123" s="28">
        <f ca="1"/>
        <v>28.583320145917504</v>
      </c>
      <c r="H123" s="28">
        <f ca="1"/>
        <v>36.674444282642121</v>
      </c>
      <c r="I123" s="28">
        <f ca="1"/>
        <v>38.674424672983015</v>
      </c>
      <c r="J123" s="28">
        <f ca="1"/>
        <v>40.981530579464092</v>
      </c>
      <c r="K123" s="28">
        <f ca="1"/>
        <v>43.685882052906202</v>
      </c>
      <c r="L123" s="1"/>
      <c r="M123" s="1" t="str">
        <f t="shared" si="20"/>
        <v>$M(2015)/million</v>
      </c>
    </row>
    <row r="124" spans="1:13" x14ac:dyDescent="0.2">
      <c r="A124" t="str">
        <v>OT</v>
      </c>
      <c r="B124" s="28">
        <f ca="1"/>
        <v>0.65434735296544044</v>
      </c>
      <c r="C124" s="28">
        <f ca="1"/>
        <v>2.5987618006711615</v>
      </c>
      <c r="D124" s="28">
        <f ca="1"/>
        <v>4.8070340451366649</v>
      </c>
      <c r="E124" s="28">
        <f ca="1"/>
        <v>10.093934623379155</v>
      </c>
      <c r="F124" s="28">
        <f ca="1"/>
        <v>16.413417475454597</v>
      </c>
      <c r="G124" s="28">
        <f ca="1"/>
        <v>23.240732172787684</v>
      </c>
      <c r="H124" s="28">
        <f ca="1"/>
        <v>31.348260284807502</v>
      </c>
      <c r="I124" s="28">
        <f ca="1"/>
        <v>34.30827689577049</v>
      </c>
      <c r="J124" s="28">
        <f ca="1"/>
        <v>37.428599298290521</v>
      </c>
      <c r="K124" s="28">
        <f ca="1"/>
        <v>40.863851792606447</v>
      </c>
      <c r="L124" s="1"/>
      <c r="M124" s="1" t="str">
        <f t="shared" si="20"/>
        <v>$M(2015)/million</v>
      </c>
    </row>
    <row r="125" spans="1:13" x14ac:dyDescent="0.2">
      <c r="A125" t="str">
        <v>EE</v>
      </c>
      <c r="B125" s="28">
        <f ca="1"/>
        <v>0.16578483867729124</v>
      </c>
      <c r="C125" s="28">
        <f ca="1"/>
        <v>0.72617595271021329</v>
      </c>
      <c r="D125" s="28">
        <f ca="1"/>
        <v>1.463439874134121</v>
      </c>
      <c r="E125" s="28">
        <f ca="1"/>
        <v>3.4255257196782054</v>
      </c>
      <c r="F125" s="28">
        <f ca="1"/>
        <v>5.7849432135500649</v>
      </c>
      <c r="G125" s="28">
        <f ca="1"/>
        <v>8.3962927274151333</v>
      </c>
      <c r="H125" s="28">
        <f ca="1"/>
        <v>11.633738349449043</v>
      </c>
      <c r="I125" s="28">
        <f ca="1"/>
        <v>12.868363743776404</v>
      </c>
      <c r="J125" s="28">
        <f ca="1"/>
        <v>14.341402133498512</v>
      </c>
      <c r="K125" s="28">
        <f ca="1"/>
        <v>15.997145139806554</v>
      </c>
      <c r="L125" s="1"/>
      <c r="M125" s="1" t="str">
        <f t="shared" si="20"/>
        <v>$M(2015)/million</v>
      </c>
    </row>
    <row r="126" spans="1:13" x14ac:dyDescent="0.2">
      <c r="A126" t="str">
        <v>CA</v>
      </c>
      <c r="B126" s="28">
        <f ca="1"/>
        <v>0.18621951347196067</v>
      </c>
      <c r="C126" s="28">
        <f ca="1"/>
        <v>0.68538135674326506</v>
      </c>
      <c r="D126" s="28">
        <f ca="1"/>
        <v>1.4049002899297347</v>
      </c>
      <c r="E126" s="28">
        <f ca="1"/>
        <v>3.3843160372984769</v>
      </c>
      <c r="F126" s="28">
        <f ca="1"/>
        <v>5.8426964889720061</v>
      </c>
      <c r="G126" s="28">
        <f ca="1"/>
        <v>8.5067873122282069</v>
      </c>
      <c r="H126" s="28">
        <f ca="1"/>
        <v>11.439585621543729</v>
      </c>
      <c r="I126" s="28">
        <f ca="1"/>
        <v>14.413612378682776</v>
      </c>
      <c r="J126" s="28">
        <f ca="1"/>
        <v>17.587666668229421</v>
      </c>
      <c r="K126" s="28">
        <f ca="1"/>
        <v>19.991073741298987</v>
      </c>
      <c r="L126" s="1"/>
      <c r="M126" s="1" t="str">
        <f t="shared" si="20"/>
        <v>$M(2015)/million</v>
      </c>
    </row>
    <row r="127" spans="1:13" x14ac:dyDescent="0.2">
      <c r="A127" t="str">
        <v>IA</v>
      </c>
      <c r="B127" s="28">
        <f ca="1"/>
        <v>7.6540458010116122E-2</v>
      </c>
      <c r="C127" s="28">
        <f ca="1"/>
        <v>0.27245960830939209</v>
      </c>
      <c r="D127" s="28">
        <f ca="1"/>
        <v>0.55888912418427339</v>
      </c>
      <c r="E127" s="28">
        <f ca="1"/>
        <v>1.450594616491671</v>
      </c>
      <c r="F127" s="28">
        <f ca="1"/>
        <v>2.7964595245729797</v>
      </c>
      <c r="G127" s="28">
        <f ca="1"/>
        <v>4.5969255170223882</v>
      </c>
      <c r="H127" s="28">
        <f ca="1"/>
        <v>6.8828740070084571</v>
      </c>
      <c r="I127" s="28">
        <f ca="1"/>
        <v>9.5851306148248927</v>
      </c>
      <c r="J127" s="28">
        <f ca="1"/>
        <v>12.809036979099231</v>
      </c>
      <c r="K127" s="28">
        <f ca="1"/>
        <v>15.771559840678062</v>
      </c>
      <c r="L127" s="1"/>
      <c r="M127" s="1" t="str">
        <f t="shared" si="20"/>
        <v>$M(2015)/million</v>
      </c>
    </row>
    <row r="128" spans="1:13" x14ac:dyDescent="0.2">
      <c r="A128" t="str">
        <v>AF</v>
      </c>
      <c r="B128" s="28">
        <f ca="1"/>
        <v>4.4788742997124459E-2</v>
      </c>
      <c r="C128" s="28">
        <f ca="1"/>
        <v>0.14493538631929992</v>
      </c>
      <c r="D128" s="28">
        <f ca="1"/>
        <v>0.28029478242242328</v>
      </c>
      <c r="E128" s="28">
        <f ca="1"/>
        <v>0.69777396516129098</v>
      </c>
      <c r="F128" s="28">
        <f ca="1"/>
        <v>1.3615996937407389</v>
      </c>
      <c r="G128" s="28">
        <f ca="1"/>
        <v>2.339603550716634</v>
      </c>
      <c r="H128" s="28">
        <f ca="1"/>
        <v>3.7009735061141251</v>
      </c>
      <c r="I128" s="28">
        <f ca="1"/>
        <v>5.4364760842115176</v>
      </c>
      <c r="J128" s="28">
        <f ca="1"/>
        <v>7.6727605509376176</v>
      </c>
      <c r="K128" s="28">
        <f ca="1"/>
        <v>9.9864195560324784</v>
      </c>
      <c r="L128" s="1"/>
      <c r="M128" s="1" t="str">
        <f t="shared" si="20"/>
        <v>$M(2015)/million</v>
      </c>
    </row>
    <row r="129" spans="1:14" x14ac:dyDescent="0.2">
      <c r="A129" t="str">
        <v>LA</v>
      </c>
      <c r="B129" s="28">
        <f ca="1"/>
        <v>0.10763847546647007</v>
      </c>
      <c r="C129" s="28">
        <f ca="1"/>
        <v>0.34022831695201317</v>
      </c>
      <c r="D129" s="28">
        <f ca="1"/>
        <v>0.63497761678885134</v>
      </c>
      <c r="E129" s="28">
        <f ca="1"/>
        <v>1.4777800865973414</v>
      </c>
      <c r="F129" s="28">
        <f ca="1"/>
        <v>2.7020834981063082</v>
      </c>
      <c r="G129" s="28">
        <f ca="1"/>
        <v>4.2753453244252322</v>
      </c>
      <c r="H129" s="28">
        <f ca="1"/>
        <v>6.1793220149831249</v>
      </c>
      <c r="I129" s="28">
        <f ca="1"/>
        <v>8.3638412677457232</v>
      </c>
      <c r="J129" s="28">
        <f ca="1"/>
        <v>10.907010022344812</v>
      </c>
      <c r="K129" s="28">
        <f ca="1"/>
        <v>13.190936892539645</v>
      </c>
      <c r="L129" s="1"/>
      <c r="M129" s="1" t="str">
        <f t="shared" si="20"/>
        <v>$M(2015)/million</v>
      </c>
    </row>
    <row r="130" spans="1:14" ht="13.5" thickBot="1" x14ac:dyDescent="0.25">
      <c r="A130" s="2" t="s">
        <v>383</v>
      </c>
      <c r="B130" s="36">
        <f t="array" aca="1" ref="B130:K130" ca="1">act_g/POP_G</f>
        <v>0.2196344694878041</v>
      </c>
      <c r="C130" s="36">
        <f ca="1"/>
        <v>0.8339380071932726</v>
      </c>
      <c r="D130" s="36">
        <f ca="1"/>
        <v>1.5813799136000599</v>
      </c>
      <c r="E130" s="36">
        <f ca="1"/>
        <v>3.5010037010402297</v>
      </c>
      <c r="F130" s="36">
        <f ca="1"/>
        <v>5.9726700659178329</v>
      </c>
      <c r="G130" s="36">
        <f ca="1"/>
        <v>8.9175878981926324</v>
      </c>
      <c r="H130" s="36">
        <f ca="1"/>
        <v>12.605100226619099</v>
      </c>
      <c r="I130" s="36">
        <f ca="1"/>
        <v>15.422152898411934</v>
      </c>
      <c r="J130" s="36">
        <f ca="1"/>
        <v>18.689954401560591</v>
      </c>
      <c r="K130" s="36">
        <f ca="1"/>
        <v>21.976795231765564</v>
      </c>
      <c r="L130" s="1"/>
      <c r="M130" s="1" t="str">
        <f t="shared" si="20"/>
        <v>$M(2015)/million</v>
      </c>
      <c r="N130" s="7"/>
    </row>
    <row r="131" spans="1:14" ht="15" thickTop="1" x14ac:dyDescent="0.25">
      <c r="A131" s="44" t="s">
        <v>393</v>
      </c>
      <c r="B131" s="2" t="s">
        <v>394</v>
      </c>
      <c r="C131" s="1"/>
      <c r="D131" s="1"/>
      <c r="E131" s="1"/>
      <c r="F131" s="1"/>
      <c r="G131" s="1"/>
      <c r="H131" s="1"/>
      <c r="I131" s="1"/>
      <c r="J131" s="1"/>
      <c r="K131" s="1"/>
      <c r="L131" s="1"/>
      <c r="M131" s="1"/>
    </row>
    <row r="132" spans="1:14" x14ac:dyDescent="0.2">
      <c r="A132" t="str">
        <f t="array" ref="A132:A139">R_CODE</f>
        <v>EU</v>
      </c>
      <c r="B132" s="29">
        <f t="array" aca="1" ref="B132:K139" ca="1" xml:space="preserve"> (((CONS_PER_CAP_FOCUS_0)^EMUC)/(1-EMUC))*( (CONS_PER_CAP)^(1-EMUC) - (CONS_PER_CAP-act_per_cap) ^(1-EMUC))</f>
        <v>0.78824671222467413</v>
      </c>
      <c r="C132" s="29">
        <f ca="1"/>
        <v>2.7658306748435519</v>
      </c>
      <c r="D132" s="29">
        <f ca="1"/>
        <v>4.4846437704924291</v>
      </c>
      <c r="E132" s="29">
        <f ca="1"/>
        <v>7.2537849899091498</v>
      </c>
      <c r="F132" s="29">
        <f ca="1"/>
        <v>9.3117401580956507</v>
      </c>
      <c r="G132" s="29">
        <f ca="1"/>
        <v>10.56269277145034</v>
      </c>
      <c r="H132" s="29">
        <f ca="1"/>
        <v>11.379341427824814</v>
      </c>
      <c r="I132" s="29">
        <f ca="1"/>
        <v>10.039978794244602</v>
      </c>
      <c r="J132" s="29">
        <f ca="1"/>
        <v>8.8590672781550026</v>
      </c>
      <c r="K132" s="29">
        <f ca="1"/>
        <v>7.8132293822309213</v>
      </c>
      <c r="L132" s="1"/>
      <c r="M132" s="1" t="str">
        <f t="shared" ref="M132:M139" si="21">CURRENCY_NAME&amp;"/"&amp;POP_UNIT_NAME</f>
        <v>$M(2015)/million</v>
      </c>
    </row>
    <row r="133" spans="1:14" x14ac:dyDescent="0.2">
      <c r="A133" t="str">
        <v>US</v>
      </c>
      <c r="B133" s="26">
        <f ca="1"/>
        <v>0.59481288307675151</v>
      </c>
      <c r="C133" s="26">
        <f ca="1"/>
        <v>2.0974457521820877</v>
      </c>
      <c r="D133" s="26">
        <f ca="1"/>
        <v>3.4184069653442819</v>
      </c>
      <c r="E133" s="26">
        <f ca="1"/>
        <v>5.5789405162820254</v>
      </c>
      <c r="F133" s="26">
        <f ca="1"/>
        <v>7.2130620465876953</v>
      </c>
      <c r="G133" s="26">
        <f ca="1"/>
        <v>8.2381620481764148</v>
      </c>
      <c r="H133" s="26">
        <f ca="1"/>
        <v>8.9324127944790082</v>
      </c>
      <c r="I133" s="26">
        <f ca="1"/>
        <v>7.9179581409223978</v>
      </c>
      <c r="J133" s="26">
        <f ca="1"/>
        <v>7.0130624481463997</v>
      </c>
      <c r="K133" s="26">
        <f ca="1"/>
        <v>6.2054239638014437</v>
      </c>
      <c r="L133" s="1"/>
      <c r="M133" s="1" t="str">
        <f t="shared" si="21"/>
        <v>$M(2015)/million</v>
      </c>
    </row>
    <row r="134" spans="1:14" x14ac:dyDescent="0.2">
      <c r="A134" t="str">
        <v>OT</v>
      </c>
      <c r="B134" s="26">
        <f ca="1"/>
        <v>0.63915739425370344</v>
      </c>
      <c r="C134" s="26">
        <f ca="1"/>
        <v>2.2451548111694413</v>
      </c>
      <c r="D134" s="26">
        <f ca="1"/>
        <v>3.6406925476056213</v>
      </c>
      <c r="E134" s="26">
        <f ca="1"/>
        <v>5.8836922160315783</v>
      </c>
      <c r="F134" s="26">
        <f ca="1"/>
        <v>7.5359777973777335</v>
      </c>
      <c r="G134" s="26">
        <f ca="1"/>
        <v>8.527220142880914</v>
      </c>
      <c r="H134" s="26">
        <f ca="1"/>
        <v>9.1691089797764995</v>
      </c>
      <c r="I134" s="26">
        <f ca="1"/>
        <v>8.0776313233192738</v>
      </c>
      <c r="J134" s="26">
        <f ca="1"/>
        <v>7.1198657708819351</v>
      </c>
      <c r="K134" s="26">
        <f ca="1"/>
        <v>6.2748752087300295</v>
      </c>
      <c r="L134" s="1"/>
      <c r="M134" s="1" t="str">
        <f t="shared" si="21"/>
        <v>$M(2015)/million</v>
      </c>
    </row>
    <row r="135" spans="1:14" x14ac:dyDescent="0.2">
      <c r="A135" t="str">
        <v>EE</v>
      </c>
      <c r="B135" s="26">
        <f ca="1"/>
        <v>0.35791570942764872</v>
      </c>
      <c r="C135" s="26">
        <f ca="1"/>
        <v>1.2368658145817419</v>
      </c>
      <c r="D135" s="26">
        <f ca="1"/>
        <v>1.9771990726631963</v>
      </c>
      <c r="E135" s="26">
        <f ca="1"/>
        <v>3.1379369554280738</v>
      </c>
      <c r="F135" s="26">
        <f ca="1"/>
        <v>3.9938011753467593</v>
      </c>
      <c r="G135" s="26">
        <f ca="1"/>
        <v>4.5004799126057797</v>
      </c>
      <c r="H135" s="26">
        <f ca="1"/>
        <v>4.8175840834949275</v>
      </c>
      <c r="I135" s="26">
        <f ca="1"/>
        <v>4.2366302276558843</v>
      </c>
      <c r="J135" s="26">
        <f ca="1"/>
        <v>3.7210726812625832</v>
      </c>
      <c r="K135" s="26">
        <f ca="1"/>
        <v>3.2677763337509771</v>
      </c>
      <c r="L135" s="1"/>
      <c r="M135" s="1" t="str">
        <f t="shared" si="21"/>
        <v>$M(2015)/million</v>
      </c>
    </row>
    <row r="136" spans="1:14" x14ac:dyDescent="0.2">
      <c r="A136" t="str">
        <v>CA</v>
      </c>
      <c r="B136" s="26">
        <f ca="1"/>
        <v>0.37850159932155286</v>
      </c>
      <c r="C136" s="26">
        <f ca="1"/>
        <v>0.9625957457657518</v>
      </c>
      <c r="D136" s="26">
        <f ca="1"/>
        <v>1.4430004764077144</v>
      </c>
      <c r="E136" s="26">
        <f ca="1"/>
        <v>2.1896007018507051</v>
      </c>
      <c r="F136" s="26">
        <f ca="1"/>
        <v>2.7345516235198066</v>
      </c>
      <c r="G136" s="26">
        <f ca="1"/>
        <v>3.1345552185133574</v>
      </c>
      <c r="H136" s="26">
        <f ca="1"/>
        <v>3.4097001466273991</v>
      </c>
      <c r="I136" s="26">
        <f ca="1"/>
        <v>3.5467620661718557</v>
      </c>
      <c r="J136" s="26">
        <f ca="1"/>
        <v>3.5712345878258436</v>
      </c>
      <c r="K136" s="26">
        <f ca="1"/>
        <v>3.3498967500496297</v>
      </c>
      <c r="L136" s="1"/>
      <c r="M136" s="1" t="str">
        <f t="shared" si="21"/>
        <v>$M(2015)/million</v>
      </c>
    </row>
    <row r="137" spans="1:14" x14ac:dyDescent="0.2">
      <c r="A137" t="str">
        <v>IA</v>
      </c>
      <c r="B137" s="26">
        <f ca="1"/>
        <v>0.43895844360418801</v>
      </c>
      <c r="C137" s="26">
        <f ca="1"/>
        <v>1.1225756848589792</v>
      </c>
      <c r="D137" s="26">
        <f ca="1"/>
        <v>1.682621556337156</v>
      </c>
      <c r="E137" s="26">
        <f ca="1"/>
        <v>2.5216553698216795</v>
      </c>
      <c r="F137" s="26">
        <f ca="1"/>
        <v>3.0918631125410219</v>
      </c>
      <c r="G137" s="26">
        <f ca="1"/>
        <v>3.4731665477368487</v>
      </c>
      <c r="H137" s="26">
        <f ca="1"/>
        <v>3.7109884315632393</v>
      </c>
      <c r="I137" s="26">
        <f ca="1"/>
        <v>3.796305802705664</v>
      </c>
      <c r="J137" s="26">
        <f ca="1"/>
        <v>3.7650175381267834</v>
      </c>
      <c r="K137" s="26">
        <f ca="1"/>
        <v>3.4849108052356965</v>
      </c>
      <c r="L137" s="1"/>
      <c r="M137" s="1" t="str">
        <f t="shared" si="21"/>
        <v>$M(2015)/million</v>
      </c>
    </row>
    <row r="138" spans="1:14" x14ac:dyDescent="0.2">
      <c r="A138" t="str">
        <v>AF</v>
      </c>
      <c r="B138" s="26">
        <f ca="1"/>
        <v>0.34312145221133789</v>
      </c>
      <c r="C138" s="26">
        <f ca="1"/>
        <v>0.89153793073359355</v>
      </c>
      <c r="D138" s="26">
        <f ca="1"/>
        <v>1.34950156063198</v>
      </c>
      <c r="E138" s="26">
        <f ca="1"/>
        <v>2.0365305925597075</v>
      </c>
      <c r="F138" s="26">
        <f ca="1"/>
        <v>2.4919841702067371</v>
      </c>
      <c r="G138" s="26">
        <f ca="1"/>
        <v>2.778713738139146</v>
      </c>
      <c r="H138" s="26">
        <f ca="1"/>
        <v>2.9419029011968307</v>
      </c>
      <c r="I138" s="26">
        <f ca="1"/>
        <v>2.9828892491363335</v>
      </c>
      <c r="J138" s="26">
        <f ca="1"/>
        <v>2.9315007587243738</v>
      </c>
      <c r="K138" s="26">
        <f ca="1"/>
        <v>2.6884275757290146</v>
      </c>
      <c r="L138" s="1"/>
      <c r="M138" s="1" t="str">
        <f t="shared" si="21"/>
        <v>$M(2015)/million</v>
      </c>
    </row>
    <row r="139" spans="1:14" x14ac:dyDescent="0.2">
      <c r="A139" t="str">
        <v>LA</v>
      </c>
      <c r="B139" s="26">
        <f ca="1"/>
        <v>0.29647046009239697</v>
      </c>
      <c r="C139" s="26">
        <f ca="1"/>
        <v>0.77334595986609844</v>
      </c>
      <c r="D139" s="26">
        <f ca="1"/>
        <v>1.1775594010894137</v>
      </c>
      <c r="E139" s="26">
        <f ca="1"/>
        <v>1.7971118047029375</v>
      </c>
      <c r="F139" s="26">
        <f ca="1"/>
        <v>2.2229876974544305</v>
      </c>
      <c r="G139" s="26">
        <f ca="1"/>
        <v>2.5130761798205672</v>
      </c>
      <c r="H139" s="26">
        <f ca="1"/>
        <v>2.7009975648200593</v>
      </c>
      <c r="I139" s="26">
        <f ca="1"/>
        <v>2.7762319344235276</v>
      </c>
      <c r="J139" s="26">
        <f ca="1"/>
        <v>2.764591699460047</v>
      </c>
      <c r="K139" s="26">
        <f ca="1"/>
        <v>2.5665754489058514</v>
      </c>
      <c r="L139" s="1"/>
      <c r="M139" s="1" t="str">
        <f t="shared" si="21"/>
        <v>$M(2015)/million</v>
      </c>
    </row>
    <row r="140" spans="1:14" ht="14.25" x14ac:dyDescent="0.25">
      <c r="A140" s="44" t="s">
        <v>385</v>
      </c>
      <c r="B140" s="2" t="s">
        <v>386</v>
      </c>
      <c r="C140" s="1"/>
      <c r="D140" s="1"/>
      <c r="E140" s="1"/>
      <c r="F140" s="1"/>
      <c r="G140" s="1"/>
      <c r="H140" s="1"/>
      <c r="I140" s="1"/>
      <c r="J140" s="1"/>
      <c r="K140" s="1"/>
      <c r="L140" s="1"/>
      <c r="M140" s="1"/>
    </row>
    <row r="141" spans="1:14" x14ac:dyDescent="0.2">
      <c r="A141" t="str">
        <f t="array" ref="A141:A148">R_CODE</f>
        <v>EU</v>
      </c>
      <c r="B141" s="29">
        <f t="array" aca="1" ref="B141:K148" ca="1">IF(EQUITY_SWITCH=0,act_per_cap,(1-EQUITY_PROP)*act_per_cap+EQUITY_PROP*eact_per_cap)</f>
        <v>0.78824671222467413</v>
      </c>
      <c r="C141" s="29">
        <f ca="1"/>
        <v>2.7658306748435519</v>
      </c>
      <c r="D141" s="29">
        <f ca="1"/>
        <v>4.4846437704924291</v>
      </c>
      <c r="E141" s="29">
        <f ca="1"/>
        <v>7.2537849899091498</v>
      </c>
      <c r="F141" s="29">
        <f ca="1"/>
        <v>9.3117401580956507</v>
      </c>
      <c r="G141" s="29">
        <f ca="1"/>
        <v>10.56269277145034</v>
      </c>
      <c r="H141" s="29">
        <f ca="1"/>
        <v>11.379341427824814</v>
      </c>
      <c r="I141" s="29">
        <f ca="1"/>
        <v>10.039978794244602</v>
      </c>
      <c r="J141" s="29">
        <f ca="1"/>
        <v>8.8590672781550026</v>
      </c>
      <c r="K141" s="29">
        <f ca="1"/>
        <v>7.8132293822309213</v>
      </c>
      <c r="L141" s="1"/>
      <c r="M141" s="1" t="str">
        <f t="shared" ref="M141:M148" si="22">CURRENCY_NAME&amp;"/"&amp;POP_UNIT_NAME</f>
        <v>$M(2015)/million</v>
      </c>
    </row>
    <row r="142" spans="1:14" x14ac:dyDescent="0.2">
      <c r="A142" t="str">
        <v>US</v>
      </c>
      <c r="B142" s="26">
        <f ca="1"/>
        <v>0.59481288307675151</v>
      </c>
      <c r="C142" s="26">
        <f ca="1"/>
        <v>2.0974457521820877</v>
      </c>
      <c r="D142" s="26">
        <f ca="1"/>
        <v>3.4184069653442819</v>
      </c>
      <c r="E142" s="26">
        <f ca="1"/>
        <v>5.5789405162820254</v>
      </c>
      <c r="F142" s="26">
        <f ca="1"/>
        <v>7.2130620465876953</v>
      </c>
      <c r="G142" s="26">
        <f ca="1"/>
        <v>8.2381620481764148</v>
      </c>
      <c r="H142" s="26">
        <f ca="1"/>
        <v>8.9324127944790082</v>
      </c>
      <c r="I142" s="26">
        <f ca="1"/>
        <v>7.9179581409223978</v>
      </c>
      <c r="J142" s="26">
        <f ca="1"/>
        <v>7.0130624481463997</v>
      </c>
      <c r="K142" s="26">
        <f ca="1"/>
        <v>6.2054239638014437</v>
      </c>
      <c r="L142" s="1"/>
      <c r="M142" s="1" t="str">
        <f t="shared" si="22"/>
        <v>$M(2015)/million</v>
      </c>
    </row>
    <row r="143" spans="1:14" x14ac:dyDescent="0.2">
      <c r="A143" t="str">
        <v>OT</v>
      </c>
      <c r="B143" s="26">
        <f ca="1"/>
        <v>0.63915739425370344</v>
      </c>
      <c r="C143" s="26">
        <f ca="1"/>
        <v>2.2451548111694413</v>
      </c>
      <c r="D143" s="26">
        <f ca="1"/>
        <v>3.6406925476056213</v>
      </c>
      <c r="E143" s="26">
        <f ca="1"/>
        <v>5.8836922160315783</v>
      </c>
      <c r="F143" s="26">
        <f ca="1"/>
        <v>7.5359777973777335</v>
      </c>
      <c r="G143" s="26">
        <f ca="1"/>
        <v>8.527220142880914</v>
      </c>
      <c r="H143" s="26">
        <f ca="1"/>
        <v>9.1691089797764995</v>
      </c>
      <c r="I143" s="26">
        <f ca="1"/>
        <v>8.0776313233192738</v>
      </c>
      <c r="J143" s="26">
        <f ca="1"/>
        <v>7.1198657708819351</v>
      </c>
      <c r="K143" s="26">
        <f ca="1"/>
        <v>6.2748752087300295</v>
      </c>
      <c r="L143" s="1"/>
      <c r="M143" s="1" t="str">
        <f t="shared" si="22"/>
        <v>$M(2015)/million</v>
      </c>
    </row>
    <row r="144" spans="1:14" x14ac:dyDescent="0.2">
      <c r="A144" t="str">
        <v>EE</v>
      </c>
      <c r="B144" s="26">
        <f ca="1"/>
        <v>0.35791570942764872</v>
      </c>
      <c r="C144" s="26">
        <f ca="1"/>
        <v>1.2368658145817419</v>
      </c>
      <c r="D144" s="26">
        <f ca="1"/>
        <v>1.9771990726631963</v>
      </c>
      <c r="E144" s="26">
        <f ca="1"/>
        <v>3.1379369554280738</v>
      </c>
      <c r="F144" s="26">
        <f ca="1"/>
        <v>3.9938011753467593</v>
      </c>
      <c r="G144" s="26">
        <f ca="1"/>
        <v>4.5004799126057797</v>
      </c>
      <c r="H144" s="26">
        <f ca="1"/>
        <v>4.8175840834949275</v>
      </c>
      <c r="I144" s="26">
        <f ca="1"/>
        <v>4.2366302276558843</v>
      </c>
      <c r="J144" s="26">
        <f ca="1"/>
        <v>3.7210726812625832</v>
      </c>
      <c r="K144" s="26">
        <f ca="1"/>
        <v>3.2677763337509771</v>
      </c>
      <c r="L144" s="1"/>
      <c r="M144" s="1" t="str">
        <f t="shared" si="22"/>
        <v>$M(2015)/million</v>
      </c>
    </row>
    <row r="145" spans="1:13" x14ac:dyDescent="0.2">
      <c r="A145" t="str">
        <v>CA</v>
      </c>
      <c r="B145" s="26">
        <f ca="1"/>
        <v>0.37850159932155286</v>
      </c>
      <c r="C145" s="26">
        <f ca="1"/>
        <v>0.9625957457657518</v>
      </c>
      <c r="D145" s="26">
        <f ca="1"/>
        <v>1.4430004764077144</v>
      </c>
      <c r="E145" s="26">
        <f ca="1"/>
        <v>2.1896007018507051</v>
      </c>
      <c r="F145" s="26">
        <f ca="1"/>
        <v>2.7345516235198066</v>
      </c>
      <c r="G145" s="26">
        <f ca="1"/>
        <v>3.1345552185133574</v>
      </c>
      <c r="H145" s="26">
        <f ca="1"/>
        <v>3.4097001466273991</v>
      </c>
      <c r="I145" s="26">
        <f ca="1"/>
        <v>3.5467620661718557</v>
      </c>
      <c r="J145" s="26">
        <f ca="1"/>
        <v>3.5712345878258436</v>
      </c>
      <c r="K145" s="26">
        <f ca="1"/>
        <v>3.3498967500496297</v>
      </c>
      <c r="L145" s="1"/>
      <c r="M145" s="1" t="str">
        <f t="shared" si="22"/>
        <v>$M(2015)/million</v>
      </c>
    </row>
    <row r="146" spans="1:13" x14ac:dyDescent="0.2">
      <c r="A146" t="str">
        <v>IA</v>
      </c>
      <c r="B146" s="26">
        <f ca="1"/>
        <v>0.43895844360418801</v>
      </c>
      <c r="C146" s="26">
        <f ca="1"/>
        <v>1.1225756848589792</v>
      </c>
      <c r="D146" s="26">
        <f ca="1"/>
        <v>1.682621556337156</v>
      </c>
      <c r="E146" s="26">
        <f ca="1"/>
        <v>2.5216553698216795</v>
      </c>
      <c r="F146" s="26">
        <f ca="1"/>
        <v>3.0918631125410219</v>
      </c>
      <c r="G146" s="26">
        <f ca="1"/>
        <v>3.4731665477368487</v>
      </c>
      <c r="H146" s="26">
        <f ca="1"/>
        <v>3.7109884315632393</v>
      </c>
      <c r="I146" s="26">
        <f ca="1"/>
        <v>3.796305802705664</v>
      </c>
      <c r="J146" s="26">
        <f ca="1"/>
        <v>3.7650175381267834</v>
      </c>
      <c r="K146" s="26">
        <f ca="1"/>
        <v>3.4849108052356965</v>
      </c>
      <c r="L146" s="1"/>
      <c r="M146" s="1" t="str">
        <f t="shared" si="22"/>
        <v>$M(2015)/million</v>
      </c>
    </row>
    <row r="147" spans="1:13" x14ac:dyDescent="0.2">
      <c r="A147" t="str">
        <v>AF</v>
      </c>
      <c r="B147" s="26">
        <f ca="1"/>
        <v>0.34312145221133789</v>
      </c>
      <c r="C147" s="26">
        <f ca="1"/>
        <v>0.89153793073359355</v>
      </c>
      <c r="D147" s="26">
        <f ca="1"/>
        <v>1.34950156063198</v>
      </c>
      <c r="E147" s="26">
        <f ca="1"/>
        <v>2.0365305925597075</v>
      </c>
      <c r="F147" s="26">
        <f ca="1"/>
        <v>2.4919841702067371</v>
      </c>
      <c r="G147" s="26">
        <f ca="1"/>
        <v>2.778713738139146</v>
      </c>
      <c r="H147" s="26">
        <f ca="1"/>
        <v>2.9419029011968307</v>
      </c>
      <c r="I147" s="26">
        <f ca="1"/>
        <v>2.9828892491363335</v>
      </c>
      <c r="J147" s="26">
        <f ca="1"/>
        <v>2.9315007587243738</v>
      </c>
      <c r="K147" s="26">
        <f ca="1"/>
        <v>2.6884275757290146</v>
      </c>
      <c r="L147" s="1"/>
      <c r="M147" s="1" t="str">
        <f t="shared" si="22"/>
        <v>$M(2015)/million</v>
      </c>
    </row>
    <row r="148" spans="1:13" x14ac:dyDescent="0.2">
      <c r="A148" t="str">
        <v>LA</v>
      </c>
      <c r="B148" s="26">
        <f ca="1"/>
        <v>0.29647046009239697</v>
      </c>
      <c r="C148" s="26">
        <f ca="1"/>
        <v>0.77334595986609844</v>
      </c>
      <c r="D148" s="26">
        <f ca="1"/>
        <v>1.1775594010894137</v>
      </c>
      <c r="E148" s="26">
        <f ca="1"/>
        <v>1.7971118047029375</v>
      </c>
      <c r="F148" s="26">
        <f ca="1"/>
        <v>2.2229876974544305</v>
      </c>
      <c r="G148" s="26">
        <f ca="1"/>
        <v>2.5130761798205672</v>
      </c>
      <c r="H148" s="26">
        <f ca="1"/>
        <v>2.7009975648200593</v>
      </c>
      <c r="I148" s="26">
        <f ca="1"/>
        <v>2.7762319344235276</v>
      </c>
      <c r="J148" s="26">
        <f ca="1"/>
        <v>2.764591699460047</v>
      </c>
      <c r="K148" s="26">
        <f ca="1"/>
        <v>2.5665754489058514</v>
      </c>
      <c r="L148" s="1"/>
      <c r="M148" s="1" t="str">
        <f t="shared" si="22"/>
        <v>$M(2015)/million</v>
      </c>
    </row>
    <row r="149" spans="1:13" ht="14.25" x14ac:dyDescent="0.25">
      <c r="A149" s="44" t="s">
        <v>381</v>
      </c>
      <c r="B149" s="2" t="s">
        <v>387</v>
      </c>
      <c r="C149" s="1"/>
      <c r="D149" s="1"/>
      <c r="E149" s="1"/>
      <c r="F149" s="1"/>
      <c r="G149" s="1"/>
      <c r="H149" s="1"/>
      <c r="I149" s="1"/>
      <c r="J149" s="1"/>
      <c r="K149" s="1"/>
      <c r="L149" s="1"/>
      <c r="M149" s="1"/>
    </row>
    <row r="150" spans="1:13" x14ac:dyDescent="0.2">
      <c r="A150" t="str">
        <f t="array" ref="A150:A157">R_CODE</f>
        <v>EU</v>
      </c>
      <c r="B150" s="29">
        <f t="array" aca="1" ref="B150:K157" ca="1">IF(EQUITY_SWITCH=0,act_per_cap,wact_per_cap)*POP</f>
        <v>412.82372111315527</v>
      </c>
      <c r="C150" s="29">
        <f ca="1"/>
        <v>1487.3752303492683</v>
      </c>
      <c r="D150" s="29">
        <f ca="1"/>
        <v>2478.5460112131336</v>
      </c>
      <c r="E150" s="29">
        <f ca="1"/>
        <v>4234.8249611738702</v>
      </c>
      <c r="F150" s="29">
        <f ca="1"/>
        <v>5758.5477250891972</v>
      </c>
      <c r="G150" s="29">
        <f ca="1"/>
        <v>6909.1101552695254</v>
      </c>
      <c r="H150" s="29">
        <f ca="1"/>
        <v>7793.4378397229457</v>
      </c>
      <c r="I150" s="29">
        <f ca="1"/>
        <v>7124.4793921627133</v>
      </c>
      <c r="J150" s="29">
        <f ca="1"/>
        <v>6439.4699640780291</v>
      </c>
      <c r="K150" s="29">
        <f ca="1"/>
        <v>5764.9756732203241</v>
      </c>
      <c r="L150" s="1"/>
      <c r="M150" s="4" t="str">
        <f t="shared" ref="M150:M158" si="23">CURRENCY_NAME</f>
        <v>$M(2015)</v>
      </c>
    </row>
    <row r="151" spans="1:13" x14ac:dyDescent="0.2">
      <c r="A151" t="str">
        <v>US</v>
      </c>
      <c r="B151" s="26">
        <f ca="1"/>
        <v>206.16511933881748</v>
      </c>
      <c r="C151" s="26">
        <f ca="1"/>
        <v>769.43329206773342</v>
      </c>
      <c r="D151" s="26">
        <f ca="1"/>
        <v>1326.8204795287284</v>
      </c>
      <c r="E151" s="26">
        <f ca="1"/>
        <v>2408.0492529238427</v>
      </c>
      <c r="F151" s="26">
        <f ca="1"/>
        <v>3449.55315397396</v>
      </c>
      <c r="G151" s="26">
        <f ca="1"/>
        <v>4365.3114495461468</v>
      </c>
      <c r="H151" s="26">
        <f ca="1"/>
        <v>5206.6140937738555</v>
      </c>
      <c r="I151" s="26">
        <f ca="1"/>
        <v>5019.0273884097342</v>
      </c>
      <c r="J151" s="26">
        <f ca="1"/>
        <v>4758.0823485693891</v>
      </c>
      <c r="K151" s="26">
        <f ca="1"/>
        <v>4431.1257061035731</v>
      </c>
      <c r="L151" s="1"/>
      <c r="M151" s="4" t="str">
        <f t="shared" si="23"/>
        <v>$M(2015)</v>
      </c>
    </row>
    <row r="152" spans="1:13" x14ac:dyDescent="0.2">
      <c r="A152" t="str">
        <v>OT</v>
      </c>
      <c r="B152" s="26">
        <f ca="1"/>
        <v>200.89164311569877</v>
      </c>
      <c r="C152" s="26">
        <f ca="1"/>
        <v>725.87651168957029</v>
      </c>
      <c r="D152" s="26">
        <f ca="1"/>
        <v>1207.9126141371412</v>
      </c>
      <c r="E152" s="26">
        <f ca="1"/>
        <v>2043.759328160728</v>
      </c>
      <c r="F152" s="26">
        <f ca="1"/>
        <v>2728.905672053033</v>
      </c>
      <c r="G152" s="26">
        <f ca="1"/>
        <v>3202.0820175136428</v>
      </c>
      <c r="H152" s="26">
        <f ca="1"/>
        <v>3519.9200771374208</v>
      </c>
      <c r="I152" s="26">
        <f ca="1"/>
        <v>3127.5538391820187</v>
      </c>
      <c r="J152" s="26">
        <f ca="1"/>
        <v>2741.0913628633757</v>
      </c>
      <c r="K152" s="26">
        <f ca="1"/>
        <v>2373.6597939583962</v>
      </c>
      <c r="L152" s="1"/>
      <c r="M152" s="4" t="str">
        <f t="shared" si="23"/>
        <v>$M(2015)</v>
      </c>
    </row>
    <row r="153" spans="1:13" x14ac:dyDescent="0.2">
      <c r="A153" t="str">
        <v>EE</v>
      </c>
      <c r="B153" s="26">
        <f ca="1"/>
        <v>99.991985489930528</v>
      </c>
      <c r="C153" s="26">
        <f ca="1"/>
        <v>344.0676217029054</v>
      </c>
      <c r="D153" s="26">
        <f ca="1"/>
        <v>546.36732854531181</v>
      </c>
      <c r="E153" s="26">
        <f ca="1"/>
        <v>855.12547559761595</v>
      </c>
      <c r="F153" s="26">
        <f ca="1"/>
        <v>1060.7895363826785</v>
      </c>
      <c r="G153" s="26">
        <f ca="1"/>
        <v>1149.2875552821383</v>
      </c>
      <c r="H153" s="26">
        <f ca="1"/>
        <v>1166.5828034023814</v>
      </c>
      <c r="I153" s="26">
        <f ca="1"/>
        <v>954.31366867017209</v>
      </c>
      <c r="J153" s="26">
        <f ca="1"/>
        <v>766.80516850046274</v>
      </c>
      <c r="K153" s="26">
        <f ca="1"/>
        <v>608.26715454074144</v>
      </c>
      <c r="L153" s="1"/>
      <c r="M153" s="4" t="str">
        <f t="shared" si="23"/>
        <v>$M(2015)</v>
      </c>
    </row>
    <row r="154" spans="1:13" x14ac:dyDescent="0.2">
      <c r="A154" t="str">
        <v>CA</v>
      </c>
      <c r="B154" s="26">
        <f ca="1"/>
        <v>522.07558297940307</v>
      </c>
      <c r="C154" s="26">
        <f ca="1"/>
        <v>1327.7651052837025</v>
      </c>
      <c r="D154" s="26">
        <f ca="1"/>
        <v>1974.7822269758688</v>
      </c>
      <c r="E154" s="26">
        <f ca="1"/>
        <v>2888.1796681719616</v>
      </c>
      <c r="F154" s="26">
        <f ca="1"/>
        <v>3378.9076953278955</v>
      </c>
      <c r="G154" s="26">
        <f ca="1"/>
        <v>3539.1855480055897</v>
      </c>
      <c r="H154" s="26">
        <f ca="1"/>
        <v>3447.5853249565753</v>
      </c>
      <c r="I154" s="26">
        <f ca="1"/>
        <v>3162.9350221328041</v>
      </c>
      <c r="J154" s="26">
        <f ca="1"/>
        <v>2757.4859321746717</v>
      </c>
      <c r="K154" s="26">
        <f ca="1"/>
        <v>2187.3921305701574</v>
      </c>
      <c r="L154" s="1"/>
      <c r="M154" s="4" t="str">
        <f t="shared" si="23"/>
        <v>$M(2015)</v>
      </c>
    </row>
    <row r="155" spans="1:13" x14ac:dyDescent="0.2">
      <c r="A155" t="str">
        <v>IA</v>
      </c>
      <c r="B155" s="26">
        <f ca="1"/>
        <v>1122.1952857611102</v>
      </c>
      <c r="C155" s="26">
        <f ca="1"/>
        <v>2977.812738773704</v>
      </c>
      <c r="D155" s="26">
        <f ca="1"/>
        <v>4590.2748954547997</v>
      </c>
      <c r="E155" s="26">
        <f ca="1"/>
        <v>7140.3206060147522</v>
      </c>
      <c r="F155" s="26">
        <f ca="1"/>
        <v>8842.9449322851997</v>
      </c>
      <c r="G155" s="26">
        <f ca="1"/>
        <v>9775.8003210857369</v>
      </c>
      <c r="H155" s="26">
        <f ca="1"/>
        <v>10040.190531247294</v>
      </c>
      <c r="I155" s="26">
        <f ca="1"/>
        <v>9651.9860215934659</v>
      </c>
      <c r="J155" s="26">
        <f ca="1"/>
        <v>8804.3655023131869</v>
      </c>
      <c r="K155" s="26">
        <f ca="1"/>
        <v>7356.692013693023</v>
      </c>
      <c r="L155" s="1"/>
      <c r="M155" s="4" t="str">
        <f t="shared" si="23"/>
        <v>$M(2015)</v>
      </c>
    </row>
    <row r="156" spans="1:13" x14ac:dyDescent="0.2">
      <c r="A156" t="str">
        <v>AF</v>
      </c>
      <c r="B156" s="26">
        <f ca="1"/>
        <v>512.93517544307258</v>
      </c>
      <c r="C156" s="26">
        <f ca="1"/>
        <v>1440.8514486826859</v>
      </c>
      <c r="D156" s="26">
        <f ca="1"/>
        <v>2331.3320958205572</v>
      </c>
      <c r="E156" s="26">
        <f ca="1"/>
        <v>3932.4774417844292</v>
      </c>
      <c r="F156" s="26">
        <f ca="1"/>
        <v>5196.4685525516015</v>
      </c>
      <c r="G156" s="26">
        <f ca="1"/>
        <v>6070.6267272183541</v>
      </c>
      <c r="H156" s="26">
        <f ca="1"/>
        <v>6580.2527728541527</v>
      </c>
      <c r="I156" s="26">
        <f ca="1"/>
        <v>6686.8964485852584</v>
      </c>
      <c r="J156" s="26">
        <f ca="1"/>
        <v>6461.7634789189697</v>
      </c>
      <c r="K156" s="26">
        <f ca="1"/>
        <v>5726.8050805631101</v>
      </c>
      <c r="L156" s="1"/>
      <c r="M156" s="4" t="str">
        <f t="shared" si="23"/>
        <v>$M(2015)</v>
      </c>
    </row>
    <row r="157" spans="1:13" x14ac:dyDescent="0.2">
      <c r="A157" t="str">
        <v>LA</v>
      </c>
      <c r="B157" s="26">
        <f ca="1"/>
        <v>187.33760843916491</v>
      </c>
      <c r="C157" s="26">
        <f ca="1"/>
        <v>499.95462949913485</v>
      </c>
      <c r="D157" s="26">
        <f ca="1"/>
        <v>772.29703418718748</v>
      </c>
      <c r="E157" s="26">
        <f ca="1"/>
        <v>1190.2855543884091</v>
      </c>
      <c r="F157" s="26">
        <f ca="1"/>
        <v>1448.7577617280613</v>
      </c>
      <c r="G157" s="26">
        <f ca="1"/>
        <v>1574.7450523372543</v>
      </c>
      <c r="H157" s="26">
        <f ca="1"/>
        <v>1600.8920606591087</v>
      </c>
      <c r="I157" s="26">
        <f ca="1"/>
        <v>1534.2915191389993</v>
      </c>
      <c r="J157" s="26">
        <f ca="1"/>
        <v>1397.7554465134049</v>
      </c>
      <c r="K157" s="26">
        <f ca="1"/>
        <v>1158.5662738010715</v>
      </c>
      <c r="L157" s="1"/>
      <c r="M157" s="4" t="str">
        <f t="shared" si="23"/>
        <v>$M(2015)</v>
      </c>
    </row>
    <row r="158" spans="1:13" ht="13.5" thickBot="1" x14ac:dyDescent="0.25">
      <c r="A158" s="2" t="s">
        <v>204</v>
      </c>
      <c r="B158" s="42">
        <f t="shared" ref="B158:K158" ca="1" si="24">SUM(B150:B157)</f>
        <v>3264.4161216803532</v>
      </c>
      <c r="C158" s="42">
        <f t="shared" ca="1" si="24"/>
        <v>9573.1365780487031</v>
      </c>
      <c r="D158" s="42">
        <f t="shared" ca="1" si="24"/>
        <v>15228.332685862728</v>
      </c>
      <c r="E158" s="42">
        <f t="shared" ca="1" si="24"/>
        <v>24693.022288215612</v>
      </c>
      <c r="F158" s="42">
        <f t="shared" ca="1" si="24"/>
        <v>31864.875029391631</v>
      </c>
      <c r="G158" s="42">
        <f t="shared" ca="1" si="24"/>
        <v>36586.148826258388</v>
      </c>
      <c r="H158" s="42">
        <f t="shared" ca="1" si="24"/>
        <v>39355.475503753732</v>
      </c>
      <c r="I158" s="42">
        <f t="shared" ca="1" si="24"/>
        <v>37261.483299875166</v>
      </c>
      <c r="J158" s="42">
        <f t="shared" ca="1" si="24"/>
        <v>34126.819203931489</v>
      </c>
      <c r="K158" s="42">
        <f t="shared" ca="1" si="24"/>
        <v>29607.483826450396</v>
      </c>
      <c r="L158" s="1"/>
      <c r="M158" s="4" t="str">
        <f t="shared" si="23"/>
        <v>$M(2015)</v>
      </c>
    </row>
    <row r="159" spans="1:13" s="2" customFormat="1" ht="15" thickTop="1" x14ac:dyDescent="0.25">
      <c r="A159" s="2" t="s">
        <v>95</v>
      </c>
      <c r="B159" s="2" t="s">
        <v>388</v>
      </c>
    </row>
    <row r="160" spans="1:13" x14ac:dyDescent="0.2">
      <c r="A160" t="str">
        <f t="array" ref="A160:A167">R_CODE</f>
        <v>EU</v>
      </c>
      <c r="B160" s="27">
        <f t="array" aca="1" ref="B160:K167" ca="1">IF(EQUITY_SWITCH=0,act*DFC,wact*DF)</f>
        <v>392.14008255654244</v>
      </c>
      <c r="C160" s="27">
        <f ca="1"/>
        <v>1342.065549628526</v>
      </c>
      <c r="D160" s="27">
        <f ca="1"/>
        <v>2124.3533736781869</v>
      </c>
      <c r="E160" s="27">
        <f ca="1"/>
        <v>3275.053682575473</v>
      </c>
      <c r="F160" s="27">
        <f ca="1"/>
        <v>4018.3625050404626</v>
      </c>
      <c r="G160" s="27">
        <f ca="1"/>
        <v>4350.2222240104411</v>
      </c>
      <c r="H160" s="27">
        <f ca="1"/>
        <v>4427.6326893453797</v>
      </c>
      <c r="I160" s="27">
        <f ca="1"/>
        <v>3652.1518587755627</v>
      </c>
      <c r="J160" s="27">
        <f ca="1"/>
        <v>2978.5095590976798</v>
      </c>
      <c r="K160" s="27">
        <f ca="1"/>
        <v>2406.0216944730332</v>
      </c>
      <c r="L160" s="1"/>
      <c r="M160" s="4" t="str">
        <f t="shared" ref="M160:M168" si="25">CURRENCY_NAME</f>
        <v>$M(2015)</v>
      </c>
    </row>
    <row r="161" spans="1:24" x14ac:dyDescent="0.2">
      <c r="A161" t="str">
        <v>US</v>
      </c>
      <c r="B161" s="28">
        <f ca="1"/>
        <v>195.83566249489687</v>
      </c>
      <c r="C161" s="28">
        <f ca="1"/>
        <v>694.26321815167285</v>
      </c>
      <c r="D161" s="28">
        <f ca="1"/>
        <v>1137.2133295893798</v>
      </c>
      <c r="E161" s="28">
        <f ca="1"/>
        <v>1862.2943441386667</v>
      </c>
      <c r="F161" s="28">
        <f ca="1"/>
        <v>2407.126885947328</v>
      </c>
      <c r="G161" s="28">
        <f ca="1"/>
        <v>2748.555813379136</v>
      </c>
      <c r="H161" s="28">
        <f ca="1"/>
        <v>2957.9981564617215</v>
      </c>
      <c r="I161" s="28">
        <f ca="1"/>
        <v>2572.854688300491</v>
      </c>
      <c r="J161" s="28">
        <f ca="1"/>
        <v>2200.8012829075969</v>
      </c>
      <c r="K161" s="28">
        <f ca="1"/>
        <v>1849.3373058531693</v>
      </c>
      <c r="L161" s="1"/>
      <c r="M161" s="4" t="str">
        <f t="shared" si="25"/>
        <v>$M(2015)</v>
      </c>
    </row>
    <row r="162" spans="1:24" x14ac:dyDescent="0.2">
      <c r="A162" t="str">
        <v>OT</v>
      </c>
      <c r="B162" s="28">
        <f ca="1"/>
        <v>190.82640237796934</v>
      </c>
      <c r="C162" s="28">
        <f ca="1"/>
        <v>654.9617337612533</v>
      </c>
      <c r="D162" s="28">
        <f ca="1"/>
        <v>1035.2978017522132</v>
      </c>
      <c r="E162" s="28">
        <f ca="1"/>
        <v>1580.5662749601313</v>
      </c>
      <c r="F162" s="28">
        <f ca="1"/>
        <v>1904.2530783575814</v>
      </c>
      <c r="G162" s="28">
        <f ca="1"/>
        <v>2016.1450668242583</v>
      </c>
      <c r="H162" s="28">
        <f ca="1"/>
        <v>1999.7481878896713</v>
      </c>
      <c r="I162" s="28">
        <f ca="1"/>
        <v>1603.2471902093457</v>
      </c>
      <c r="J162" s="28">
        <f ca="1"/>
        <v>1267.8631738625688</v>
      </c>
      <c r="K162" s="28">
        <f ca="1"/>
        <v>990.65066069430179</v>
      </c>
      <c r="L162" s="1"/>
      <c r="M162" s="4" t="str">
        <f t="shared" si="25"/>
        <v>$M(2015)</v>
      </c>
    </row>
    <row r="163" spans="1:24" x14ac:dyDescent="0.2">
      <c r="A163" t="str">
        <v>EE</v>
      </c>
      <c r="B163" s="28">
        <f ca="1"/>
        <v>94.982103594444908</v>
      </c>
      <c r="C163" s="28">
        <f ca="1"/>
        <v>310.45380641551884</v>
      </c>
      <c r="D163" s="28">
        <f ca="1"/>
        <v>468.28958284888716</v>
      </c>
      <c r="E163" s="28">
        <f ca="1"/>
        <v>661.32174613983784</v>
      </c>
      <c r="F163" s="28">
        <f ca="1"/>
        <v>740.22776266448057</v>
      </c>
      <c r="G163" s="28">
        <f ca="1"/>
        <v>723.63244360111798</v>
      </c>
      <c r="H163" s="28">
        <f ca="1"/>
        <v>662.76273210850161</v>
      </c>
      <c r="I163" s="28">
        <f ca="1"/>
        <v>489.20043796080029</v>
      </c>
      <c r="J163" s="28">
        <f ca="1"/>
        <v>354.67771991869796</v>
      </c>
      <c r="K163" s="28">
        <f ca="1"/>
        <v>253.86125680611755</v>
      </c>
      <c r="L163" s="1"/>
      <c r="M163" s="4" t="str">
        <f t="shared" si="25"/>
        <v>$M(2015)</v>
      </c>
    </row>
    <row r="164" spans="1:24" x14ac:dyDescent="0.2">
      <c r="A164" t="str">
        <v>CA</v>
      </c>
      <c r="B164" s="28">
        <f ca="1"/>
        <v>495.91811647418001</v>
      </c>
      <c r="C164" s="28">
        <f ca="1"/>
        <v>1198.0485955663719</v>
      </c>
      <c r="D164" s="28">
        <f ca="1"/>
        <v>1692.5791440533255</v>
      </c>
      <c r="E164" s="28">
        <f ca="1"/>
        <v>2233.6090735528828</v>
      </c>
      <c r="F164" s="28">
        <f ca="1"/>
        <v>2357.8298972399307</v>
      </c>
      <c r="G164" s="28">
        <f ca="1"/>
        <v>2228.3974751926471</v>
      </c>
      <c r="H164" s="28">
        <f ca="1"/>
        <v>1958.6531384495909</v>
      </c>
      <c r="I164" s="28">
        <f ca="1"/>
        <v>1621.3842983356649</v>
      </c>
      <c r="J164" s="28">
        <f ca="1"/>
        <v>1275.4463106243497</v>
      </c>
      <c r="K164" s="28">
        <f ca="1"/>
        <v>912.91155744487594</v>
      </c>
      <c r="L164" s="1"/>
      <c r="M164" s="4" t="str">
        <f t="shared" si="25"/>
        <v>$M(2015)</v>
      </c>
    </row>
    <row r="165" spans="1:24" x14ac:dyDescent="0.2">
      <c r="A165" t="str">
        <v>IA</v>
      </c>
      <c r="B165" s="28">
        <f ca="1"/>
        <v>1065.9701211362908</v>
      </c>
      <c r="C165" s="28">
        <f ca="1"/>
        <v>2686.8942069276695</v>
      </c>
      <c r="D165" s="28">
        <f ca="1"/>
        <v>3934.309032857876</v>
      </c>
      <c r="E165" s="28">
        <f ca="1"/>
        <v>5522.0542784880472</v>
      </c>
      <c r="F165" s="28">
        <f ca="1"/>
        <v>6170.680533776771</v>
      </c>
      <c r="G165" s="28">
        <f ca="1"/>
        <v>6155.1926164964434</v>
      </c>
      <c r="H165" s="28">
        <f ca="1"/>
        <v>5704.0649733323344</v>
      </c>
      <c r="I165" s="28">
        <f ca="1"/>
        <v>4947.8027444946611</v>
      </c>
      <c r="J165" s="28">
        <f ca="1"/>
        <v>4072.3672843754425</v>
      </c>
      <c r="K165" s="28">
        <f ca="1"/>
        <v>3070.3270209316374</v>
      </c>
      <c r="L165" s="1"/>
      <c r="M165" s="4" t="str">
        <f t="shared" si="25"/>
        <v>$M(2015)</v>
      </c>
    </row>
    <row r="166" spans="1:24" x14ac:dyDescent="0.2">
      <c r="A166" t="str">
        <v>AF</v>
      </c>
      <c r="B166" s="28">
        <f ca="1"/>
        <v>487.23566926346211</v>
      </c>
      <c r="C166" s="28">
        <f ca="1"/>
        <v>1300.0869262528377</v>
      </c>
      <c r="D166" s="28">
        <f ca="1"/>
        <v>1998.1768264598741</v>
      </c>
      <c r="E166" s="28">
        <f ca="1"/>
        <v>3041.2295302498314</v>
      </c>
      <c r="F166" s="28">
        <f ca="1"/>
        <v>3626.1389827887201</v>
      </c>
      <c r="G166" s="28">
        <f ca="1"/>
        <v>3822.2831463000243</v>
      </c>
      <c r="H166" s="28">
        <f ca="1"/>
        <v>3738.3941311168992</v>
      </c>
      <c r="I166" s="28">
        <f ca="1"/>
        <v>3427.8380145229012</v>
      </c>
      <c r="J166" s="28">
        <f ca="1"/>
        <v>2988.8211914882404</v>
      </c>
      <c r="K166" s="28">
        <f ca="1"/>
        <v>2390.091137393536</v>
      </c>
      <c r="L166" s="1"/>
      <c r="M166" s="4" t="str">
        <f t="shared" si="25"/>
        <v>$M(2015)</v>
      </c>
    </row>
    <row r="167" spans="1:24" x14ac:dyDescent="0.2">
      <c r="A167" t="str">
        <v>LA</v>
      </c>
      <c r="B167" s="28">
        <f ca="1"/>
        <v>177.95146325698468</v>
      </c>
      <c r="C167" s="28">
        <f ca="1"/>
        <v>451.11137454569791</v>
      </c>
      <c r="D167" s="28">
        <f ca="1"/>
        <v>661.93316671744833</v>
      </c>
      <c r="E167" s="28">
        <f ca="1"/>
        <v>920.52189262990794</v>
      </c>
      <c r="F167" s="28">
        <f ca="1"/>
        <v>1010.9552176237648</v>
      </c>
      <c r="G167" s="28">
        <f ca="1"/>
        <v>991.51566118875542</v>
      </c>
      <c r="H167" s="28">
        <f ca="1"/>
        <v>909.50388848417867</v>
      </c>
      <c r="I167" s="28">
        <f ca="1"/>
        <v>786.50878402303658</v>
      </c>
      <c r="J167" s="28">
        <f ca="1"/>
        <v>646.51717951092144</v>
      </c>
      <c r="K167" s="28">
        <f ca="1"/>
        <v>483.52946261315975</v>
      </c>
      <c r="L167" s="1"/>
      <c r="M167" s="4" t="str">
        <f t="shared" si="25"/>
        <v>$M(2015)</v>
      </c>
    </row>
    <row r="168" spans="1:24" x14ac:dyDescent="0.2">
      <c r="A168" s="2" t="s">
        <v>204</v>
      </c>
      <c r="B168" s="40">
        <f ca="1">SUM(B160:B167)</f>
        <v>3100.8596211547715</v>
      </c>
      <c r="C168" s="40">
        <f t="shared" ref="C168:K168" ca="1" si="26">SUM(C160:C167)</f>
        <v>8637.8854112495483</v>
      </c>
      <c r="D168" s="40">
        <f t="shared" ca="1" si="26"/>
        <v>13052.15225795719</v>
      </c>
      <c r="E168" s="40">
        <f t="shared" ca="1" si="26"/>
        <v>19096.65082273478</v>
      </c>
      <c r="F168" s="40">
        <f t="shared" ca="1" si="26"/>
        <v>22235.57486343904</v>
      </c>
      <c r="G168" s="40">
        <f t="shared" ca="1" si="26"/>
        <v>23035.944446992824</v>
      </c>
      <c r="H168" s="40">
        <f t="shared" ca="1" si="26"/>
        <v>22358.757897188276</v>
      </c>
      <c r="I168" s="40">
        <f t="shared" ca="1" si="26"/>
        <v>19100.988016622465</v>
      </c>
      <c r="J168" s="40">
        <f t="shared" ca="1" si="26"/>
        <v>15785.003701785497</v>
      </c>
      <c r="K168" s="40">
        <f t="shared" ca="1" si="26"/>
        <v>12356.730096209831</v>
      </c>
      <c r="L168" s="1"/>
      <c r="M168" s="4" t="str">
        <f t="shared" si="25"/>
        <v>$M(2015)</v>
      </c>
    </row>
    <row r="169" spans="1:24" s="2" customFormat="1" ht="14.25" x14ac:dyDescent="0.25">
      <c r="A169" s="2" t="s">
        <v>96</v>
      </c>
      <c r="B169" s="2" t="s">
        <v>389</v>
      </c>
      <c r="L169" s="2" t="s">
        <v>110</v>
      </c>
      <c r="O169">
        <f t="array" ref="O169:X169">Y</f>
        <v>2020</v>
      </c>
      <c r="P169">
        <v>2025</v>
      </c>
      <c r="Q169">
        <v>2030</v>
      </c>
      <c r="R169">
        <v>2040</v>
      </c>
      <c r="S169">
        <v>2050</v>
      </c>
      <c r="T169">
        <v>2060</v>
      </c>
      <c r="U169">
        <v>2070</v>
      </c>
      <c r="V169">
        <v>2080</v>
      </c>
      <c r="W169">
        <v>2090</v>
      </c>
      <c r="X169">
        <v>2100</v>
      </c>
    </row>
    <row r="170" spans="1:24" s="4" customFormat="1" x14ac:dyDescent="0.2">
      <c r="A170" t="str">
        <f t="array" ref="A170:A177">R_CODE</f>
        <v>EU</v>
      </c>
      <c r="B170" s="27">
        <f t="array" aca="1" ref="B170:K177" ca="1">wacdt*YAGG</f>
        <v>2941.0506191740683</v>
      </c>
      <c r="C170" s="27">
        <f ca="1"/>
        <v>6710.3277481426303</v>
      </c>
      <c r="D170" s="27">
        <f ca="1"/>
        <v>15932.650302586402</v>
      </c>
      <c r="E170" s="27">
        <f ca="1"/>
        <v>32750.536825754731</v>
      </c>
      <c r="F170" s="27">
        <f ca="1"/>
        <v>40183.625050404626</v>
      </c>
      <c r="G170" s="27">
        <f ca="1"/>
        <v>43502.222240104413</v>
      </c>
      <c r="H170" s="27">
        <f ca="1"/>
        <v>44276.326893453799</v>
      </c>
      <c r="I170" s="27">
        <f ca="1"/>
        <v>36521.518587755629</v>
      </c>
      <c r="J170" s="27">
        <f ca="1"/>
        <v>29785.095590976798</v>
      </c>
      <c r="K170" s="27">
        <f ca="1"/>
        <v>12030.108472365166</v>
      </c>
      <c r="L170" s="41">
        <f ca="1">_xll.RiskOutput(,L169,1)+SUM(B170:K170)</f>
        <v>264633.46233071829</v>
      </c>
      <c r="M170" s="4" t="str">
        <f t="shared" ref="M170:M179" si="27">CURRENCY_NAME</f>
        <v>$M(2015)</v>
      </c>
      <c r="O170" s="321">
        <f ca="1">_xll.RiskOutput(,"Adaptive A",1)+B170</f>
        <v>2941.0506191740683</v>
      </c>
      <c r="P170" s="321">
        <f ca="1">_xll.RiskOutput(,"Adaptive A",2)+C170</f>
        <v>6710.3277481426303</v>
      </c>
      <c r="Q170" s="321">
        <f ca="1">_xll.RiskOutput(,"Adaptive A",3)+D170</f>
        <v>15932.650302586402</v>
      </c>
      <c r="R170" s="321">
        <f ca="1">_xll.RiskOutput(,"Adaptive A",4)+E170</f>
        <v>32750.536825754731</v>
      </c>
      <c r="S170" s="321">
        <f ca="1">_xll.RiskOutput(,"Adaptive A",5)+F170</f>
        <v>40183.625050404626</v>
      </c>
      <c r="T170" s="321">
        <f ca="1">_xll.RiskOutput(,"Adaptive A",6)+G170</f>
        <v>43502.222240104413</v>
      </c>
      <c r="U170" s="321">
        <f ca="1">_xll.RiskOutput(,"Adaptive A",7)+H170</f>
        <v>44276.326893453799</v>
      </c>
      <c r="V170" s="321">
        <f ca="1">_xll.RiskOutput(,"Adaptive A",8)+I170</f>
        <v>36521.518587755629</v>
      </c>
      <c r="W170" s="321">
        <f ca="1">_xll.RiskOutput(,"Adaptive A",9)+J170</f>
        <v>29785.095590976798</v>
      </c>
      <c r="X170" s="321">
        <f ca="1">_xll.RiskOutput(,"Adaptive A",10)+K170</f>
        <v>12030.108472365166</v>
      </c>
    </row>
    <row r="171" spans="1:24" s="4" customFormat="1" x14ac:dyDescent="0.2">
      <c r="A171" t="str">
        <v>US</v>
      </c>
      <c r="B171" s="28">
        <f ca="1"/>
        <v>1468.7674687117265</v>
      </c>
      <c r="C171" s="28">
        <f ca="1"/>
        <v>3471.3160907583642</v>
      </c>
      <c r="D171" s="28">
        <f ca="1"/>
        <v>8529.0999719203483</v>
      </c>
      <c r="E171" s="28">
        <f ca="1"/>
        <v>18622.943441386666</v>
      </c>
      <c r="F171" s="28">
        <f ca="1"/>
        <v>24071.268859473279</v>
      </c>
      <c r="G171" s="28">
        <f ca="1"/>
        <v>27485.558133791361</v>
      </c>
      <c r="H171" s="28">
        <f ca="1"/>
        <v>29579.981564617214</v>
      </c>
      <c r="I171" s="28">
        <f ca="1"/>
        <v>25728.54688300491</v>
      </c>
      <c r="J171" s="28">
        <f ca="1"/>
        <v>22008.012829075968</v>
      </c>
      <c r="K171" s="28">
        <f ca="1"/>
        <v>9246.6865292658458</v>
      </c>
      <c r="L171" s="40">
        <f ca="1">_xll.RiskOutput(,L169,2)+SUM(B171:K171)</f>
        <v>170212.18177200569</v>
      </c>
      <c r="M171" s="4" t="str">
        <f t="shared" si="27"/>
        <v>$M(2015)</v>
      </c>
      <c r="O171" s="321">
        <f ca="1">_xll.RiskOutput(,"Adaptive A",11)+B171</f>
        <v>1468.7674687117265</v>
      </c>
      <c r="P171" s="321">
        <f ca="1">_xll.RiskOutput(,"Adaptive A",12)+C171</f>
        <v>3471.3160907583642</v>
      </c>
      <c r="Q171" s="321">
        <f ca="1">_xll.RiskOutput(,"Adaptive A",13)+D171</f>
        <v>8529.0999719203483</v>
      </c>
      <c r="R171" s="321">
        <f ca="1">_xll.RiskOutput(,"Adaptive A",14)+E171</f>
        <v>18622.943441386666</v>
      </c>
      <c r="S171" s="321">
        <f ca="1">_xll.RiskOutput(,"Adaptive A",15)+F171</f>
        <v>24071.268859473279</v>
      </c>
      <c r="T171" s="321">
        <f ca="1">_xll.RiskOutput(,"Adaptive A",16)+G171</f>
        <v>27485.558133791361</v>
      </c>
      <c r="U171" s="321">
        <f ca="1">_xll.RiskOutput(,"Adaptive A",17)+H171</f>
        <v>29579.981564617214</v>
      </c>
      <c r="V171" s="321">
        <f ca="1">_xll.RiskOutput(,"Adaptive A",18)+I171</f>
        <v>25728.54688300491</v>
      </c>
      <c r="W171" s="321">
        <f ca="1">_xll.RiskOutput(,"Adaptive A",19)+J171</f>
        <v>22008.012829075968</v>
      </c>
      <c r="X171" s="321">
        <f ca="1">_xll.RiskOutput(,"Adaptive A",20)+K171</f>
        <v>9246.6865292658458</v>
      </c>
    </row>
    <row r="172" spans="1:24" s="4" customFormat="1" x14ac:dyDescent="0.2">
      <c r="A172" t="str">
        <v>OT</v>
      </c>
      <c r="B172" s="28">
        <f ca="1"/>
        <v>1431.1980178347701</v>
      </c>
      <c r="C172" s="28">
        <f ca="1"/>
        <v>3274.8086688062667</v>
      </c>
      <c r="D172" s="28">
        <f ca="1"/>
        <v>7764.7335131415994</v>
      </c>
      <c r="E172" s="28">
        <f ca="1"/>
        <v>15805.662749601313</v>
      </c>
      <c r="F172" s="28">
        <f ca="1"/>
        <v>19042.530783575814</v>
      </c>
      <c r="G172" s="28">
        <f ca="1"/>
        <v>20161.450668242582</v>
      </c>
      <c r="H172" s="28">
        <f ca="1"/>
        <v>19997.481878896713</v>
      </c>
      <c r="I172" s="28">
        <f ca="1"/>
        <v>16032.471902093457</v>
      </c>
      <c r="J172" s="28">
        <f ca="1"/>
        <v>12678.631738625689</v>
      </c>
      <c r="K172" s="28">
        <f ca="1"/>
        <v>4953.2533034715088</v>
      </c>
      <c r="L172" s="40">
        <f ca="1">_xll.RiskOutput(,L169,3)+SUM(B172:K172)</f>
        <v>121142.22322428972</v>
      </c>
      <c r="M172" s="4" t="str">
        <f t="shared" si="27"/>
        <v>$M(2015)</v>
      </c>
      <c r="O172" s="321">
        <f ca="1">_xll.RiskOutput(,"Adaptive A",21)+B172</f>
        <v>1431.1980178347701</v>
      </c>
      <c r="P172" s="321">
        <f ca="1">_xll.RiskOutput(,"Adaptive A",22)+C172</f>
        <v>3274.8086688062667</v>
      </c>
      <c r="Q172" s="321">
        <f ca="1">_xll.RiskOutput(,"Adaptive A",23)+D172</f>
        <v>7764.7335131415994</v>
      </c>
      <c r="R172" s="321">
        <f ca="1">_xll.RiskOutput(,"Adaptive A",24)+E172</f>
        <v>15805.662749601313</v>
      </c>
      <c r="S172" s="321">
        <f ca="1">_xll.RiskOutput(,"Adaptive A",25)+F172</f>
        <v>19042.530783575814</v>
      </c>
      <c r="T172" s="321">
        <f ca="1">_xll.RiskOutput(,"Adaptive A",26)+G172</f>
        <v>20161.450668242582</v>
      </c>
      <c r="U172" s="321">
        <f ca="1">_xll.RiskOutput(,"Adaptive A",27)+H172</f>
        <v>19997.481878896713</v>
      </c>
      <c r="V172" s="321">
        <f ca="1">_xll.RiskOutput(,"Adaptive A",28)+I172</f>
        <v>16032.471902093457</v>
      </c>
      <c r="W172" s="321">
        <f ca="1">_xll.RiskOutput(,"Adaptive A",29)+J172</f>
        <v>12678.631738625689</v>
      </c>
      <c r="X172" s="321">
        <f ca="1">_xll.RiskOutput(,"Adaptive A",30)+K172</f>
        <v>4953.2533034715088</v>
      </c>
    </row>
    <row r="173" spans="1:24" s="4" customFormat="1" x14ac:dyDescent="0.2">
      <c r="A173" t="str">
        <v>EE</v>
      </c>
      <c r="B173" s="28">
        <f ca="1"/>
        <v>712.36577695833682</v>
      </c>
      <c r="C173" s="28">
        <f ca="1"/>
        <v>1552.2690320775941</v>
      </c>
      <c r="D173" s="28">
        <f ca="1"/>
        <v>3512.1718713666537</v>
      </c>
      <c r="E173" s="28">
        <f ca="1"/>
        <v>6613.2174613983789</v>
      </c>
      <c r="F173" s="28">
        <f ca="1"/>
        <v>7402.2776266448054</v>
      </c>
      <c r="G173" s="28">
        <f ca="1"/>
        <v>7236.3244360111803</v>
      </c>
      <c r="H173" s="28">
        <f ca="1"/>
        <v>6627.6273210850159</v>
      </c>
      <c r="I173" s="28">
        <f ca="1"/>
        <v>4892.0043796080026</v>
      </c>
      <c r="J173" s="28">
        <f ca="1"/>
        <v>3546.7771991869795</v>
      </c>
      <c r="K173" s="28">
        <f ca="1"/>
        <v>1269.3062840305877</v>
      </c>
      <c r="L173" s="40">
        <f ca="1">_xll.RiskOutput(,L169,4)+SUM(B173:K173)</f>
        <v>43364.341388367531</v>
      </c>
      <c r="M173" s="4" t="str">
        <f t="shared" si="27"/>
        <v>$M(2015)</v>
      </c>
      <c r="O173" s="321">
        <f ca="1">_xll.RiskOutput(,"Adaptive A",31)+B173</f>
        <v>712.36577695833682</v>
      </c>
      <c r="P173" s="321">
        <f ca="1">_xll.RiskOutput(,"Adaptive A",32)+C173</f>
        <v>1552.2690320775941</v>
      </c>
      <c r="Q173" s="321">
        <f ca="1">_xll.RiskOutput(,"Adaptive A",33)+D173</f>
        <v>3512.1718713666537</v>
      </c>
      <c r="R173" s="321">
        <f ca="1">_xll.RiskOutput(,"Adaptive A",34)+E173</f>
        <v>6613.2174613983789</v>
      </c>
      <c r="S173" s="321">
        <f ca="1">_xll.RiskOutput(,"Adaptive A",35)+F173</f>
        <v>7402.2776266448054</v>
      </c>
      <c r="T173" s="321">
        <f ca="1">_xll.RiskOutput(,"Adaptive A",36)+G173</f>
        <v>7236.3244360111803</v>
      </c>
      <c r="U173" s="321">
        <f ca="1">_xll.RiskOutput(,"Adaptive A",37)+H173</f>
        <v>6627.6273210850159</v>
      </c>
      <c r="V173" s="321">
        <f ca="1">_xll.RiskOutput(,"Adaptive A",38)+I173</f>
        <v>4892.0043796080026</v>
      </c>
      <c r="W173" s="321">
        <f ca="1">_xll.RiskOutput(,"Adaptive A",39)+J173</f>
        <v>3546.7771991869795</v>
      </c>
      <c r="X173" s="321">
        <f ca="1">_xll.RiskOutput(,"Adaptive A",40)+K173</f>
        <v>1269.3062840305877</v>
      </c>
    </row>
    <row r="174" spans="1:24" s="4" customFormat="1" x14ac:dyDescent="0.2">
      <c r="A174" t="str">
        <v>CA</v>
      </c>
      <c r="B174" s="28">
        <f ca="1"/>
        <v>3719.3858735563499</v>
      </c>
      <c r="C174" s="28">
        <f ca="1"/>
        <v>5990.2429778318592</v>
      </c>
      <c r="D174" s="28">
        <f ca="1"/>
        <v>12694.343580399942</v>
      </c>
      <c r="E174" s="28">
        <f ca="1"/>
        <v>22336.090735528829</v>
      </c>
      <c r="F174" s="28">
        <f ca="1"/>
        <v>23578.298972399309</v>
      </c>
      <c r="G174" s="28">
        <f ca="1"/>
        <v>22283.974751926471</v>
      </c>
      <c r="H174" s="28">
        <f ca="1"/>
        <v>19586.531384495909</v>
      </c>
      <c r="I174" s="28">
        <f ca="1"/>
        <v>16213.842983356648</v>
      </c>
      <c r="J174" s="28">
        <f ca="1"/>
        <v>12754.463106243496</v>
      </c>
      <c r="K174" s="28">
        <f ca="1"/>
        <v>4564.5577872243794</v>
      </c>
      <c r="L174" s="40">
        <f ca="1">_xll.RiskOutput(,L169,5)+SUM(B174:K174)</f>
        <v>143721.7321529632</v>
      </c>
      <c r="M174" s="4" t="str">
        <f t="shared" si="27"/>
        <v>$M(2015)</v>
      </c>
      <c r="O174" s="321">
        <f ca="1">_xll.RiskOutput(,"Adaptive A",41)+B174</f>
        <v>3719.3858735563499</v>
      </c>
      <c r="P174" s="321">
        <f ca="1">_xll.RiskOutput(,"Adaptive A",42)+C174</f>
        <v>5990.2429778318592</v>
      </c>
      <c r="Q174" s="321">
        <f ca="1">_xll.RiskOutput(,"Adaptive A",43)+D174</f>
        <v>12694.343580399942</v>
      </c>
      <c r="R174" s="321">
        <f ca="1">_xll.RiskOutput(,"Adaptive A",44)+E174</f>
        <v>22336.090735528829</v>
      </c>
      <c r="S174" s="321">
        <f ca="1">_xll.RiskOutput(,"Adaptive A",45)+F174</f>
        <v>23578.298972399309</v>
      </c>
      <c r="T174" s="321">
        <f ca="1">_xll.RiskOutput(,"Adaptive A",46)+G174</f>
        <v>22283.974751926471</v>
      </c>
      <c r="U174" s="321">
        <f ca="1">_xll.RiskOutput(,"Adaptive A",47)+H174</f>
        <v>19586.531384495909</v>
      </c>
      <c r="V174" s="321">
        <f ca="1">_xll.RiskOutput(,"Adaptive A",48)+I174</f>
        <v>16213.842983356648</v>
      </c>
      <c r="W174" s="321">
        <f ca="1">_xll.RiskOutput(,"Adaptive A",49)+J174</f>
        <v>12754.463106243496</v>
      </c>
      <c r="X174" s="321">
        <f ca="1">_xll.RiskOutput(,"Adaptive A",50)+K174</f>
        <v>4564.5577872243794</v>
      </c>
    </row>
    <row r="175" spans="1:24" s="4" customFormat="1" x14ac:dyDescent="0.2">
      <c r="A175" t="str">
        <v>IA</v>
      </c>
      <c r="B175" s="28">
        <f ca="1"/>
        <v>7994.7759085221805</v>
      </c>
      <c r="C175" s="28">
        <f ca="1"/>
        <v>13434.471034638347</v>
      </c>
      <c r="D175" s="28">
        <f ca="1"/>
        <v>29507.31774643407</v>
      </c>
      <c r="E175" s="28">
        <f ca="1"/>
        <v>55220.542784880468</v>
      </c>
      <c r="F175" s="28">
        <f ca="1"/>
        <v>61706.805337767713</v>
      </c>
      <c r="G175" s="28">
        <f ca="1"/>
        <v>61551.926164964432</v>
      </c>
      <c r="H175" s="28">
        <f ca="1"/>
        <v>57040.649733323342</v>
      </c>
      <c r="I175" s="28">
        <f ca="1"/>
        <v>49478.027444946609</v>
      </c>
      <c r="J175" s="28">
        <f ca="1"/>
        <v>40723.672843754423</v>
      </c>
      <c r="K175" s="28">
        <f ca="1"/>
        <v>15351.635104658188</v>
      </c>
      <c r="L175" s="40">
        <f ca="1">_xll.RiskOutput(,L169,6)+SUM(B175:K175)</f>
        <v>392009.82410388975</v>
      </c>
      <c r="M175" s="4" t="str">
        <f t="shared" si="27"/>
        <v>$M(2015)</v>
      </c>
      <c r="O175" s="321">
        <f ca="1">_xll.RiskOutput(,"Adaptive A",51)+B175</f>
        <v>7994.7759085221805</v>
      </c>
      <c r="P175" s="321">
        <f ca="1">_xll.RiskOutput(,"Adaptive A",52)+C175</f>
        <v>13434.471034638347</v>
      </c>
      <c r="Q175" s="321">
        <f ca="1">_xll.RiskOutput(,"Adaptive A",53)+D175</f>
        <v>29507.31774643407</v>
      </c>
      <c r="R175" s="321">
        <f ca="1">_xll.RiskOutput(,"Adaptive A",54)+E175</f>
        <v>55220.542784880468</v>
      </c>
      <c r="S175" s="321">
        <f ca="1">_xll.RiskOutput(,"Adaptive A",55)+F175</f>
        <v>61706.805337767713</v>
      </c>
      <c r="T175" s="321">
        <f ca="1">_xll.RiskOutput(,"Adaptive A",56)+G175</f>
        <v>61551.926164964432</v>
      </c>
      <c r="U175" s="321">
        <f ca="1">_xll.RiskOutput(,"Adaptive A",57)+H175</f>
        <v>57040.649733323342</v>
      </c>
      <c r="V175" s="321">
        <f ca="1">_xll.RiskOutput(,"Adaptive A",58)+I175</f>
        <v>49478.027444946609</v>
      </c>
      <c r="W175" s="321">
        <f ca="1">_xll.RiskOutput(,"Adaptive A",59)+J175</f>
        <v>40723.672843754423</v>
      </c>
      <c r="X175" s="321">
        <f ca="1">_xll.RiskOutput(,"Adaptive A",60)+K175</f>
        <v>15351.635104658188</v>
      </c>
    </row>
    <row r="176" spans="1:24" s="4" customFormat="1" x14ac:dyDescent="0.2">
      <c r="A176" t="str">
        <v>AF</v>
      </c>
      <c r="B176" s="28">
        <f ca="1"/>
        <v>3654.2675194759659</v>
      </c>
      <c r="C176" s="28">
        <f ca="1"/>
        <v>6500.4346312641883</v>
      </c>
      <c r="D176" s="28">
        <f ca="1"/>
        <v>14986.326198449056</v>
      </c>
      <c r="E176" s="28">
        <f ca="1"/>
        <v>30412.295302498314</v>
      </c>
      <c r="F176" s="28">
        <f ca="1"/>
        <v>36261.3898278872</v>
      </c>
      <c r="G176" s="28">
        <f ca="1"/>
        <v>38222.831463000242</v>
      </c>
      <c r="H176" s="28">
        <f ca="1"/>
        <v>37383.941311168994</v>
      </c>
      <c r="I176" s="28">
        <f ca="1"/>
        <v>34278.380145229014</v>
      </c>
      <c r="J176" s="28">
        <f ca="1"/>
        <v>29888.211914882406</v>
      </c>
      <c r="K176" s="28">
        <f ca="1"/>
        <v>11950.45568696768</v>
      </c>
      <c r="L176" s="40">
        <f ca="1">_xll.RiskOutput(,L169,7)+SUM(B176:K176)</f>
        <v>243538.53400082307</v>
      </c>
      <c r="M176" s="4" t="str">
        <f t="shared" si="27"/>
        <v>$M(2015)</v>
      </c>
      <c r="O176" s="321">
        <f ca="1">_xll.RiskOutput(,"Adaptive A",61)+B176</f>
        <v>3654.2675194759659</v>
      </c>
      <c r="P176" s="321">
        <f ca="1">_xll.RiskOutput(,"Adaptive A",62)+C176</f>
        <v>6500.4346312641883</v>
      </c>
      <c r="Q176" s="321">
        <f ca="1">_xll.RiskOutput(,"Adaptive A",63)+D176</f>
        <v>14986.326198449056</v>
      </c>
      <c r="R176" s="321">
        <f ca="1">_xll.RiskOutput(,"Adaptive A",64)+E176</f>
        <v>30412.295302498314</v>
      </c>
      <c r="S176" s="321">
        <f ca="1">_xll.RiskOutput(,"Adaptive A",65)+F176</f>
        <v>36261.3898278872</v>
      </c>
      <c r="T176" s="321">
        <f ca="1">_xll.RiskOutput(,"Adaptive A",66)+G176</f>
        <v>38222.831463000242</v>
      </c>
      <c r="U176" s="321">
        <f ca="1">_xll.RiskOutput(,"Adaptive A",67)+H176</f>
        <v>37383.941311168994</v>
      </c>
      <c r="V176" s="321">
        <f ca="1">_xll.RiskOutput(,"Adaptive A",68)+I176</f>
        <v>34278.380145229014</v>
      </c>
      <c r="W176" s="321">
        <f ca="1">_xll.RiskOutput(,"Adaptive A",69)+J176</f>
        <v>29888.211914882406</v>
      </c>
      <c r="X176" s="321">
        <f ca="1">_xll.RiskOutput(,"Adaptive A",70)+K176</f>
        <v>11950.45568696768</v>
      </c>
    </row>
    <row r="177" spans="1:24" s="4" customFormat="1" x14ac:dyDescent="0.2">
      <c r="A177" t="str">
        <v>LA</v>
      </c>
      <c r="B177" s="28">
        <f ca="1"/>
        <v>1334.635974427385</v>
      </c>
      <c r="C177" s="28">
        <f ca="1"/>
        <v>2255.5568727284895</v>
      </c>
      <c r="D177" s="28">
        <f ca="1"/>
        <v>4964.4987503808625</v>
      </c>
      <c r="E177" s="28">
        <f ca="1"/>
        <v>9205.2189262990796</v>
      </c>
      <c r="F177" s="28">
        <f ca="1"/>
        <v>10109.552176237648</v>
      </c>
      <c r="G177" s="28">
        <f ca="1"/>
        <v>9915.1566118875544</v>
      </c>
      <c r="H177" s="28">
        <f ca="1"/>
        <v>9095.0388848417861</v>
      </c>
      <c r="I177" s="28">
        <f ca="1"/>
        <v>7865.0878402303661</v>
      </c>
      <c r="J177" s="28">
        <f ca="1"/>
        <v>6465.1717951092141</v>
      </c>
      <c r="K177" s="28">
        <f ca="1"/>
        <v>2417.6473130657987</v>
      </c>
      <c r="L177" s="40">
        <f ca="1">_xll.RiskOutput(,L169,8)+SUM(B177:K177)</f>
        <v>63627.56514520818</v>
      </c>
      <c r="M177" s="4" t="str">
        <f t="shared" si="27"/>
        <v>$M(2015)</v>
      </c>
      <c r="O177" s="321">
        <f ca="1">_xll.RiskOutput(,"Adaptive A",71)+B177</f>
        <v>1334.635974427385</v>
      </c>
      <c r="P177" s="321">
        <f ca="1">_xll.RiskOutput(,"Adaptive A",72)+C177</f>
        <v>2255.5568727284895</v>
      </c>
      <c r="Q177" s="321">
        <f ca="1">_xll.RiskOutput(,"Adaptive A",73)+D177</f>
        <v>4964.4987503808625</v>
      </c>
      <c r="R177" s="321">
        <f ca="1">_xll.RiskOutput(,"Adaptive A",74)+E177</f>
        <v>9205.2189262990796</v>
      </c>
      <c r="S177" s="321">
        <f ca="1">_xll.RiskOutput(,"Adaptive A",75)+F177</f>
        <v>10109.552176237648</v>
      </c>
      <c r="T177" s="321">
        <f ca="1">_xll.RiskOutput(,"Adaptive A",76)+G177</f>
        <v>9915.1566118875544</v>
      </c>
      <c r="U177" s="321">
        <f ca="1">_xll.RiskOutput(,"Adaptive A",77)+H177</f>
        <v>9095.0388848417861</v>
      </c>
      <c r="V177" s="321">
        <f ca="1">_xll.RiskOutput(,"Adaptive A",78)+I177</f>
        <v>7865.0878402303661</v>
      </c>
      <c r="W177" s="321">
        <f ca="1">_xll.RiskOutput(,"Adaptive A",79)+J177</f>
        <v>6465.1717951092141</v>
      </c>
      <c r="X177" s="321">
        <f ca="1">_xll.RiskOutput(,"Adaptive A",80)+K177</f>
        <v>2417.6473130657987</v>
      </c>
    </row>
    <row r="178" spans="1:24" s="2" customFormat="1" x14ac:dyDescent="0.2">
      <c r="A178" s="2" t="s">
        <v>204</v>
      </c>
      <c r="B178" s="40">
        <f ca="1">_xll.RiskOutput(,A178,1)+SUM(B170:B177)</f>
        <v>23256.447158660783</v>
      </c>
      <c r="C178" s="40">
        <f ca="1">_xll.RiskOutput(,A178,2)+SUM(C170:C177)</f>
        <v>43189.42705624774</v>
      </c>
      <c r="D178" s="40">
        <f ca="1">_xll.RiskOutput(,A178,3)+SUM(D170:D177)</f>
        <v>97891.141934678933</v>
      </c>
      <c r="E178" s="40">
        <f ca="1">_xll.RiskOutput(,A178,4)+SUM(E170:E177)</f>
        <v>190966.50822734775</v>
      </c>
      <c r="F178" s="40">
        <f ca="1">_xll.RiskOutput(,A178,5)+SUM(F170:F177)</f>
        <v>222355.74863439042</v>
      </c>
      <c r="G178" s="40">
        <f ca="1">_xll.RiskOutput(,A178,6)+SUM(G170:G177)</f>
        <v>230359.44446992825</v>
      </c>
      <c r="H178" s="40">
        <f ca="1">_xll.RiskOutput(,A178,7)+SUM(H170:H177)</f>
        <v>223587.57897188276</v>
      </c>
      <c r="I178" s="40">
        <f ca="1">_xll.RiskOutput(,A178,8)+SUM(I170:I177)</f>
        <v>191009.88016622464</v>
      </c>
      <c r="J178" s="40">
        <f ca="1">_xll.RiskOutput(,A178,9)+SUM(J170:J177)</f>
        <v>157850.03701785498</v>
      </c>
      <c r="K178" s="40">
        <f ca="1">_xll.RiskOutput(,A178,10)+SUM(K170:K177)</f>
        <v>61783.650481049153</v>
      </c>
      <c r="L178" s="40">
        <f ca="1">_xll.RiskOutput(,A178,11)+SUM(B178:K178)</f>
        <v>1442249.8641182657</v>
      </c>
      <c r="M178" s="4" t="str">
        <f t="shared" si="27"/>
        <v>$M(2015)</v>
      </c>
    </row>
    <row r="179" spans="1:24" ht="13.5" thickBot="1" x14ac:dyDescent="0.25">
      <c r="A179" s="2" t="s">
        <v>107</v>
      </c>
      <c r="L179" s="42">
        <f ca="1">SUM(L170:L177)</f>
        <v>1442249.8641182655</v>
      </c>
      <c r="M179" s="4" t="str">
        <f t="shared" si="27"/>
        <v>$M(2015)</v>
      </c>
    </row>
    <row r="180" spans="1:24" ht="13.5" thickTop="1" x14ac:dyDescent="0.2"/>
  </sheetData>
  <phoneticPr fontId="0" type="noConversion"/>
  <conditionalFormatting sqref="L170:L177 O170:X177 B178:L178">
    <cfRule type="expression" dxfId="6" priority="1" stopIfTrue="1">
      <formula>RiskIsOutput</formula>
    </cfRule>
  </conditionalFormatting>
  <pageMargins left="0.75" right="0.75" top="1" bottom="1" header="0.5" footer="0.5"/>
  <pageSetup paperSize="9" orientation="portrait" horizontalDpi="360" verticalDpi="360"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X180"/>
  <sheetViews>
    <sheetView topLeftCell="A155" workbookViewId="0">
      <selection activeCell="L170" sqref="L170:L177"/>
    </sheetView>
  </sheetViews>
  <sheetFormatPr defaultRowHeight="12.75" x14ac:dyDescent="0.2"/>
  <cols>
    <col min="1" max="1" width="25.5703125" bestFit="1" customWidth="1"/>
    <col min="2" max="2" width="9.42578125" bestFit="1" customWidth="1"/>
    <col min="3" max="4" width="9.140625" bestFit="1" customWidth="1"/>
    <col min="5" max="5" width="9.42578125" bestFit="1" customWidth="1"/>
    <col min="6" max="13" width="9" bestFit="1" customWidth="1"/>
  </cols>
  <sheetData>
    <row r="1" spans="1:13" x14ac:dyDescent="0.2">
      <c r="A1" s="2" t="str">
        <f>MODEL_NAME</f>
        <v>PAGE-ICE Nonlinear Arctic Feedbacks</v>
      </c>
      <c r="B1" t="s">
        <v>37</v>
      </c>
      <c r="C1" s="51" t="str">
        <f>VERSION</f>
        <v>6.22</v>
      </c>
    </row>
    <row r="2" spans="1:13" x14ac:dyDescent="0.2">
      <c r="A2" s="2" t="s">
        <v>88</v>
      </c>
      <c r="B2" s="3" t="s">
        <v>366</v>
      </c>
      <c r="C2" s="3" t="s">
        <v>366</v>
      </c>
      <c r="D2" s="3" t="str">
        <f>I_1_NAME</f>
        <v>Economic</v>
      </c>
      <c r="E2" s="3" t="str">
        <f>I_1_NAME</f>
        <v>Economic</v>
      </c>
      <c r="F2" s="3" t="str">
        <f>I_2_NAME</f>
        <v>Non-econ</v>
      </c>
      <c r="G2" s="3" t="str">
        <f>I_2_NAME</f>
        <v>Non-econ</v>
      </c>
    </row>
    <row r="3" spans="1:13" x14ac:dyDescent="0.2">
      <c r="B3" s="3" t="s">
        <v>47</v>
      </c>
      <c r="C3" s="3" t="s">
        <v>367</v>
      </c>
      <c r="D3" s="3" t="s">
        <v>47</v>
      </c>
      <c r="E3" s="3" t="s">
        <v>367</v>
      </c>
      <c r="F3" s="3" t="s">
        <v>47</v>
      </c>
      <c r="G3" s="3" t="s">
        <v>367</v>
      </c>
    </row>
    <row r="4" spans="1:13" ht="15.75" x14ac:dyDescent="0.3">
      <c r="B4" s="3" t="s">
        <v>368</v>
      </c>
      <c r="C4" s="3" t="s">
        <v>369</v>
      </c>
      <c r="D4" s="3" t="s">
        <v>89</v>
      </c>
      <c r="E4" s="3" t="s">
        <v>90</v>
      </c>
      <c r="F4" s="3" t="s">
        <v>91</v>
      </c>
      <c r="G4" s="3" t="s">
        <v>92</v>
      </c>
    </row>
    <row r="5" spans="1:13" x14ac:dyDescent="0.2">
      <c r="A5" t="str">
        <f t="array" ref="A5:A12">R_CODE</f>
        <v>EU</v>
      </c>
      <c r="B5" s="11">
        <f ca="1">CP_S_1</f>
        <v>2.3333333333333334E-2</v>
      </c>
      <c r="C5" s="11">
        <f ca="1">CI_S_1</f>
        <v>1.1666666666666668E-3</v>
      </c>
      <c r="D5" s="11">
        <f ca="1">CP_1_1</f>
        <v>1.1666666666666667E-2</v>
      </c>
      <c r="E5" s="11">
        <f ca="1">CI_1_1</f>
        <v>4.0000000000000001E-3</v>
      </c>
      <c r="F5" s="11">
        <f ca="1">CP_2_1</f>
        <v>2.3333333333333334E-2</v>
      </c>
      <c r="G5" s="11">
        <f ca="1">CI_2_1</f>
        <v>5.6666666666666671E-3</v>
      </c>
    </row>
    <row r="6" spans="1:13" x14ac:dyDescent="0.2">
      <c r="A6" t="str">
        <v>US</v>
      </c>
      <c r="B6" s="13">
        <f t="array" aca="1" ref="B6:B12" ca="1">CP_S_1*CF</f>
        <v>1.8666666666666665E-2</v>
      </c>
      <c r="C6" s="13">
        <f t="array" aca="1" ref="C6:C12" ca="1">CI_S_1*CF</f>
        <v>9.3333333333333332E-4</v>
      </c>
      <c r="D6" s="13">
        <f t="array" aca="1" ref="D6:D12" ca="1">CP_1_1*CF</f>
        <v>9.3333333333333324E-3</v>
      </c>
      <c r="E6" s="13">
        <f t="array" aca="1" ref="E6:E12" ca="1">CI_1_1*CF</f>
        <v>3.1999999999999997E-3</v>
      </c>
      <c r="F6" s="13">
        <f t="array" aca="1" ref="F6:F12" ca="1">CP_2_1*CF</f>
        <v>1.8666666666666665E-2</v>
      </c>
      <c r="G6" s="13">
        <f t="array" aca="1" ref="G6:G12" ca="1">CI_2_1*CF</f>
        <v>4.5333333333333337E-3</v>
      </c>
    </row>
    <row r="7" spans="1:13" x14ac:dyDescent="0.2">
      <c r="A7" t="str">
        <v>OT</v>
      </c>
      <c r="B7" s="13">
        <f ca="1"/>
        <v>1.8666666666666672E-2</v>
      </c>
      <c r="C7" s="13">
        <f ca="1"/>
        <v>9.3333333333333354E-4</v>
      </c>
      <c r="D7" s="13">
        <f ca="1"/>
        <v>9.3333333333333358E-3</v>
      </c>
      <c r="E7" s="13">
        <f ca="1"/>
        <v>3.2000000000000006E-3</v>
      </c>
      <c r="F7" s="13">
        <f ca="1"/>
        <v>1.8666666666666672E-2</v>
      </c>
      <c r="G7" s="13">
        <f ca="1"/>
        <v>4.5333333333333345E-3</v>
      </c>
    </row>
    <row r="8" spans="1:13" x14ac:dyDescent="0.2">
      <c r="A8" t="str">
        <v>EE</v>
      </c>
      <c r="B8" s="13">
        <f ca="1"/>
        <v>9.3333333333333358E-3</v>
      </c>
      <c r="C8" s="13">
        <f ca="1"/>
        <v>4.6666666666666677E-4</v>
      </c>
      <c r="D8" s="13">
        <f ca="1"/>
        <v>4.6666666666666679E-3</v>
      </c>
      <c r="E8" s="13">
        <f ca="1"/>
        <v>1.6000000000000003E-3</v>
      </c>
      <c r="F8" s="13">
        <f ca="1"/>
        <v>9.3333333333333358E-3</v>
      </c>
      <c r="G8" s="13">
        <f ca="1"/>
        <v>2.2666666666666673E-3</v>
      </c>
    </row>
    <row r="9" spans="1:13" x14ac:dyDescent="0.2">
      <c r="A9" t="str">
        <v>CA</v>
      </c>
      <c r="B9" s="13">
        <f ca="1"/>
        <v>1.8666666666666672E-2</v>
      </c>
      <c r="C9" s="13">
        <f ca="1"/>
        <v>9.3333333333333354E-4</v>
      </c>
      <c r="D9" s="13">
        <f ca="1"/>
        <v>9.3333333333333358E-3</v>
      </c>
      <c r="E9" s="13">
        <f ca="1"/>
        <v>3.2000000000000006E-3</v>
      </c>
      <c r="F9" s="13">
        <f ca="1"/>
        <v>1.8666666666666672E-2</v>
      </c>
      <c r="G9" s="13">
        <f ca="1"/>
        <v>4.5333333333333345E-3</v>
      </c>
    </row>
    <row r="10" spans="1:13" x14ac:dyDescent="0.2">
      <c r="A10" t="str">
        <v>IA</v>
      </c>
      <c r="B10" s="13">
        <f ca="1"/>
        <v>1.8666666666666672E-2</v>
      </c>
      <c r="C10" s="13">
        <f ca="1"/>
        <v>9.3333333333333354E-4</v>
      </c>
      <c r="D10" s="13">
        <f ca="1"/>
        <v>9.3333333333333358E-3</v>
      </c>
      <c r="E10" s="13">
        <f ca="1"/>
        <v>3.2000000000000006E-3</v>
      </c>
      <c r="F10" s="13">
        <f ca="1"/>
        <v>1.8666666666666672E-2</v>
      </c>
      <c r="G10" s="13">
        <f ca="1"/>
        <v>4.5333333333333345E-3</v>
      </c>
    </row>
    <row r="11" spans="1:13" x14ac:dyDescent="0.2">
      <c r="A11" t="str">
        <v>AF</v>
      </c>
      <c r="B11" s="13">
        <f ca="1"/>
        <v>1.4E-2</v>
      </c>
      <c r="C11" s="13">
        <f ca="1"/>
        <v>6.9999999999999999E-4</v>
      </c>
      <c r="D11" s="13">
        <f ca="1"/>
        <v>7.0000000000000001E-3</v>
      </c>
      <c r="E11" s="13">
        <f ca="1"/>
        <v>2.3999999999999998E-3</v>
      </c>
      <c r="F11" s="13">
        <f ca="1"/>
        <v>1.4E-2</v>
      </c>
      <c r="G11" s="13">
        <f ca="1"/>
        <v>3.4000000000000002E-3</v>
      </c>
    </row>
    <row r="12" spans="1:13" ht="13.5" thickBot="1" x14ac:dyDescent="0.25">
      <c r="A12" t="str">
        <v>LA</v>
      </c>
      <c r="B12" s="15">
        <f ca="1"/>
        <v>1.4E-2</v>
      </c>
      <c r="C12" s="15">
        <f ca="1"/>
        <v>6.9999999999999999E-4</v>
      </c>
      <c r="D12" s="15">
        <f ca="1"/>
        <v>7.0000000000000001E-3</v>
      </c>
      <c r="E12" s="15">
        <f ca="1"/>
        <v>2.3999999999999998E-3</v>
      </c>
      <c r="F12" s="15">
        <f ca="1"/>
        <v>1.4E-2</v>
      </c>
      <c r="G12" s="15">
        <f ca="1"/>
        <v>3.4000000000000002E-3</v>
      </c>
    </row>
    <row r="13" spans="1:13" ht="13.5" thickTop="1" x14ac:dyDescent="0.2">
      <c r="B13" t="str">
        <f>'Library data'!$G$115</f>
        <v>%GDP per metre</v>
      </c>
      <c r="C13" t="str">
        <f>'Library data'!$G$116</f>
        <v>%GDP per %reduction per metre</v>
      </c>
      <c r="D13" t="str">
        <f>'Library data'!$G$117</f>
        <v>%GDP per degC</v>
      </c>
      <c r="E13" t="str">
        <f>'Library data'!$G$118</f>
        <v>%GDP per %reduction per degC</v>
      </c>
      <c r="F13" t="str">
        <f>'Library data'!$G$119</f>
        <v>%GDP per degC</v>
      </c>
      <c r="G13" t="str">
        <f>'Library data'!$G$120</f>
        <v>%GDP per %reduction per degC</v>
      </c>
    </row>
    <row r="15" spans="1:13" x14ac:dyDescent="0.2">
      <c r="B15">
        <f t="array" ref="B15:K15">Y</f>
        <v>2020</v>
      </c>
      <c r="C15">
        <v>2025</v>
      </c>
      <c r="D15">
        <v>2030</v>
      </c>
      <c r="E15">
        <v>2040</v>
      </c>
      <c r="F15">
        <v>2050</v>
      </c>
      <c r="G15">
        <v>2060</v>
      </c>
      <c r="H15">
        <v>2070</v>
      </c>
      <c r="I15">
        <v>2080</v>
      </c>
      <c r="J15">
        <v>2090</v>
      </c>
      <c r="K15">
        <v>2100</v>
      </c>
    </row>
    <row r="16" spans="1:13" s="4" customFormat="1" x14ac:dyDescent="0.2">
      <c r="A16" s="4" t="s">
        <v>57</v>
      </c>
      <c r="B16" s="12">
        <f t="array" ref="B16:K16">YP</f>
        <v>5</v>
      </c>
      <c r="C16" s="12">
        <v>5</v>
      </c>
      <c r="D16" s="12">
        <v>5</v>
      </c>
      <c r="E16" s="12">
        <v>10</v>
      </c>
      <c r="F16" s="12">
        <v>10</v>
      </c>
      <c r="G16" s="12">
        <v>10</v>
      </c>
      <c r="H16" s="12">
        <v>10</v>
      </c>
      <c r="I16" s="12">
        <v>10</v>
      </c>
      <c r="J16" s="12">
        <v>10</v>
      </c>
      <c r="K16" s="12">
        <v>10</v>
      </c>
      <c r="M16" s="4" t="s">
        <v>39</v>
      </c>
    </row>
    <row r="17" spans="1:15" s="4" customFormat="1" x14ac:dyDescent="0.2">
      <c r="A17" s="4" t="s">
        <v>82</v>
      </c>
      <c r="B17" s="14">
        <f t="array" ref="B17:K17">Y_HI</f>
        <v>2022.5</v>
      </c>
      <c r="C17" s="14">
        <v>2027.5</v>
      </c>
      <c r="D17" s="14">
        <v>2035</v>
      </c>
      <c r="E17" s="14">
        <v>2045</v>
      </c>
      <c r="F17" s="14">
        <v>2055</v>
      </c>
      <c r="G17" s="14">
        <v>2065</v>
      </c>
      <c r="H17" s="14">
        <v>2075</v>
      </c>
      <c r="I17" s="14">
        <v>2085</v>
      </c>
      <c r="J17" s="14">
        <v>2095</v>
      </c>
      <c r="K17" s="14">
        <v>2100</v>
      </c>
    </row>
    <row r="18" spans="1:15" s="4" customFormat="1" x14ac:dyDescent="0.2">
      <c r="A18" s="4" t="s">
        <v>83</v>
      </c>
      <c r="B18" s="14">
        <f t="array" ref="B18:K18">Y_LO</f>
        <v>2015</v>
      </c>
      <c r="C18" s="14">
        <v>2022.5</v>
      </c>
      <c r="D18" s="14">
        <v>2027.5</v>
      </c>
      <c r="E18" s="14">
        <v>2035</v>
      </c>
      <c r="F18" s="14">
        <v>2045</v>
      </c>
      <c r="G18" s="14">
        <v>2055</v>
      </c>
      <c r="H18" s="14">
        <v>2065</v>
      </c>
      <c r="I18" s="14">
        <v>2075</v>
      </c>
      <c r="J18" s="14">
        <v>2085</v>
      </c>
      <c r="K18" s="14">
        <v>2095</v>
      </c>
    </row>
    <row r="19" spans="1:15" s="4" customFormat="1" ht="13.5" thickBot="1" x14ac:dyDescent="0.25">
      <c r="A19" s="4" t="s">
        <v>81</v>
      </c>
      <c r="B19" s="16">
        <f t="array" ref="B19:K19">YAGG</f>
        <v>7.5</v>
      </c>
      <c r="C19" s="16">
        <v>5</v>
      </c>
      <c r="D19" s="16">
        <v>7.5</v>
      </c>
      <c r="E19" s="16">
        <v>10</v>
      </c>
      <c r="F19" s="16">
        <v>10</v>
      </c>
      <c r="G19" s="16">
        <v>10</v>
      </c>
      <c r="H19" s="16">
        <v>10</v>
      </c>
      <c r="I19" s="16">
        <v>10</v>
      </c>
      <c r="J19" s="16">
        <v>10</v>
      </c>
      <c r="K19" s="16">
        <v>5</v>
      </c>
      <c r="M19" s="4" t="s">
        <v>39</v>
      </c>
    </row>
    <row r="20" spans="1:15" ht="13.5" thickTop="1" x14ac:dyDescent="0.2"/>
    <row r="21" spans="1:15" s="2" customFormat="1" ht="14.25" x14ac:dyDescent="0.25">
      <c r="A21" s="2" t="s">
        <v>370</v>
      </c>
      <c r="B21" s="2" t="s">
        <v>371</v>
      </c>
    </row>
    <row r="22" spans="1:15" s="4" customFormat="1" x14ac:dyDescent="0.2">
      <c r="A22" t="str">
        <f t="array" ref="A22:A29">R_CODE&amp;" sea level"</f>
        <v>EU sea level</v>
      </c>
      <c r="B22" s="221">
        <f t="array" aca="1" ref="B22:K29" ca="1">atl_s_b*CP_S*GDP_B/100*AUTOFAC</f>
        <v>464.47545589045814</v>
      </c>
      <c r="C22" s="221">
        <f ca="1"/>
        <v>635.56932420062253</v>
      </c>
      <c r="D22" s="221">
        <f ca="1"/>
        <v>836.90765499403335</v>
      </c>
      <c r="E22" s="221">
        <f ca="1"/>
        <v>1333.9531116546468</v>
      </c>
      <c r="F22" s="221">
        <f ca="1"/>
        <v>1943.1675560485028</v>
      </c>
      <c r="G22" s="221">
        <f ca="1"/>
        <v>2230.2004876666688</v>
      </c>
      <c r="H22" s="221">
        <f ca="1"/>
        <v>2547.9942053886525</v>
      </c>
      <c r="I22" s="221">
        <f ca="1"/>
        <v>2863.0389751120806</v>
      </c>
      <c r="J22" s="221">
        <f ca="1"/>
        <v>3178.7612176563666</v>
      </c>
      <c r="K22" s="221">
        <f ca="1"/>
        <v>3507.7809439323964</v>
      </c>
      <c r="M22" s="4" t="str">
        <f t="shared" ref="M22:M30" si="0">CURRENCY_NAME</f>
        <v>$M(2015)</v>
      </c>
      <c r="O22" s="171" t="s">
        <v>1033</v>
      </c>
    </row>
    <row r="23" spans="1:15" s="4" customFormat="1" x14ac:dyDescent="0.2">
      <c r="A23" t="str">
        <v>US sea level</v>
      </c>
      <c r="B23" s="222">
        <f ca="1"/>
        <v>349.14665069667024</v>
      </c>
      <c r="C23" s="222">
        <f ca="1"/>
        <v>478.0340013086012</v>
      </c>
      <c r="D23" s="222">
        <f ca="1"/>
        <v>628.35480771744028</v>
      </c>
      <c r="E23" s="222">
        <f ca="1"/>
        <v>999.10737099193705</v>
      </c>
      <c r="F23" s="222">
        <f ca="1"/>
        <v>1458.3568398602467</v>
      </c>
      <c r="G23" s="222">
        <f ca="1"/>
        <v>1682.8874365333402</v>
      </c>
      <c r="H23" s="222">
        <f ca="1"/>
        <v>1943.3788025372005</v>
      </c>
      <c r="I23" s="222">
        <f ca="1"/>
        <v>2228.6277852077933</v>
      </c>
      <c r="J23" s="222">
        <f ca="1"/>
        <v>2527.6662942675548</v>
      </c>
      <c r="K23" s="222">
        <f ca="1"/>
        <v>2835.9008050149796</v>
      </c>
      <c r="M23" s="4" t="str">
        <f t="shared" si="0"/>
        <v>$M(2015)</v>
      </c>
    </row>
    <row r="24" spans="1:15" s="4" customFormat="1" x14ac:dyDescent="0.2">
      <c r="A24" t="str">
        <v>OT sea level</v>
      </c>
      <c r="B24" s="222">
        <f ca="1"/>
        <v>205.66595346850869</v>
      </c>
      <c r="C24" s="222">
        <f ca="1"/>
        <v>280.0668267504642</v>
      </c>
      <c r="D24" s="222">
        <f ca="1"/>
        <v>368.0498221221896</v>
      </c>
      <c r="E24" s="222">
        <f ca="1"/>
        <v>584.37152179616373</v>
      </c>
      <c r="F24" s="222">
        <f ca="1"/>
        <v>849.08249942274176</v>
      </c>
      <c r="G24" s="222">
        <f ca="1"/>
        <v>969.68856226666958</v>
      </c>
      <c r="H24" s="222">
        <f ca="1"/>
        <v>1094.0229356794971</v>
      </c>
      <c r="I24" s="222">
        <f ca="1"/>
        <v>1207.6108005856988</v>
      </c>
      <c r="J24" s="222">
        <f ca="1"/>
        <v>1309.9737546406773</v>
      </c>
      <c r="K24" s="222">
        <f ca="1"/>
        <v>1405.2707141915607</v>
      </c>
      <c r="M24" s="4" t="str">
        <f t="shared" si="0"/>
        <v>$M(2015)</v>
      </c>
    </row>
    <row r="25" spans="1:15" s="4" customFormat="1" x14ac:dyDescent="0.2">
      <c r="A25" t="str">
        <v>EE sea level</v>
      </c>
      <c r="B25" s="222">
        <f ca="1"/>
        <v>46.315807735790891</v>
      </c>
      <c r="C25" s="222">
        <f ca="1"/>
        <v>67.335149332356366</v>
      </c>
      <c r="D25" s="222">
        <f ca="1"/>
        <v>93.322660195148842</v>
      </c>
      <c r="E25" s="222">
        <f ca="1"/>
        <v>155.58281082015799</v>
      </c>
      <c r="F25" s="222">
        <f ca="1"/>
        <v>219.50471171540298</v>
      </c>
      <c r="G25" s="222">
        <f ca="1"/>
        <v>238.24014153333374</v>
      </c>
      <c r="H25" s="222">
        <f ca="1"/>
        <v>256.10194318703981</v>
      </c>
      <c r="I25" s="222">
        <f ca="1"/>
        <v>263.51250348880632</v>
      </c>
      <c r="J25" s="222">
        <f ca="1"/>
        <v>268.66791627747051</v>
      </c>
      <c r="K25" s="222">
        <f ca="1"/>
        <v>270.70223576988508</v>
      </c>
      <c r="M25" s="4" t="str">
        <f t="shared" si="0"/>
        <v>$M(2015)</v>
      </c>
    </row>
    <row r="26" spans="1:15" s="4" customFormat="1" x14ac:dyDescent="0.2">
      <c r="A26" t="str">
        <v>CA sea level</v>
      </c>
      <c r="B26" s="222">
        <f ca="1"/>
        <v>256.85667176117181</v>
      </c>
      <c r="C26" s="222">
        <f ca="1"/>
        <v>420.17197460268176</v>
      </c>
      <c r="D26" s="222">
        <f ca="1"/>
        <v>623.5592981435974</v>
      </c>
      <c r="E26" s="222">
        <f ca="1"/>
        <v>1082.1967910551111</v>
      </c>
      <c r="F26" s="222">
        <f ca="1"/>
        <v>1519.8821634001945</v>
      </c>
      <c r="G26" s="222">
        <f ca="1"/>
        <v>1859.0134772906722</v>
      </c>
      <c r="H26" s="222">
        <f ca="1"/>
        <v>2116.7800261880502</v>
      </c>
      <c r="I26" s="222">
        <f ca="1"/>
        <v>2142.2976101123513</v>
      </c>
      <c r="J26" s="222">
        <f ca="1"/>
        <v>1987.3325511034143</v>
      </c>
      <c r="K26" s="222">
        <f ca="1"/>
        <v>1800.5008819416862</v>
      </c>
      <c r="M26" s="4" t="str">
        <f t="shared" si="0"/>
        <v>$M(2015)</v>
      </c>
    </row>
    <row r="27" spans="1:15" s="4" customFormat="1" x14ac:dyDescent="0.2">
      <c r="A27" t="str">
        <v>IA sea level</v>
      </c>
      <c r="B27" s="222">
        <f ca="1"/>
        <v>195.6753364708008</v>
      </c>
      <c r="C27" s="222">
        <f ca="1"/>
        <v>321.2191009056001</v>
      </c>
      <c r="D27" s="222">
        <f ca="1"/>
        <v>494.48990133611181</v>
      </c>
      <c r="E27" s="222">
        <f ca="1"/>
        <v>995.75865244972715</v>
      </c>
      <c r="F27" s="222">
        <f ca="1"/>
        <v>1683.8042089358821</v>
      </c>
      <c r="G27" s="222">
        <f ca="1"/>
        <v>2504.2849084586755</v>
      </c>
      <c r="H27" s="222">
        <f ca="1"/>
        <v>3407.9151577848675</v>
      </c>
      <c r="I27" s="222">
        <f ca="1"/>
        <v>4061.6479773354358</v>
      </c>
      <c r="J27" s="222">
        <f ca="1"/>
        <v>4383.4386539072584</v>
      </c>
      <c r="K27" s="222">
        <f ca="1"/>
        <v>4592.2714281309409</v>
      </c>
      <c r="M27" s="4" t="str">
        <f t="shared" si="0"/>
        <v>$M(2015)</v>
      </c>
    </row>
    <row r="28" spans="1:15" s="4" customFormat="1" x14ac:dyDescent="0.2">
      <c r="A28" t="str">
        <v>AF sea level</v>
      </c>
      <c r="B28" s="222">
        <f ca="1"/>
        <v>66.955072610716797</v>
      </c>
      <c r="C28" s="222">
        <f ca="1"/>
        <v>104.10493006629015</v>
      </c>
      <c r="D28" s="222">
        <f ca="1"/>
        <v>157.04542427716171</v>
      </c>
      <c r="E28" s="222">
        <f ca="1"/>
        <v>326.63755048085676</v>
      </c>
      <c r="F28" s="222">
        <f ca="1"/>
        <v>597.74900188751155</v>
      </c>
      <c r="G28" s="222">
        <f ca="1"/>
        <v>989.28528608000499</v>
      </c>
      <c r="H28" s="222">
        <f ca="1"/>
        <v>1514.944835716746</v>
      </c>
      <c r="I28" s="222">
        <f ca="1"/>
        <v>2031.2047360825522</v>
      </c>
      <c r="J28" s="222">
        <f ca="1"/>
        <v>2475.0278220241207</v>
      </c>
      <c r="K28" s="222">
        <f ca="1"/>
        <v>2934.1739805867855</v>
      </c>
      <c r="M28" s="4" t="str">
        <f t="shared" si="0"/>
        <v>$M(2015)</v>
      </c>
    </row>
    <row r="29" spans="1:15" s="4" customFormat="1" x14ac:dyDescent="0.2">
      <c r="A29" t="str">
        <v>LA sea level</v>
      </c>
      <c r="B29" s="222">
        <f ca="1"/>
        <v>68.015999177934134</v>
      </c>
      <c r="C29" s="222">
        <f ca="1"/>
        <v>97.756290183968787</v>
      </c>
      <c r="D29" s="222">
        <f ca="1"/>
        <v>135.06396083406256</v>
      </c>
      <c r="E29" s="222">
        <f ca="1"/>
        <v>237.28043132272344</v>
      </c>
      <c r="F29" s="222">
        <f ca="1"/>
        <v>370.73524212496864</v>
      </c>
      <c r="G29" s="222">
        <f ca="1"/>
        <v>518.51981126400051</v>
      </c>
      <c r="H29" s="222">
        <f ca="1"/>
        <v>670.26306219555329</v>
      </c>
      <c r="I29" s="222">
        <f ca="1"/>
        <v>770.38296437047438</v>
      </c>
      <c r="J29" s="222">
        <f ca="1"/>
        <v>806.999562617175</v>
      </c>
      <c r="K29" s="222">
        <f ca="1"/>
        <v>821.30502944073271</v>
      </c>
      <c r="M29" s="4" t="str">
        <f t="shared" si="0"/>
        <v>$M(2015)</v>
      </c>
    </row>
    <row r="30" spans="1:15" ht="13.5" thickBot="1" x14ac:dyDescent="0.25">
      <c r="A30" s="2" t="s">
        <v>374</v>
      </c>
      <c r="B30" s="42">
        <f ca="1">SUM(B22:B29)</f>
        <v>1653.1069478120517</v>
      </c>
      <c r="C30" s="42">
        <f t="shared" ref="C30:K30" ca="1" si="1">SUM(C22:C29)</f>
        <v>2404.2575973505855</v>
      </c>
      <c r="D30" s="42">
        <f t="shared" ca="1" si="1"/>
        <v>3336.7935296197456</v>
      </c>
      <c r="E30" s="42">
        <f t="shared" ca="1" si="1"/>
        <v>5714.8882405713239</v>
      </c>
      <c r="F30" s="42">
        <f t="shared" ca="1" si="1"/>
        <v>8642.2822233954503</v>
      </c>
      <c r="G30" s="42">
        <f t="shared" ca="1" si="1"/>
        <v>10992.120111093365</v>
      </c>
      <c r="H30" s="42">
        <f t="shared" ca="1" si="1"/>
        <v>13551.400968677608</v>
      </c>
      <c r="I30" s="42">
        <f t="shared" ca="1" si="1"/>
        <v>15568.323352295192</v>
      </c>
      <c r="J30" s="42">
        <f t="shared" ca="1" si="1"/>
        <v>16937.867772494039</v>
      </c>
      <c r="K30" s="42">
        <f t="shared" ca="1" si="1"/>
        <v>18167.906019008969</v>
      </c>
      <c r="L30" s="1"/>
      <c r="M30" s="4" t="str">
        <f t="shared" si="0"/>
        <v>$M(2015)</v>
      </c>
    </row>
    <row r="31" spans="1:15" s="2" customFormat="1" ht="15" thickTop="1" x14ac:dyDescent="0.25">
      <c r="A31" s="2" t="s">
        <v>372</v>
      </c>
      <c r="B31" s="2" t="s">
        <v>373</v>
      </c>
    </row>
    <row r="32" spans="1:15" x14ac:dyDescent="0.2">
      <c r="A32" t="str">
        <f t="array" ref="A32:A39">R_CODE&amp;" sea level"</f>
        <v>EU sea level</v>
      </c>
      <c r="B32" s="221">
        <f t="array" ref="B32:K39" ca="1">imp_s_b*CI_S*GDP_B/100*impmax_s_b*AUTOFAC</f>
        <v>0</v>
      </c>
      <c r="C32" s="221">
        <f ca="1"/>
        <v>1271.1386484012451</v>
      </c>
      <c r="D32" s="221">
        <f ca="1"/>
        <v>2789.6921833134443</v>
      </c>
      <c r="E32" s="221">
        <f ca="1"/>
        <v>6669.765558273235</v>
      </c>
      <c r="F32" s="221">
        <f ca="1"/>
        <v>11659.005336291018</v>
      </c>
      <c r="G32" s="221">
        <f ca="1"/>
        <v>17841.60390133335</v>
      </c>
      <c r="H32" s="221">
        <f ca="1"/>
        <v>25479.94205388652</v>
      </c>
      <c r="I32" s="221">
        <f ca="1"/>
        <v>28630.389751120805</v>
      </c>
      <c r="J32" s="221">
        <f ca="1"/>
        <v>31787.612176563671</v>
      </c>
      <c r="K32" s="221">
        <f ca="1"/>
        <v>35077.809439323966</v>
      </c>
      <c r="M32" s="4" t="str">
        <f t="shared" ref="M32:M40" si="2">CURRENCY_NAME</f>
        <v>$M(2015)</v>
      </c>
      <c r="O32" s="171" t="s">
        <v>1033</v>
      </c>
    </row>
    <row r="33" spans="1:13" x14ac:dyDescent="0.2">
      <c r="A33" t="str">
        <v>US sea level</v>
      </c>
      <c r="B33" s="222">
        <f ca="1"/>
        <v>0</v>
      </c>
      <c r="C33" s="222">
        <f ca="1"/>
        <v>956.06800261720241</v>
      </c>
      <c r="D33" s="222">
        <f ca="1"/>
        <v>2094.5160257248012</v>
      </c>
      <c r="E33" s="222">
        <f ca="1"/>
        <v>4995.5368549596851</v>
      </c>
      <c r="F33" s="222">
        <f ca="1"/>
        <v>8750.1410391614809</v>
      </c>
      <c r="G33" s="222">
        <f ca="1"/>
        <v>13463.099492266721</v>
      </c>
      <c r="H33" s="222">
        <f ca="1"/>
        <v>19433.78802537201</v>
      </c>
      <c r="I33" s="222">
        <f ca="1"/>
        <v>22286.277852077936</v>
      </c>
      <c r="J33" s="222">
        <f ca="1"/>
        <v>25276.662942675553</v>
      </c>
      <c r="K33" s="222">
        <f ca="1"/>
        <v>28359.008050149801</v>
      </c>
      <c r="M33" s="4" t="str">
        <f t="shared" si="2"/>
        <v>$M(2015)</v>
      </c>
    </row>
    <row r="34" spans="1:13" x14ac:dyDescent="0.2">
      <c r="A34" t="str">
        <v>OT sea level</v>
      </c>
      <c r="B34" s="222">
        <f ca="1"/>
        <v>0</v>
      </c>
      <c r="C34" s="222">
        <f ca="1"/>
        <v>560.1336535009284</v>
      </c>
      <c r="D34" s="222">
        <f ca="1"/>
        <v>1226.8327404072988</v>
      </c>
      <c r="E34" s="222">
        <f ca="1"/>
        <v>2921.857608980818</v>
      </c>
      <c r="F34" s="222">
        <f ca="1"/>
        <v>5094.4949965364513</v>
      </c>
      <c r="G34" s="222">
        <f ca="1"/>
        <v>7757.5084981333566</v>
      </c>
      <c r="H34" s="222">
        <f ca="1"/>
        <v>10940.229356794971</v>
      </c>
      <c r="I34" s="222">
        <f ca="1"/>
        <v>12076.108005856986</v>
      </c>
      <c r="J34" s="222">
        <f ca="1"/>
        <v>13099.737546406774</v>
      </c>
      <c r="K34" s="222">
        <f ca="1"/>
        <v>14052.707141915607</v>
      </c>
      <c r="M34" s="4" t="str">
        <f t="shared" si="2"/>
        <v>$M(2015)</v>
      </c>
    </row>
    <row r="35" spans="1:13" x14ac:dyDescent="0.2">
      <c r="A35" t="str">
        <v>EE sea level</v>
      </c>
      <c r="B35" s="222">
        <f ca="1"/>
        <v>0</v>
      </c>
      <c r="C35" s="222">
        <f ca="1"/>
        <v>134.67029866471273</v>
      </c>
      <c r="D35" s="222">
        <f ca="1"/>
        <v>311.07553398382942</v>
      </c>
      <c r="E35" s="222">
        <f ca="1"/>
        <v>777.91405410078994</v>
      </c>
      <c r="F35" s="222">
        <f ca="1"/>
        <v>1317.0282702924178</v>
      </c>
      <c r="G35" s="222">
        <f ca="1"/>
        <v>1905.9211322666699</v>
      </c>
      <c r="H35" s="222">
        <f ca="1"/>
        <v>2561.019431870398</v>
      </c>
      <c r="I35" s="222">
        <f ca="1"/>
        <v>2635.1250348880635</v>
      </c>
      <c r="J35" s="222">
        <f ca="1"/>
        <v>2686.6791627747052</v>
      </c>
      <c r="K35" s="222">
        <f ca="1"/>
        <v>2707.0223576988506</v>
      </c>
      <c r="M35" s="4" t="str">
        <f t="shared" si="2"/>
        <v>$M(2015)</v>
      </c>
    </row>
    <row r="36" spans="1:13" x14ac:dyDescent="0.2">
      <c r="A36" t="str">
        <v>CA sea level</v>
      </c>
      <c r="B36" s="222">
        <f ca="1"/>
        <v>0</v>
      </c>
      <c r="C36" s="222">
        <f ca="1"/>
        <v>525.21496825335214</v>
      </c>
      <c r="D36" s="222">
        <f ca="1"/>
        <v>1299.0818711324944</v>
      </c>
      <c r="E36" s="222">
        <f ca="1"/>
        <v>3381.8649720472213</v>
      </c>
      <c r="F36" s="222">
        <f ca="1"/>
        <v>5699.5581127507294</v>
      </c>
      <c r="G36" s="222">
        <f ca="1"/>
        <v>7745.8894887111337</v>
      </c>
      <c r="H36" s="222">
        <f ca="1"/>
        <v>9449.9108311966502</v>
      </c>
      <c r="I36" s="222">
        <f ca="1"/>
        <v>10711.488050561755</v>
      </c>
      <c r="J36" s="222">
        <f ca="1"/>
        <v>11592.773214769915</v>
      </c>
      <c r="K36" s="222">
        <f ca="1"/>
        <v>11253.13051213554</v>
      </c>
      <c r="M36" s="4" t="str">
        <f t="shared" si="2"/>
        <v>$M(2015)</v>
      </c>
    </row>
    <row r="37" spans="1:13" x14ac:dyDescent="0.2">
      <c r="A37" t="str">
        <v>IA sea level</v>
      </c>
      <c r="B37" s="222">
        <f ca="1"/>
        <v>0</v>
      </c>
      <c r="C37" s="222">
        <f ca="1"/>
        <v>401.52387613200017</v>
      </c>
      <c r="D37" s="222">
        <f ca="1"/>
        <v>1030.1872944502329</v>
      </c>
      <c r="E37" s="222">
        <f ca="1"/>
        <v>3111.7457889053971</v>
      </c>
      <c r="F37" s="222">
        <f ca="1"/>
        <v>6314.2657835095588</v>
      </c>
      <c r="G37" s="222">
        <f ca="1"/>
        <v>10434.520451911145</v>
      </c>
      <c r="H37" s="222">
        <f ca="1"/>
        <v>15213.906954396729</v>
      </c>
      <c r="I37" s="222">
        <f ca="1"/>
        <v>20308.23988667718</v>
      </c>
      <c r="J37" s="222">
        <f ca="1"/>
        <v>25570.058814459004</v>
      </c>
      <c r="K37" s="222">
        <f ca="1"/>
        <v>28701.696425818376</v>
      </c>
      <c r="M37" s="4" t="str">
        <f t="shared" si="2"/>
        <v>$M(2015)</v>
      </c>
    </row>
    <row r="38" spans="1:13" x14ac:dyDescent="0.2">
      <c r="A38" t="str">
        <v>AF sea level</v>
      </c>
      <c r="B38" s="222">
        <f ca="1"/>
        <v>0</v>
      </c>
      <c r="C38" s="222">
        <f ca="1"/>
        <v>130.13116258286269</v>
      </c>
      <c r="D38" s="222">
        <f ca="1"/>
        <v>327.1779672440868</v>
      </c>
      <c r="E38" s="222">
        <f ca="1"/>
        <v>1020.7423452526773</v>
      </c>
      <c r="F38" s="222">
        <f ca="1"/>
        <v>2241.5587570781686</v>
      </c>
      <c r="G38" s="222">
        <f ca="1"/>
        <v>4122.0220253333537</v>
      </c>
      <c r="H38" s="222">
        <f ca="1"/>
        <v>6763.1465880211863</v>
      </c>
      <c r="I38" s="222">
        <f ca="1"/>
        <v>10156.02368041276</v>
      </c>
      <c r="J38" s="222">
        <f ca="1"/>
        <v>14437.662295140701</v>
      </c>
      <c r="K38" s="222">
        <f ca="1"/>
        <v>18338.587378667402</v>
      </c>
      <c r="M38" s="4" t="str">
        <f t="shared" si="2"/>
        <v>$M(2015)</v>
      </c>
    </row>
    <row r="39" spans="1:13" x14ac:dyDescent="0.2">
      <c r="A39" t="str">
        <v>LA sea level</v>
      </c>
      <c r="B39" s="222">
        <f ca="1"/>
        <v>0</v>
      </c>
      <c r="C39" s="222">
        <f ca="1"/>
        <v>122.195362729961</v>
      </c>
      <c r="D39" s="222">
        <f ca="1"/>
        <v>281.38325173763025</v>
      </c>
      <c r="E39" s="222">
        <f ca="1"/>
        <v>741.50134788351079</v>
      </c>
      <c r="F39" s="222">
        <f ca="1"/>
        <v>1390.2571579686323</v>
      </c>
      <c r="G39" s="222">
        <f ca="1"/>
        <v>2160.4992136000019</v>
      </c>
      <c r="H39" s="222">
        <f ca="1"/>
        <v>2992.2458133730051</v>
      </c>
      <c r="I39" s="222">
        <f ca="1"/>
        <v>3851.914821852371</v>
      </c>
      <c r="J39" s="222">
        <f ca="1"/>
        <v>4707.4974486001865</v>
      </c>
      <c r="K39" s="222">
        <f ca="1"/>
        <v>5133.1564340045779</v>
      </c>
      <c r="M39" s="4" t="str">
        <f t="shared" si="2"/>
        <v>$M(2015)</v>
      </c>
    </row>
    <row r="40" spans="1:13" ht="13.5" thickBot="1" x14ac:dyDescent="0.25">
      <c r="A40" s="2" t="s">
        <v>374</v>
      </c>
      <c r="B40" s="42">
        <f t="shared" ref="B40:K40" ca="1" si="3">SUM(B32:B39)</f>
        <v>0</v>
      </c>
      <c r="C40" s="42">
        <f t="shared" ca="1" si="3"/>
        <v>4101.075972882265</v>
      </c>
      <c r="D40" s="42">
        <f t="shared" ca="1" si="3"/>
        <v>9359.9468679938182</v>
      </c>
      <c r="E40" s="42">
        <f t="shared" ca="1" si="3"/>
        <v>23620.928530403333</v>
      </c>
      <c r="F40" s="42">
        <f t="shared" ca="1" si="3"/>
        <v>42466.309453588459</v>
      </c>
      <c r="G40" s="42">
        <f t="shared" ca="1" si="3"/>
        <v>65431.064203555725</v>
      </c>
      <c r="H40" s="42">
        <f t="shared" ca="1" si="3"/>
        <v>92834.189054911491</v>
      </c>
      <c r="I40" s="42">
        <f t="shared" ca="1" si="3"/>
        <v>110655.56708344788</v>
      </c>
      <c r="J40" s="42">
        <f t="shared" ca="1" si="3"/>
        <v>129158.68360139051</v>
      </c>
      <c r="K40" s="42">
        <f t="shared" ca="1" si="3"/>
        <v>143623.1177397141</v>
      </c>
      <c r="L40" s="1"/>
      <c r="M40" s="4" t="str">
        <f t="shared" si="2"/>
        <v>$M(2015)</v>
      </c>
    </row>
    <row r="41" spans="1:13" ht="15" thickTop="1" x14ac:dyDescent="0.25">
      <c r="A41" s="44" t="s">
        <v>110</v>
      </c>
      <c r="B41" s="2" t="s">
        <v>379</v>
      </c>
      <c r="C41" s="1"/>
      <c r="D41" s="1"/>
      <c r="E41" s="1"/>
      <c r="F41" s="1"/>
      <c r="G41" s="1"/>
      <c r="H41" s="1"/>
      <c r="I41" s="1"/>
      <c r="J41" s="1"/>
      <c r="K41" s="1"/>
      <c r="L41" s="1"/>
      <c r="M41" s="1"/>
    </row>
    <row r="42" spans="1:13" x14ac:dyDescent="0.2">
      <c r="A42" t="str">
        <f t="array" ref="A42:A49">R_CODE&amp;" sea level"</f>
        <v>EU sea level</v>
      </c>
      <c r="B42" s="28">
        <f t="array" aca="1" ref="B42:K49" ca="1">acp_s_b+aci_s_b</f>
        <v>464.47545589045814</v>
      </c>
      <c r="C42" s="28">
        <f ca="1"/>
        <v>1906.7079726018676</v>
      </c>
      <c r="D42" s="28">
        <f ca="1"/>
        <v>3626.5998383074775</v>
      </c>
      <c r="E42" s="28">
        <f ca="1"/>
        <v>8003.7186699278818</v>
      </c>
      <c r="F42" s="28">
        <f ca="1"/>
        <v>13602.17289233952</v>
      </c>
      <c r="G42" s="28">
        <f ca="1"/>
        <v>20071.804389000019</v>
      </c>
      <c r="H42" s="28">
        <f ca="1"/>
        <v>28027.936259275171</v>
      </c>
      <c r="I42" s="28">
        <f ca="1"/>
        <v>31493.428726232887</v>
      </c>
      <c r="J42" s="28">
        <f ca="1"/>
        <v>34966.373394220034</v>
      </c>
      <c r="K42" s="28">
        <f ca="1"/>
        <v>38585.590383256364</v>
      </c>
      <c r="L42" s="1"/>
      <c r="M42" s="4" t="str">
        <f t="shared" ref="M42:M50" si="4">CURRENCY_NAME</f>
        <v>$M(2015)</v>
      </c>
    </row>
    <row r="43" spans="1:13" x14ac:dyDescent="0.2">
      <c r="A43" t="str">
        <v>US sea level</v>
      </c>
      <c r="B43" s="28">
        <f ca="1"/>
        <v>349.14665069667024</v>
      </c>
      <c r="C43" s="28">
        <f ca="1"/>
        <v>1434.1020039258037</v>
      </c>
      <c r="D43" s="28">
        <f ca="1"/>
        <v>2722.8708334422417</v>
      </c>
      <c r="E43" s="28">
        <f ca="1"/>
        <v>5994.6442259516225</v>
      </c>
      <c r="F43" s="28">
        <f ca="1"/>
        <v>10208.497879021728</v>
      </c>
      <c r="G43" s="28">
        <f ca="1"/>
        <v>15145.986928800061</v>
      </c>
      <c r="H43" s="28">
        <f ca="1"/>
        <v>21377.166827909212</v>
      </c>
      <c r="I43" s="28">
        <f ca="1"/>
        <v>24514.90563728573</v>
      </c>
      <c r="J43" s="28">
        <f ca="1"/>
        <v>27804.329236943107</v>
      </c>
      <c r="K43" s="28">
        <f ca="1"/>
        <v>31194.90885516478</v>
      </c>
      <c r="L43" s="1"/>
      <c r="M43" s="4" t="str">
        <f t="shared" si="4"/>
        <v>$M(2015)</v>
      </c>
    </row>
    <row r="44" spans="1:13" x14ac:dyDescent="0.2">
      <c r="A44" t="str">
        <v>OT sea level</v>
      </c>
      <c r="B44" s="28">
        <f ca="1"/>
        <v>205.66595346850869</v>
      </c>
      <c r="C44" s="28">
        <f ca="1"/>
        <v>840.20048025139261</v>
      </c>
      <c r="D44" s="28">
        <f ca="1"/>
        <v>1594.8825625294885</v>
      </c>
      <c r="E44" s="28">
        <f ca="1"/>
        <v>3506.2291307769819</v>
      </c>
      <c r="F44" s="28">
        <f ca="1"/>
        <v>5943.5774959591927</v>
      </c>
      <c r="G44" s="28">
        <f ca="1"/>
        <v>8727.1970604000271</v>
      </c>
      <c r="H44" s="28">
        <f ca="1"/>
        <v>12034.252292474468</v>
      </c>
      <c r="I44" s="28">
        <f ca="1"/>
        <v>13283.718806442685</v>
      </c>
      <c r="J44" s="28">
        <f ca="1"/>
        <v>14409.711301047451</v>
      </c>
      <c r="K44" s="28">
        <f ca="1"/>
        <v>15457.977856107169</v>
      </c>
      <c r="L44" s="1"/>
      <c r="M44" s="4" t="str">
        <f t="shared" si="4"/>
        <v>$M(2015)</v>
      </c>
    </row>
    <row r="45" spans="1:13" x14ac:dyDescent="0.2">
      <c r="A45" t="str">
        <v>EE sea level</v>
      </c>
      <c r="B45" s="28">
        <f ca="1"/>
        <v>46.315807735790891</v>
      </c>
      <c r="C45" s="28">
        <f ca="1"/>
        <v>202.0054479970691</v>
      </c>
      <c r="D45" s="28">
        <f ca="1"/>
        <v>404.39819417897826</v>
      </c>
      <c r="E45" s="28">
        <f ca="1"/>
        <v>933.49686492094793</v>
      </c>
      <c r="F45" s="28">
        <f ca="1"/>
        <v>1536.5329820078207</v>
      </c>
      <c r="G45" s="28">
        <f ca="1"/>
        <v>2144.1612738000035</v>
      </c>
      <c r="H45" s="28">
        <f ca="1"/>
        <v>2817.1213750574379</v>
      </c>
      <c r="I45" s="28">
        <f ca="1"/>
        <v>2898.63753837687</v>
      </c>
      <c r="J45" s="28">
        <f ca="1"/>
        <v>2955.3470790521756</v>
      </c>
      <c r="K45" s="28">
        <f ca="1"/>
        <v>2977.7245934687357</v>
      </c>
      <c r="L45" s="1"/>
      <c r="M45" s="4" t="str">
        <f t="shared" si="4"/>
        <v>$M(2015)</v>
      </c>
    </row>
    <row r="46" spans="1:13" x14ac:dyDescent="0.2">
      <c r="A46" t="str">
        <v>CA sea level</v>
      </c>
      <c r="B46" s="28">
        <f ca="1"/>
        <v>256.85667176117181</v>
      </c>
      <c r="C46" s="28">
        <f ca="1"/>
        <v>945.3869428560339</v>
      </c>
      <c r="D46" s="28">
        <f ca="1"/>
        <v>1922.6411692760917</v>
      </c>
      <c r="E46" s="28">
        <f ca="1"/>
        <v>4464.0617631023324</v>
      </c>
      <c r="F46" s="28">
        <f ca="1"/>
        <v>7219.4402761509236</v>
      </c>
      <c r="G46" s="28">
        <f ca="1"/>
        <v>9604.9029660018059</v>
      </c>
      <c r="H46" s="28">
        <f ca="1"/>
        <v>11566.690857384699</v>
      </c>
      <c r="I46" s="28">
        <f ca="1"/>
        <v>12853.785660674106</v>
      </c>
      <c r="J46" s="28">
        <f ca="1"/>
        <v>13580.10576587333</v>
      </c>
      <c r="K46" s="28">
        <f ca="1"/>
        <v>13053.631394077227</v>
      </c>
      <c r="L46" s="1"/>
      <c r="M46" s="4" t="str">
        <f t="shared" si="4"/>
        <v>$M(2015)</v>
      </c>
    </row>
    <row r="47" spans="1:13" x14ac:dyDescent="0.2">
      <c r="A47" t="str">
        <v>IA sea level</v>
      </c>
      <c r="B47" s="28">
        <f ca="1"/>
        <v>195.6753364708008</v>
      </c>
      <c r="C47" s="28">
        <f ca="1"/>
        <v>722.74297703760021</v>
      </c>
      <c r="D47" s="28">
        <f ca="1"/>
        <v>1524.6771957863448</v>
      </c>
      <c r="E47" s="28">
        <f ca="1"/>
        <v>4107.5044413551241</v>
      </c>
      <c r="F47" s="28">
        <f ca="1"/>
        <v>7998.0699924454411</v>
      </c>
      <c r="G47" s="28">
        <f ca="1"/>
        <v>12938.805360369821</v>
      </c>
      <c r="H47" s="28">
        <f ca="1"/>
        <v>18621.822112181595</v>
      </c>
      <c r="I47" s="28">
        <f ca="1"/>
        <v>24369.887864012617</v>
      </c>
      <c r="J47" s="28">
        <f ca="1"/>
        <v>29953.497468366262</v>
      </c>
      <c r="K47" s="28">
        <f ca="1"/>
        <v>33293.967853949318</v>
      </c>
      <c r="L47" s="1"/>
      <c r="M47" s="4" t="str">
        <f t="shared" si="4"/>
        <v>$M(2015)</v>
      </c>
    </row>
    <row r="48" spans="1:13" x14ac:dyDescent="0.2">
      <c r="A48" t="str">
        <v>AF sea level</v>
      </c>
      <c r="B48" s="28">
        <f ca="1"/>
        <v>66.955072610716797</v>
      </c>
      <c r="C48" s="28">
        <f ca="1"/>
        <v>234.23609264915285</v>
      </c>
      <c r="D48" s="28">
        <f ca="1"/>
        <v>484.22339152124852</v>
      </c>
      <c r="E48" s="28">
        <f ca="1"/>
        <v>1347.3798957335341</v>
      </c>
      <c r="F48" s="28">
        <f ca="1"/>
        <v>2839.30775896568</v>
      </c>
      <c r="G48" s="28">
        <f ca="1"/>
        <v>5111.3073114133585</v>
      </c>
      <c r="H48" s="28">
        <f ca="1"/>
        <v>8278.0914237379329</v>
      </c>
      <c r="I48" s="28">
        <f ca="1"/>
        <v>12187.228416495313</v>
      </c>
      <c r="J48" s="28">
        <f ca="1"/>
        <v>16912.690117164821</v>
      </c>
      <c r="K48" s="28">
        <f ca="1"/>
        <v>21272.761359254189</v>
      </c>
      <c r="L48" s="1"/>
      <c r="M48" s="4" t="str">
        <f t="shared" si="4"/>
        <v>$M(2015)</v>
      </c>
    </row>
    <row r="49" spans="1:15" x14ac:dyDescent="0.2">
      <c r="A49" t="str">
        <v>LA sea level</v>
      </c>
      <c r="B49" s="28">
        <f ca="1"/>
        <v>68.015999177934134</v>
      </c>
      <c r="C49" s="28">
        <f ca="1"/>
        <v>219.95165291392979</v>
      </c>
      <c r="D49" s="28">
        <f ca="1"/>
        <v>416.44721257169283</v>
      </c>
      <c r="E49" s="28">
        <f ca="1"/>
        <v>978.78177920623421</v>
      </c>
      <c r="F49" s="28">
        <f ca="1"/>
        <v>1760.992400093601</v>
      </c>
      <c r="G49" s="28">
        <f ca="1"/>
        <v>2679.0190248640024</v>
      </c>
      <c r="H49" s="28">
        <f ca="1"/>
        <v>3662.5088755685583</v>
      </c>
      <c r="I49" s="28">
        <f ca="1"/>
        <v>4622.2977862228454</v>
      </c>
      <c r="J49" s="28">
        <f ca="1"/>
        <v>5514.4970112173614</v>
      </c>
      <c r="K49" s="28">
        <f ca="1"/>
        <v>5954.461463445311</v>
      </c>
      <c r="L49" s="1"/>
      <c r="M49" s="4" t="str">
        <f t="shared" si="4"/>
        <v>$M(2015)</v>
      </c>
    </row>
    <row r="50" spans="1:15" ht="13.5" thickBot="1" x14ac:dyDescent="0.25">
      <c r="A50" s="2" t="s">
        <v>374</v>
      </c>
      <c r="B50" s="42">
        <f t="shared" ref="B50:K50" ca="1" si="5">SUM(B42:B49)</f>
        <v>1653.1069478120517</v>
      </c>
      <c r="C50" s="42">
        <f t="shared" ca="1" si="5"/>
        <v>6505.3335702328504</v>
      </c>
      <c r="D50" s="42">
        <f t="shared" ca="1" si="5"/>
        <v>12696.740397613565</v>
      </c>
      <c r="E50" s="42">
        <f t="shared" ca="1" si="5"/>
        <v>29335.816770974659</v>
      </c>
      <c r="F50" s="42">
        <f t="shared" ca="1" si="5"/>
        <v>51108.59167698391</v>
      </c>
      <c r="G50" s="42">
        <f t="shared" ca="1" si="5"/>
        <v>76423.184314649101</v>
      </c>
      <c r="H50" s="42">
        <f t="shared" ca="1" si="5"/>
        <v>106385.59002358907</v>
      </c>
      <c r="I50" s="42">
        <f t="shared" ca="1" si="5"/>
        <v>126223.89043574307</v>
      </c>
      <c r="J50" s="42">
        <f t="shared" ca="1" si="5"/>
        <v>146096.55137388455</v>
      </c>
      <c r="K50" s="42">
        <f t="shared" ca="1" si="5"/>
        <v>161791.02375872308</v>
      </c>
      <c r="L50" s="1"/>
      <c r="M50" s="4" t="str">
        <f t="shared" si="4"/>
        <v>$M(2015)</v>
      </c>
    </row>
    <row r="51" spans="1:15" s="2" customFormat="1" ht="15" thickTop="1" x14ac:dyDescent="0.25">
      <c r="A51" s="2" t="s">
        <v>370</v>
      </c>
      <c r="B51" s="2" t="s">
        <v>375</v>
      </c>
    </row>
    <row r="52" spans="1:15" s="4" customFormat="1" x14ac:dyDescent="0.2">
      <c r="A52" t="str">
        <f t="array" ref="A52:A59">R_CODE&amp;" "&amp;I_1_NAME</f>
        <v>EU Economic</v>
      </c>
      <c r="B52" s="221">
        <f t="array" ref="B52:K59" ca="1">atl_1_b*CP_1*GDP_B/100*AUTOFAC</f>
        <v>0</v>
      </c>
      <c r="C52" s="221">
        <f ca="1"/>
        <v>0</v>
      </c>
      <c r="D52" s="221">
        <f ca="1"/>
        <v>0</v>
      </c>
      <c r="E52" s="221">
        <f ca="1"/>
        <v>0</v>
      </c>
      <c r="F52" s="221">
        <f ca="1"/>
        <v>0</v>
      </c>
      <c r="G52" s="221">
        <f ca="1"/>
        <v>0</v>
      </c>
      <c r="H52" s="221">
        <f ca="1"/>
        <v>0</v>
      </c>
      <c r="I52" s="221">
        <f ca="1"/>
        <v>0</v>
      </c>
      <c r="J52" s="221">
        <f ca="1"/>
        <v>0</v>
      </c>
      <c r="K52" s="221">
        <f ca="1"/>
        <v>0</v>
      </c>
      <c r="M52" s="4" t="str">
        <f t="shared" ref="M52:M60" si="6">CURRENCY_NAME</f>
        <v>$M(2015)</v>
      </c>
      <c r="O52" s="293" t="s">
        <v>1033</v>
      </c>
    </row>
    <row r="53" spans="1:15" s="4" customFormat="1" x14ac:dyDescent="0.2">
      <c r="A53" t="str">
        <v>US Economic</v>
      </c>
      <c r="B53" s="222">
        <f ca="1"/>
        <v>0</v>
      </c>
      <c r="C53" s="222">
        <f ca="1"/>
        <v>0</v>
      </c>
      <c r="D53" s="222">
        <f ca="1"/>
        <v>0</v>
      </c>
      <c r="E53" s="222">
        <f ca="1"/>
        <v>0</v>
      </c>
      <c r="F53" s="222">
        <f ca="1"/>
        <v>0</v>
      </c>
      <c r="G53" s="222">
        <f ca="1"/>
        <v>0</v>
      </c>
      <c r="H53" s="222">
        <f ca="1"/>
        <v>0</v>
      </c>
      <c r="I53" s="222">
        <f ca="1"/>
        <v>0</v>
      </c>
      <c r="J53" s="222">
        <f ca="1"/>
        <v>0</v>
      </c>
      <c r="K53" s="222">
        <f ca="1"/>
        <v>0</v>
      </c>
      <c r="M53" s="4" t="str">
        <f t="shared" si="6"/>
        <v>$M(2015)</v>
      </c>
    </row>
    <row r="54" spans="1:15" s="4" customFormat="1" x14ac:dyDescent="0.2">
      <c r="A54" t="str">
        <v>OT Economic</v>
      </c>
      <c r="B54" s="222">
        <f ca="1"/>
        <v>0</v>
      </c>
      <c r="C54" s="222">
        <f ca="1"/>
        <v>0</v>
      </c>
      <c r="D54" s="222">
        <f ca="1"/>
        <v>0</v>
      </c>
      <c r="E54" s="222">
        <f ca="1"/>
        <v>0</v>
      </c>
      <c r="F54" s="222">
        <f ca="1"/>
        <v>0</v>
      </c>
      <c r="G54" s="222">
        <f ca="1"/>
        <v>0</v>
      </c>
      <c r="H54" s="222">
        <f ca="1"/>
        <v>0</v>
      </c>
      <c r="I54" s="222">
        <f ca="1"/>
        <v>0</v>
      </c>
      <c r="J54" s="222">
        <f ca="1"/>
        <v>0</v>
      </c>
      <c r="K54" s="222">
        <f ca="1"/>
        <v>0</v>
      </c>
      <c r="M54" s="4" t="str">
        <f t="shared" si="6"/>
        <v>$M(2015)</v>
      </c>
    </row>
    <row r="55" spans="1:15" s="4" customFormat="1" x14ac:dyDescent="0.2">
      <c r="A55" t="str">
        <v>EE Economic</v>
      </c>
      <c r="B55" s="222">
        <f ca="1"/>
        <v>0</v>
      </c>
      <c r="C55" s="222">
        <f ca="1"/>
        <v>0</v>
      </c>
      <c r="D55" s="222">
        <f ca="1"/>
        <v>0</v>
      </c>
      <c r="E55" s="222">
        <f ca="1"/>
        <v>0</v>
      </c>
      <c r="F55" s="222">
        <f ca="1"/>
        <v>0</v>
      </c>
      <c r="G55" s="222">
        <f ca="1"/>
        <v>0</v>
      </c>
      <c r="H55" s="222">
        <f ca="1"/>
        <v>0</v>
      </c>
      <c r="I55" s="222">
        <f ca="1"/>
        <v>0</v>
      </c>
      <c r="J55" s="222">
        <f ca="1"/>
        <v>0</v>
      </c>
      <c r="K55" s="222">
        <f ca="1"/>
        <v>0</v>
      </c>
      <c r="M55" s="4" t="str">
        <f t="shared" si="6"/>
        <v>$M(2015)</v>
      </c>
    </row>
    <row r="56" spans="1:15" s="4" customFormat="1" x14ac:dyDescent="0.2">
      <c r="A56" t="str">
        <v>CA Economic</v>
      </c>
      <c r="B56" s="222">
        <f ca="1"/>
        <v>0</v>
      </c>
      <c r="C56" s="222">
        <f ca="1"/>
        <v>0</v>
      </c>
      <c r="D56" s="222">
        <f ca="1"/>
        <v>0</v>
      </c>
      <c r="E56" s="222">
        <f ca="1"/>
        <v>0</v>
      </c>
      <c r="F56" s="222">
        <f ca="1"/>
        <v>0</v>
      </c>
      <c r="G56" s="222">
        <f ca="1"/>
        <v>0</v>
      </c>
      <c r="H56" s="222">
        <f ca="1"/>
        <v>0</v>
      </c>
      <c r="I56" s="222">
        <f ca="1"/>
        <v>0</v>
      </c>
      <c r="J56" s="222">
        <f ca="1"/>
        <v>0</v>
      </c>
      <c r="K56" s="222">
        <f ca="1"/>
        <v>0</v>
      </c>
      <c r="M56" s="4" t="str">
        <f t="shared" si="6"/>
        <v>$M(2015)</v>
      </c>
    </row>
    <row r="57" spans="1:15" s="4" customFormat="1" x14ac:dyDescent="0.2">
      <c r="A57" t="str">
        <v>IA Economic</v>
      </c>
      <c r="B57" s="222">
        <f ca="1"/>
        <v>0</v>
      </c>
      <c r="C57" s="222">
        <f ca="1"/>
        <v>0</v>
      </c>
      <c r="D57" s="222">
        <f ca="1"/>
        <v>0</v>
      </c>
      <c r="E57" s="222">
        <f ca="1"/>
        <v>0</v>
      </c>
      <c r="F57" s="222">
        <f ca="1"/>
        <v>0</v>
      </c>
      <c r="G57" s="222">
        <f ca="1"/>
        <v>0</v>
      </c>
      <c r="H57" s="222">
        <f ca="1"/>
        <v>0</v>
      </c>
      <c r="I57" s="222">
        <f ca="1"/>
        <v>0</v>
      </c>
      <c r="J57" s="222">
        <f ca="1"/>
        <v>0</v>
      </c>
      <c r="K57" s="222">
        <f ca="1"/>
        <v>0</v>
      </c>
      <c r="M57" s="4" t="str">
        <f t="shared" si="6"/>
        <v>$M(2015)</v>
      </c>
    </row>
    <row r="58" spans="1:15" s="4" customFormat="1" x14ac:dyDescent="0.2">
      <c r="A58" t="str">
        <v>AF Economic</v>
      </c>
      <c r="B58" s="222">
        <f ca="1"/>
        <v>0</v>
      </c>
      <c r="C58" s="222">
        <f ca="1"/>
        <v>0</v>
      </c>
      <c r="D58" s="222">
        <f ca="1"/>
        <v>0</v>
      </c>
      <c r="E58" s="222">
        <f ca="1"/>
        <v>0</v>
      </c>
      <c r="F58" s="222">
        <f ca="1"/>
        <v>0</v>
      </c>
      <c r="G58" s="222">
        <f ca="1"/>
        <v>0</v>
      </c>
      <c r="H58" s="222">
        <f ca="1"/>
        <v>0</v>
      </c>
      <c r="I58" s="222">
        <f ca="1"/>
        <v>0</v>
      </c>
      <c r="J58" s="222">
        <f ca="1"/>
        <v>0</v>
      </c>
      <c r="K58" s="222">
        <f ca="1"/>
        <v>0</v>
      </c>
      <c r="M58" s="4" t="str">
        <f t="shared" si="6"/>
        <v>$M(2015)</v>
      </c>
    </row>
    <row r="59" spans="1:15" s="4" customFormat="1" x14ac:dyDescent="0.2">
      <c r="A59" t="str">
        <v>LA Economic</v>
      </c>
      <c r="B59" s="222">
        <f ca="1"/>
        <v>0</v>
      </c>
      <c r="C59" s="222">
        <f ca="1"/>
        <v>0</v>
      </c>
      <c r="D59" s="222">
        <f ca="1"/>
        <v>0</v>
      </c>
      <c r="E59" s="222">
        <f ca="1"/>
        <v>0</v>
      </c>
      <c r="F59" s="222">
        <f ca="1"/>
        <v>0</v>
      </c>
      <c r="G59" s="222">
        <f ca="1"/>
        <v>0</v>
      </c>
      <c r="H59" s="222">
        <f ca="1"/>
        <v>0</v>
      </c>
      <c r="I59" s="222">
        <f ca="1"/>
        <v>0</v>
      </c>
      <c r="J59" s="222">
        <f ca="1"/>
        <v>0</v>
      </c>
      <c r="K59" s="222">
        <f ca="1"/>
        <v>0</v>
      </c>
      <c r="M59" s="4" t="str">
        <f t="shared" si="6"/>
        <v>$M(2015)</v>
      </c>
    </row>
    <row r="60" spans="1:15" ht="13.5" thickBot="1" x14ac:dyDescent="0.25">
      <c r="A60" s="2" t="str">
        <f>"Global "&amp;I_1_NAME</f>
        <v>Global Economic</v>
      </c>
      <c r="B60" s="42">
        <f ca="1">SUM(B52:B59)</f>
        <v>0</v>
      </c>
      <c r="C60" s="42">
        <f t="shared" ref="C60:K60" ca="1" si="7">SUM(C52:C59)</f>
        <v>0</v>
      </c>
      <c r="D60" s="42">
        <f t="shared" ca="1" si="7"/>
        <v>0</v>
      </c>
      <c r="E60" s="42">
        <f t="shared" ca="1" si="7"/>
        <v>0</v>
      </c>
      <c r="F60" s="42">
        <f t="shared" ca="1" si="7"/>
        <v>0</v>
      </c>
      <c r="G60" s="42">
        <f t="shared" ca="1" si="7"/>
        <v>0</v>
      </c>
      <c r="H60" s="42">
        <f t="shared" ca="1" si="7"/>
        <v>0</v>
      </c>
      <c r="I60" s="42">
        <f t="shared" ca="1" si="7"/>
        <v>0</v>
      </c>
      <c r="J60" s="42">
        <f t="shared" ca="1" si="7"/>
        <v>0</v>
      </c>
      <c r="K60" s="42">
        <f t="shared" ca="1" si="7"/>
        <v>0</v>
      </c>
      <c r="L60" s="1"/>
      <c r="M60" s="4" t="str">
        <f t="shared" si="6"/>
        <v>$M(2015)</v>
      </c>
    </row>
    <row r="61" spans="1:15" s="2" customFormat="1" ht="15" thickTop="1" x14ac:dyDescent="0.25">
      <c r="A61" s="2" t="s">
        <v>372</v>
      </c>
      <c r="B61" s="2" t="s">
        <v>376</v>
      </c>
    </row>
    <row r="62" spans="1:15" x14ac:dyDescent="0.2">
      <c r="A62" t="str">
        <f t="array" ref="A62:A69">R_CODE&amp;" "&amp;I_1_NAME</f>
        <v>EU Economic</v>
      </c>
      <c r="B62" s="221">
        <f t="array" aca="1" ref="B62:K69" ca="1">imp_1_b*CI_1*GDP_B/100*impmax_1_b*AUTOFAC</f>
        <v>0</v>
      </c>
      <c r="C62" s="221">
        <f ca="1"/>
        <v>0</v>
      </c>
      <c r="D62" s="221">
        <f ca="1"/>
        <v>0</v>
      </c>
      <c r="E62" s="221">
        <f ca="1"/>
        <v>0</v>
      </c>
      <c r="F62" s="221">
        <f ca="1"/>
        <v>0</v>
      </c>
      <c r="G62" s="221">
        <f ca="1"/>
        <v>0</v>
      </c>
      <c r="H62" s="221">
        <f ca="1"/>
        <v>0</v>
      </c>
      <c r="I62" s="221">
        <f ca="1"/>
        <v>0</v>
      </c>
      <c r="J62" s="221">
        <f ca="1"/>
        <v>0</v>
      </c>
      <c r="K62" s="221">
        <f ca="1"/>
        <v>0</v>
      </c>
      <c r="M62" s="4" t="str">
        <f t="shared" ref="M62:M70" si="8">CURRENCY_NAME</f>
        <v>$M(2015)</v>
      </c>
      <c r="O62" s="293" t="s">
        <v>1033</v>
      </c>
    </row>
    <row r="63" spans="1:15" x14ac:dyDescent="0.2">
      <c r="A63" t="str">
        <v>US Economic</v>
      </c>
      <c r="B63" s="222">
        <f ca="1"/>
        <v>0</v>
      </c>
      <c r="C63" s="222">
        <f ca="1"/>
        <v>0</v>
      </c>
      <c r="D63" s="222">
        <f ca="1"/>
        <v>0</v>
      </c>
      <c r="E63" s="222">
        <f ca="1"/>
        <v>0</v>
      </c>
      <c r="F63" s="222">
        <f ca="1"/>
        <v>0</v>
      </c>
      <c r="G63" s="222">
        <f ca="1"/>
        <v>0</v>
      </c>
      <c r="H63" s="222">
        <f ca="1"/>
        <v>0</v>
      </c>
      <c r="I63" s="222">
        <f ca="1"/>
        <v>0</v>
      </c>
      <c r="J63" s="222">
        <f ca="1"/>
        <v>0</v>
      </c>
      <c r="K63" s="222">
        <f ca="1"/>
        <v>0</v>
      </c>
      <c r="M63" s="4" t="str">
        <f t="shared" si="8"/>
        <v>$M(2015)</v>
      </c>
    </row>
    <row r="64" spans="1:15" x14ac:dyDescent="0.2">
      <c r="A64" t="str">
        <v>OT Economic</v>
      </c>
      <c r="B64" s="222">
        <f ca="1"/>
        <v>0</v>
      </c>
      <c r="C64" s="222">
        <f ca="1"/>
        <v>0</v>
      </c>
      <c r="D64" s="222">
        <f ca="1"/>
        <v>0</v>
      </c>
      <c r="E64" s="222">
        <f ca="1"/>
        <v>0</v>
      </c>
      <c r="F64" s="222">
        <f ca="1"/>
        <v>0</v>
      </c>
      <c r="G64" s="222">
        <f ca="1"/>
        <v>0</v>
      </c>
      <c r="H64" s="222">
        <f ca="1"/>
        <v>0</v>
      </c>
      <c r="I64" s="222">
        <f ca="1"/>
        <v>0</v>
      </c>
      <c r="J64" s="222">
        <f ca="1"/>
        <v>0</v>
      </c>
      <c r="K64" s="222">
        <f ca="1"/>
        <v>0</v>
      </c>
      <c r="M64" s="4" t="str">
        <f t="shared" si="8"/>
        <v>$M(2015)</v>
      </c>
    </row>
    <row r="65" spans="1:13" x14ac:dyDescent="0.2">
      <c r="A65" t="str">
        <v>EE Economic</v>
      </c>
      <c r="B65" s="222">
        <f ca="1"/>
        <v>0</v>
      </c>
      <c r="C65" s="222">
        <f ca="1"/>
        <v>0</v>
      </c>
      <c r="D65" s="222">
        <f ca="1"/>
        <v>0</v>
      </c>
      <c r="E65" s="222">
        <f ca="1"/>
        <v>0</v>
      </c>
      <c r="F65" s="222">
        <f ca="1"/>
        <v>0</v>
      </c>
      <c r="G65" s="222">
        <f ca="1"/>
        <v>0</v>
      </c>
      <c r="H65" s="222">
        <f ca="1"/>
        <v>0</v>
      </c>
      <c r="I65" s="222">
        <f ca="1"/>
        <v>0</v>
      </c>
      <c r="J65" s="222">
        <f ca="1"/>
        <v>0</v>
      </c>
      <c r="K65" s="222">
        <f ca="1"/>
        <v>0</v>
      </c>
      <c r="M65" s="4" t="str">
        <f t="shared" si="8"/>
        <v>$M(2015)</v>
      </c>
    </row>
    <row r="66" spans="1:13" x14ac:dyDescent="0.2">
      <c r="A66" t="str">
        <v>CA Economic</v>
      </c>
      <c r="B66" s="222">
        <f ca="1"/>
        <v>0</v>
      </c>
      <c r="C66" s="222">
        <f ca="1"/>
        <v>0</v>
      </c>
      <c r="D66" s="222">
        <f ca="1"/>
        <v>0</v>
      </c>
      <c r="E66" s="222">
        <f ca="1"/>
        <v>0</v>
      </c>
      <c r="F66" s="222">
        <f ca="1"/>
        <v>0</v>
      </c>
      <c r="G66" s="222">
        <f ca="1"/>
        <v>0</v>
      </c>
      <c r="H66" s="222">
        <f ca="1"/>
        <v>0</v>
      </c>
      <c r="I66" s="222">
        <f ca="1"/>
        <v>0</v>
      </c>
      <c r="J66" s="222">
        <f ca="1"/>
        <v>0</v>
      </c>
      <c r="K66" s="222">
        <f ca="1"/>
        <v>0</v>
      </c>
      <c r="M66" s="4" t="str">
        <f t="shared" si="8"/>
        <v>$M(2015)</v>
      </c>
    </row>
    <row r="67" spans="1:13" x14ac:dyDescent="0.2">
      <c r="A67" t="str">
        <v>IA Economic</v>
      </c>
      <c r="B67" s="222">
        <f ca="1"/>
        <v>0</v>
      </c>
      <c r="C67" s="222">
        <f ca="1"/>
        <v>0</v>
      </c>
      <c r="D67" s="222">
        <f ca="1"/>
        <v>0</v>
      </c>
      <c r="E67" s="222">
        <f ca="1"/>
        <v>0</v>
      </c>
      <c r="F67" s="222">
        <f ca="1"/>
        <v>0</v>
      </c>
      <c r="G67" s="222">
        <f ca="1"/>
        <v>0</v>
      </c>
      <c r="H67" s="222">
        <f ca="1"/>
        <v>0</v>
      </c>
      <c r="I67" s="222">
        <f ca="1"/>
        <v>0</v>
      </c>
      <c r="J67" s="222">
        <f ca="1"/>
        <v>0</v>
      </c>
      <c r="K67" s="222">
        <f ca="1"/>
        <v>0</v>
      </c>
      <c r="M67" s="4" t="str">
        <f t="shared" si="8"/>
        <v>$M(2015)</v>
      </c>
    </row>
    <row r="68" spans="1:13" x14ac:dyDescent="0.2">
      <c r="A68" t="str">
        <v>AF Economic</v>
      </c>
      <c r="B68" s="222">
        <f ca="1"/>
        <v>0</v>
      </c>
      <c r="C68" s="222">
        <f ca="1"/>
        <v>0</v>
      </c>
      <c r="D68" s="222">
        <f ca="1"/>
        <v>0</v>
      </c>
      <c r="E68" s="222">
        <f ca="1"/>
        <v>0</v>
      </c>
      <c r="F68" s="222">
        <f ca="1"/>
        <v>0</v>
      </c>
      <c r="G68" s="222">
        <f ca="1"/>
        <v>0</v>
      </c>
      <c r="H68" s="222">
        <f ca="1"/>
        <v>0</v>
      </c>
      <c r="I68" s="222">
        <f ca="1"/>
        <v>0</v>
      </c>
      <c r="J68" s="222">
        <f ca="1"/>
        <v>0</v>
      </c>
      <c r="K68" s="222">
        <f ca="1"/>
        <v>0</v>
      </c>
      <c r="M68" s="4" t="str">
        <f t="shared" si="8"/>
        <v>$M(2015)</v>
      </c>
    </row>
    <row r="69" spans="1:13" x14ac:dyDescent="0.2">
      <c r="A69" t="str">
        <v>LA Economic</v>
      </c>
      <c r="B69" s="222">
        <f ca="1"/>
        <v>0</v>
      </c>
      <c r="C69" s="222">
        <f ca="1"/>
        <v>0</v>
      </c>
      <c r="D69" s="222">
        <f ca="1"/>
        <v>0</v>
      </c>
      <c r="E69" s="222">
        <f ca="1"/>
        <v>0</v>
      </c>
      <c r="F69" s="222">
        <f ca="1"/>
        <v>0</v>
      </c>
      <c r="G69" s="222">
        <f ca="1"/>
        <v>0</v>
      </c>
      <c r="H69" s="222">
        <f ca="1"/>
        <v>0</v>
      </c>
      <c r="I69" s="222">
        <f ca="1"/>
        <v>0</v>
      </c>
      <c r="J69" s="222">
        <f ca="1"/>
        <v>0</v>
      </c>
      <c r="K69" s="222">
        <f ca="1"/>
        <v>0</v>
      </c>
      <c r="M69" s="4" t="str">
        <f t="shared" si="8"/>
        <v>$M(2015)</v>
      </c>
    </row>
    <row r="70" spans="1:13" ht="13.5" thickBot="1" x14ac:dyDescent="0.25">
      <c r="A70" s="2" t="str">
        <f>"Global "&amp;I_1_NAME</f>
        <v>Global Economic</v>
      </c>
      <c r="B70" s="42">
        <f t="shared" ref="B70:K70" ca="1" si="9">SUM(B62:B69)</f>
        <v>0</v>
      </c>
      <c r="C70" s="42">
        <f t="shared" ca="1" si="9"/>
        <v>0</v>
      </c>
      <c r="D70" s="42">
        <f t="shared" ca="1" si="9"/>
        <v>0</v>
      </c>
      <c r="E70" s="42">
        <f t="shared" ca="1" si="9"/>
        <v>0</v>
      </c>
      <c r="F70" s="42">
        <f t="shared" ca="1" si="9"/>
        <v>0</v>
      </c>
      <c r="G70" s="42">
        <f t="shared" ca="1" si="9"/>
        <v>0</v>
      </c>
      <c r="H70" s="42">
        <f t="shared" ca="1" si="9"/>
        <v>0</v>
      </c>
      <c r="I70" s="42">
        <f t="shared" ca="1" si="9"/>
        <v>0</v>
      </c>
      <c r="J70" s="42">
        <f t="shared" ca="1" si="9"/>
        <v>0</v>
      </c>
      <c r="K70" s="42">
        <f t="shared" ca="1" si="9"/>
        <v>0</v>
      </c>
      <c r="L70" s="1"/>
      <c r="M70" s="4" t="str">
        <f t="shared" si="8"/>
        <v>$M(2015)</v>
      </c>
    </row>
    <row r="71" spans="1:13" ht="15" thickTop="1" x14ac:dyDescent="0.25">
      <c r="A71" s="44" t="s">
        <v>110</v>
      </c>
      <c r="B71" s="2" t="s">
        <v>93</v>
      </c>
      <c r="C71" s="1"/>
      <c r="D71" s="1"/>
      <c r="E71" s="1"/>
      <c r="F71" s="1"/>
      <c r="G71" s="1"/>
      <c r="H71" s="1"/>
      <c r="I71" s="1"/>
      <c r="J71" s="1"/>
      <c r="K71" s="1"/>
      <c r="L71" s="1"/>
      <c r="M71" s="1"/>
    </row>
    <row r="72" spans="1:13" x14ac:dyDescent="0.2">
      <c r="A72" t="str">
        <f t="array" ref="A72:A79">R_CODE&amp;" "&amp;I_1_NAME</f>
        <v>EU Economic</v>
      </c>
      <c r="B72" s="28">
        <f t="array" aca="1" ref="B72:K79" ca="1">acp_1_b+aci_1_b</f>
        <v>0</v>
      </c>
      <c r="C72" s="28">
        <f ca="1"/>
        <v>0</v>
      </c>
      <c r="D72" s="28">
        <f ca="1"/>
        <v>0</v>
      </c>
      <c r="E72" s="28">
        <f ca="1"/>
        <v>0</v>
      </c>
      <c r="F72" s="28">
        <f ca="1"/>
        <v>0</v>
      </c>
      <c r="G72" s="28">
        <f ca="1"/>
        <v>0</v>
      </c>
      <c r="H72" s="28">
        <f ca="1"/>
        <v>0</v>
      </c>
      <c r="I72" s="28">
        <f ca="1"/>
        <v>0</v>
      </c>
      <c r="J72" s="28">
        <f ca="1"/>
        <v>0</v>
      </c>
      <c r="K72" s="28">
        <f ca="1"/>
        <v>0</v>
      </c>
      <c r="L72" s="1"/>
      <c r="M72" s="4" t="str">
        <f t="shared" ref="M72:M80" si="10">CURRENCY_NAME</f>
        <v>$M(2015)</v>
      </c>
    </row>
    <row r="73" spans="1:13" x14ac:dyDescent="0.2">
      <c r="A73" t="str">
        <v>US Economic</v>
      </c>
      <c r="B73" s="28">
        <f ca="1"/>
        <v>0</v>
      </c>
      <c r="C73" s="28">
        <f ca="1"/>
        <v>0</v>
      </c>
      <c r="D73" s="28">
        <f ca="1"/>
        <v>0</v>
      </c>
      <c r="E73" s="28">
        <f ca="1"/>
        <v>0</v>
      </c>
      <c r="F73" s="28">
        <f ca="1"/>
        <v>0</v>
      </c>
      <c r="G73" s="28">
        <f ca="1"/>
        <v>0</v>
      </c>
      <c r="H73" s="28">
        <f ca="1"/>
        <v>0</v>
      </c>
      <c r="I73" s="28">
        <f ca="1"/>
        <v>0</v>
      </c>
      <c r="J73" s="28">
        <f ca="1"/>
        <v>0</v>
      </c>
      <c r="K73" s="28">
        <f ca="1"/>
        <v>0</v>
      </c>
      <c r="L73" s="1"/>
      <c r="M73" s="4" t="str">
        <f t="shared" si="10"/>
        <v>$M(2015)</v>
      </c>
    </row>
    <row r="74" spans="1:13" x14ac:dyDescent="0.2">
      <c r="A74" t="str">
        <v>OT Economic</v>
      </c>
      <c r="B74" s="28">
        <f ca="1"/>
        <v>0</v>
      </c>
      <c r="C74" s="28">
        <f ca="1"/>
        <v>0</v>
      </c>
      <c r="D74" s="28">
        <f ca="1"/>
        <v>0</v>
      </c>
      <c r="E74" s="28">
        <f ca="1"/>
        <v>0</v>
      </c>
      <c r="F74" s="28">
        <f ca="1"/>
        <v>0</v>
      </c>
      <c r="G74" s="28">
        <f ca="1"/>
        <v>0</v>
      </c>
      <c r="H74" s="28">
        <f ca="1"/>
        <v>0</v>
      </c>
      <c r="I74" s="28">
        <f ca="1"/>
        <v>0</v>
      </c>
      <c r="J74" s="28">
        <f ca="1"/>
        <v>0</v>
      </c>
      <c r="K74" s="28">
        <f ca="1"/>
        <v>0</v>
      </c>
      <c r="L74" s="1"/>
      <c r="M74" s="4" t="str">
        <f t="shared" si="10"/>
        <v>$M(2015)</v>
      </c>
    </row>
    <row r="75" spans="1:13" x14ac:dyDescent="0.2">
      <c r="A75" t="str">
        <v>EE Economic</v>
      </c>
      <c r="B75" s="28">
        <f ca="1"/>
        <v>0</v>
      </c>
      <c r="C75" s="28">
        <f ca="1"/>
        <v>0</v>
      </c>
      <c r="D75" s="28">
        <f ca="1"/>
        <v>0</v>
      </c>
      <c r="E75" s="28">
        <f ca="1"/>
        <v>0</v>
      </c>
      <c r="F75" s="28">
        <f ca="1"/>
        <v>0</v>
      </c>
      <c r="G75" s="28">
        <f ca="1"/>
        <v>0</v>
      </c>
      <c r="H75" s="28">
        <f ca="1"/>
        <v>0</v>
      </c>
      <c r="I75" s="28">
        <f ca="1"/>
        <v>0</v>
      </c>
      <c r="J75" s="28">
        <f ca="1"/>
        <v>0</v>
      </c>
      <c r="K75" s="28">
        <f ca="1"/>
        <v>0</v>
      </c>
      <c r="L75" s="1"/>
      <c r="M75" s="4" t="str">
        <f t="shared" si="10"/>
        <v>$M(2015)</v>
      </c>
    </row>
    <row r="76" spans="1:13" x14ac:dyDescent="0.2">
      <c r="A76" t="str">
        <v>CA Economic</v>
      </c>
      <c r="B76" s="28">
        <f ca="1"/>
        <v>0</v>
      </c>
      <c r="C76" s="28">
        <f ca="1"/>
        <v>0</v>
      </c>
      <c r="D76" s="28">
        <f ca="1"/>
        <v>0</v>
      </c>
      <c r="E76" s="28">
        <f ca="1"/>
        <v>0</v>
      </c>
      <c r="F76" s="28">
        <f ca="1"/>
        <v>0</v>
      </c>
      <c r="G76" s="28">
        <f ca="1"/>
        <v>0</v>
      </c>
      <c r="H76" s="28">
        <f ca="1"/>
        <v>0</v>
      </c>
      <c r="I76" s="28">
        <f ca="1"/>
        <v>0</v>
      </c>
      <c r="J76" s="28">
        <f ca="1"/>
        <v>0</v>
      </c>
      <c r="K76" s="28">
        <f ca="1"/>
        <v>0</v>
      </c>
      <c r="L76" s="1"/>
      <c r="M76" s="4" t="str">
        <f t="shared" si="10"/>
        <v>$M(2015)</v>
      </c>
    </row>
    <row r="77" spans="1:13" x14ac:dyDescent="0.2">
      <c r="A77" t="str">
        <v>IA Economic</v>
      </c>
      <c r="B77" s="28">
        <f ca="1"/>
        <v>0</v>
      </c>
      <c r="C77" s="28">
        <f ca="1"/>
        <v>0</v>
      </c>
      <c r="D77" s="28">
        <f ca="1"/>
        <v>0</v>
      </c>
      <c r="E77" s="28">
        <f ca="1"/>
        <v>0</v>
      </c>
      <c r="F77" s="28">
        <f ca="1"/>
        <v>0</v>
      </c>
      <c r="G77" s="28">
        <f ca="1"/>
        <v>0</v>
      </c>
      <c r="H77" s="28">
        <f ca="1"/>
        <v>0</v>
      </c>
      <c r="I77" s="28">
        <f ca="1"/>
        <v>0</v>
      </c>
      <c r="J77" s="28">
        <f ca="1"/>
        <v>0</v>
      </c>
      <c r="K77" s="28">
        <f ca="1"/>
        <v>0</v>
      </c>
      <c r="L77" s="1"/>
      <c r="M77" s="4" t="str">
        <f t="shared" si="10"/>
        <v>$M(2015)</v>
      </c>
    </row>
    <row r="78" spans="1:13" x14ac:dyDescent="0.2">
      <c r="A78" t="str">
        <v>AF Economic</v>
      </c>
      <c r="B78" s="28">
        <f ca="1"/>
        <v>0</v>
      </c>
      <c r="C78" s="28">
        <f ca="1"/>
        <v>0</v>
      </c>
      <c r="D78" s="28">
        <f ca="1"/>
        <v>0</v>
      </c>
      <c r="E78" s="28">
        <f ca="1"/>
        <v>0</v>
      </c>
      <c r="F78" s="28">
        <f ca="1"/>
        <v>0</v>
      </c>
      <c r="G78" s="28">
        <f ca="1"/>
        <v>0</v>
      </c>
      <c r="H78" s="28">
        <f ca="1"/>
        <v>0</v>
      </c>
      <c r="I78" s="28">
        <f ca="1"/>
        <v>0</v>
      </c>
      <c r="J78" s="28">
        <f ca="1"/>
        <v>0</v>
      </c>
      <c r="K78" s="28">
        <f ca="1"/>
        <v>0</v>
      </c>
      <c r="L78" s="1"/>
      <c r="M78" s="4" t="str">
        <f t="shared" si="10"/>
        <v>$M(2015)</v>
      </c>
    </row>
    <row r="79" spans="1:13" x14ac:dyDescent="0.2">
      <c r="A79" t="str">
        <v>LA Economic</v>
      </c>
      <c r="B79" s="28">
        <f ca="1"/>
        <v>0</v>
      </c>
      <c r="C79" s="28">
        <f ca="1"/>
        <v>0</v>
      </c>
      <c r="D79" s="28">
        <f ca="1"/>
        <v>0</v>
      </c>
      <c r="E79" s="28">
        <f ca="1"/>
        <v>0</v>
      </c>
      <c r="F79" s="28">
        <f ca="1"/>
        <v>0</v>
      </c>
      <c r="G79" s="28">
        <f ca="1"/>
        <v>0</v>
      </c>
      <c r="H79" s="28">
        <f ca="1"/>
        <v>0</v>
      </c>
      <c r="I79" s="28">
        <f ca="1"/>
        <v>0</v>
      </c>
      <c r="J79" s="28">
        <f ca="1"/>
        <v>0</v>
      </c>
      <c r="K79" s="28">
        <f ca="1"/>
        <v>0</v>
      </c>
      <c r="L79" s="1"/>
      <c r="M79" s="4" t="str">
        <f t="shared" si="10"/>
        <v>$M(2015)</v>
      </c>
    </row>
    <row r="80" spans="1:13" ht="13.5" thickBot="1" x14ac:dyDescent="0.25">
      <c r="A80" s="2" t="str">
        <f>"Global "&amp;I_1_NAME</f>
        <v>Global Economic</v>
      </c>
      <c r="B80" s="42">
        <f t="shared" ref="B80:K80" ca="1" si="11">SUM(B72:B79)</f>
        <v>0</v>
      </c>
      <c r="C80" s="42">
        <f t="shared" ca="1" si="11"/>
        <v>0</v>
      </c>
      <c r="D80" s="42">
        <f t="shared" ca="1" si="11"/>
        <v>0</v>
      </c>
      <c r="E80" s="42">
        <f t="shared" ca="1" si="11"/>
        <v>0</v>
      </c>
      <c r="F80" s="42">
        <f t="shared" ca="1" si="11"/>
        <v>0</v>
      </c>
      <c r="G80" s="42">
        <f t="shared" ca="1" si="11"/>
        <v>0</v>
      </c>
      <c r="H80" s="42">
        <f t="shared" ca="1" si="11"/>
        <v>0</v>
      </c>
      <c r="I80" s="42">
        <f t="shared" ca="1" si="11"/>
        <v>0</v>
      </c>
      <c r="J80" s="42">
        <f t="shared" ca="1" si="11"/>
        <v>0</v>
      </c>
      <c r="K80" s="42">
        <f t="shared" ca="1" si="11"/>
        <v>0</v>
      </c>
      <c r="L80" s="1"/>
      <c r="M80" s="4" t="str">
        <f t="shared" si="10"/>
        <v>$M(2015)</v>
      </c>
    </row>
    <row r="81" spans="1:15" s="2" customFormat="1" ht="15" thickTop="1" x14ac:dyDescent="0.25">
      <c r="A81" s="2" t="s">
        <v>370</v>
      </c>
      <c r="B81" s="2" t="s">
        <v>377</v>
      </c>
    </row>
    <row r="82" spans="1:15" s="4" customFormat="1" x14ac:dyDescent="0.2">
      <c r="A82" t="str">
        <f t="array" ref="A82:A89">R_CODE&amp;" "&amp;I_2_NAME</f>
        <v>EU Non-econ</v>
      </c>
      <c r="B82" s="221">
        <f t="array" ref="B82:K89" ca="1">atl_2_b*CP_2*GDP_B/100*AUTOFAC</f>
        <v>0</v>
      </c>
      <c r="C82" s="221">
        <f ca="1"/>
        <v>0</v>
      </c>
      <c r="D82" s="221">
        <f ca="1"/>
        <v>0</v>
      </c>
      <c r="E82" s="221">
        <f ca="1"/>
        <v>0</v>
      </c>
      <c r="F82" s="221">
        <f ca="1"/>
        <v>0</v>
      </c>
      <c r="G82" s="221">
        <f ca="1"/>
        <v>0</v>
      </c>
      <c r="H82" s="221">
        <f ca="1"/>
        <v>0</v>
      </c>
      <c r="I82" s="221">
        <f ca="1"/>
        <v>0</v>
      </c>
      <c r="J82" s="221">
        <f ca="1"/>
        <v>0</v>
      </c>
      <c r="K82" s="221">
        <f ca="1"/>
        <v>0</v>
      </c>
      <c r="M82" s="4" t="str">
        <f t="shared" ref="M82:M90" si="12">CURRENCY_NAME</f>
        <v>$M(2015)</v>
      </c>
      <c r="O82" s="171" t="s">
        <v>1033</v>
      </c>
    </row>
    <row r="83" spans="1:15" s="4" customFormat="1" x14ac:dyDescent="0.2">
      <c r="A83" t="str">
        <v>US Non-econ</v>
      </c>
      <c r="B83" s="222">
        <f ca="1"/>
        <v>0</v>
      </c>
      <c r="C83" s="222">
        <f ca="1"/>
        <v>0</v>
      </c>
      <c r="D83" s="222">
        <f ca="1"/>
        <v>0</v>
      </c>
      <c r="E83" s="222">
        <f ca="1"/>
        <v>0</v>
      </c>
      <c r="F83" s="222">
        <f ca="1"/>
        <v>0</v>
      </c>
      <c r="G83" s="222">
        <f ca="1"/>
        <v>0</v>
      </c>
      <c r="H83" s="222">
        <f ca="1"/>
        <v>0</v>
      </c>
      <c r="I83" s="222">
        <f ca="1"/>
        <v>0</v>
      </c>
      <c r="J83" s="222">
        <f ca="1"/>
        <v>0</v>
      </c>
      <c r="K83" s="222">
        <f ca="1"/>
        <v>0</v>
      </c>
      <c r="M83" s="4" t="str">
        <f t="shared" si="12"/>
        <v>$M(2015)</v>
      </c>
    </row>
    <row r="84" spans="1:15" s="4" customFormat="1" x14ac:dyDescent="0.2">
      <c r="A84" t="str">
        <v>OT Non-econ</v>
      </c>
      <c r="B84" s="222">
        <f ca="1"/>
        <v>0</v>
      </c>
      <c r="C84" s="222">
        <f ca="1"/>
        <v>0</v>
      </c>
      <c r="D84" s="222">
        <f ca="1"/>
        <v>0</v>
      </c>
      <c r="E84" s="222">
        <f ca="1"/>
        <v>0</v>
      </c>
      <c r="F84" s="222">
        <f ca="1"/>
        <v>0</v>
      </c>
      <c r="G84" s="222">
        <f ca="1"/>
        <v>0</v>
      </c>
      <c r="H84" s="222">
        <f ca="1"/>
        <v>0</v>
      </c>
      <c r="I84" s="222">
        <f ca="1"/>
        <v>0</v>
      </c>
      <c r="J84" s="222">
        <f ca="1"/>
        <v>0</v>
      </c>
      <c r="K84" s="222">
        <f ca="1"/>
        <v>0</v>
      </c>
      <c r="M84" s="4" t="str">
        <f t="shared" si="12"/>
        <v>$M(2015)</v>
      </c>
    </row>
    <row r="85" spans="1:15" s="4" customFormat="1" x14ac:dyDescent="0.2">
      <c r="A85" t="str">
        <v>EE Non-econ</v>
      </c>
      <c r="B85" s="222">
        <f ca="1"/>
        <v>0</v>
      </c>
      <c r="C85" s="222">
        <f ca="1"/>
        <v>0</v>
      </c>
      <c r="D85" s="222">
        <f ca="1"/>
        <v>0</v>
      </c>
      <c r="E85" s="222">
        <f ca="1"/>
        <v>0</v>
      </c>
      <c r="F85" s="222">
        <f ca="1"/>
        <v>0</v>
      </c>
      <c r="G85" s="222">
        <f ca="1"/>
        <v>0</v>
      </c>
      <c r="H85" s="222">
        <f ca="1"/>
        <v>0</v>
      </c>
      <c r="I85" s="222">
        <f ca="1"/>
        <v>0</v>
      </c>
      <c r="J85" s="222">
        <f ca="1"/>
        <v>0</v>
      </c>
      <c r="K85" s="222">
        <f ca="1"/>
        <v>0</v>
      </c>
      <c r="M85" s="4" t="str">
        <f t="shared" si="12"/>
        <v>$M(2015)</v>
      </c>
    </row>
    <row r="86" spans="1:15" s="4" customFormat="1" x14ac:dyDescent="0.2">
      <c r="A86" t="str">
        <v>CA Non-econ</v>
      </c>
      <c r="B86" s="222">
        <f ca="1"/>
        <v>0</v>
      </c>
      <c r="C86" s="222">
        <f ca="1"/>
        <v>0</v>
      </c>
      <c r="D86" s="222">
        <f ca="1"/>
        <v>0</v>
      </c>
      <c r="E86" s="222">
        <f ca="1"/>
        <v>0</v>
      </c>
      <c r="F86" s="222">
        <f ca="1"/>
        <v>0</v>
      </c>
      <c r="G86" s="222">
        <f ca="1"/>
        <v>0</v>
      </c>
      <c r="H86" s="222">
        <f ca="1"/>
        <v>0</v>
      </c>
      <c r="I86" s="222">
        <f ca="1"/>
        <v>0</v>
      </c>
      <c r="J86" s="222">
        <f ca="1"/>
        <v>0</v>
      </c>
      <c r="K86" s="222">
        <f ca="1"/>
        <v>0</v>
      </c>
      <c r="M86" s="4" t="str">
        <f t="shared" si="12"/>
        <v>$M(2015)</v>
      </c>
    </row>
    <row r="87" spans="1:15" s="4" customFormat="1" x14ac:dyDescent="0.2">
      <c r="A87" t="str">
        <v>IA Non-econ</v>
      </c>
      <c r="B87" s="222">
        <f ca="1"/>
        <v>0</v>
      </c>
      <c r="C87" s="222">
        <f ca="1"/>
        <v>0</v>
      </c>
      <c r="D87" s="222">
        <f ca="1"/>
        <v>0</v>
      </c>
      <c r="E87" s="222">
        <f ca="1"/>
        <v>0</v>
      </c>
      <c r="F87" s="222">
        <f ca="1"/>
        <v>0</v>
      </c>
      <c r="G87" s="222">
        <f ca="1"/>
        <v>0</v>
      </c>
      <c r="H87" s="222">
        <f ca="1"/>
        <v>0</v>
      </c>
      <c r="I87" s="222">
        <f ca="1"/>
        <v>0</v>
      </c>
      <c r="J87" s="222">
        <f ca="1"/>
        <v>0</v>
      </c>
      <c r="K87" s="222">
        <f ca="1"/>
        <v>0</v>
      </c>
      <c r="M87" s="4" t="str">
        <f t="shared" si="12"/>
        <v>$M(2015)</v>
      </c>
    </row>
    <row r="88" spans="1:15" s="4" customFormat="1" x14ac:dyDescent="0.2">
      <c r="A88" t="str">
        <v>AF Non-econ</v>
      </c>
      <c r="B88" s="222">
        <f ca="1"/>
        <v>0</v>
      </c>
      <c r="C88" s="222">
        <f ca="1"/>
        <v>0</v>
      </c>
      <c r="D88" s="222">
        <f ca="1"/>
        <v>0</v>
      </c>
      <c r="E88" s="222">
        <f ca="1"/>
        <v>0</v>
      </c>
      <c r="F88" s="222">
        <f ca="1"/>
        <v>0</v>
      </c>
      <c r="G88" s="222">
        <f ca="1"/>
        <v>0</v>
      </c>
      <c r="H88" s="222">
        <f ca="1"/>
        <v>0</v>
      </c>
      <c r="I88" s="222">
        <f ca="1"/>
        <v>0</v>
      </c>
      <c r="J88" s="222">
        <f ca="1"/>
        <v>0</v>
      </c>
      <c r="K88" s="222">
        <f ca="1"/>
        <v>0</v>
      </c>
      <c r="M88" s="4" t="str">
        <f t="shared" si="12"/>
        <v>$M(2015)</v>
      </c>
    </row>
    <row r="89" spans="1:15" s="4" customFormat="1" x14ac:dyDescent="0.2">
      <c r="A89" t="str">
        <v>LA Non-econ</v>
      </c>
      <c r="B89" s="222">
        <f ca="1"/>
        <v>0</v>
      </c>
      <c r="C89" s="222">
        <f ca="1"/>
        <v>0</v>
      </c>
      <c r="D89" s="222">
        <f ca="1"/>
        <v>0</v>
      </c>
      <c r="E89" s="222">
        <f ca="1"/>
        <v>0</v>
      </c>
      <c r="F89" s="222">
        <f ca="1"/>
        <v>0</v>
      </c>
      <c r="G89" s="222">
        <f ca="1"/>
        <v>0</v>
      </c>
      <c r="H89" s="222">
        <f ca="1"/>
        <v>0</v>
      </c>
      <c r="I89" s="222">
        <f ca="1"/>
        <v>0</v>
      </c>
      <c r="J89" s="222">
        <f ca="1"/>
        <v>0</v>
      </c>
      <c r="K89" s="222">
        <f ca="1"/>
        <v>0</v>
      </c>
      <c r="M89" s="4" t="str">
        <f t="shared" si="12"/>
        <v>$M(2015)</v>
      </c>
    </row>
    <row r="90" spans="1:15" ht="13.5" thickBot="1" x14ac:dyDescent="0.25">
      <c r="A90" s="2" t="str">
        <f>"Global "&amp;I_2_NAME</f>
        <v>Global Non-econ</v>
      </c>
      <c r="B90" s="42">
        <f ca="1">SUM(B82:B89)</f>
        <v>0</v>
      </c>
      <c r="C90" s="42">
        <f t="shared" ref="C90:K90" ca="1" si="13">SUM(C82:C89)</f>
        <v>0</v>
      </c>
      <c r="D90" s="42">
        <f t="shared" ca="1" si="13"/>
        <v>0</v>
      </c>
      <c r="E90" s="42">
        <f t="shared" ca="1" si="13"/>
        <v>0</v>
      </c>
      <c r="F90" s="42">
        <f t="shared" ca="1" si="13"/>
        <v>0</v>
      </c>
      <c r="G90" s="42">
        <f t="shared" ca="1" si="13"/>
        <v>0</v>
      </c>
      <c r="H90" s="42">
        <f t="shared" ca="1" si="13"/>
        <v>0</v>
      </c>
      <c r="I90" s="42">
        <f t="shared" ca="1" si="13"/>
        <v>0</v>
      </c>
      <c r="J90" s="42">
        <f t="shared" ca="1" si="13"/>
        <v>0</v>
      </c>
      <c r="K90" s="42">
        <f t="shared" ca="1" si="13"/>
        <v>0</v>
      </c>
      <c r="L90" s="1"/>
      <c r="M90" s="4" t="str">
        <f t="shared" si="12"/>
        <v>$M(2015)</v>
      </c>
    </row>
    <row r="91" spans="1:15" s="2" customFormat="1" ht="15" thickTop="1" x14ac:dyDescent="0.25">
      <c r="A91" s="2" t="s">
        <v>372</v>
      </c>
      <c r="B91" s="2" t="s">
        <v>378</v>
      </c>
    </row>
    <row r="92" spans="1:15" x14ac:dyDescent="0.2">
      <c r="A92" t="str">
        <f t="array" ref="A92:A99">R_CODE&amp;" "&amp;I_2_NAME</f>
        <v>EU Non-econ</v>
      </c>
      <c r="B92" s="221">
        <f t="array" ref="B92:K99" ca="1">imp_2_b*CI_2*GDP_B/100*impmax_2_b*AUTOFAC</f>
        <v>0</v>
      </c>
      <c r="C92" s="221">
        <f ca="1"/>
        <v>0</v>
      </c>
      <c r="D92" s="221">
        <f ca="1"/>
        <v>0</v>
      </c>
      <c r="E92" s="221">
        <f ca="1"/>
        <v>0</v>
      </c>
      <c r="F92" s="221">
        <f ca="1"/>
        <v>0</v>
      </c>
      <c r="G92" s="221">
        <f ca="1"/>
        <v>0</v>
      </c>
      <c r="H92" s="221">
        <f ca="1"/>
        <v>0</v>
      </c>
      <c r="I92" s="221">
        <f ca="1"/>
        <v>0</v>
      </c>
      <c r="J92" s="221">
        <f ca="1"/>
        <v>0</v>
      </c>
      <c r="K92" s="221">
        <f ca="1"/>
        <v>0</v>
      </c>
      <c r="M92" s="4" t="str">
        <f t="shared" ref="M92:M100" si="14">CURRENCY_NAME</f>
        <v>$M(2015)</v>
      </c>
      <c r="O92" s="171" t="s">
        <v>1033</v>
      </c>
    </row>
    <row r="93" spans="1:15" x14ac:dyDescent="0.2">
      <c r="A93" t="str">
        <v>US Non-econ</v>
      </c>
      <c r="B93" s="222">
        <f ca="1"/>
        <v>0</v>
      </c>
      <c r="C93" s="222">
        <f ca="1"/>
        <v>0</v>
      </c>
      <c r="D93" s="222">
        <f ca="1"/>
        <v>0</v>
      </c>
      <c r="E93" s="222">
        <f ca="1"/>
        <v>0</v>
      </c>
      <c r="F93" s="222">
        <f ca="1"/>
        <v>0</v>
      </c>
      <c r="G93" s="222">
        <f ca="1"/>
        <v>0</v>
      </c>
      <c r="H93" s="222">
        <f ca="1"/>
        <v>0</v>
      </c>
      <c r="I93" s="222">
        <f ca="1"/>
        <v>0</v>
      </c>
      <c r="J93" s="222">
        <f ca="1"/>
        <v>0</v>
      </c>
      <c r="K93" s="222">
        <f ca="1"/>
        <v>0</v>
      </c>
      <c r="M93" s="4" t="str">
        <f t="shared" si="14"/>
        <v>$M(2015)</v>
      </c>
    </row>
    <row r="94" spans="1:15" x14ac:dyDescent="0.2">
      <c r="A94" t="str">
        <v>OT Non-econ</v>
      </c>
      <c r="B94" s="222">
        <f ca="1"/>
        <v>0</v>
      </c>
      <c r="C94" s="222">
        <f ca="1"/>
        <v>0</v>
      </c>
      <c r="D94" s="222">
        <f ca="1"/>
        <v>0</v>
      </c>
      <c r="E94" s="222">
        <f ca="1"/>
        <v>0</v>
      </c>
      <c r="F94" s="222">
        <f ca="1"/>
        <v>0</v>
      </c>
      <c r="G94" s="222">
        <f ca="1"/>
        <v>0</v>
      </c>
      <c r="H94" s="222">
        <f ca="1"/>
        <v>0</v>
      </c>
      <c r="I94" s="222">
        <f ca="1"/>
        <v>0</v>
      </c>
      <c r="J94" s="222">
        <f ca="1"/>
        <v>0</v>
      </c>
      <c r="K94" s="222">
        <f ca="1"/>
        <v>0</v>
      </c>
      <c r="M94" s="4" t="str">
        <f t="shared" si="14"/>
        <v>$M(2015)</v>
      </c>
    </row>
    <row r="95" spans="1:15" x14ac:dyDescent="0.2">
      <c r="A95" t="str">
        <v>EE Non-econ</v>
      </c>
      <c r="B95" s="222">
        <f ca="1"/>
        <v>0</v>
      </c>
      <c r="C95" s="222">
        <f ca="1"/>
        <v>0</v>
      </c>
      <c r="D95" s="222">
        <f ca="1"/>
        <v>0</v>
      </c>
      <c r="E95" s="222">
        <f ca="1"/>
        <v>0</v>
      </c>
      <c r="F95" s="222">
        <f ca="1"/>
        <v>0</v>
      </c>
      <c r="G95" s="222">
        <f ca="1"/>
        <v>0</v>
      </c>
      <c r="H95" s="222">
        <f ca="1"/>
        <v>0</v>
      </c>
      <c r="I95" s="222">
        <f ca="1"/>
        <v>0</v>
      </c>
      <c r="J95" s="222">
        <f ca="1"/>
        <v>0</v>
      </c>
      <c r="K95" s="222">
        <f ca="1"/>
        <v>0</v>
      </c>
      <c r="M95" s="4" t="str">
        <f t="shared" si="14"/>
        <v>$M(2015)</v>
      </c>
    </row>
    <row r="96" spans="1:15" x14ac:dyDescent="0.2">
      <c r="A96" t="str">
        <v>CA Non-econ</v>
      </c>
      <c r="B96" s="222">
        <f ca="1"/>
        <v>0</v>
      </c>
      <c r="C96" s="222">
        <f ca="1"/>
        <v>0</v>
      </c>
      <c r="D96" s="222">
        <f ca="1"/>
        <v>0</v>
      </c>
      <c r="E96" s="222">
        <f ca="1"/>
        <v>0</v>
      </c>
      <c r="F96" s="222">
        <f ca="1"/>
        <v>0</v>
      </c>
      <c r="G96" s="222">
        <f ca="1"/>
        <v>0</v>
      </c>
      <c r="H96" s="222">
        <f ca="1"/>
        <v>0</v>
      </c>
      <c r="I96" s="222">
        <f ca="1"/>
        <v>0</v>
      </c>
      <c r="J96" s="222">
        <f ca="1"/>
        <v>0</v>
      </c>
      <c r="K96" s="222">
        <f ca="1"/>
        <v>0</v>
      </c>
      <c r="M96" s="4" t="str">
        <f t="shared" si="14"/>
        <v>$M(2015)</v>
      </c>
    </row>
    <row r="97" spans="1:13" x14ac:dyDescent="0.2">
      <c r="A97" t="str">
        <v>IA Non-econ</v>
      </c>
      <c r="B97" s="222">
        <f ca="1"/>
        <v>0</v>
      </c>
      <c r="C97" s="222">
        <f ca="1"/>
        <v>0</v>
      </c>
      <c r="D97" s="222">
        <f ca="1"/>
        <v>0</v>
      </c>
      <c r="E97" s="222">
        <f ca="1"/>
        <v>0</v>
      </c>
      <c r="F97" s="222">
        <f ca="1"/>
        <v>0</v>
      </c>
      <c r="G97" s="222">
        <f ca="1"/>
        <v>0</v>
      </c>
      <c r="H97" s="222">
        <f ca="1"/>
        <v>0</v>
      </c>
      <c r="I97" s="222">
        <f ca="1"/>
        <v>0</v>
      </c>
      <c r="J97" s="222">
        <f ca="1"/>
        <v>0</v>
      </c>
      <c r="K97" s="222">
        <f ca="1"/>
        <v>0</v>
      </c>
      <c r="M97" s="4" t="str">
        <f t="shared" si="14"/>
        <v>$M(2015)</v>
      </c>
    </row>
    <row r="98" spans="1:13" x14ac:dyDescent="0.2">
      <c r="A98" t="str">
        <v>AF Non-econ</v>
      </c>
      <c r="B98" s="222">
        <f ca="1"/>
        <v>0</v>
      </c>
      <c r="C98" s="222">
        <f ca="1"/>
        <v>0</v>
      </c>
      <c r="D98" s="222">
        <f ca="1"/>
        <v>0</v>
      </c>
      <c r="E98" s="222">
        <f ca="1"/>
        <v>0</v>
      </c>
      <c r="F98" s="222">
        <f ca="1"/>
        <v>0</v>
      </c>
      <c r="G98" s="222">
        <f ca="1"/>
        <v>0</v>
      </c>
      <c r="H98" s="222">
        <f ca="1"/>
        <v>0</v>
      </c>
      <c r="I98" s="222">
        <f ca="1"/>
        <v>0</v>
      </c>
      <c r="J98" s="222">
        <f ca="1"/>
        <v>0</v>
      </c>
      <c r="K98" s="222">
        <f ca="1"/>
        <v>0</v>
      </c>
      <c r="M98" s="4" t="str">
        <f t="shared" si="14"/>
        <v>$M(2015)</v>
      </c>
    </row>
    <row r="99" spans="1:13" x14ac:dyDescent="0.2">
      <c r="A99" t="str">
        <v>LA Non-econ</v>
      </c>
      <c r="B99" s="222">
        <f ca="1"/>
        <v>0</v>
      </c>
      <c r="C99" s="222">
        <f ca="1"/>
        <v>0</v>
      </c>
      <c r="D99" s="222">
        <f ca="1"/>
        <v>0</v>
      </c>
      <c r="E99" s="222">
        <f ca="1"/>
        <v>0</v>
      </c>
      <c r="F99" s="222">
        <f ca="1"/>
        <v>0</v>
      </c>
      <c r="G99" s="222">
        <f ca="1"/>
        <v>0</v>
      </c>
      <c r="H99" s="222">
        <f ca="1"/>
        <v>0</v>
      </c>
      <c r="I99" s="222">
        <f ca="1"/>
        <v>0</v>
      </c>
      <c r="J99" s="222">
        <f ca="1"/>
        <v>0</v>
      </c>
      <c r="K99" s="222">
        <f ca="1"/>
        <v>0</v>
      </c>
      <c r="M99" s="4" t="str">
        <f t="shared" si="14"/>
        <v>$M(2015)</v>
      </c>
    </row>
    <row r="100" spans="1:13" ht="13.5" thickBot="1" x14ac:dyDescent="0.25">
      <c r="A100" s="2" t="str">
        <f>"Global "&amp;I_2_NAME</f>
        <v>Global Non-econ</v>
      </c>
      <c r="B100" s="42">
        <f t="shared" ref="B100:K100" ca="1" si="15">SUM(B92:B99)</f>
        <v>0</v>
      </c>
      <c r="C100" s="42">
        <f t="shared" ca="1" si="15"/>
        <v>0</v>
      </c>
      <c r="D100" s="42">
        <f t="shared" ca="1" si="15"/>
        <v>0</v>
      </c>
      <c r="E100" s="42">
        <f t="shared" ca="1" si="15"/>
        <v>0</v>
      </c>
      <c r="F100" s="42">
        <f t="shared" ca="1" si="15"/>
        <v>0</v>
      </c>
      <c r="G100" s="42">
        <f t="shared" ca="1" si="15"/>
        <v>0</v>
      </c>
      <c r="H100" s="42">
        <f t="shared" ca="1" si="15"/>
        <v>0</v>
      </c>
      <c r="I100" s="42">
        <f t="shared" ca="1" si="15"/>
        <v>0</v>
      </c>
      <c r="J100" s="42">
        <f t="shared" ca="1" si="15"/>
        <v>0</v>
      </c>
      <c r="K100" s="42">
        <f t="shared" ca="1" si="15"/>
        <v>0</v>
      </c>
      <c r="L100" s="1"/>
      <c r="M100" s="4" t="str">
        <f t="shared" si="14"/>
        <v>$M(2015)</v>
      </c>
    </row>
    <row r="101" spans="1:13" ht="15" thickTop="1" x14ac:dyDescent="0.25">
      <c r="A101" s="44" t="s">
        <v>110</v>
      </c>
      <c r="B101" s="2" t="s">
        <v>94</v>
      </c>
      <c r="C101" s="1"/>
      <c r="D101" s="1"/>
      <c r="E101" s="1"/>
      <c r="F101" s="1"/>
      <c r="G101" s="1"/>
      <c r="H101" s="1"/>
      <c r="I101" s="1"/>
      <c r="J101" s="1"/>
      <c r="K101" s="1"/>
      <c r="L101" s="1"/>
      <c r="M101" s="1"/>
    </row>
    <row r="102" spans="1:13" x14ac:dyDescent="0.2">
      <c r="A102" t="str">
        <f t="array" ref="A102:A109">R_CODE&amp;" "&amp;I_2_NAME</f>
        <v>EU Non-econ</v>
      </c>
      <c r="B102" s="28">
        <f t="array" aca="1" ref="B102:K109" ca="1">acp_2_b+aci_2_b</f>
        <v>0</v>
      </c>
      <c r="C102" s="28">
        <f ca="1"/>
        <v>0</v>
      </c>
      <c r="D102" s="28">
        <f ca="1"/>
        <v>0</v>
      </c>
      <c r="E102" s="28">
        <f ca="1"/>
        <v>0</v>
      </c>
      <c r="F102" s="28">
        <f ca="1"/>
        <v>0</v>
      </c>
      <c r="G102" s="28">
        <f ca="1"/>
        <v>0</v>
      </c>
      <c r="H102" s="28">
        <f ca="1"/>
        <v>0</v>
      </c>
      <c r="I102" s="28">
        <f ca="1"/>
        <v>0</v>
      </c>
      <c r="J102" s="28">
        <f ca="1"/>
        <v>0</v>
      </c>
      <c r="K102" s="28">
        <f ca="1"/>
        <v>0</v>
      </c>
      <c r="L102" s="1"/>
      <c r="M102" s="4" t="str">
        <f t="shared" ref="M102:M110" si="16">CURRENCY_NAME</f>
        <v>$M(2015)</v>
      </c>
    </row>
    <row r="103" spans="1:13" x14ac:dyDescent="0.2">
      <c r="A103" t="str">
        <v>US Non-econ</v>
      </c>
      <c r="B103" s="28">
        <f ca="1"/>
        <v>0</v>
      </c>
      <c r="C103" s="28">
        <f ca="1"/>
        <v>0</v>
      </c>
      <c r="D103" s="28">
        <f ca="1"/>
        <v>0</v>
      </c>
      <c r="E103" s="28">
        <f ca="1"/>
        <v>0</v>
      </c>
      <c r="F103" s="28">
        <f ca="1"/>
        <v>0</v>
      </c>
      <c r="G103" s="28">
        <f ca="1"/>
        <v>0</v>
      </c>
      <c r="H103" s="28">
        <f ca="1"/>
        <v>0</v>
      </c>
      <c r="I103" s="28">
        <f ca="1"/>
        <v>0</v>
      </c>
      <c r="J103" s="28">
        <f ca="1"/>
        <v>0</v>
      </c>
      <c r="K103" s="28">
        <f ca="1"/>
        <v>0</v>
      </c>
      <c r="L103" s="1"/>
      <c r="M103" s="4" t="str">
        <f t="shared" si="16"/>
        <v>$M(2015)</v>
      </c>
    </row>
    <row r="104" spans="1:13" x14ac:dyDescent="0.2">
      <c r="A104" t="str">
        <v>OT Non-econ</v>
      </c>
      <c r="B104" s="28">
        <f ca="1"/>
        <v>0</v>
      </c>
      <c r="C104" s="28">
        <f ca="1"/>
        <v>0</v>
      </c>
      <c r="D104" s="28">
        <f ca="1"/>
        <v>0</v>
      </c>
      <c r="E104" s="28">
        <f ca="1"/>
        <v>0</v>
      </c>
      <c r="F104" s="28">
        <f ca="1"/>
        <v>0</v>
      </c>
      <c r="G104" s="28">
        <f ca="1"/>
        <v>0</v>
      </c>
      <c r="H104" s="28">
        <f ca="1"/>
        <v>0</v>
      </c>
      <c r="I104" s="28">
        <f ca="1"/>
        <v>0</v>
      </c>
      <c r="J104" s="28">
        <f ca="1"/>
        <v>0</v>
      </c>
      <c r="K104" s="28">
        <f ca="1"/>
        <v>0</v>
      </c>
      <c r="L104" s="1"/>
      <c r="M104" s="4" t="str">
        <f t="shared" si="16"/>
        <v>$M(2015)</v>
      </c>
    </row>
    <row r="105" spans="1:13" x14ac:dyDescent="0.2">
      <c r="A105" t="str">
        <v>EE Non-econ</v>
      </c>
      <c r="B105" s="28">
        <f ca="1"/>
        <v>0</v>
      </c>
      <c r="C105" s="28">
        <f ca="1"/>
        <v>0</v>
      </c>
      <c r="D105" s="28">
        <f ca="1"/>
        <v>0</v>
      </c>
      <c r="E105" s="28">
        <f ca="1"/>
        <v>0</v>
      </c>
      <c r="F105" s="28">
        <f ca="1"/>
        <v>0</v>
      </c>
      <c r="G105" s="28">
        <f ca="1"/>
        <v>0</v>
      </c>
      <c r="H105" s="28">
        <f ca="1"/>
        <v>0</v>
      </c>
      <c r="I105" s="28">
        <f ca="1"/>
        <v>0</v>
      </c>
      <c r="J105" s="28">
        <f ca="1"/>
        <v>0</v>
      </c>
      <c r="K105" s="28">
        <f ca="1"/>
        <v>0</v>
      </c>
      <c r="L105" s="1"/>
      <c r="M105" s="4" t="str">
        <f t="shared" si="16"/>
        <v>$M(2015)</v>
      </c>
    </row>
    <row r="106" spans="1:13" x14ac:dyDescent="0.2">
      <c r="A106" t="str">
        <v>CA Non-econ</v>
      </c>
      <c r="B106" s="28">
        <f ca="1"/>
        <v>0</v>
      </c>
      <c r="C106" s="28">
        <f ca="1"/>
        <v>0</v>
      </c>
      <c r="D106" s="28">
        <f ca="1"/>
        <v>0</v>
      </c>
      <c r="E106" s="28">
        <f ca="1"/>
        <v>0</v>
      </c>
      <c r="F106" s="28">
        <f ca="1"/>
        <v>0</v>
      </c>
      <c r="G106" s="28">
        <f ca="1"/>
        <v>0</v>
      </c>
      <c r="H106" s="28">
        <f ca="1"/>
        <v>0</v>
      </c>
      <c r="I106" s="28">
        <f ca="1"/>
        <v>0</v>
      </c>
      <c r="J106" s="28">
        <f ca="1"/>
        <v>0</v>
      </c>
      <c r="K106" s="28">
        <f ca="1"/>
        <v>0</v>
      </c>
      <c r="L106" s="1"/>
      <c r="M106" s="4" t="str">
        <f t="shared" si="16"/>
        <v>$M(2015)</v>
      </c>
    </row>
    <row r="107" spans="1:13" x14ac:dyDescent="0.2">
      <c r="A107" t="str">
        <v>IA Non-econ</v>
      </c>
      <c r="B107" s="28">
        <f ca="1"/>
        <v>0</v>
      </c>
      <c r="C107" s="28">
        <f ca="1"/>
        <v>0</v>
      </c>
      <c r="D107" s="28">
        <f ca="1"/>
        <v>0</v>
      </c>
      <c r="E107" s="28">
        <f ca="1"/>
        <v>0</v>
      </c>
      <c r="F107" s="28">
        <f ca="1"/>
        <v>0</v>
      </c>
      <c r="G107" s="28">
        <f ca="1"/>
        <v>0</v>
      </c>
      <c r="H107" s="28">
        <f ca="1"/>
        <v>0</v>
      </c>
      <c r="I107" s="28">
        <f ca="1"/>
        <v>0</v>
      </c>
      <c r="J107" s="28">
        <f ca="1"/>
        <v>0</v>
      </c>
      <c r="K107" s="28">
        <f ca="1"/>
        <v>0</v>
      </c>
      <c r="L107" s="1"/>
      <c r="M107" s="4" t="str">
        <f t="shared" si="16"/>
        <v>$M(2015)</v>
      </c>
    </row>
    <row r="108" spans="1:13" x14ac:dyDescent="0.2">
      <c r="A108" t="str">
        <v>AF Non-econ</v>
      </c>
      <c r="B108" s="28">
        <f ca="1"/>
        <v>0</v>
      </c>
      <c r="C108" s="28">
        <f ca="1"/>
        <v>0</v>
      </c>
      <c r="D108" s="28">
        <f ca="1"/>
        <v>0</v>
      </c>
      <c r="E108" s="28">
        <f ca="1"/>
        <v>0</v>
      </c>
      <c r="F108" s="28">
        <f ca="1"/>
        <v>0</v>
      </c>
      <c r="G108" s="28">
        <f ca="1"/>
        <v>0</v>
      </c>
      <c r="H108" s="28">
        <f ca="1"/>
        <v>0</v>
      </c>
      <c r="I108" s="28">
        <f ca="1"/>
        <v>0</v>
      </c>
      <c r="J108" s="28">
        <f ca="1"/>
        <v>0</v>
      </c>
      <c r="K108" s="28">
        <f ca="1"/>
        <v>0</v>
      </c>
      <c r="L108" s="1"/>
      <c r="M108" s="4" t="str">
        <f t="shared" si="16"/>
        <v>$M(2015)</v>
      </c>
    </row>
    <row r="109" spans="1:13" x14ac:dyDescent="0.2">
      <c r="A109" t="str">
        <v>LA Non-econ</v>
      </c>
      <c r="B109" s="28">
        <f ca="1"/>
        <v>0</v>
      </c>
      <c r="C109" s="28">
        <f ca="1"/>
        <v>0</v>
      </c>
      <c r="D109" s="28">
        <f ca="1"/>
        <v>0</v>
      </c>
      <c r="E109" s="28">
        <f ca="1"/>
        <v>0</v>
      </c>
      <c r="F109" s="28">
        <f ca="1"/>
        <v>0</v>
      </c>
      <c r="G109" s="28">
        <f ca="1"/>
        <v>0</v>
      </c>
      <c r="H109" s="28">
        <f ca="1"/>
        <v>0</v>
      </c>
      <c r="I109" s="28">
        <f ca="1"/>
        <v>0</v>
      </c>
      <c r="J109" s="28">
        <f ca="1"/>
        <v>0</v>
      </c>
      <c r="K109" s="28">
        <f ca="1"/>
        <v>0</v>
      </c>
      <c r="L109" s="1"/>
      <c r="M109" s="4" t="str">
        <f t="shared" si="16"/>
        <v>$M(2015)</v>
      </c>
    </row>
    <row r="110" spans="1:13" ht="13.5" thickBot="1" x14ac:dyDescent="0.25">
      <c r="A110" s="2" t="str">
        <f>"Global "&amp;I_2_NAME</f>
        <v>Global Non-econ</v>
      </c>
      <c r="B110" s="42">
        <f t="shared" ref="B110:K110" ca="1" si="17">SUM(B102:B109)</f>
        <v>0</v>
      </c>
      <c r="C110" s="42">
        <f t="shared" ca="1" si="17"/>
        <v>0</v>
      </c>
      <c r="D110" s="42">
        <f t="shared" ca="1" si="17"/>
        <v>0</v>
      </c>
      <c r="E110" s="42">
        <f t="shared" ca="1" si="17"/>
        <v>0</v>
      </c>
      <c r="F110" s="42">
        <f t="shared" ca="1" si="17"/>
        <v>0</v>
      </c>
      <c r="G110" s="42">
        <f t="shared" ca="1" si="17"/>
        <v>0</v>
      </c>
      <c r="H110" s="42">
        <f t="shared" ca="1" si="17"/>
        <v>0</v>
      </c>
      <c r="I110" s="42">
        <f t="shared" ca="1" si="17"/>
        <v>0</v>
      </c>
      <c r="J110" s="42">
        <f t="shared" ca="1" si="17"/>
        <v>0</v>
      </c>
      <c r="K110" s="42">
        <f t="shared" ca="1" si="17"/>
        <v>0</v>
      </c>
      <c r="L110" s="1"/>
      <c r="M110" s="4" t="str">
        <f t="shared" si="16"/>
        <v>$M(2015)</v>
      </c>
    </row>
    <row r="111" spans="1:13" ht="15" thickTop="1" x14ac:dyDescent="0.25">
      <c r="A111" s="44" t="s">
        <v>107</v>
      </c>
      <c r="B111" s="2" t="s">
        <v>380</v>
      </c>
      <c r="C111" s="1"/>
      <c r="D111" s="1"/>
      <c r="E111" s="1"/>
      <c r="F111" s="1"/>
      <c r="G111" s="1"/>
      <c r="H111" s="1"/>
      <c r="I111" s="1"/>
      <c r="J111" s="1"/>
      <c r="K111" s="1"/>
      <c r="L111" s="1"/>
      <c r="M111" s="1"/>
    </row>
    <row r="112" spans="1:13" x14ac:dyDescent="0.2">
      <c r="A112" t="str">
        <f t="array" ref="A112:A119">R_CODE</f>
        <v>EU</v>
      </c>
      <c r="B112" s="28">
        <f t="array" aca="1" ref="B112:K119" ca="1">ac_s_b+ac_1_b+ac_2_b</f>
        <v>464.47545589045814</v>
      </c>
      <c r="C112" s="28">
        <f ca="1"/>
        <v>1906.7079726018676</v>
      </c>
      <c r="D112" s="28">
        <f ca="1"/>
        <v>3626.5998383074775</v>
      </c>
      <c r="E112" s="28">
        <f ca="1"/>
        <v>8003.7186699278818</v>
      </c>
      <c r="F112" s="28">
        <f ca="1"/>
        <v>13602.17289233952</v>
      </c>
      <c r="G112" s="28">
        <f ca="1"/>
        <v>20071.804389000019</v>
      </c>
      <c r="H112" s="28">
        <f ca="1"/>
        <v>28027.936259275171</v>
      </c>
      <c r="I112" s="28">
        <f ca="1"/>
        <v>31493.428726232887</v>
      </c>
      <c r="J112" s="28">
        <f ca="1"/>
        <v>34966.373394220034</v>
      </c>
      <c r="K112" s="28">
        <f ca="1"/>
        <v>38585.590383256364</v>
      </c>
      <c r="L112" s="1"/>
      <c r="M112" s="4" t="str">
        <f t="shared" ref="M112:M120" si="18">CURRENCY_NAME</f>
        <v>$M(2015)</v>
      </c>
    </row>
    <row r="113" spans="1:13" x14ac:dyDescent="0.2">
      <c r="A113" t="str">
        <v>US</v>
      </c>
      <c r="B113" s="28">
        <f ca="1"/>
        <v>349.14665069667024</v>
      </c>
      <c r="C113" s="28">
        <f ca="1"/>
        <v>1434.1020039258037</v>
      </c>
      <c r="D113" s="28">
        <f ca="1"/>
        <v>2722.8708334422417</v>
      </c>
      <c r="E113" s="28">
        <f ca="1"/>
        <v>5994.6442259516225</v>
      </c>
      <c r="F113" s="28">
        <f ca="1"/>
        <v>10208.497879021728</v>
      </c>
      <c r="G113" s="28">
        <f ca="1"/>
        <v>15145.986928800061</v>
      </c>
      <c r="H113" s="28">
        <f ca="1"/>
        <v>21377.166827909212</v>
      </c>
      <c r="I113" s="28">
        <f ca="1"/>
        <v>24514.90563728573</v>
      </c>
      <c r="J113" s="28">
        <f ca="1"/>
        <v>27804.329236943107</v>
      </c>
      <c r="K113" s="28">
        <f ca="1"/>
        <v>31194.90885516478</v>
      </c>
      <c r="L113" s="1"/>
      <c r="M113" s="4" t="str">
        <f t="shared" si="18"/>
        <v>$M(2015)</v>
      </c>
    </row>
    <row r="114" spans="1:13" x14ac:dyDescent="0.2">
      <c r="A114" t="str">
        <v>OT</v>
      </c>
      <c r="B114" s="28">
        <f ca="1"/>
        <v>205.66595346850869</v>
      </c>
      <c r="C114" s="28">
        <f ca="1"/>
        <v>840.20048025139261</v>
      </c>
      <c r="D114" s="28">
        <f ca="1"/>
        <v>1594.8825625294885</v>
      </c>
      <c r="E114" s="28">
        <f ca="1"/>
        <v>3506.2291307769819</v>
      </c>
      <c r="F114" s="28">
        <f ca="1"/>
        <v>5943.5774959591927</v>
      </c>
      <c r="G114" s="28">
        <f ca="1"/>
        <v>8727.1970604000271</v>
      </c>
      <c r="H114" s="28">
        <f ca="1"/>
        <v>12034.252292474468</v>
      </c>
      <c r="I114" s="28">
        <f ca="1"/>
        <v>13283.718806442685</v>
      </c>
      <c r="J114" s="28">
        <f ca="1"/>
        <v>14409.711301047451</v>
      </c>
      <c r="K114" s="28">
        <f ca="1"/>
        <v>15457.977856107169</v>
      </c>
      <c r="L114" s="1"/>
      <c r="M114" s="4" t="str">
        <f t="shared" si="18"/>
        <v>$M(2015)</v>
      </c>
    </row>
    <row r="115" spans="1:13" x14ac:dyDescent="0.2">
      <c r="A115" t="str">
        <v>EE</v>
      </c>
      <c r="B115" s="28">
        <f ca="1"/>
        <v>46.315807735790891</v>
      </c>
      <c r="C115" s="28">
        <f ca="1"/>
        <v>202.0054479970691</v>
      </c>
      <c r="D115" s="28">
        <f ca="1"/>
        <v>404.39819417897826</v>
      </c>
      <c r="E115" s="28">
        <f ca="1"/>
        <v>933.49686492094793</v>
      </c>
      <c r="F115" s="28">
        <f ca="1"/>
        <v>1536.5329820078207</v>
      </c>
      <c r="G115" s="28">
        <f ca="1"/>
        <v>2144.1612738000035</v>
      </c>
      <c r="H115" s="28">
        <f ca="1"/>
        <v>2817.1213750574379</v>
      </c>
      <c r="I115" s="28">
        <f ca="1"/>
        <v>2898.63753837687</v>
      </c>
      <c r="J115" s="28">
        <f ca="1"/>
        <v>2955.3470790521756</v>
      </c>
      <c r="K115" s="28">
        <f ca="1"/>
        <v>2977.7245934687357</v>
      </c>
      <c r="L115" s="1"/>
      <c r="M115" s="4" t="str">
        <f t="shared" si="18"/>
        <v>$M(2015)</v>
      </c>
    </row>
    <row r="116" spans="1:13" x14ac:dyDescent="0.2">
      <c r="A116" t="str">
        <v>CA</v>
      </c>
      <c r="B116" s="28">
        <f ca="1"/>
        <v>256.85667176117181</v>
      </c>
      <c r="C116" s="28">
        <f ca="1"/>
        <v>945.3869428560339</v>
      </c>
      <c r="D116" s="28">
        <f ca="1"/>
        <v>1922.6411692760917</v>
      </c>
      <c r="E116" s="28">
        <f ca="1"/>
        <v>4464.0617631023324</v>
      </c>
      <c r="F116" s="28">
        <f ca="1"/>
        <v>7219.4402761509236</v>
      </c>
      <c r="G116" s="28">
        <f ca="1"/>
        <v>9604.9029660018059</v>
      </c>
      <c r="H116" s="28">
        <f ca="1"/>
        <v>11566.690857384699</v>
      </c>
      <c r="I116" s="28">
        <f ca="1"/>
        <v>12853.785660674106</v>
      </c>
      <c r="J116" s="28">
        <f ca="1"/>
        <v>13580.10576587333</v>
      </c>
      <c r="K116" s="28">
        <f ca="1"/>
        <v>13053.631394077227</v>
      </c>
      <c r="L116" s="1"/>
      <c r="M116" s="4" t="str">
        <f t="shared" si="18"/>
        <v>$M(2015)</v>
      </c>
    </row>
    <row r="117" spans="1:13" x14ac:dyDescent="0.2">
      <c r="A117" t="str">
        <v>IA</v>
      </c>
      <c r="B117" s="28">
        <f ca="1"/>
        <v>195.6753364708008</v>
      </c>
      <c r="C117" s="28">
        <f ca="1"/>
        <v>722.74297703760021</v>
      </c>
      <c r="D117" s="28">
        <f ca="1"/>
        <v>1524.6771957863448</v>
      </c>
      <c r="E117" s="28">
        <f ca="1"/>
        <v>4107.5044413551241</v>
      </c>
      <c r="F117" s="28">
        <f ca="1"/>
        <v>7998.0699924454411</v>
      </c>
      <c r="G117" s="28">
        <f ca="1"/>
        <v>12938.805360369821</v>
      </c>
      <c r="H117" s="28">
        <f ca="1"/>
        <v>18621.822112181595</v>
      </c>
      <c r="I117" s="28">
        <f ca="1"/>
        <v>24369.887864012617</v>
      </c>
      <c r="J117" s="28">
        <f ca="1"/>
        <v>29953.497468366262</v>
      </c>
      <c r="K117" s="28">
        <f ca="1"/>
        <v>33293.967853949318</v>
      </c>
      <c r="L117" s="1"/>
      <c r="M117" s="4" t="str">
        <f t="shared" si="18"/>
        <v>$M(2015)</v>
      </c>
    </row>
    <row r="118" spans="1:13" x14ac:dyDescent="0.2">
      <c r="A118" t="str">
        <v>AF</v>
      </c>
      <c r="B118" s="28">
        <f ca="1"/>
        <v>66.955072610716797</v>
      </c>
      <c r="C118" s="28">
        <f ca="1"/>
        <v>234.23609264915285</v>
      </c>
      <c r="D118" s="28">
        <f ca="1"/>
        <v>484.22339152124852</v>
      </c>
      <c r="E118" s="28">
        <f ca="1"/>
        <v>1347.3798957335341</v>
      </c>
      <c r="F118" s="28">
        <f ca="1"/>
        <v>2839.30775896568</v>
      </c>
      <c r="G118" s="28">
        <f ca="1"/>
        <v>5111.3073114133585</v>
      </c>
      <c r="H118" s="28">
        <f ca="1"/>
        <v>8278.0914237379329</v>
      </c>
      <c r="I118" s="28">
        <f ca="1"/>
        <v>12187.228416495313</v>
      </c>
      <c r="J118" s="28">
        <f ca="1"/>
        <v>16912.690117164821</v>
      </c>
      <c r="K118" s="28">
        <f ca="1"/>
        <v>21272.761359254189</v>
      </c>
      <c r="L118" s="1"/>
      <c r="M118" s="4" t="str">
        <f t="shared" si="18"/>
        <v>$M(2015)</v>
      </c>
    </row>
    <row r="119" spans="1:13" x14ac:dyDescent="0.2">
      <c r="A119" t="str">
        <v>LA</v>
      </c>
      <c r="B119" s="28">
        <f ca="1"/>
        <v>68.015999177934134</v>
      </c>
      <c r="C119" s="28">
        <f ca="1"/>
        <v>219.95165291392979</v>
      </c>
      <c r="D119" s="28">
        <f ca="1"/>
        <v>416.44721257169283</v>
      </c>
      <c r="E119" s="28">
        <f ca="1"/>
        <v>978.78177920623421</v>
      </c>
      <c r="F119" s="28">
        <f ca="1"/>
        <v>1760.992400093601</v>
      </c>
      <c r="G119" s="28">
        <f ca="1"/>
        <v>2679.0190248640024</v>
      </c>
      <c r="H119" s="28">
        <f ca="1"/>
        <v>3662.5088755685583</v>
      </c>
      <c r="I119" s="28">
        <f ca="1"/>
        <v>4622.2977862228454</v>
      </c>
      <c r="J119" s="28">
        <f ca="1"/>
        <v>5514.4970112173614</v>
      </c>
      <c r="K119" s="28">
        <f ca="1"/>
        <v>5954.461463445311</v>
      </c>
      <c r="L119" s="1"/>
      <c r="M119" s="4" t="str">
        <f t="shared" si="18"/>
        <v>$M(2015)</v>
      </c>
    </row>
    <row r="120" spans="1:13" ht="13.5" thickBot="1" x14ac:dyDescent="0.25">
      <c r="A120" s="2" t="s">
        <v>204</v>
      </c>
      <c r="B120" s="42">
        <f t="shared" ref="B120:K120" ca="1" si="19">SUM(B112:B119)</f>
        <v>1653.1069478120517</v>
      </c>
      <c r="C120" s="42">
        <f t="shared" ca="1" si="19"/>
        <v>6505.3335702328504</v>
      </c>
      <c r="D120" s="42">
        <f t="shared" ca="1" si="19"/>
        <v>12696.740397613565</v>
      </c>
      <c r="E120" s="42">
        <f t="shared" ca="1" si="19"/>
        <v>29335.816770974659</v>
      </c>
      <c r="F120" s="42">
        <f t="shared" ca="1" si="19"/>
        <v>51108.59167698391</v>
      </c>
      <c r="G120" s="42">
        <f t="shared" ca="1" si="19"/>
        <v>76423.184314649101</v>
      </c>
      <c r="H120" s="42">
        <f t="shared" ca="1" si="19"/>
        <v>106385.59002358907</v>
      </c>
      <c r="I120" s="42">
        <f t="shared" ca="1" si="19"/>
        <v>126223.89043574307</v>
      </c>
      <c r="J120" s="42">
        <f t="shared" ca="1" si="19"/>
        <v>146096.55137388455</v>
      </c>
      <c r="K120" s="42">
        <f t="shared" ca="1" si="19"/>
        <v>161791.02375872308</v>
      </c>
      <c r="L120" s="1"/>
      <c r="M120" s="4" t="str">
        <f t="shared" si="18"/>
        <v>$M(2015)</v>
      </c>
    </row>
    <row r="121" spans="1:13" ht="15" thickTop="1" x14ac:dyDescent="0.25">
      <c r="A121" s="44" t="s">
        <v>382</v>
      </c>
      <c r="B121" s="2" t="s">
        <v>384</v>
      </c>
      <c r="C121" s="1"/>
      <c r="D121" s="1"/>
      <c r="E121" s="1"/>
      <c r="F121" s="1"/>
      <c r="G121" s="1"/>
      <c r="H121" s="1"/>
      <c r="I121" s="1"/>
      <c r="J121" s="1"/>
      <c r="K121" s="1"/>
      <c r="L121" s="1"/>
      <c r="M121" s="1"/>
    </row>
    <row r="122" spans="1:13" x14ac:dyDescent="0.2">
      <c r="A122" t="str">
        <f t="array" ref="A122:A129">R_CODE</f>
        <v>EU</v>
      </c>
      <c r="B122" s="28">
        <f t="array" aca="1" ref="B122:K129" ca="1">act_b/POP_B</f>
        <v>0.88687067212970594</v>
      </c>
      <c r="C122" s="28">
        <f ca="1"/>
        <v>3.545595819390269</v>
      </c>
      <c r="D122" s="28">
        <f ca="1"/>
        <v>6.5619150499344574</v>
      </c>
      <c r="E122" s="28">
        <f ca="1"/>
        <v>13.709481474125754</v>
      </c>
      <c r="F122" s="28">
        <f ca="1"/>
        <v>21.99511154646132</v>
      </c>
      <c r="G122" s="28">
        <f ca="1"/>
        <v>30.685905762836271</v>
      </c>
      <c r="H122" s="28">
        <f ca="1"/>
        <v>40.924103427883551</v>
      </c>
      <c r="I122" s="28">
        <f ca="1"/>
        <v>44.381257796500982</v>
      </c>
      <c r="J122" s="28">
        <f ca="1"/>
        <v>48.104806156485523</v>
      </c>
      <c r="K122" s="28">
        <f ca="1"/>
        <v>52.294768547527866</v>
      </c>
      <c r="L122" s="1"/>
      <c r="M122" s="1" t="str">
        <f t="shared" ref="M122:M130" si="20">CURRENCY_NAME&amp;"/"&amp;POP_UNIT_NAME</f>
        <v>$M(2015)/million</v>
      </c>
    </row>
    <row r="123" spans="1:13" x14ac:dyDescent="0.2">
      <c r="A123" t="str">
        <v>US</v>
      </c>
      <c r="B123" s="28">
        <f ca="1"/>
        <v>1.0073329891278839</v>
      </c>
      <c r="C123" s="28">
        <f ca="1"/>
        <v>3.9093072620325429</v>
      </c>
      <c r="D123" s="28">
        <f ca="1"/>
        <v>7.015177084150678</v>
      </c>
      <c r="E123" s="28">
        <f ca="1"/>
        <v>13.888322056639971</v>
      </c>
      <c r="F123" s="28">
        <f ca="1"/>
        <v>21.346106384536803</v>
      </c>
      <c r="G123" s="28">
        <f ca="1"/>
        <v>28.583320145917504</v>
      </c>
      <c r="H123" s="28">
        <f ca="1"/>
        <v>36.674444282642121</v>
      </c>
      <c r="I123" s="28">
        <f ca="1"/>
        <v>38.674424672983015</v>
      </c>
      <c r="J123" s="28">
        <f ca="1"/>
        <v>40.981530579464092</v>
      </c>
      <c r="K123" s="28">
        <f ca="1"/>
        <v>43.685882052906202</v>
      </c>
      <c r="L123" s="1"/>
      <c r="M123" s="1" t="str">
        <f t="shared" si="20"/>
        <v>$M(2015)/million</v>
      </c>
    </row>
    <row r="124" spans="1:13" x14ac:dyDescent="0.2">
      <c r="A124" t="str">
        <v>OT</v>
      </c>
      <c r="B124" s="28">
        <f ca="1"/>
        <v>0.65434735296544044</v>
      </c>
      <c r="C124" s="28">
        <f ca="1"/>
        <v>2.5987618006711615</v>
      </c>
      <c r="D124" s="28">
        <f ca="1"/>
        <v>4.8070340451366649</v>
      </c>
      <c r="E124" s="28">
        <f ca="1"/>
        <v>10.093934623379155</v>
      </c>
      <c r="F124" s="28">
        <f ca="1"/>
        <v>16.413417475454597</v>
      </c>
      <c r="G124" s="28">
        <f ca="1"/>
        <v>23.240732172787684</v>
      </c>
      <c r="H124" s="28">
        <f ca="1"/>
        <v>31.348260284807502</v>
      </c>
      <c r="I124" s="28">
        <f ca="1"/>
        <v>34.30827689577049</v>
      </c>
      <c r="J124" s="28">
        <f ca="1"/>
        <v>37.428599298290521</v>
      </c>
      <c r="K124" s="28">
        <f ca="1"/>
        <v>40.863851792606447</v>
      </c>
      <c r="L124" s="1"/>
      <c r="M124" s="1" t="str">
        <f t="shared" si="20"/>
        <v>$M(2015)/million</v>
      </c>
    </row>
    <row r="125" spans="1:13" x14ac:dyDescent="0.2">
      <c r="A125" t="str">
        <v>EE</v>
      </c>
      <c r="B125" s="28">
        <f ca="1"/>
        <v>0.16578483867729124</v>
      </c>
      <c r="C125" s="28">
        <f ca="1"/>
        <v>0.72617595271021329</v>
      </c>
      <c r="D125" s="28">
        <f ca="1"/>
        <v>1.463439874134121</v>
      </c>
      <c r="E125" s="28">
        <f ca="1"/>
        <v>3.4255257196782054</v>
      </c>
      <c r="F125" s="28">
        <f ca="1"/>
        <v>5.7849432135500649</v>
      </c>
      <c r="G125" s="28">
        <f ca="1"/>
        <v>8.3962927274151333</v>
      </c>
      <c r="H125" s="28">
        <f ca="1"/>
        <v>11.633738349449043</v>
      </c>
      <c r="I125" s="28">
        <f ca="1"/>
        <v>12.868363743776404</v>
      </c>
      <c r="J125" s="28">
        <f ca="1"/>
        <v>14.341402133498512</v>
      </c>
      <c r="K125" s="28">
        <f ca="1"/>
        <v>15.997145139806554</v>
      </c>
      <c r="L125" s="1"/>
      <c r="M125" s="1" t="str">
        <f t="shared" si="20"/>
        <v>$M(2015)/million</v>
      </c>
    </row>
    <row r="126" spans="1:13" x14ac:dyDescent="0.2">
      <c r="A126" t="str">
        <v>CA</v>
      </c>
      <c r="B126" s="28">
        <f ca="1"/>
        <v>0.18621951347196067</v>
      </c>
      <c r="C126" s="28">
        <f ca="1"/>
        <v>0.68538135674326506</v>
      </c>
      <c r="D126" s="28">
        <f ca="1"/>
        <v>1.4049002899297347</v>
      </c>
      <c r="E126" s="28">
        <f ca="1"/>
        <v>3.3843160372984769</v>
      </c>
      <c r="F126" s="28">
        <f ca="1"/>
        <v>5.8426964889720061</v>
      </c>
      <c r="G126" s="28">
        <f ca="1"/>
        <v>8.5067873122282069</v>
      </c>
      <c r="H126" s="28">
        <f ca="1"/>
        <v>11.439585621543729</v>
      </c>
      <c r="I126" s="28">
        <f ca="1"/>
        <v>14.413612378682776</v>
      </c>
      <c r="J126" s="28">
        <f ca="1"/>
        <v>17.587666668229421</v>
      </c>
      <c r="K126" s="28">
        <f ca="1"/>
        <v>19.991073741298987</v>
      </c>
      <c r="L126" s="1"/>
      <c r="M126" s="1" t="str">
        <f t="shared" si="20"/>
        <v>$M(2015)/million</v>
      </c>
    </row>
    <row r="127" spans="1:13" x14ac:dyDescent="0.2">
      <c r="A127" t="str">
        <v>IA</v>
      </c>
      <c r="B127" s="28">
        <f ca="1"/>
        <v>7.6540458010116122E-2</v>
      </c>
      <c r="C127" s="28">
        <f ca="1"/>
        <v>0.27245960830939209</v>
      </c>
      <c r="D127" s="28">
        <f ca="1"/>
        <v>0.55888912418427339</v>
      </c>
      <c r="E127" s="28">
        <f ca="1"/>
        <v>1.450594616491671</v>
      </c>
      <c r="F127" s="28">
        <f ca="1"/>
        <v>2.7964595245729797</v>
      </c>
      <c r="G127" s="28">
        <f ca="1"/>
        <v>4.5969255170223882</v>
      </c>
      <c r="H127" s="28">
        <f ca="1"/>
        <v>6.8828740070084571</v>
      </c>
      <c r="I127" s="28">
        <f ca="1"/>
        <v>9.5851306148248927</v>
      </c>
      <c r="J127" s="28">
        <f ca="1"/>
        <v>12.809036979099231</v>
      </c>
      <c r="K127" s="28">
        <f ca="1"/>
        <v>15.771559840678062</v>
      </c>
      <c r="L127" s="1"/>
      <c r="M127" s="1" t="str">
        <f t="shared" si="20"/>
        <v>$M(2015)/million</v>
      </c>
    </row>
    <row r="128" spans="1:13" x14ac:dyDescent="0.2">
      <c r="A128" t="str">
        <v>AF</v>
      </c>
      <c r="B128" s="28">
        <f ca="1"/>
        <v>4.4788742997124459E-2</v>
      </c>
      <c r="C128" s="28">
        <f ca="1"/>
        <v>0.14493538631929992</v>
      </c>
      <c r="D128" s="28">
        <f ca="1"/>
        <v>0.28029478242242328</v>
      </c>
      <c r="E128" s="28">
        <f ca="1"/>
        <v>0.69777396516129098</v>
      </c>
      <c r="F128" s="28">
        <f ca="1"/>
        <v>1.3615996937407389</v>
      </c>
      <c r="G128" s="28">
        <f ca="1"/>
        <v>2.339603550716634</v>
      </c>
      <c r="H128" s="28">
        <f ca="1"/>
        <v>3.7009735061141251</v>
      </c>
      <c r="I128" s="28">
        <f ca="1"/>
        <v>5.4364760842115176</v>
      </c>
      <c r="J128" s="28">
        <f ca="1"/>
        <v>7.6727605509376176</v>
      </c>
      <c r="K128" s="28">
        <f ca="1"/>
        <v>9.9864195560324784</v>
      </c>
      <c r="L128" s="1"/>
      <c r="M128" s="1" t="str">
        <f t="shared" si="20"/>
        <v>$M(2015)/million</v>
      </c>
    </row>
    <row r="129" spans="1:16" x14ac:dyDescent="0.2">
      <c r="A129" t="str">
        <v>LA</v>
      </c>
      <c r="B129" s="28">
        <f ca="1"/>
        <v>0.10763847546647007</v>
      </c>
      <c r="C129" s="28">
        <f ca="1"/>
        <v>0.34022831695201317</v>
      </c>
      <c r="D129" s="28">
        <f ca="1"/>
        <v>0.63497761678885134</v>
      </c>
      <c r="E129" s="28">
        <f ca="1"/>
        <v>1.4777800865973414</v>
      </c>
      <c r="F129" s="28">
        <f ca="1"/>
        <v>2.7020834981063082</v>
      </c>
      <c r="G129" s="28">
        <f ca="1"/>
        <v>4.2753453244252322</v>
      </c>
      <c r="H129" s="28">
        <f ca="1"/>
        <v>6.1793220149831249</v>
      </c>
      <c r="I129" s="28">
        <f ca="1"/>
        <v>8.3638412677457232</v>
      </c>
      <c r="J129" s="28">
        <f ca="1"/>
        <v>10.907010022344812</v>
      </c>
      <c r="K129" s="28">
        <f ca="1"/>
        <v>13.190936892539645</v>
      </c>
      <c r="L129" s="1"/>
      <c r="M129" s="1" t="str">
        <f t="shared" si="20"/>
        <v>$M(2015)/million</v>
      </c>
    </row>
    <row r="130" spans="1:16" ht="13.5" thickBot="1" x14ac:dyDescent="0.25">
      <c r="A130" s="2" t="s">
        <v>383</v>
      </c>
      <c r="B130" s="36">
        <f t="array" ref="B130:K130" ca="1">act_g_b/POP_G_B</f>
        <v>0.2196344694878041</v>
      </c>
      <c r="C130" s="36">
        <f ca="1"/>
        <v>0.8339380071932726</v>
      </c>
      <c r="D130" s="36">
        <f ca="1"/>
        <v>1.5813799136000599</v>
      </c>
      <c r="E130" s="36">
        <f ca="1"/>
        <v>3.5010037010402297</v>
      </c>
      <c r="F130" s="36">
        <f ca="1"/>
        <v>5.9726700659178329</v>
      </c>
      <c r="G130" s="36">
        <f ca="1"/>
        <v>8.9175878981926324</v>
      </c>
      <c r="H130" s="36">
        <f ca="1"/>
        <v>12.605100226619099</v>
      </c>
      <c r="I130" s="36">
        <f ca="1"/>
        <v>15.422152898411934</v>
      </c>
      <c r="J130" s="36">
        <f ca="1"/>
        <v>18.689954401560591</v>
      </c>
      <c r="K130" s="36">
        <f ca="1"/>
        <v>21.976795231765564</v>
      </c>
      <c r="L130" s="1"/>
      <c r="M130" s="1" t="str">
        <f t="shared" si="20"/>
        <v>$M(2015)/million</v>
      </c>
      <c r="N130" s="7"/>
    </row>
    <row r="131" spans="1:16" ht="15" thickTop="1" x14ac:dyDescent="0.25">
      <c r="A131" s="44" t="s">
        <v>393</v>
      </c>
      <c r="B131" s="2" t="s">
        <v>394</v>
      </c>
      <c r="C131" s="1"/>
      <c r="D131" s="1"/>
      <c r="E131" s="1"/>
      <c r="F131" s="1"/>
      <c r="G131" s="1"/>
      <c r="H131" s="1"/>
      <c r="I131" s="1"/>
      <c r="J131" s="1"/>
      <c r="K131" s="1"/>
      <c r="L131" s="1"/>
      <c r="M131" s="1"/>
    </row>
    <row r="132" spans="1:16" x14ac:dyDescent="0.2">
      <c r="A132" t="str">
        <f t="array" ref="A132:A139">R_CODE</f>
        <v>EU</v>
      </c>
      <c r="B132" s="212">
        <f t="array" aca="1" ref="B132:K139" ca="1" xml:space="preserve"> (((CONS_PER_CAP_FOCUS_0)^EMUC)/(1-EMUC))*( (CONS_PER_CAP_B)^(1-EMUC) - (CONS_PER_CAP_B-act_per_cap_b) ^(1-EMUC))</f>
        <v>0.78824671222467413</v>
      </c>
      <c r="C132" s="212">
        <f ca="1"/>
        <v>2.7658306748435519</v>
      </c>
      <c r="D132" s="212">
        <f ca="1"/>
        <v>4.4846437704924291</v>
      </c>
      <c r="E132" s="212">
        <f ca="1"/>
        <v>7.2537849899091498</v>
      </c>
      <c r="F132" s="212">
        <f ca="1"/>
        <v>9.3117401580956507</v>
      </c>
      <c r="G132" s="212">
        <f ca="1"/>
        <v>10.56269277145034</v>
      </c>
      <c r="H132" s="212">
        <f ca="1"/>
        <v>11.379341427824814</v>
      </c>
      <c r="I132" s="212">
        <f ca="1"/>
        <v>10.039978794244602</v>
      </c>
      <c r="J132" s="212">
        <f ca="1"/>
        <v>8.8590672781550026</v>
      </c>
      <c r="K132" s="212">
        <f ca="1"/>
        <v>7.8132293822309213</v>
      </c>
      <c r="L132" s="1"/>
      <c r="M132" s="1" t="str">
        <f t="shared" ref="M132:M139" si="21">CURRENCY_NAME&amp;"/"&amp;POP_UNIT_NAME</f>
        <v>$M(2015)/million</v>
      </c>
      <c r="P132" s="292" t="s">
        <v>1059</v>
      </c>
    </row>
    <row r="133" spans="1:16" x14ac:dyDescent="0.2">
      <c r="A133" t="str">
        <v>US</v>
      </c>
      <c r="B133" s="213">
        <f ca="1"/>
        <v>0.59481288307675151</v>
      </c>
      <c r="C133" s="213">
        <f ca="1"/>
        <v>2.0974457521820877</v>
      </c>
      <c r="D133" s="213">
        <f ca="1"/>
        <v>3.4184069653442819</v>
      </c>
      <c r="E133" s="213">
        <f ca="1"/>
        <v>5.5789405162820254</v>
      </c>
      <c r="F133" s="213">
        <f ca="1"/>
        <v>7.2130620465876953</v>
      </c>
      <c r="G133" s="213">
        <f ca="1"/>
        <v>8.2381620481764148</v>
      </c>
      <c r="H133" s="213">
        <f ca="1"/>
        <v>8.9324127944790082</v>
      </c>
      <c r="I133" s="213">
        <f ca="1"/>
        <v>7.9179581409223978</v>
      </c>
      <c r="J133" s="213">
        <f ca="1"/>
        <v>7.0130624481463997</v>
      </c>
      <c r="K133" s="213">
        <f ca="1"/>
        <v>6.2054239638014437</v>
      </c>
      <c r="L133" s="1"/>
      <c r="M133" s="1" t="str">
        <f t="shared" si="21"/>
        <v>$M(2015)/million</v>
      </c>
    </row>
    <row r="134" spans="1:16" x14ac:dyDescent="0.2">
      <c r="A134" t="str">
        <v>OT</v>
      </c>
      <c r="B134" s="213">
        <f ca="1"/>
        <v>0.63915739425370344</v>
      </c>
      <c r="C134" s="213">
        <f ca="1"/>
        <v>2.2451548111694413</v>
      </c>
      <c r="D134" s="213">
        <f ca="1"/>
        <v>3.6406925476056213</v>
      </c>
      <c r="E134" s="213">
        <f ca="1"/>
        <v>5.8836922160315783</v>
      </c>
      <c r="F134" s="213">
        <f ca="1"/>
        <v>7.5359777973777335</v>
      </c>
      <c r="G134" s="213">
        <f ca="1"/>
        <v>8.527220142880914</v>
      </c>
      <c r="H134" s="213">
        <f ca="1"/>
        <v>9.1691089797764995</v>
      </c>
      <c r="I134" s="213">
        <f ca="1"/>
        <v>8.0776313233192738</v>
      </c>
      <c r="J134" s="213">
        <f ca="1"/>
        <v>7.1198657708819351</v>
      </c>
      <c r="K134" s="213">
        <f ca="1"/>
        <v>6.2748752087300295</v>
      </c>
      <c r="L134" s="1"/>
      <c r="M134" s="1" t="str">
        <f t="shared" si="21"/>
        <v>$M(2015)/million</v>
      </c>
    </row>
    <row r="135" spans="1:16" x14ac:dyDescent="0.2">
      <c r="A135" t="str">
        <v>EE</v>
      </c>
      <c r="B135" s="213">
        <f ca="1"/>
        <v>0.35791570942764872</v>
      </c>
      <c r="C135" s="213">
        <f ca="1"/>
        <v>1.2368658145817419</v>
      </c>
      <c r="D135" s="213">
        <f ca="1"/>
        <v>1.9771990726631963</v>
      </c>
      <c r="E135" s="213">
        <f ca="1"/>
        <v>3.1379369554280738</v>
      </c>
      <c r="F135" s="213">
        <f ca="1"/>
        <v>3.9938011753467593</v>
      </c>
      <c r="G135" s="213">
        <f ca="1"/>
        <v>4.5004799126057797</v>
      </c>
      <c r="H135" s="213">
        <f ca="1"/>
        <v>4.8175840834949275</v>
      </c>
      <c r="I135" s="213">
        <f ca="1"/>
        <v>4.2366302276558843</v>
      </c>
      <c r="J135" s="213">
        <f ca="1"/>
        <v>3.7210726812625832</v>
      </c>
      <c r="K135" s="213">
        <f ca="1"/>
        <v>3.2677763337509771</v>
      </c>
      <c r="L135" s="1"/>
      <c r="M135" s="1" t="str">
        <f t="shared" si="21"/>
        <v>$M(2015)/million</v>
      </c>
    </row>
    <row r="136" spans="1:16" x14ac:dyDescent="0.2">
      <c r="A136" t="str">
        <v>CA</v>
      </c>
      <c r="B136" s="213">
        <f ca="1"/>
        <v>0.37850159932155286</v>
      </c>
      <c r="C136" s="213">
        <f ca="1"/>
        <v>0.9625957457657518</v>
      </c>
      <c r="D136" s="213">
        <f ca="1"/>
        <v>1.4430004764077144</v>
      </c>
      <c r="E136" s="213">
        <f ca="1"/>
        <v>2.1896007018507051</v>
      </c>
      <c r="F136" s="213">
        <f ca="1"/>
        <v>2.7345516235198066</v>
      </c>
      <c r="G136" s="213">
        <f ca="1"/>
        <v>3.1345552185133574</v>
      </c>
      <c r="H136" s="213">
        <f ca="1"/>
        <v>3.4097001466273991</v>
      </c>
      <c r="I136" s="213">
        <f ca="1"/>
        <v>3.5467620661718557</v>
      </c>
      <c r="J136" s="213">
        <f ca="1"/>
        <v>3.5712345878258436</v>
      </c>
      <c r="K136" s="213">
        <f ca="1"/>
        <v>3.3498967500496297</v>
      </c>
      <c r="L136" s="1"/>
      <c r="M136" s="1" t="str">
        <f t="shared" si="21"/>
        <v>$M(2015)/million</v>
      </c>
    </row>
    <row r="137" spans="1:16" x14ac:dyDescent="0.2">
      <c r="A137" t="str">
        <v>IA</v>
      </c>
      <c r="B137" s="213">
        <f ca="1"/>
        <v>0.43895844360418801</v>
      </c>
      <c r="C137" s="213">
        <f ca="1"/>
        <v>1.1225756848589792</v>
      </c>
      <c r="D137" s="213">
        <f ca="1"/>
        <v>1.682621556337156</v>
      </c>
      <c r="E137" s="213">
        <f ca="1"/>
        <v>2.5216553698216795</v>
      </c>
      <c r="F137" s="213">
        <f ca="1"/>
        <v>3.0918631125410219</v>
      </c>
      <c r="G137" s="213">
        <f ca="1"/>
        <v>3.4731665477368487</v>
      </c>
      <c r="H137" s="213">
        <f ca="1"/>
        <v>3.7109884315632393</v>
      </c>
      <c r="I137" s="213">
        <f ca="1"/>
        <v>3.796305802705664</v>
      </c>
      <c r="J137" s="213">
        <f ca="1"/>
        <v>3.7650175381267834</v>
      </c>
      <c r="K137" s="213">
        <f ca="1"/>
        <v>3.4849108052356965</v>
      </c>
      <c r="L137" s="1"/>
      <c r="M137" s="1" t="str">
        <f t="shared" si="21"/>
        <v>$M(2015)/million</v>
      </c>
    </row>
    <row r="138" spans="1:16" x14ac:dyDescent="0.2">
      <c r="A138" t="str">
        <v>AF</v>
      </c>
      <c r="B138" s="213">
        <f ca="1"/>
        <v>0.34312145221133789</v>
      </c>
      <c r="C138" s="213">
        <f ca="1"/>
        <v>0.89153793073359355</v>
      </c>
      <c r="D138" s="213">
        <f ca="1"/>
        <v>1.34950156063198</v>
      </c>
      <c r="E138" s="213">
        <f ca="1"/>
        <v>2.0365305925597075</v>
      </c>
      <c r="F138" s="213">
        <f ca="1"/>
        <v>2.4919841702067371</v>
      </c>
      <c r="G138" s="213">
        <f ca="1"/>
        <v>2.778713738139146</v>
      </c>
      <c r="H138" s="213">
        <f ca="1"/>
        <v>2.9419029011968307</v>
      </c>
      <c r="I138" s="213">
        <f ca="1"/>
        <v>2.9828892491363335</v>
      </c>
      <c r="J138" s="213">
        <f ca="1"/>
        <v>2.9315007587243738</v>
      </c>
      <c r="K138" s="213">
        <f ca="1"/>
        <v>2.6884275757290146</v>
      </c>
      <c r="L138" s="1"/>
      <c r="M138" s="1" t="str">
        <f t="shared" si="21"/>
        <v>$M(2015)/million</v>
      </c>
    </row>
    <row r="139" spans="1:16" x14ac:dyDescent="0.2">
      <c r="A139" t="str">
        <v>LA</v>
      </c>
      <c r="B139" s="213">
        <f ca="1"/>
        <v>0.29647046009239697</v>
      </c>
      <c r="C139" s="213">
        <f ca="1"/>
        <v>0.77334595986609844</v>
      </c>
      <c r="D139" s="213">
        <f ca="1"/>
        <v>1.1775594010894137</v>
      </c>
      <c r="E139" s="213">
        <f ca="1"/>
        <v>1.7971118047029375</v>
      </c>
      <c r="F139" s="213">
        <f ca="1"/>
        <v>2.2229876974544305</v>
      </c>
      <c r="G139" s="213">
        <f ca="1"/>
        <v>2.5130761798205672</v>
      </c>
      <c r="H139" s="213">
        <f ca="1"/>
        <v>2.7009975648200593</v>
      </c>
      <c r="I139" s="213">
        <f ca="1"/>
        <v>2.7762319344235276</v>
      </c>
      <c r="J139" s="213">
        <f ca="1"/>
        <v>2.764591699460047</v>
      </c>
      <c r="K139" s="213">
        <f ca="1"/>
        <v>2.5665754489058514</v>
      </c>
      <c r="L139" s="1"/>
      <c r="M139" s="1" t="str">
        <f t="shared" si="21"/>
        <v>$M(2015)/million</v>
      </c>
    </row>
    <row r="140" spans="1:16" ht="14.25" x14ac:dyDescent="0.25">
      <c r="A140" s="44" t="s">
        <v>385</v>
      </c>
      <c r="B140" s="2" t="s">
        <v>386</v>
      </c>
      <c r="C140" s="1"/>
      <c r="D140" s="1"/>
      <c r="E140" s="1"/>
      <c r="F140" s="1"/>
      <c r="G140" s="1"/>
      <c r="H140" s="1"/>
      <c r="I140" s="1"/>
      <c r="J140" s="1"/>
      <c r="K140" s="1"/>
      <c r="L140" s="1"/>
      <c r="M140" s="1"/>
    </row>
    <row r="141" spans="1:16" x14ac:dyDescent="0.2">
      <c r="A141" t="str">
        <f t="array" ref="A141:A148">R_CODE</f>
        <v>EU</v>
      </c>
      <c r="B141" s="29">
        <f t="array" aca="1" ref="B141:K148" ca="1">IF(EQUITY_SWITCH=0,act_per_cap_b,(1-EQUITY_PROP)*act_per_cap_b+EQUITY_PROP*eact_per_cap_b)</f>
        <v>0.78824671222467413</v>
      </c>
      <c r="C141" s="29">
        <f ca="1"/>
        <v>2.7658306748435519</v>
      </c>
      <c r="D141" s="29">
        <f ca="1"/>
        <v>4.4846437704924291</v>
      </c>
      <c r="E141" s="29">
        <f ca="1"/>
        <v>7.2537849899091498</v>
      </c>
      <c r="F141" s="29">
        <f ca="1"/>
        <v>9.3117401580956507</v>
      </c>
      <c r="G141" s="29">
        <f ca="1"/>
        <v>10.56269277145034</v>
      </c>
      <c r="H141" s="29">
        <f ca="1"/>
        <v>11.379341427824814</v>
      </c>
      <c r="I141" s="29">
        <f ca="1"/>
        <v>10.039978794244602</v>
      </c>
      <c r="J141" s="29">
        <f ca="1"/>
        <v>8.8590672781550026</v>
      </c>
      <c r="K141" s="29">
        <f ca="1"/>
        <v>7.8132293822309213</v>
      </c>
      <c r="L141" s="1"/>
      <c r="M141" s="1" t="str">
        <f t="shared" ref="M141:M148" si="22">CURRENCY_NAME&amp;"/"&amp;POP_UNIT_NAME</f>
        <v>$M(2015)/million</v>
      </c>
    </row>
    <row r="142" spans="1:16" x14ac:dyDescent="0.2">
      <c r="A142" t="str">
        <v>US</v>
      </c>
      <c r="B142" s="26">
        <f ca="1"/>
        <v>0.59481288307675151</v>
      </c>
      <c r="C142" s="26">
        <f ca="1"/>
        <v>2.0974457521820877</v>
      </c>
      <c r="D142" s="26">
        <f ca="1"/>
        <v>3.4184069653442819</v>
      </c>
      <c r="E142" s="26">
        <f ca="1"/>
        <v>5.5789405162820254</v>
      </c>
      <c r="F142" s="26">
        <f ca="1"/>
        <v>7.2130620465876953</v>
      </c>
      <c r="G142" s="26">
        <f ca="1"/>
        <v>8.2381620481764148</v>
      </c>
      <c r="H142" s="26">
        <f ca="1"/>
        <v>8.9324127944790082</v>
      </c>
      <c r="I142" s="26">
        <f ca="1"/>
        <v>7.9179581409223978</v>
      </c>
      <c r="J142" s="26">
        <f ca="1"/>
        <v>7.0130624481463997</v>
      </c>
      <c r="K142" s="26">
        <f ca="1"/>
        <v>6.2054239638014437</v>
      </c>
      <c r="L142" s="1"/>
      <c r="M142" s="1" t="str">
        <f t="shared" si="22"/>
        <v>$M(2015)/million</v>
      </c>
    </row>
    <row r="143" spans="1:16" x14ac:dyDescent="0.2">
      <c r="A143" t="str">
        <v>OT</v>
      </c>
      <c r="B143" s="26">
        <f ca="1"/>
        <v>0.63915739425370344</v>
      </c>
      <c r="C143" s="26">
        <f ca="1"/>
        <v>2.2451548111694413</v>
      </c>
      <c r="D143" s="26">
        <f ca="1"/>
        <v>3.6406925476056213</v>
      </c>
      <c r="E143" s="26">
        <f ca="1"/>
        <v>5.8836922160315783</v>
      </c>
      <c r="F143" s="26">
        <f ca="1"/>
        <v>7.5359777973777335</v>
      </c>
      <c r="G143" s="26">
        <f ca="1"/>
        <v>8.527220142880914</v>
      </c>
      <c r="H143" s="26">
        <f ca="1"/>
        <v>9.1691089797764995</v>
      </c>
      <c r="I143" s="26">
        <f ca="1"/>
        <v>8.0776313233192738</v>
      </c>
      <c r="J143" s="26">
        <f ca="1"/>
        <v>7.1198657708819351</v>
      </c>
      <c r="K143" s="26">
        <f ca="1"/>
        <v>6.2748752087300295</v>
      </c>
      <c r="L143" s="1"/>
      <c r="M143" s="1" t="str">
        <f t="shared" si="22"/>
        <v>$M(2015)/million</v>
      </c>
    </row>
    <row r="144" spans="1:16" x14ac:dyDescent="0.2">
      <c r="A144" t="str">
        <v>EE</v>
      </c>
      <c r="B144" s="26">
        <f ca="1"/>
        <v>0.35791570942764872</v>
      </c>
      <c r="C144" s="26">
        <f ca="1"/>
        <v>1.2368658145817419</v>
      </c>
      <c r="D144" s="26">
        <f ca="1"/>
        <v>1.9771990726631963</v>
      </c>
      <c r="E144" s="26">
        <f ca="1"/>
        <v>3.1379369554280738</v>
      </c>
      <c r="F144" s="26">
        <f ca="1"/>
        <v>3.9938011753467593</v>
      </c>
      <c r="G144" s="26">
        <f ca="1"/>
        <v>4.5004799126057797</v>
      </c>
      <c r="H144" s="26">
        <f ca="1"/>
        <v>4.8175840834949275</v>
      </c>
      <c r="I144" s="26">
        <f ca="1"/>
        <v>4.2366302276558843</v>
      </c>
      <c r="J144" s="26">
        <f ca="1"/>
        <v>3.7210726812625832</v>
      </c>
      <c r="K144" s="26">
        <f ca="1"/>
        <v>3.2677763337509771</v>
      </c>
      <c r="L144" s="1"/>
      <c r="M144" s="1" t="str">
        <f t="shared" si="22"/>
        <v>$M(2015)/million</v>
      </c>
    </row>
    <row r="145" spans="1:15" x14ac:dyDescent="0.2">
      <c r="A145" t="str">
        <v>CA</v>
      </c>
      <c r="B145" s="26">
        <f ca="1"/>
        <v>0.37850159932155286</v>
      </c>
      <c r="C145" s="26">
        <f ca="1"/>
        <v>0.9625957457657518</v>
      </c>
      <c r="D145" s="26">
        <f ca="1"/>
        <v>1.4430004764077144</v>
      </c>
      <c r="E145" s="26">
        <f ca="1"/>
        <v>2.1896007018507051</v>
      </c>
      <c r="F145" s="26">
        <f ca="1"/>
        <v>2.7345516235198066</v>
      </c>
      <c r="G145" s="26">
        <f ca="1"/>
        <v>3.1345552185133574</v>
      </c>
      <c r="H145" s="26">
        <f ca="1"/>
        <v>3.4097001466273991</v>
      </c>
      <c r="I145" s="26">
        <f ca="1"/>
        <v>3.5467620661718557</v>
      </c>
      <c r="J145" s="26">
        <f ca="1"/>
        <v>3.5712345878258436</v>
      </c>
      <c r="K145" s="26">
        <f ca="1"/>
        <v>3.3498967500496297</v>
      </c>
      <c r="L145" s="1"/>
      <c r="M145" s="1" t="str">
        <f t="shared" si="22"/>
        <v>$M(2015)/million</v>
      </c>
    </row>
    <row r="146" spans="1:15" x14ac:dyDescent="0.2">
      <c r="A146" t="str">
        <v>IA</v>
      </c>
      <c r="B146" s="26">
        <f ca="1"/>
        <v>0.43895844360418801</v>
      </c>
      <c r="C146" s="26">
        <f ca="1"/>
        <v>1.1225756848589792</v>
      </c>
      <c r="D146" s="26">
        <f ca="1"/>
        <v>1.682621556337156</v>
      </c>
      <c r="E146" s="26">
        <f ca="1"/>
        <v>2.5216553698216795</v>
      </c>
      <c r="F146" s="26">
        <f ca="1"/>
        <v>3.0918631125410219</v>
      </c>
      <c r="G146" s="26">
        <f ca="1"/>
        <v>3.4731665477368487</v>
      </c>
      <c r="H146" s="26">
        <f ca="1"/>
        <v>3.7109884315632393</v>
      </c>
      <c r="I146" s="26">
        <f ca="1"/>
        <v>3.796305802705664</v>
      </c>
      <c r="J146" s="26">
        <f ca="1"/>
        <v>3.7650175381267834</v>
      </c>
      <c r="K146" s="26">
        <f ca="1"/>
        <v>3.4849108052356965</v>
      </c>
      <c r="L146" s="1"/>
      <c r="M146" s="1" t="str">
        <f t="shared" si="22"/>
        <v>$M(2015)/million</v>
      </c>
    </row>
    <row r="147" spans="1:15" x14ac:dyDescent="0.2">
      <c r="A147" t="str">
        <v>AF</v>
      </c>
      <c r="B147" s="26">
        <f ca="1"/>
        <v>0.34312145221133789</v>
      </c>
      <c r="C147" s="26">
        <f ca="1"/>
        <v>0.89153793073359355</v>
      </c>
      <c r="D147" s="26">
        <f ca="1"/>
        <v>1.34950156063198</v>
      </c>
      <c r="E147" s="26">
        <f ca="1"/>
        <v>2.0365305925597075</v>
      </c>
      <c r="F147" s="26">
        <f ca="1"/>
        <v>2.4919841702067371</v>
      </c>
      <c r="G147" s="26">
        <f ca="1"/>
        <v>2.778713738139146</v>
      </c>
      <c r="H147" s="26">
        <f ca="1"/>
        <v>2.9419029011968307</v>
      </c>
      <c r="I147" s="26">
        <f ca="1"/>
        <v>2.9828892491363335</v>
      </c>
      <c r="J147" s="26">
        <f ca="1"/>
        <v>2.9315007587243738</v>
      </c>
      <c r="K147" s="26">
        <f ca="1"/>
        <v>2.6884275757290146</v>
      </c>
      <c r="L147" s="1"/>
      <c r="M147" s="1" t="str">
        <f t="shared" si="22"/>
        <v>$M(2015)/million</v>
      </c>
    </row>
    <row r="148" spans="1:15" x14ac:dyDescent="0.2">
      <c r="A148" t="str">
        <v>LA</v>
      </c>
      <c r="B148" s="26">
        <f ca="1"/>
        <v>0.29647046009239697</v>
      </c>
      <c r="C148" s="26">
        <f ca="1"/>
        <v>0.77334595986609844</v>
      </c>
      <c r="D148" s="26">
        <f ca="1"/>
        <v>1.1775594010894137</v>
      </c>
      <c r="E148" s="26">
        <f ca="1"/>
        <v>1.7971118047029375</v>
      </c>
      <c r="F148" s="26">
        <f ca="1"/>
        <v>2.2229876974544305</v>
      </c>
      <c r="G148" s="26">
        <f ca="1"/>
        <v>2.5130761798205672</v>
      </c>
      <c r="H148" s="26">
        <f ca="1"/>
        <v>2.7009975648200593</v>
      </c>
      <c r="I148" s="26">
        <f ca="1"/>
        <v>2.7762319344235276</v>
      </c>
      <c r="J148" s="26">
        <f ca="1"/>
        <v>2.764591699460047</v>
      </c>
      <c r="K148" s="26">
        <f ca="1"/>
        <v>2.5665754489058514</v>
      </c>
      <c r="L148" s="1"/>
      <c r="M148" s="1" t="str">
        <f t="shared" si="22"/>
        <v>$M(2015)/million</v>
      </c>
    </row>
    <row r="149" spans="1:15" ht="14.25" x14ac:dyDescent="0.25">
      <c r="A149" s="44" t="s">
        <v>381</v>
      </c>
      <c r="B149" s="2" t="s">
        <v>387</v>
      </c>
      <c r="C149" s="1"/>
      <c r="D149" s="1"/>
      <c r="E149" s="1"/>
      <c r="F149" s="1"/>
      <c r="G149" s="1"/>
      <c r="H149" s="1"/>
      <c r="I149" s="1"/>
      <c r="J149" s="1"/>
      <c r="K149" s="1"/>
      <c r="L149" s="1"/>
      <c r="M149" s="1"/>
    </row>
    <row r="150" spans="1:15" x14ac:dyDescent="0.2">
      <c r="A150" t="str">
        <f t="array" ref="A150:A157">R_CODE</f>
        <v>EU</v>
      </c>
      <c r="B150" s="29">
        <f t="array" aca="1" ref="B150:K157" ca="1">IF(EQUITY_SWITCH=0,act_per_cap_b,wact_per_cap_b)*POP_B</f>
        <v>412.82372111315527</v>
      </c>
      <c r="C150" s="29">
        <f ca="1"/>
        <v>1487.3752303492683</v>
      </c>
      <c r="D150" s="29">
        <f ca="1"/>
        <v>2478.5460112131336</v>
      </c>
      <c r="E150" s="29">
        <f ca="1"/>
        <v>4234.8249611738702</v>
      </c>
      <c r="F150" s="29">
        <f ca="1"/>
        <v>5758.5477250891972</v>
      </c>
      <c r="G150" s="29">
        <f ca="1"/>
        <v>6909.1101552695254</v>
      </c>
      <c r="H150" s="29">
        <f ca="1"/>
        <v>7793.4378397229457</v>
      </c>
      <c r="I150" s="29">
        <f ca="1"/>
        <v>7124.4793921627133</v>
      </c>
      <c r="J150" s="29">
        <f ca="1"/>
        <v>6439.4699640780291</v>
      </c>
      <c r="K150" s="29">
        <f ca="1"/>
        <v>5764.9756732203241</v>
      </c>
      <c r="L150" s="1"/>
      <c r="M150" s="4" t="str">
        <f t="shared" ref="M150:M158" si="23">CURRENCY_NAME</f>
        <v>$M(2015)</v>
      </c>
    </row>
    <row r="151" spans="1:15" x14ac:dyDescent="0.2">
      <c r="A151" t="str">
        <v>US</v>
      </c>
      <c r="B151" s="26">
        <f ca="1"/>
        <v>206.16511933881748</v>
      </c>
      <c r="C151" s="26">
        <f ca="1"/>
        <v>769.43329206773342</v>
      </c>
      <c r="D151" s="26">
        <f ca="1"/>
        <v>1326.8204795287284</v>
      </c>
      <c r="E151" s="26">
        <f ca="1"/>
        <v>2408.0492529238427</v>
      </c>
      <c r="F151" s="26">
        <f ca="1"/>
        <v>3449.55315397396</v>
      </c>
      <c r="G151" s="26">
        <f ca="1"/>
        <v>4365.3114495461468</v>
      </c>
      <c r="H151" s="26">
        <f ca="1"/>
        <v>5206.6140937738555</v>
      </c>
      <c r="I151" s="26">
        <f ca="1"/>
        <v>5019.0273884097342</v>
      </c>
      <c r="J151" s="26">
        <f ca="1"/>
        <v>4758.0823485693891</v>
      </c>
      <c r="K151" s="26">
        <f ca="1"/>
        <v>4431.1257061035731</v>
      </c>
      <c r="L151" s="1"/>
      <c r="M151" s="4" t="str">
        <f t="shared" si="23"/>
        <v>$M(2015)</v>
      </c>
    </row>
    <row r="152" spans="1:15" x14ac:dyDescent="0.2">
      <c r="A152" t="str">
        <v>OT</v>
      </c>
      <c r="B152" s="26">
        <f ca="1"/>
        <v>200.89164311569877</v>
      </c>
      <c r="C152" s="26">
        <f ca="1"/>
        <v>725.87651168957029</v>
      </c>
      <c r="D152" s="26">
        <f ca="1"/>
        <v>1207.9126141371412</v>
      </c>
      <c r="E152" s="26">
        <f ca="1"/>
        <v>2043.759328160728</v>
      </c>
      <c r="F152" s="26">
        <f ca="1"/>
        <v>2728.905672053033</v>
      </c>
      <c r="G152" s="26">
        <f ca="1"/>
        <v>3202.0820175136428</v>
      </c>
      <c r="H152" s="26">
        <f ca="1"/>
        <v>3519.9200771374208</v>
      </c>
      <c r="I152" s="26">
        <f ca="1"/>
        <v>3127.5538391820187</v>
      </c>
      <c r="J152" s="26">
        <f ca="1"/>
        <v>2741.0913628633757</v>
      </c>
      <c r="K152" s="26">
        <f ca="1"/>
        <v>2373.6597939583962</v>
      </c>
      <c r="L152" s="1"/>
      <c r="M152" s="4" t="str">
        <f t="shared" si="23"/>
        <v>$M(2015)</v>
      </c>
    </row>
    <row r="153" spans="1:15" x14ac:dyDescent="0.2">
      <c r="A153" t="str">
        <v>EE</v>
      </c>
      <c r="B153" s="26">
        <f ca="1"/>
        <v>99.991985489930528</v>
      </c>
      <c r="C153" s="26">
        <f ca="1"/>
        <v>344.0676217029054</v>
      </c>
      <c r="D153" s="26">
        <f ca="1"/>
        <v>546.36732854531181</v>
      </c>
      <c r="E153" s="26">
        <f ca="1"/>
        <v>855.12547559761595</v>
      </c>
      <c r="F153" s="26">
        <f ca="1"/>
        <v>1060.7895363826785</v>
      </c>
      <c r="G153" s="26">
        <f ca="1"/>
        <v>1149.2875552821383</v>
      </c>
      <c r="H153" s="26">
        <f ca="1"/>
        <v>1166.5828034023814</v>
      </c>
      <c r="I153" s="26">
        <f ca="1"/>
        <v>954.31366867017209</v>
      </c>
      <c r="J153" s="26">
        <f ca="1"/>
        <v>766.80516850046274</v>
      </c>
      <c r="K153" s="26">
        <f ca="1"/>
        <v>608.26715454074144</v>
      </c>
      <c r="L153" s="1"/>
      <c r="M153" s="4" t="str">
        <f t="shared" si="23"/>
        <v>$M(2015)</v>
      </c>
    </row>
    <row r="154" spans="1:15" x14ac:dyDescent="0.2">
      <c r="A154" t="str">
        <v>CA</v>
      </c>
      <c r="B154" s="26">
        <f ca="1"/>
        <v>522.07558297940307</v>
      </c>
      <c r="C154" s="26">
        <f ca="1"/>
        <v>1327.7651052837025</v>
      </c>
      <c r="D154" s="26">
        <f ca="1"/>
        <v>1974.7822269758688</v>
      </c>
      <c r="E154" s="26">
        <f ca="1"/>
        <v>2888.1796681719616</v>
      </c>
      <c r="F154" s="26">
        <f ca="1"/>
        <v>3378.9076953278955</v>
      </c>
      <c r="G154" s="26">
        <f ca="1"/>
        <v>3539.1855480055897</v>
      </c>
      <c r="H154" s="26">
        <f ca="1"/>
        <v>3447.5853249565753</v>
      </c>
      <c r="I154" s="26">
        <f ca="1"/>
        <v>3162.9350221328041</v>
      </c>
      <c r="J154" s="26">
        <f ca="1"/>
        <v>2757.4859321746717</v>
      </c>
      <c r="K154" s="26">
        <f ca="1"/>
        <v>2187.3921305701574</v>
      </c>
      <c r="L154" s="1"/>
      <c r="M154" s="4" t="str">
        <f t="shared" si="23"/>
        <v>$M(2015)</v>
      </c>
    </row>
    <row r="155" spans="1:15" x14ac:dyDescent="0.2">
      <c r="A155" t="str">
        <v>IA</v>
      </c>
      <c r="B155" s="26">
        <f ca="1"/>
        <v>1122.1952857611102</v>
      </c>
      <c r="C155" s="26">
        <f ca="1"/>
        <v>2977.812738773704</v>
      </c>
      <c r="D155" s="26">
        <f ca="1"/>
        <v>4590.2748954547997</v>
      </c>
      <c r="E155" s="26">
        <f ca="1"/>
        <v>7140.3206060147522</v>
      </c>
      <c r="F155" s="26">
        <f ca="1"/>
        <v>8842.9449322851997</v>
      </c>
      <c r="G155" s="26">
        <f ca="1"/>
        <v>9775.8003210857369</v>
      </c>
      <c r="H155" s="26">
        <f ca="1"/>
        <v>10040.190531247294</v>
      </c>
      <c r="I155" s="26">
        <f ca="1"/>
        <v>9651.9860215934659</v>
      </c>
      <c r="J155" s="26">
        <f ca="1"/>
        <v>8804.3655023131869</v>
      </c>
      <c r="K155" s="26">
        <f ca="1"/>
        <v>7356.692013693023</v>
      </c>
      <c r="L155" s="1"/>
      <c r="M155" s="4" t="str">
        <f t="shared" si="23"/>
        <v>$M(2015)</v>
      </c>
    </row>
    <row r="156" spans="1:15" x14ac:dyDescent="0.2">
      <c r="A156" t="str">
        <v>AF</v>
      </c>
      <c r="B156" s="26">
        <f ca="1"/>
        <v>512.93517544307258</v>
      </c>
      <c r="C156" s="26">
        <f ca="1"/>
        <v>1440.8514486826859</v>
      </c>
      <c r="D156" s="26">
        <f ca="1"/>
        <v>2331.3320958205572</v>
      </c>
      <c r="E156" s="26">
        <f ca="1"/>
        <v>3932.4774417844292</v>
      </c>
      <c r="F156" s="26">
        <f ca="1"/>
        <v>5196.4685525516015</v>
      </c>
      <c r="G156" s="26">
        <f ca="1"/>
        <v>6070.6267272183541</v>
      </c>
      <c r="H156" s="26">
        <f ca="1"/>
        <v>6580.2527728541527</v>
      </c>
      <c r="I156" s="26">
        <f ca="1"/>
        <v>6686.8964485852584</v>
      </c>
      <c r="J156" s="26">
        <f ca="1"/>
        <v>6461.7634789189697</v>
      </c>
      <c r="K156" s="26">
        <f ca="1"/>
        <v>5726.8050805631101</v>
      </c>
      <c r="L156" s="1"/>
      <c r="M156" s="4" t="str">
        <f t="shared" si="23"/>
        <v>$M(2015)</v>
      </c>
    </row>
    <row r="157" spans="1:15" x14ac:dyDescent="0.2">
      <c r="A157" t="str">
        <v>LA</v>
      </c>
      <c r="B157" s="26">
        <f ca="1"/>
        <v>187.33760843916491</v>
      </c>
      <c r="C157" s="26">
        <f ca="1"/>
        <v>499.95462949913485</v>
      </c>
      <c r="D157" s="26">
        <f ca="1"/>
        <v>772.29703418718748</v>
      </c>
      <c r="E157" s="26">
        <f ca="1"/>
        <v>1190.2855543884091</v>
      </c>
      <c r="F157" s="26">
        <f ca="1"/>
        <v>1448.7577617280613</v>
      </c>
      <c r="G157" s="26">
        <f ca="1"/>
        <v>1574.7450523372543</v>
      </c>
      <c r="H157" s="26">
        <f ca="1"/>
        <v>1600.8920606591087</v>
      </c>
      <c r="I157" s="26">
        <f ca="1"/>
        <v>1534.2915191389993</v>
      </c>
      <c r="J157" s="26">
        <f ca="1"/>
        <v>1397.7554465134049</v>
      </c>
      <c r="K157" s="26">
        <f ca="1"/>
        <v>1158.5662738010715</v>
      </c>
      <c r="L157" s="1"/>
      <c r="M157" s="4" t="str">
        <f t="shared" si="23"/>
        <v>$M(2015)</v>
      </c>
    </row>
    <row r="158" spans="1:15" ht="13.5" thickBot="1" x14ac:dyDescent="0.25">
      <c r="A158" s="2" t="s">
        <v>204</v>
      </c>
      <c r="B158" s="42">
        <f t="shared" ref="B158:K158" ca="1" si="24">SUM(B150:B157)</f>
        <v>3264.4161216803532</v>
      </c>
      <c r="C158" s="42">
        <f t="shared" ca="1" si="24"/>
        <v>9573.1365780487031</v>
      </c>
      <c r="D158" s="42">
        <f t="shared" ca="1" si="24"/>
        <v>15228.332685862728</v>
      </c>
      <c r="E158" s="42">
        <f t="shared" ca="1" si="24"/>
        <v>24693.022288215612</v>
      </c>
      <c r="F158" s="42">
        <f t="shared" ca="1" si="24"/>
        <v>31864.875029391631</v>
      </c>
      <c r="G158" s="42">
        <f t="shared" ca="1" si="24"/>
        <v>36586.148826258388</v>
      </c>
      <c r="H158" s="42">
        <f t="shared" ca="1" si="24"/>
        <v>39355.475503753732</v>
      </c>
      <c r="I158" s="42">
        <f t="shared" ca="1" si="24"/>
        <v>37261.483299875166</v>
      </c>
      <c r="J158" s="42">
        <f t="shared" ca="1" si="24"/>
        <v>34126.819203931489</v>
      </c>
      <c r="K158" s="42">
        <f t="shared" ca="1" si="24"/>
        <v>29607.483826450396</v>
      </c>
      <c r="L158" s="1"/>
      <c r="M158" s="4" t="str">
        <f t="shared" si="23"/>
        <v>$M(2015)</v>
      </c>
    </row>
    <row r="159" spans="1:15" s="2" customFormat="1" ht="15" thickTop="1" x14ac:dyDescent="0.25">
      <c r="A159" s="2" t="s">
        <v>95</v>
      </c>
      <c r="B159" s="2" t="s">
        <v>388</v>
      </c>
    </row>
    <row r="160" spans="1:15" x14ac:dyDescent="0.2">
      <c r="A160" t="str">
        <f t="array" ref="A160:A167">R_CODE</f>
        <v>EU</v>
      </c>
      <c r="B160" s="221">
        <f t="array" aca="1" ref="B160:K167" ca="1">IF(EQUITY_SWITCH=0,act_b*DFC_B,wact_b*DF)</f>
        <v>392.14008255654244</v>
      </c>
      <c r="C160" s="221">
        <f ca="1"/>
        <v>1342.065549628526</v>
      </c>
      <c r="D160" s="221">
        <f ca="1"/>
        <v>2124.3533736781869</v>
      </c>
      <c r="E160" s="221">
        <f ca="1"/>
        <v>3275.053682575473</v>
      </c>
      <c r="F160" s="221">
        <f ca="1"/>
        <v>4018.3625050404626</v>
      </c>
      <c r="G160" s="221">
        <f ca="1"/>
        <v>4350.2222240104411</v>
      </c>
      <c r="H160" s="221">
        <f ca="1"/>
        <v>4427.6326893453797</v>
      </c>
      <c r="I160" s="221">
        <f ca="1"/>
        <v>3652.1518587755627</v>
      </c>
      <c r="J160" s="221">
        <f ca="1"/>
        <v>2978.5095590976798</v>
      </c>
      <c r="K160" s="221">
        <f ca="1"/>
        <v>2406.0216944730332</v>
      </c>
      <c r="L160" s="1"/>
      <c r="M160" s="4" t="str">
        <f t="shared" ref="M160:M168" si="25">CURRENCY_NAME</f>
        <v>$M(2015)</v>
      </c>
      <c r="O160" s="124" t="s">
        <v>1032</v>
      </c>
    </row>
    <row r="161" spans="1:24" x14ac:dyDescent="0.2">
      <c r="A161" t="str">
        <v>US</v>
      </c>
      <c r="B161" s="222">
        <f ca="1"/>
        <v>195.83566249489687</v>
      </c>
      <c r="C161" s="222">
        <f ca="1"/>
        <v>694.26321815167285</v>
      </c>
      <c r="D161" s="222">
        <f ca="1"/>
        <v>1137.2133295893798</v>
      </c>
      <c r="E161" s="222">
        <f ca="1"/>
        <v>1862.2943441386667</v>
      </c>
      <c r="F161" s="222">
        <f ca="1"/>
        <v>2407.126885947328</v>
      </c>
      <c r="G161" s="222">
        <f ca="1"/>
        <v>2748.555813379136</v>
      </c>
      <c r="H161" s="222">
        <f ca="1"/>
        <v>2957.9981564617215</v>
      </c>
      <c r="I161" s="222">
        <f ca="1"/>
        <v>2572.854688300491</v>
      </c>
      <c r="J161" s="222">
        <f ca="1"/>
        <v>2200.8012829075969</v>
      </c>
      <c r="K161" s="222">
        <f ca="1"/>
        <v>1849.3373058531693</v>
      </c>
      <c r="L161" s="1"/>
      <c r="M161" s="4" t="str">
        <f t="shared" si="25"/>
        <v>$M(2015)</v>
      </c>
    </row>
    <row r="162" spans="1:24" x14ac:dyDescent="0.2">
      <c r="A162" t="str">
        <v>OT</v>
      </c>
      <c r="B162" s="222">
        <f ca="1"/>
        <v>190.82640237796934</v>
      </c>
      <c r="C162" s="222">
        <f ca="1"/>
        <v>654.9617337612533</v>
      </c>
      <c r="D162" s="222">
        <f ca="1"/>
        <v>1035.2978017522132</v>
      </c>
      <c r="E162" s="222">
        <f ca="1"/>
        <v>1580.5662749601313</v>
      </c>
      <c r="F162" s="222">
        <f ca="1"/>
        <v>1904.2530783575814</v>
      </c>
      <c r="G162" s="222">
        <f ca="1"/>
        <v>2016.1450668242583</v>
      </c>
      <c r="H162" s="222">
        <f ca="1"/>
        <v>1999.7481878896713</v>
      </c>
      <c r="I162" s="222">
        <f ca="1"/>
        <v>1603.2471902093457</v>
      </c>
      <c r="J162" s="222">
        <f ca="1"/>
        <v>1267.8631738625688</v>
      </c>
      <c r="K162" s="222">
        <f ca="1"/>
        <v>990.65066069430179</v>
      </c>
      <c r="L162" s="1"/>
      <c r="M162" s="4" t="str">
        <f t="shared" si="25"/>
        <v>$M(2015)</v>
      </c>
    </row>
    <row r="163" spans="1:24" x14ac:dyDescent="0.2">
      <c r="A163" t="str">
        <v>EE</v>
      </c>
      <c r="B163" s="222">
        <f ca="1"/>
        <v>94.982103594444908</v>
      </c>
      <c r="C163" s="222">
        <f ca="1"/>
        <v>310.45380641551884</v>
      </c>
      <c r="D163" s="222">
        <f ca="1"/>
        <v>468.28958284888716</v>
      </c>
      <c r="E163" s="222">
        <f ca="1"/>
        <v>661.32174613983784</v>
      </c>
      <c r="F163" s="222">
        <f ca="1"/>
        <v>740.22776266448057</v>
      </c>
      <c r="G163" s="222">
        <f ca="1"/>
        <v>723.63244360111798</v>
      </c>
      <c r="H163" s="222">
        <f ca="1"/>
        <v>662.76273210850161</v>
      </c>
      <c r="I163" s="222">
        <f ca="1"/>
        <v>489.20043796080029</v>
      </c>
      <c r="J163" s="222">
        <f ca="1"/>
        <v>354.67771991869796</v>
      </c>
      <c r="K163" s="222">
        <f ca="1"/>
        <v>253.86125680611755</v>
      </c>
      <c r="L163" s="1"/>
      <c r="M163" s="4" t="str">
        <f t="shared" si="25"/>
        <v>$M(2015)</v>
      </c>
    </row>
    <row r="164" spans="1:24" x14ac:dyDescent="0.2">
      <c r="A164" t="str">
        <v>CA</v>
      </c>
      <c r="B164" s="222">
        <f ca="1"/>
        <v>495.91811647418001</v>
      </c>
      <c r="C164" s="222">
        <f ca="1"/>
        <v>1198.0485955663719</v>
      </c>
      <c r="D164" s="222">
        <f ca="1"/>
        <v>1692.5791440533255</v>
      </c>
      <c r="E164" s="222">
        <f ca="1"/>
        <v>2233.6090735528828</v>
      </c>
      <c r="F164" s="222">
        <f ca="1"/>
        <v>2357.8298972399307</v>
      </c>
      <c r="G164" s="222">
        <f ca="1"/>
        <v>2228.3974751926471</v>
      </c>
      <c r="H164" s="222">
        <f ca="1"/>
        <v>1958.6531384495909</v>
      </c>
      <c r="I164" s="222">
        <f ca="1"/>
        <v>1621.3842983356649</v>
      </c>
      <c r="J164" s="222">
        <f ca="1"/>
        <v>1275.4463106243497</v>
      </c>
      <c r="K164" s="222">
        <f ca="1"/>
        <v>912.91155744487594</v>
      </c>
      <c r="L164" s="1"/>
      <c r="M164" s="4" t="str">
        <f t="shared" si="25"/>
        <v>$M(2015)</v>
      </c>
    </row>
    <row r="165" spans="1:24" x14ac:dyDescent="0.2">
      <c r="A165" t="str">
        <v>IA</v>
      </c>
      <c r="B165" s="222">
        <f ca="1"/>
        <v>1065.9701211362908</v>
      </c>
      <c r="C165" s="222">
        <f ca="1"/>
        <v>2686.8942069276695</v>
      </c>
      <c r="D165" s="222">
        <f ca="1"/>
        <v>3934.309032857876</v>
      </c>
      <c r="E165" s="222">
        <f ca="1"/>
        <v>5522.0542784880472</v>
      </c>
      <c r="F165" s="222">
        <f ca="1"/>
        <v>6170.680533776771</v>
      </c>
      <c r="G165" s="222">
        <f ca="1"/>
        <v>6155.1926164964434</v>
      </c>
      <c r="H165" s="222">
        <f ca="1"/>
        <v>5704.0649733323344</v>
      </c>
      <c r="I165" s="222">
        <f ca="1"/>
        <v>4947.8027444946611</v>
      </c>
      <c r="J165" s="222">
        <f ca="1"/>
        <v>4072.3672843754425</v>
      </c>
      <c r="K165" s="222">
        <f ca="1"/>
        <v>3070.3270209316374</v>
      </c>
      <c r="L165" s="1"/>
      <c r="M165" s="4" t="str">
        <f t="shared" si="25"/>
        <v>$M(2015)</v>
      </c>
    </row>
    <row r="166" spans="1:24" x14ac:dyDescent="0.2">
      <c r="A166" t="str">
        <v>AF</v>
      </c>
      <c r="B166" s="222">
        <f ca="1"/>
        <v>487.23566926346211</v>
      </c>
      <c r="C166" s="222">
        <f ca="1"/>
        <v>1300.0869262528377</v>
      </c>
      <c r="D166" s="222">
        <f ca="1"/>
        <v>1998.1768264598741</v>
      </c>
      <c r="E166" s="222">
        <f ca="1"/>
        <v>3041.2295302498314</v>
      </c>
      <c r="F166" s="222">
        <f ca="1"/>
        <v>3626.1389827887201</v>
      </c>
      <c r="G166" s="222">
        <f ca="1"/>
        <v>3822.2831463000243</v>
      </c>
      <c r="H166" s="222">
        <f ca="1"/>
        <v>3738.3941311168992</v>
      </c>
      <c r="I166" s="222">
        <f ca="1"/>
        <v>3427.8380145229012</v>
      </c>
      <c r="J166" s="222">
        <f ca="1"/>
        <v>2988.8211914882404</v>
      </c>
      <c r="K166" s="222">
        <f ca="1"/>
        <v>2390.091137393536</v>
      </c>
      <c r="L166" s="1"/>
      <c r="M166" s="4" t="str">
        <f t="shared" si="25"/>
        <v>$M(2015)</v>
      </c>
    </row>
    <row r="167" spans="1:24" x14ac:dyDescent="0.2">
      <c r="A167" t="str">
        <v>LA</v>
      </c>
      <c r="B167" s="222">
        <f ca="1"/>
        <v>177.95146325698468</v>
      </c>
      <c r="C167" s="222">
        <f ca="1"/>
        <v>451.11137454569791</v>
      </c>
      <c r="D167" s="222">
        <f ca="1"/>
        <v>661.93316671744833</v>
      </c>
      <c r="E167" s="222">
        <f ca="1"/>
        <v>920.52189262990794</v>
      </c>
      <c r="F167" s="222">
        <f ca="1"/>
        <v>1010.9552176237648</v>
      </c>
      <c r="G167" s="222">
        <f ca="1"/>
        <v>991.51566118875542</v>
      </c>
      <c r="H167" s="222">
        <f ca="1"/>
        <v>909.50388848417867</v>
      </c>
      <c r="I167" s="222">
        <f ca="1"/>
        <v>786.50878402303658</v>
      </c>
      <c r="J167" s="222">
        <f ca="1"/>
        <v>646.51717951092144</v>
      </c>
      <c r="K167" s="222">
        <f ca="1"/>
        <v>483.52946261315975</v>
      </c>
      <c r="L167" s="1"/>
      <c r="M167" s="4" t="str">
        <f t="shared" si="25"/>
        <v>$M(2015)</v>
      </c>
    </row>
    <row r="168" spans="1:24" x14ac:dyDescent="0.2">
      <c r="A168" s="2" t="s">
        <v>204</v>
      </c>
      <c r="B168" s="40">
        <f ca="1">SUM(B160:B167)</f>
        <v>3100.8596211547715</v>
      </c>
      <c r="C168" s="40">
        <f t="shared" ref="C168:K168" ca="1" si="26">SUM(C160:C167)</f>
        <v>8637.8854112495483</v>
      </c>
      <c r="D168" s="40">
        <f t="shared" ca="1" si="26"/>
        <v>13052.15225795719</v>
      </c>
      <c r="E168" s="40">
        <f t="shared" ca="1" si="26"/>
        <v>19096.65082273478</v>
      </c>
      <c r="F168" s="40">
        <f t="shared" ca="1" si="26"/>
        <v>22235.57486343904</v>
      </c>
      <c r="G168" s="40">
        <f t="shared" ca="1" si="26"/>
        <v>23035.944446992824</v>
      </c>
      <c r="H168" s="40">
        <f t="shared" ca="1" si="26"/>
        <v>22358.757897188276</v>
      </c>
      <c r="I168" s="40">
        <f t="shared" ca="1" si="26"/>
        <v>19100.988016622465</v>
      </c>
      <c r="J168" s="40">
        <f t="shared" ca="1" si="26"/>
        <v>15785.003701785497</v>
      </c>
      <c r="K168" s="40">
        <f t="shared" ca="1" si="26"/>
        <v>12356.730096209831</v>
      </c>
      <c r="L168" s="1"/>
      <c r="M168" s="4" t="str">
        <f t="shared" si="25"/>
        <v>$M(2015)</v>
      </c>
    </row>
    <row r="169" spans="1:24" s="2" customFormat="1" ht="14.25" x14ac:dyDescent="0.25">
      <c r="A169" s="2" t="s">
        <v>96</v>
      </c>
      <c r="B169" s="2" t="s">
        <v>389</v>
      </c>
      <c r="L169" s="2" t="s">
        <v>110</v>
      </c>
      <c r="O169">
        <f t="array" ref="O169:X169">Y</f>
        <v>2020</v>
      </c>
      <c r="P169">
        <v>2025</v>
      </c>
      <c r="Q169">
        <v>2030</v>
      </c>
      <c r="R169">
        <v>2040</v>
      </c>
      <c r="S169">
        <v>2050</v>
      </c>
      <c r="T169">
        <v>2060</v>
      </c>
      <c r="U169">
        <v>2070</v>
      </c>
      <c r="V169">
        <v>2080</v>
      </c>
      <c r="W169">
        <v>2090</v>
      </c>
      <c r="X169">
        <v>2100</v>
      </c>
    </row>
    <row r="170" spans="1:24" s="4" customFormat="1" x14ac:dyDescent="0.2">
      <c r="A170" t="str">
        <f t="array" ref="A170:A177">R_CODE</f>
        <v>EU</v>
      </c>
      <c r="B170" s="27">
        <f t="array" aca="1" ref="B170:K177" ca="1">wacdt_b*YAGG</f>
        <v>2941.0506191740683</v>
      </c>
      <c r="C170" s="27">
        <f ca="1"/>
        <v>6710.3277481426303</v>
      </c>
      <c r="D170" s="27">
        <f ca="1"/>
        <v>15932.650302586402</v>
      </c>
      <c r="E170" s="27">
        <f ca="1"/>
        <v>32750.536825754731</v>
      </c>
      <c r="F170" s="27">
        <f ca="1"/>
        <v>40183.625050404626</v>
      </c>
      <c r="G170" s="27">
        <f ca="1"/>
        <v>43502.222240104413</v>
      </c>
      <c r="H170" s="27">
        <f ca="1"/>
        <v>44276.326893453799</v>
      </c>
      <c r="I170" s="27">
        <f ca="1"/>
        <v>36521.518587755629</v>
      </c>
      <c r="J170" s="27">
        <f ca="1"/>
        <v>29785.095590976798</v>
      </c>
      <c r="K170" s="27">
        <f ca="1"/>
        <v>12030.108472365166</v>
      </c>
      <c r="L170" s="41">
        <f ca="1">_xll.RiskOutput(,L169,1)+SUM(B170:K170)</f>
        <v>264633.46233071829</v>
      </c>
      <c r="M170" s="4" t="str">
        <f t="shared" ref="M170:M179" si="27">CURRENCY_NAME</f>
        <v>$M(2015)</v>
      </c>
      <c r="O170" s="321">
        <f ca="1">_xll.RiskOutput(,"Adaptive B",1)+B170</f>
        <v>2941.0506191740683</v>
      </c>
      <c r="P170" s="321">
        <f ca="1">_xll.RiskOutput(,"Adaptive B",2)+C170</f>
        <v>6710.3277481426303</v>
      </c>
      <c r="Q170" s="321">
        <f ca="1">_xll.RiskOutput(,"Adaptive B",3)+D170</f>
        <v>15932.650302586402</v>
      </c>
      <c r="R170" s="321">
        <f ca="1">_xll.RiskOutput(,"Adaptive B",4)+E170</f>
        <v>32750.536825754731</v>
      </c>
      <c r="S170" s="321">
        <f ca="1">_xll.RiskOutput(,"Adaptive B",5)+F170</f>
        <v>40183.625050404626</v>
      </c>
      <c r="T170" s="321">
        <f ca="1">_xll.RiskOutput(,"Adaptive B",6)+G170</f>
        <v>43502.222240104413</v>
      </c>
      <c r="U170" s="321">
        <f ca="1">_xll.RiskOutput(,"Adaptive B",7)+H170</f>
        <v>44276.326893453799</v>
      </c>
      <c r="V170" s="321">
        <f ca="1">_xll.RiskOutput(,"Adaptive B",8)+I170</f>
        <v>36521.518587755629</v>
      </c>
      <c r="W170" s="321">
        <f ca="1">_xll.RiskOutput(,"Adaptive B",9)+J170</f>
        <v>29785.095590976798</v>
      </c>
      <c r="X170" s="321">
        <f ca="1">_xll.RiskOutput(,"Adaptive B",10)+K170</f>
        <v>12030.108472365166</v>
      </c>
    </row>
    <row r="171" spans="1:24" s="4" customFormat="1" x14ac:dyDescent="0.2">
      <c r="A171" t="str">
        <v>US</v>
      </c>
      <c r="B171" s="28">
        <f ca="1"/>
        <v>1468.7674687117265</v>
      </c>
      <c r="C171" s="28">
        <f ca="1"/>
        <v>3471.3160907583642</v>
      </c>
      <c r="D171" s="28">
        <f ca="1"/>
        <v>8529.0999719203483</v>
      </c>
      <c r="E171" s="28">
        <f ca="1"/>
        <v>18622.943441386666</v>
      </c>
      <c r="F171" s="28">
        <f ca="1"/>
        <v>24071.268859473279</v>
      </c>
      <c r="G171" s="28">
        <f ca="1"/>
        <v>27485.558133791361</v>
      </c>
      <c r="H171" s="28">
        <f ca="1"/>
        <v>29579.981564617214</v>
      </c>
      <c r="I171" s="28">
        <f ca="1"/>
        <v>25728.54688300491</v>
      </c>
      <c r="J171" s="28">
        <f ca="1"/>
        <v>22008.012829075968</v>
      </c>
      <c r="K171" s="28">
        <f ca="1"/>
        <v>9246.6865292658458</v>
      </c>
      <c r="L171" s="40">
        <f ca="1">_xll.RiskOutput(,L169,2)+SUM(B171:K171)</f>
        <v>170212.18177200569</v>
      </c>
      <c r="M171" s="4" t="str">
        <f t="shared" si="27"/>
        <v>$M(2015)</v>
      </c>
      <c r="O171" s="321">
        <f ca="1">_xll.RiskOutput(,"Adaptive B",11)+B171</f>
        <v>1468.7674687117265</v>
      </c>
      <c r="P171" s="321">
        <f ca="1">_xll.RiskOutput(,"Adaptive B",12)+C171</f>
        <v>3471.3160907583642</v>
      </c>
      <c r="Q171" s="321">
        <f ca="1">_xll.RiskOutput(,"Adaptive B",13)+D171</f>
        <v>8529.0999719203483</v>
      </c>
      <c r="R171" s="321">
        <f ca="1">_xll.RiskOutput(,"Adaptive B",14)+E171</f>
        <v>18622.943441386666</v>
      </c>
      <c r="S171" s="321">
        <f ca="1">_xll.RiskOutput(,"Adaptive B",15)+F171</f>
        <v>24071.268859473279</v>
      </c>
      <c r="T171" s="321">
        <f ca="1">_xll.RiskOutput(,"Adaptive B",16)+G171</f>
        <v>27485.558133791361</v>
      </c>
      <c r="U171" s="321">
        <f ca="1">_xll.RiskOutput(,"Adaptive B",17)+H171</f>
        <v>29579.981564617214</v>
      </c>
      <c r="V171" s="321">
        <f ca="1">_xll.RiskOutput(,"Adaptive B",18)+I171</f>
        <v>25728.54688300491</v>
      </c>
      <c r="W171" s="321">
        <f ca="1">_xll.RiskOutput(,"Adaptive B",19)+J171</f>
        <v>22008.012829075968</v>
      </c>
      <c r="X171" s="321">
        <f ca="1">_xll.RiskOutput(,"Adaptive B",20)+K171</f>
        <v>9246.6865292658458</v>
      </c>
    </row>
    <row r="172" spans="1:24" s="4" customFormat="1" x14ac:dyDescent="0.2">
      <c r="A172" t="str">
        <v>OT</v>
      </c>
      <c r="B172" s="28">
        <f ca="1"/>
        <v>1431.1980178347701</v>
      </c>
      <c r="C172" s="28">
        <f ca="1"/>
        <v>3274.8086688062667</v>
      </c>
      <c r="D172" s="28">
        <f ca="1"/>
        <v>7764.7335131415994</v>
      </c>
      <c r="E172" s="28">
        <f ca="1"/>
        <v>15805.662749601313</v>
      </c>
      <c r="F172" s="28">
        <f ca="1"/>
        <v>19042.530783575814</v>
      </c>
      <c r="G172" s="28">
        <f ca="1"/>
        <v>20161.450668242582</v>
      </c>
      <c r="H172" s="28">
        <f ca="1"/>
        <v>19997.481878896713</v>
      </c>
      <c r="I172" s="28">
        <f ca="1"/>
        <v>16032.471902093457</v>
      </c>
      <c r="J172" s="28">
        <f ca="1"/>
        <v>12678.631738625689</v>
      </c>
      <c r="K172" s="28">
        <f ca="1"/>
        <v>4953.2533034715088</v>
      </c>
      <c r="L172" s="40">
        <f ca="1">_xll.RiskOutput(,L169,3)+SUM(B172:K172)</f>
        <v>121142.22322428972</v>
      </c>
      <c r="M172" s="4" t="str">
        <f t="shared" si="27"/>
        <v>$M(2015)</v>
      </c>
      <c r="O172" s="321">
        <f ca="1">_xll.RiskOutput(,"Adaptive B",21)+B172</f>
        <v>1431.1980178347701</v>
      </c>
      <c r="P172" s="321">
        <f ca="1">_xll.RiskOutput(,"Adaptive B",22)+C172</f>
        <v>3274.8086688062667</v>
      </c>
      <c r="Q172" s="321">
        <f ca="1">_xll.RiskOutput(,"Adaptive B",23)+D172</f>
        <v>7764.7335131415994</v>
      </c>
      <c r="R172" s="321">
        <f ca="1">_xll.RiskOutput(,"Adaptive B",24)+E172</f>
        <v>15805.662749601313</v>
      </c>
      <c r="S172" s="321">
        <f ca="1">_xll.RiskOutput(,"Adaptive B",25)+F172</f>
        <v>19042.530783575814</v>
      </c>
      <c r="T172" s="321">
        <f ca="1">_xll.RiskOutput(,"Adaptive B",26)+G172</f>
        <v>20161.450668242582</v>
      </c>
      <c r="U172" s="321">
        <f ca="1">_xll.RiskOutput(,"Adaptive B",27)+H172</f>
        <v>19997.481878896713</v>
      </c>
      <c r="V172" s="321">
        <f ca="1">_xll.RiskOutput(,"Adaptive B",28)+I172</f>
        <v>16032.471902093457</v>
      </c>
      <c r="W172" s="321">
        <f ca="1">_xll.RiskOutput(,"Adaptive B",29)+J172</f>
        <v>12678.631738625689</v>
      </c>
      <c r="X172" s="321">
        <f ca="1">_xll.RiskOutput(,"Adaptive B",30)+K172</f>
        <v>4953.2533034715088</v>
      </c>
    </row>
    <row r="173" spans="1:24" s="4" customFormat="1" x14ac:dyDescent="0.2">
      <c r="A173" t="str">
        <v>EE</v>
      </c>
      <c r="B173" s="28">
        <f ca="1"/>
        <v>712.36577695833682</v>
      </c>
      <c r="C173" s="28">
        <f ca="1"/>
        <v>1552.2690320775941</v>
      </c>
      <c r="D173" s="28">
        <f ca="1"/>
        <v>3512.1718713666537</v>
      </c>
      <c r="E173" s="28">
        <f ca="1"/>
        <v>6613.2174613983789</v>
      </c>
      <c r="F173" s="28">
        <f ca="1"/>
        <v>7402.2776266448054</v>
      </c>
      <c r="G173" s="28">
        <f ca="1"/>
        <v>7236.3244360111803</v>
      </c>
      <c r="H173" s="28">
        <f ca="1"/>
        <v>6627.6273210850159</v>
      </c>
      <c r="I173" s="28">
        <f ca="1"/>
        <v>4892.0043796080026</v>
      </c>
      <c r="J173" s="28">
        <f ca="1"/>
        <v>3546.7771991869795</v>
      </c>
      <c r="K173" s="28">
        <f ca="1"/>
        <v>1269.3062840305877</v>
      </c>
      <c r="L173" s="40">
        <f ca="1">_xll.RiskOutput(,L169,4)+SUM(B173:K173)</f>
        <v>43364.341388367531</v>
      </c>
      <c r="M173" s="4" t="str">
        <f t="shared" si="27"/>
        <v>$M(2015)</v>
      </c>
      <c r="O173" s="321">
        <f ca="1">_xll.RiskOutput(,"Adaptive B",31)+B173</f>
        <v>712.36577695833682</v>
      </c>
      <c r="P173" s="321">
        <f ca="1">_xll.RiskOutput(,"Adaptive B",32)+C173</f>
        <v>1552.2690320775941</v>
      </c>
      <c r="Q173" s="321">
        <f ca="1">_xll.RiskOutput(,"Adaptive B",33)+D173</f>
        <v>3512.1718713666537</v>
      </c>
      <c r="R173" s="321">
        <f ca="1">_xll.RiskOutput(,"Adaptive B",34)+E173</f>
        <v>6613.2174613983789</v>
      </c>
      <c r="S173" s="321">
        <f ca="1">_xll.RiskOutput(,"Adaptive B",35)+F173</f>
        <v>7402.2776266448054</v>
      </c>
      <c r="T173" s="321">
        <f ca="1">_xll.RiskOutput(,"Adaptive B",36)+G173</f>
        <v>7236.3244360111803</v>
      </c>
      <c r="U173" s="321">
        <f ca="1">_xll.RiskOutput(,"Adaptive B",37)+H173</f>
        <v>6627.6273210850159</v>
      </c>
      <c r="V173" s="321">
        <f ca="1">_xll.RiskOutput(,"Adaptive B",38)+I173</f>
        <v>4892.0043796080026</v>
      </c>
      <c r="W173" s="321">
        <f ca="1">_xll.RiskOutput(,"Adaptive B",39)+J173</f>
        <v>3546.7771991869795</v>
      </c>
      <c r="X173" s="321">
        <f ca="1">_xll.RiskOutput(,"Adaptive B",40)+K173</f>
        <v>1269.3062840305877</v>
      </c>
    </row>
    <row r="174" spans="1:24" s="4" customFormat="1" x14ac:dyDescent="0.2">
      <c r="A174" t="str">
        <v>CA</v>
      </c>
      <c r="B174" s="28">
        <f ca="1"/>
        <v>3719.3858735563499</v>
      </c>
      <c r="C174" s="28">
        <f ca="1"/>
        <v>5990.2429778318592</v>
      </c>
      <c r="D174" s="28">
        <f ca="1"/>
        <v>12694.343580399942</v>
      </c>
      <c r="E174" s="28">
        <f ca="1"/>
        <v>22336.090735528829</v>
      </c>
      <c r="F174" s="28">
        <f ca="1"/>
        <v>23578.298972399309</v>
      </c>
      <c r="G174" s="28">
        <f ca="1"/>
        <v>22283.974751926471</v>
      </c>
      <c r="H174" s="28">
        <f ca="1"/>
        <v>19586.531384495909</v>
      </c>
      <c r="I174" s="28">
        <f ca="1"/>
        <v>16213.842983356648</v>
      </c>
      <c r="J174" s="28">
        <f ca="1"/>
        <v>12754.463106243496</v>
      </c>
      <c r="K174" s="28">
        <f ca="1"/>
        <v>4564.5577872243794</v>
      </c>
      <c r="L174" s="40">
        <f ca="1">_xll.RiskOutput(,L169,5)+SUM(B174:K174)</f>
        <v>143721.7321529632</v>
      </c>
      <c r="M174" s="4" t="str">
        <f t="shared" si="27"/>
        <v>$M(2015)</v>
      </c>
      <c r="O174" s="321">
        <f ca="1">_xll.RiskOutput(,"Adaptive B",41)+B174</f>
        <v>3719.3858735563499</v>
      </c>
      <c r="P174" s="321">
        <f ca="1">_xll.RiskOutput(,"Adaptive B",42)+C174</f>
        <v>5990.2429778318592</v>
      </c>
      <c r="Q174" s="321">
        <f ca="1">_xll.RiskOutput(,"Adaptive B",43)+D174</f>
        <v>12694.343580399942</v>
      </c>
      <c r="R174" s="321">
        <f ca="1">_xll.RiskOutput(,"Adaptive B",44)+E174</f>
        <v>22336.090735528829</v>
      </c>
      <c r="S174" s="321">
        <f ca="1">_xll.RiskOutput(,"Adaptive B",45)+F174</f>
        <v>23578.298972399309</v>
      </c>
      <c r="T174" s="321">
        <f ca="1">_xll.RiskOutput(,"Adaptive B",46)+G174</f>
        <v>22283.974751926471</v>
      </c>
      <c r="U174" s="321">
        <f ca="1">_xll.RiskOutput(,"Adaptive B",47)+H174</f>
        <v>19586.531384495909</v>
      </c>
      <c r="V174" s="321">
        <f ca="1">_xll.RiskOutput(,"Adaptive B",48)+I174</f>
        <v>16213.842983356648</v>
      </c>
      <c r="W174" s="321">
        <f ca="1">_xll.RiskOutput(,"Adaptive B",49)+J174</f>
        <v>12754.463106243496</v>
      </c>
      <c r="X174" s="321">
        <f ca="1">_xll.RiskOutput(,"Adaptive B",50)+K174</f>
        <v>4564.5577872243794</v>
      </c>
    </row>
    <row r="175" spans="1:24" s="4" customFormat="1" x14ac:dyDescent="0.2">
      <c r="A175" t="str">
        <v>IA</v>
      </c>
      <c r="B175" s="28">
        <f ca="1"/>
        <v>7994.7759085221805</v>
      </c>
      <c r="C175" s="28">
        <f ca="1"/>
        <v>13434.471034638347</v>
      </c>
      <c r="D175" s="28">
        <f ca="1"/>
        <v>29507.31774643407</v>
      </c>
      <c r="E175" s="28">
        <f ca="1"/>
        <v>55220.542784880468</v>
      </c>
      <c r="F175" s="28">
        <f ca="1"/>
        <v>61706.805337767713</v>
      </c>
      <c r="G175" s="28">
        <f ca="1"/>
        <v>61551.926164964432</v>
      </c>
      <c r="H175" s="28">
        <f ca="1"/>
        <v>57040.649733323342</v>
      </c>
      <c r="I175" s="28">
        <f ca="1"/>
        <v>49478.027444946609</v>
      </c>
      <c r="J175" s="28">
        <f ca="1"/>
        <v>40723.672843754423</v>
      </c>
      <c r="K175" s="28">
        <f ca="1"/>
        <v>15351.635104658188</v>
      </c>
      <c r="L175" s="40">
        <f ca="1">_xll.RiskOutput(,L169,6)+SUM(B175:K175)</f>
        <v>392009.82410388975</v>
      </c>
      <c r="M175" s="4" t="str">
        <f t="shared" si="27"/>
        <v>$M(2015)</v>
      </c>
      <c r="O175" s="321">
        <f ca="1">_xll.RiskOutput(,"Adaptive B",51)+B175</f>
        <v>7994.7759085221805</v>
      </c>
      <c r="P175" s="321">
        <f ca="1">_xll.RiskOutput(,"Adaptive B",52)+C175</f>
        <v>13434.471034638347</v>
      </c>
      <c r="Q175" s="321">
        <f ca="1">_xll.RiskOutput(,"Adaptive B",53)+D175</f>
        <v>29507.31774643407</v>
      </c>
      <c r="R175" s="321">
        <f ca="1">_xll.RiskOutput(,"Adaptive B",54)+E175</f>
        <v>55220.542784880468</v>
      </c>
      <c r="S175" s="321">
        <f ca="1">_xll.RiskOutput(,"Adaptive B",55)+F175</f>
        <v>61706.805337767713</v>
      </c>
      <c r="T175" s="321">
        <f ca="1">_xll.RiskOutput(,"Adaptive B",56)+G175</f>
        <v>61551.926164964432</v>
      </c>
      <c r="U175" s="321">
        <f ca="1">_xll.RiskOutput(,"Adaptive B",57)+H175</f>
        <v>57040.649733323342</v>
      </c>
      <c r="V175" s="321">
        <f ca="1">_xll.RiskOutput(,"Adaptive B",58)+I175</f>
        <v>49478.027444946609</v>
      </c>
      <c r="W175" s="321">
        <f ca="1">_xll.RiskOutput(,"Adaptive B",59)+J175</f>
        <v>40723.672843754423</v>
      </c>
      <c r="X175" s="321">
        <f ca="1">_xll.RiskOutput(,"Adaptive B",60)+K175</f>
        <v>15351.635104658188</v>
      </c>
    </row>
    <row r="176" spans="1:24" s="4" customFormat="1" x14ac:dyDescent="0.2">
      <c r="A176" t="str">
        <v>AF</v>
      </c>
      <c r="B176" s="28">
        <f ca="1"/>
        <v>3654.2675194759659</v>
      </c>
      <c r="C176" s="28">
        <f ca="1"/>
        <v>6500.4346312641883</v>
      </c>
      <c r="D176" s="28">
        <f ca="1"/>
        <v>14986.326198449056</v>
      </c>
      <c r="E176" s="28">
        <f ca="1"/>
        <v>30412.295302498314</v>
      </c>
      <c r="F176" s="28">
        <f ca="1"/>
        <v>36261.3898278872</v>
      </c>
      <c r="G176" s="28">
        <f ca="1"/>
        <v>38222.831463000242</v>
      </c>
      <c r="H176" s="28">
        <f ca="1"/>
        <v>37383.941311168994</v>
      </c>
      <c r="I176" s="28">
        <f ca="1"/>
        <v>34278.380145229014</v>
      </c>
      <c r="J176" s="28">
        <f ca="1"/>
        <v>29888.211914882406</v>
      </c>
      <c r="K176" s="28">
        <f ca="1"/>
        <v>11950.45568696768</v>
      </c>
      <c r="L176" s="40">
        <f ca="1">_xll.RiskOutput(,L169,7)+SUM(B176:K176)</f>
        <v>243538.53400082307</v>
      </c>
      <c r="M176" s="4" t="str">
        <f t="shared" si="27"/>
        <v>$M(2015)</v>
      </c>
      <c r="O176" s="321">
        <f ca="1">_xll.RiskOutput(,"Adaptive B",61)+B176</f>
        <v>3654.2675194759659</v>
      </c>
      <c r="P176" s="321">
        <f ca="1">_xll.RiskOutput(,"Adaptive B",62)+C176</f>
        <v>6500.4346312641883</v>
      </c>
      <c r="Q176" s="321">
        <f ca="1">_xll.RiskOutput(,"Adaptive B",63)+D176</f>
        <v>14986.326198449056</v>
      </c>
      <c r="R176" s="321">
        <f ca="1">_xll.RiskOutput(,"Adaptive B",64)+E176</f>
        <v>30412.295302498314</v>
      </c>
      <c r="S176" s="321">
        <f ca="1">_xll.RiskOutput(,"Adaptive B",65)+F176</f>
        <v>36261.3898278872</v>
      </c>
      <c r="T176" s="321">
        <f ca="1">_xll.RiskOutput(,"Adaptive B",66)+G176</f>
        <v>38222.831463000242</v>
      </c>
      <c r="U176" s="321">
        <f ca="1">_xll.RiskOutput(,"Adaptive B",67)+H176</f>
        <v>37383.941311168994</v>
      </c>
      <c r="V176" s="321">
        <f ca="1">_xll.RiskOutput(,"Adaptive B",68)+I176</f>
        <v>34278.380145229014</v>
      </c>
      <c r="W176" s="321">
        <f ca="1">_xll.RiskOutput(,"Adaptive B",69)+J176</f>
        <v>29888.211914882406</v>
      </c>
      <c r="X176" s="321">
        <f ca="1">_xll.RiskOutput(,"Adaptive B",70)+K176</f>
        <v>11950.45568696768</v>
      </c>
    </row>
    <row r="177" spans="1:24" s="4" customFormat="1" x14ac:dyDescent="0.2">
      <c r="A177" t="str">
        <v>LA</v>
      </c>
      <c r="B177" s="28">
        <f ca="1"/>
        <v>1334.635974427385</v>
      </c>
      <c r="C177" s="28">
        <f ca="1"/>
        <v>2255.5568727284895</v>
      </c>
      <c r="D177" s="28">
        <f ca="1"/>
        <v>4964.4987503808625</v>
      </c>
      <c r="E177" s="28">
        <f ca="1"/>
        <v>9205.2189262990796</v>
      </c>
      <c r="F177" s="28">
        <f ca="1"/>
        <v>10109.552176237648</v>
      </c>
      <c r="G177" s="28">
        <f ca="1"/>
        <v>9915.1566118875544</v>
      </c>
      <c r="H177" s="28">
        <f ca="1"/>
        <v>9095.0388848417861</v>
      </c>
      <c r="I177" s="28">
        <f ca="1"/>
        <v>7865.0878402303661</v>
      </c>
      <c r="J177" s="28">
        <f ca="1"/>
        <v>6465.1717951092141</v>
      </c>
      <c r="K177" s="28">
        <f ca="1"/>
        <v>2417.6473130657987</v>
      </c>
      <c r="L177" s="40">
        <f ca="1">_xll.RiskOutput(,L169,8)+SUM(B177:K177)</f>
        <v>63627.56514520818</v>
      </c>
      <c r="M177" s="4" t="str">
        <f t="shared" si="27"/>
        <v>$M(2015)</v>
      </c>
      <c r="O177" s="321">
        <f ca="1">_xll.RiskOutput(,"Adaptive B",71)+B177</f>
        <v>1334.635974427385</v>
      </c>
      <c r="P177" s="321">
        <f ca="1">_xll.RiskOutput(,"Adaptive B",72)+C177</f>
        <v>2255.5568727284895</v>
      </c>
      <c r="Q177" s="321">
        <f ca="1">_xll.RiskOutput(,"Adaptive B",73)+D177</f>
        <v>4964.4987503808625</v>
      </c>
      <c r="R177" s="321">
        <f ca="1">_xll.RiskOutput(,"Adaptive B",74)+E177</f>
        <v>9205.2189262990796</v>
      </c>
      <c r="S177" s="321">
        <f ca="1">_xll.RiskOutput(,"Adaptive B",75)+F177</f>
        <v>10109.552176237648</v>
      </c>
      <c r="T177" s="321">
        <f ca="1">_xll.RiskOutput(,"Adaptive B",76)+G177</f>
        <v>9915.1566118875544</v>
      </c>
      <c r="U177" s="321">
        <f ca="1">_xll.RiskOutput(,"Adaptive B",77)+H177</f>
        <v>9095.0388848417861</v>
      </c>
      <c r="V177" s="321">
        <f ca="1">_xll.RiskOutput(,"Adaptive B",78)+I177</f>
        <v>7865.0878402303661</v>
      </c>
      <c r="W177" s="321">
        <f ca="1">_xll.RiskOutput(,"Adaptive B",79)+J177</f>
        <v>6465.1717951092141</v>
      </c>
      <c r="X177" s="321">
        <f ca="1">_xll.RiskOutput(,"Adaptive B",80)+K177</f>
        <v>2417.6473130657987</v>
      </c>
    </row>
    <row r="178" spans="1:24" s="2" customFormat="1" x14ac:dyDescent="0.2">
      <c r="A178" s="2" t="s">
        <v>204</v>
      </c>
      <c r="B178" s="40">
        <f ca="1">_xll.RiskOutput(,A178,1)+SUM(B170:B177)</f>
        <v>23256.447158660783</v>
      </c>
      <c r="C178" s="40">
        <f ca="1">_xll.RiskOutput(,A178,2)+SUM(C170:C177)</f>
        <v>43189.42705624774</v>
      </c>
      <c r="D178" s="40">
        <f ca="1">_xll.RiskOutput(,A178,3)+SUM(D170:D177)</f>
        <v>97891.141934678933</v>
      </c>
      <c r="E178" s="40">
        <f ca="1">_xll.RiskOutput(,A178,4)+SUM(E170:E177)</f>
        <v>190966.50822734775</v>
      </c>
      <c r="F178" s="40">
        <f ca="1">_xll.RiskOutput(,A178,5)+SUM(F170:F177)</f>
        <v>222355.74863439042</v>
      </c>
      <c r="G178" s="40">
        <f ca="1">_xll.RiskOutput(,A178,6)+SUM(G170:G177)</f>
        <v>230359.44446992825</v>
      </c>
      <c r="H178" s="40">
        <f ca="1">_xll.RiskOutput(,A178,7)+SUM(H170:H177)</f>
        <v>223587.57897188276</v>
      </c>
      <c r="I178" s="40">
        <f ca="1">_xll.RiskOutput(,A178,8)+SUM(I170:I177)</f>
        <v>191009.88016622464</v>
      </c>
      <c r="J178" s="40">
        <f ca="1">_xll.RiskOutput(,A178,9)+SUM(J170:J177)</f>
        <v>157850.03701785498</v>
      </c>
      <c r="K178" s="40">
        <f ca="1">_xll.RiskOutput(,A178,10)+SUM(K170:K177)</f>
        <v>61783.650481049153</v>
      </c>
      <c r="L178" s="40">
        <f ca="1">_xll.RiskOutput(,A178,11)+SUM(B178:K178)</f>
        <v>1442249.8641182657</v>
      </c>
      <c r="M178" s="4" t="str">
        <f t="shared" si="27"/>
        <v>$M(2015)</v>
      </c>
    </row>
    <row r="179" spans="1:24" ht="13.5" thickBot="1" x14ac:dyDescent="0.25">
      <c r="A179" s="2" t="s">
        <v>107</v>
      </c>
      <c r="L179" s="42">
        <f ca="1">SUM(L170:L177)</f>
        <v>1442249.8641182655</v>
      </c>
      <c r="M179" s="4" t="str">
        <f t="shared" si="27"/>
        <v>$M(2015)</v>
      </c>
    </row>
    <row r="180" spans="1:24" ht="13.5" thickTop="1" x14ac:dyDescent="0.2"/>
  </sheetData>
  <phoneticPr fontId="21" type="noConversion"/>
  <conditionalFormatting sqref="L170:L177 O170:X177 B178:L178">
    <cfRule type="expression" dxfId="5" priority="1" stopIfTrue="1">
      <formula>RiskIsOutput</formula>
    </cfRule>
  </conditionalFormatting>
  <pageMargins left="0.75" right="0.75" top="1" bottom="1" header="0.5" footer="0.5"/>
  <pageSetup paperSize="9" orientation="portrait" horizontalDpi="360" verticalDpi="360"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N180"/>
  <sheetViews>
    <sheetView topLeftCell="A157" workbookViewId="0">
      <selection activeCell="L170" sqref="L170:L177"/>
    </sheetView>
  </sheetViews>
  <sheetFormatPr defaultRowHeight="12.75" x14ac:dyDescent="0.2"/>
  <cols>
    <col min="1" max="1" width="25.5703125" bestFit="1" customWidth="1"/>
    <col min="2" max="2" width="9.42578125" bestFit="1" customWidth="1"/>
    <col min="3" max="4" width="9.140625" bestFit="1" customWidth="1"/>
    <col min="5" max="5" width="9.42578125" bestFit="1" customWidth="1"/>
    <col min="6" max="13" width="9" bestFit="1" customWidth="1"/>
  </cols>
  <sheetData>
    <row r="1" spans="1:13" x14ac:dyDescent="0.2">
      <c r="A1" s="2" t="str">
        <f>MODEL_NAME</f>
        <v>PAGE-ICE Nonlinear Arctic Feedbacks</v>
      </c>
      <c r="B1" t="s">
        <v>37</v>
      </c>
      <c r="C1" s="51" t="str">
        <f>VERSION</f>
        <v>6.22</v>
      </c>
    </row>
    <row r="2" spans="1:13" x14ac:dyDescent="0.2">
      <c r="A2" s="2" t="s">
        <v>88</v>
      </c>
      <c r="B2" s="3" t="s">
        <v>366</v>
      </c>
      <c r="C2" s="3" t="s">
        <v>366</v>
      </c>
      <c r="D2" s="3" t="str">
        <f>I_1_NAME</f>
        <v>Economic</v>
      </c>
      <c r="E2" s="3" t="str">
        <f>I_1_NAME</f>
        <v>Economic</v>
      </c>
      <c r="F2" s="3" t="str">
        <f>I_2_NAME</f>
        <v>Non-econ</v>
      </c>
      <c r="G2" s="3" t="str">
        <f>I_2_NAME</f>
        <v>Non-econ</v>
      </c>
    </row>
    <row r="3" spans="1:13" x14ac:dyDescent="0.2">
      <c r="B3" s="3" t="s">
        <v>47</v>
      </c>
      <c r="C3" s="3" t="s">
        <v>367</v>
      </c>
      <c r="D3" s="3" t="s">
        <v>47</v>
      </c>
      <c r="E3" s="3" t="s">
        <v>367</v>
      </c>
      <c r="F3" s="3" t="s">
        <v>47</v>
      </c>
      <c r="G3" s="3" t="s">
        <v>367</v>
      </c>
    </row>
    <row r="4" spans="1:13" ht="15.75" x14ac:dyDescent="0.3">
      <c r="B4" s="3" t="s">
        <v>368</v>
      </c>
      <c r="C4" s="3" t="s">
        <v>369</v>
      </c>
      <c r="D4" s="3" t="s">
        <v>89</v>
      </c>
      <c r="E4" s="3" t="s">
        <v>90</v>
      </c>
      <c r="F4" s="3" t="s">
        <v>91</v>
      </c>
      <c r="G4" s="3" t="s">
        <v>92</v>
      </c>
    </row>
    <row r="5" spans="1:13" x14ac:dyDescent="0.2">
      <c r="A5" t="str">
        <f t="array" ref="A5:A12">R_CODE</f>
        <v>EU</v>
      </c>
      <c r="B5" s="11">
        <f ca="1">'Adaptive costs A'!B5-'Adaptive costs B'!B5</f>
        <v>0</v>
      </c>
      <c r="C5" s="11">
        <f ca="1">'Adaptive costs A'!C5-'Adaptive costs B'!C5</f>
        <v>0</v>
      </c>
      <c r="D5" s="11">
        <f ca="1">'Adaptive costs A'!D5-'Adaptive costs B'!D5</f>
        <v>0</v>
      </c>
      <c r="E5" s="11">
        <f ca="1">'Adaptive costs A'!E5-'Adaptive costs B'!E5</f>
        <v>0</v>
      </c>
      <c r="F5" s="11">
        <f ca="1">'Adaptive costs A'!F5-'Adaptive costs B'!F5</f>
        <v>0</v>
      </c>
      <c r="G5" s="11">
        <f ca="1">'Adaptive costs A'!G5-'Adaptive costs B'!G5</f>
        <v>0</v>
      </c>
    </row>
    <row r="6" spans="1:13" x14ac:dyDescent="0.2">
      <c r="A6" t="str">
        <v>US</v>
      </c>
      <c r="B6" s="13">
        <f ca="1">'Adaptive costs A'!B6-'Adaptive costs B'!B6</f>
        <v>0</v>
      </c>
      <c r="C6" s="13">
        <f ca="1">'Adaptive costs A'!C6-'Adaptive costs B'!C6</f>
        <v>0</v>
      </c>
      <c r="D6" s="13">
        <f ca="1">'Adaptive costs A'!D6-'Adaptive costs B'!D6</f>
        <v>0</v>
      </c>
      <c r="E6" s="13">
        <f ca="1">'Adaptive costs A'!E6-'Adaptive costs B'!E6</f>
        <v>0</v>
      </c>
      <c r="F6" s="13">
        <f ca="1">'Adaptive costs A'!F6-'Adaptive costs B'!F6</f>
        <v>0</v>
      </c>
      <c r="G6" s="13">
        <f ca="1">'Adaptive costs A'!G6-'Adaptive costs B'!G6</f>
        <v>0</v>
      </c>
    </row>
    <row r="7" spans="1:13" x14ac:dyDescent="0.2">
      <c r="A7" t="str">
        <v>OT</v>
      </c>
      <c r="B7" s="13">
        <f ca="1">'Adaptive costs A'!B7-'Adaptive costs B'!B7</f>
        <v>0</v>
      </c>
      <c r="C7" s="13">
        <f ca="1">'Adaptive costs A'!C7-'Adaptive costs B'!C7</f>
        <v>0</v>
      </c>
      <c r="D7" s="13">
        <f ca="1">'Adaptive costs A'!D7-'Adaptive costs B'!D7</f>
        <v>0</v>
      </c>
      <c r="E7" s="13">
        <f ca="1">'Adaptive costs A'!E7-'Adaptive costs B'!E7</f>
        <v>0</v>
      </c>
      <c r="F7" s="13">
        <f ca="1">'Adaptive costs A'!F7-'Adaptive costs B'!F7</f>
        <v>0</v>
      </c>
      <c r="G7" s="13">
        <f ca="1">'Adaptive costs A'!G7-'Adaptive costs B'!G7</f>
        <v>0</v>
      </c>
    </row>
    <row r="8" spans="1:13" x14ac:dyDescent="0.2">
      <c r="A8" t="str">
        <v>EE</v>
      </c>
      <c r="B8" s="13">
        <f ca="1">'Adaptive costs A'!B8-'Adaptive costs B'!B8</f>
        <v>0</v>
      </c>
      <c r="C8" s="13">
        <f ca="1">'Adaptive costs A'!C8-'Adaptive costs B'!C8</f>
        <v>0</v>
      </c>
      <c r="D8" s="13">
        <f ca="1">'Adaptive costs A'!D8-'Adaptive costs B'!D8</f>
        <v>0</v>
      </c>
      <c r="E8" s="13">
        <f ca="1">'Adaptive costs A'!E8-'Adaptive costs B'!E8</f>
        <v>0</v>
      </c>
      <c r="F8" s="13">
        <f ca="1">'Adaptive costs A'!F8-'Adaptive costs B'!F8</f>
        <v>0</v>
      </c>
      <c r="G8" s="13">
        <f ca="1">'Adaptive costs A'!G8-'Adaptive costs B'!G8</f>
        <v>0</v>
      </c>
    </row>
    <row r="9" spans="1:13" x14ac:dyDescent="0.2">
      <c r="A9" t="str">
        <v>CA</v>
      </c>
      <c r="B9" s="13">
        <f ca="1">'Adaptive costs A'!B9-'Adaptive costs B'!B9</f>
        <v>0</v>
      </c>
      <c r="C9" s="13">
        <f ca="1">'Adaptive costs A'!C9-'Adaptive costs B'!C9</f>
        <v>0</v>
      </c>
      <c r="D9" s="13">
        <f ca="1">'Adaptive costs A'!D9-'Adaptive costs B'!D9</f>
        <v>0</v>
      </c>
      <c r="E9" s="13">
        <f ca="1">'Adaptive costs A'!E9-'Adaptive costs B'!E9</f>
        <v>0</v>
      </c>
      <c r="F9" s="13">
        <f ca="1">'Adaptive costs A'!F9-'Adaptive costs B'!F9</f>
        <v>0</v>
      </c>
      <c r="G9" s="13">
        <f ca="1">'Adaptive costs A'!G9-'Adaptive costs B'!G9</f>
        <v>0</v>
      </c>
    </row>
    <row r="10" spans="1:13" x14ac:dyDescent="0.2">
      <c r="A10" t="str">
        <v>IA</v>
      </c>
      <c r="B10" s="13">
        <f ca="1">'Adaptive costs A'!B10-'Adaptive costs B'!B10</f>
        <v>0</v>
      </c>
      <c r="C10" s="13">
        <f ca="1">'Adaptive costs A'!C10-'Adaptive costs B'!C10</f>
        <v>0</v>
      </c>
      <c r="D10" s="13">
        <f ca="1">'Adaptive costs A'!D10-'Adaptive costs B'!D10</f>
        <v>0</v>
      </c>
      <c r="E10" s="13">
        <f ca="1">'Adaptive costs A'!E10-'Adaptive costs B'!E10</f>
        <v>0</v>
      </c>
      <c r="F10" s="13">
        <f ca="1">'Adaptive costs A'!F10-'Adaptive costs B'!F10</f>
        <v>0</v>
      </c>
      <c r="G10" s="13">
        <f ca="1">'Adaptive costs A'!G10-'Adaptive costs B'!G10</f>
        <v>0</v>
      </c>
    </row>
    <row r="11" spans="1:13" x14ac:dyDescent="0.2">
      <c r="A11" t="str">
        <v>AF</v>
      </c>
      <c r="B11" s="13">
        <f ca="1">'Adaptive costs A'!B11-'Adaptive costs B'!B11</f>
        <v>0</v>
      </c>
      <c r="C11" s="13">
        <f ca="1">'Adaptive costs A'!C11-'Adaptive costs B'!C11</f>
        <v>0</v>
      </c>
      <c r="D11" s="13">
        <f ca="1">'Adaptive costs A'!D11-'Adaptive costs B'!D11</f>
        <v>0</v>
      </c>
      <c r="E11" s="13">
        <f ca="1">'Adaptive costs A'!E11-'Adaptive costs B'!E11</f>
        <v>0</v>
      </c>
      <c r="F11" s="13">
        <f ca="1">'Adaptive costs A'!F11-'Adaptive costs B'!F11</f>
        <v>0</v>
      </c>
      <c r="G11" s="13">
        <f ca="1">'Adaptive costs A'!G11-'Adaptive costs B'!G11</f>
        <v>0</v>
      </c>
    </row>
    <row r="12" spans="1:13" ht="13.5" thickBot="1" x14ac:dyDescent="0.25">
      <c r="A12" t="str">
        <v>LA</v>
      </c>
      <c r="B12" s="15">
        <f ca="1">'Adaptive costs A'!B12-'Adaptive costs B'!B12</f>
        <v>0</v>
      </c>
      <c r="C12" s="15">
        <f ca="1">'Adaptive costs A'!C12-'Adaptive costs B'!C12</f>
        <v>0</v>
      </c>
      <c r="D12" s="15">
        <f ca="1">'Adaptive costs A'!D12-'Adaptive costs B'!D12</f>
        <v>0</v>
      </c>
      <c r="E12" s="15">
        <f ca="1">'Adaptive costs A'!E12-'Adaptive costs B'!E12</f>
        <v>0</v>
      </c>
      <c r="F12" s="15">
        <f ca="1">'Adaptive costs A'!F12-'Adaptive costs B'!F12</f>
        <v>0</v>
      </c>
      <c r="G12" s="15">
        <f ca="1">'Adaptive costs A'!G12-'Adaptive costs B'!G12</f>
        <v>0</v>
      </c>
    </row>
    <row r="13" spans="1:13" ht="13.5" thickTop="1" x14ac:dyDescent="0.2">
      <c r="B13" t="str">
        <f>'Library data'!$G$115</f>
        <v>%GDP per metre</v>
      </c>
      <c r="C13" t="str">
        <f>'Library data'!$G$116</f>
        <v>%GDP per %reduction per metre</v>
      </c>
      <c r="D13" t="str">
        <f>'Library data'!$G$117</f>
        <v>%GDP per degC</v>
      </c>
      <c r="E13" t="str">
        <f>'Library data'!$G$118</f>
        <v>%GDP per %reduction per degC</v>
      </c>
      <c r="F13" t="str">
        <f>'Library data'!$G$119</f>
        <v>%GDP per degC</v>
      </c>
      <c r="G13" t="str">
        <f>'Library data'!$G$120</f>
        <v>%GDP per %reduction per degC</v>
      </c>
    </row>
    <row r="15" spans="1:13" x14ac:dyDescent="0.2">
      <c r="B15">
        <f t="array" ref="B15:K15">Y</f>
        <v>2020</v>
      </c>
      <c r="C15">
        <v>2025</v>
      </c>
      <c r="D15">
        <v>2030</v>
      </c>
      <c r="E15">
        <v>2040</v>
      </c>
      <c r="F15">
        <v>2050</v>
      </c>
      <c r="G15">
        <v>2060</v>
      </c>
      <c r="H15">
        <v>2070</v>
      </c>
      <c r="I15">
        <v>2080</v>
      </c>
      <c r="J15">
        <v>2090</v>
      </c>
      <c r="K15">
        <v>2100</v>
      </c>
    </row>
    <row r="16" spans="1:13" s="4" customFormat="1" x14ac:dyDescent="0.2">
      <c r="A16" s="4" t="s">
        <v>57</v>
      </c>
      <c r="B16" s="12">
        <f>'Adaptive costs A'!B16-'Adaptive costs B'!B16</f>
        <v>0</v>
      </c>
      <c r="C16" s="12">
        <f>'Adaptive costs A'!C16-'Adaptive costs B'!C16</f>
        <v>0</v>
      </c>
      <c r="D16" s="12">
        <f>'Adaptive costs A'!D16-'Adaptive costs B'!D16</f>
        <v>0</v>
      </c>
      <c r="E16" s="12">
        <f>'Adaptive costs A'!E16-'Adaptive costs B'!E16</f>
        <v>0</v>
      </c>
      <c r="F16" s="12">
        <f>'Adaptive costs A'!F16-'Adaptive costs B'!F16</f>
        <v>0</v>
      </c>
      <c r="G16" s="12">
        <f>'Adaptive costs A'!G16-'Adaptive costs B'!G16</f>
        <v>0</v>
      </c>
      <c r="H16" s="12">
        <f>'Adaptive costs A'!H16-'Adaptive costs B'!H16</f>
        <v>0</v>
      </c>
      <c r="I16" s="12">
        <f>'Adaptive costs A'!I16-'Adaptive costs B'!I16</f>
        <v>0</v>
      </c>
      <c r="J16" s="12">
        <f>'Adaptive costs A'!J16-'Adaptive costs B'!J16</f>
        <v>0</v>
      </c>
      <c r="K16" s="12">
        <f>'Adaptive costs A'!K16-'Adaptive costs B'!K16</f>
        <v>0</v>
      </c>
      <c r="M16" s="4" t="s">
        <v>39</v>
      </c>
    </row>
    <row r="17" spans="1:13" s="4" customFormat="1" x14ac:dyDescent="0.2">
      <c r="A17" s="4" t="s">
        <v>82</v>
      </c>
      <c r="B17" s="14">
        <f>'Adaptive costs A'!B17-'Adaptive costs B'!B17</f>
        <v>0</v>
      </c>
      <c r="C17" s="14">
        <f>'Adaptive costs A'!C17-'Adaptive costs B'!C17</f>
        <v>0</v>
      </c>
      <c r="D17" s="14">
        <f>'Adaptive costs A'!D17-'Adaptive costs B'!D17</f>
        <v>0</v>
      </c>
      <c r="E17" s="14">
        <f>'Adaptive costs A'!E17-'Adaptive costs B'!E17</f>
        <v>0</v>
      </c>
      <c r="F17" s="14">
        <f>'Adaptive costs A'!F17-'Adaptive costs B'!F17</f>
        <v>0</v>
      </c>
      <c r="G17" s="14">
        <f>'Adaptive costs A'!G17-'Adaptive costs B'!G17</f>
        <v>0</v>
      </c>
      <c r="H17" s="14">
        <f>'Adaptive costs A'!H17-'Adaptive costs B'!H17</f>
        <v>0</v>
      </c>
      <c r="I17" s="14">
        <f>'Adaptive costs A'!I17-'Adaptive costs B'!I17</f>
        <v>0</v>
      </c>
      <c r="J17" s="14">
        <f>'Adaptive costs A'!J17-'Adaptive costs B'!J17</f>
        <v>0</v>
      </c>
      <c r="K17" s="14">
        <f>'Adaptive costs A'!K17-'Adaptive costs B'!K17</f>
        <v>0</v>
      </c>
    </row>
    <row r="18" spans="1:13" s="4" customFormat="1" x14ac:dyDescent="0.2">
      <c r="A18" s="4" t="s">
        <v>83</v>
      </c>
      <c r="B18" s="14">
        <f>'Adaptive costs A'!B18-'Adaptive costs B'!B18</f>
        <v>0</v>
      </c>
      <c r="C18" s="14">
        <f>'Adaptive costs A'!C18-'Adaptive costs B'!C18</f>
        <v>0</v>
      </c>
      <c r="D18" s="14">
        <f>'Adaptive costs A'!D18-'Adaptive costs B'!D18</f>
        <v>0</v>
      </c>
      <c r="E18" s="14">
        <f>'Adaptive costs A'!E18-'Adaptive costs B'!E18</f>
        <v>0</v>
      </c>
      <c r="F18" s="14">
        <f>'Adaptive costs A'!F18-'Adaptive costs B'!F18</f>
        <v>0</v>
      </c>
      <c r="G18" s="14">
        <f>'Adaptive costs A'!G18-'Adaptive costs B'!G18</f>
        <v>0</v>
      </c>
      <c r="H18" s="14">
        <f>'Adaptive costs A'!H18-'Adaptive costs B'!H18</f>
        <v>0</v>
      </c>
      <c r="I18" s="14">
        <f>'Adaptive costs A'!I18-'Adaptive costs B'!I18</f>
        <v>0</v>
      </c>
      <c r="J18" s="14">
        <f>'Adaptive costs A'!J18-'Adaptive costs B'!J18</f>
        <v>0</v>
      </c>
      <c r="K18" s="14">
        <f>'Adaptive costs A'!K18-'Adaptive costs B'!K18</f>
        <v>0</v>
      </c>
    </row>
    <row r="19" spans="1:13" s="4" customFormat="1" ht="13.5" thickBot="1" x14ac:dyDescent="0.25">
      <c r="A19" s="4" t="s">
        <v>81</v>
      </c>
      <c r="B19" s="16">
        <f>'Adaptive costs A'!B19-'Adaptive costs B'!B19</f>
        <v>0</v>
      </c>
      <c r="C19" s="16">
        <f>'Adaptive costs A'!C19-'Adaptive costs B'!C19</f>
        <v>0</v>
      </c>
      <c r="D19" s="16">
        <f>'Adaptive costs A'!D19-'Adaptive costs B'!D19</f>
        <v>0</v>
      </c>
      <c r="E19" s="16">
        <f>'Adaptive costs A'!E19-'Adaptive costs B'!E19</f>
        <v>0</v>
      </c>
      <c r="F19" s="16">
        <f>'Adaptive costs A'!F19-'Adaptive costs B'!F19</f>
        <v>0</v>
      </c>
      <c r="G19" s="16">
        <f>'Adaptive costs A'!G19-'Adaptive costs B'!G19</f>
        <v>0</v>
      </c>
      <c r="H19" s="16">
        <f>'Adaptive costs A'!H19-'Adaptive costs B'!H19</f>
        <v>0</v>
      </c>
      <c r="I19" s="16">
        <f>'Adaptive costs A'!I19-'Adaptive costs B'!I19</f>
        <v>0</v>
      </c>
      <c r="J19" s="16">
        <f>'Adaptive costs A'!J19-'Adaptive costs B'!J19</f>
        <v>0</v>
      </c>
      <c r="K19" s="16">
        <f>'Adaptive costs A'!K19-'Adaptive costs B'!K19</f>
        <v>0</v>
      </c>
      <c r="M19" s="4" t="s">
        <v>39</v>
      </c>
    </row>
    <row r="20" spans="1:13" ht="13.5" thickTop="1" x14ac:dyDescent="0.2"/>
    <row r="21" spans="1:13" s="2" customFormat="1" ht="14.25" x14ac:dyDescent="0.25">
      <c r="A21" s="2" t="s">
        <v>370</v>
      </c>
      <c r="B21" s="2" t="s">
        <v>371</v>
      </c>
    </row>
    <row r="22" spans="1:13" s="4" customFormat="1" x14ac:dyDescent="0.2">
      <c r="A22" t="str">
        <f t="array" ref="A22:A29">R_CODE&amp;" sea level"</f>
        <v>EU sea level</v>
      </c>
      <c r="B22" s="66">
        <f ca="1">'Adaptive costs A'!B22-'Adaptive costs B'!B22</f>
        <v>0</v>
      </c>
      <c r="C22" s="66">
        <f ca="1">'Adaptive costs A'!C22-'Adaptive costs B'!C22</f>
        <v>0</v>
      </c>
      <c r="D22" s="66">
        <f ca="1">'Adaptive costs A'!D22-'Adaptive costs B'!D22</f>
        <v>0</v>
      </c>
      <c r="E22" s="66">
        <f ca="1">'Adaptive costs A'!E22-'Adaptive costs B'!E22</f>
        <v>0</v>
      </c>
      <c r="F22" s="66">
        <f ca="1">'Adaptive costs A'!F22-'Adaptive costs B'!F22</f>
        <v>0</v>
      </c>
      <c r="G22" s="66">
        <f ca="1">'Adaptive costs A'!G22-'Adaptive costs B'!G22</f>
        <v>0</v>
      </c>
      <c r="H22" s="66">
        <f ca="1">'Adaptive costs A'!H22-'Adaptive costs B'!H22</f>
        <v>0</v>
      </c>
      <c r="I22" s="66">
        <f ca="1">'Adaptive costs A'!I22-'Adaptive costs B'!I22</f>
        <v>0</v>
      </c>
      <c r="J22" s="66">
        <f ca="1">'Adaptive costs A'!J22-'Adaptive costs B'!J22</f>
        <v>0</v>
      </c>
      <c r="K22" s="66">
        <f ca="1">'Adaptive costs A'!K22-'Adaptive costs B'!K22</f>
        <v>0</v>
      </c>
      <c r="M22" s="4" t="str">
        <f t="shared" ref="M22:M30" si="0">CURRENCY_NAME</f>
        <v>$M(2015)</v>
      </c>
    </row>
    <row r="23" spans="1:13" s="4" customFormat="1" x14ac:dyDescent="0.2">
      <c r="A23" t="str">
        <v>US sea level</v>
      </c>
      <c r="B23" s="67">
        <f ca="1">'Adaptive costs A'!B23-'Adaptive costs B'!B23</f>
        <v>0</v>
      </c>
      <c r="C23" s="67">
        <f ca="1">'Adaptive costs A'!C23-'Adaptive costs B'!C23</f>
        <v>0</v>
      </c>
      <c r="D23" s="67">
        <f ca="1">'Adaptive costs A'!D23-'Adaptive costs B'!D23</f>
        <v>0</v>
      </c>
      <c r="E23" s="67">
        <f ca="1">'Adaptive costs A'!E23-'Adaptive costs B'!E23</f>
        <v>0</v>
      </c>
      <c r="F23" s="67">
        <f ca="1">'Adaptive costs A'!F23-'Adaptive costs B'!F23</f>
        <v>0</v>
      </c>
      <c r="G23" s="67">
        <f ca="1">'Adaptive costs A'!G23-'Adaptive costs B'!G23</f>
        <v>0</v>
      </c>
      <c r="H23" s="67">
        <f ca="1">'Adaptive costs A'!H23-'Adaptive costs B'!H23</f>
        <v>0</v>
      </c>
      <c r="I23" s="67">
        <f ca="1">'Adaptive costs A'!I23-'Adaptive costs B'!I23</f>
        <v>0</v>
      </c>
      <c r="J23" s="67">
        <f ca="1">'Adaptive costs A'!J23-'Adaptive costs B'!J23</f>
        <v>0</v>
      </c>
      <c r="K23" s="67">
        <f ca="1">'Adaptive costs A'!K23-'Adaptive costs B'!K23</f>
        <v>0</v>
      </c>
      <c r="M23" s="4" t="str">
        <f t="shared" si="0"/>
        <v>$M(2015)</v>
      </c>
    </row>
    <row r="24" spans="1:13" s="4" customFormat="1" x14ac:dyDescent="0.2">
      <c r="A24" t="str">
        <v>OT sea level</v>
      </c>
      <c r="B24" s="67">
        <f ca="1">'Adaptive costs A'!B24-'Adaptive costs B'!B24</f>
        <v>0</v>
      </c>
      <c r="C24" s="67">
        <f ca="1">'Adaptive costs A'!C24-'Adaptive costs B'!C24</f>
        <v>0</v>
      </c>
      <c r="D24" s="67">
        <f ca="1">'Adaptive costs A'!D24-'Adaptive costs B'!D24</f>
        <v>0</v>
      </c>
      <c r="E24" s="67">
        <f ca="1">'Adaptive costs A'!E24-'Adaptive costs B'!E24</f>
        <v>0</v>
      </c>
      <c r="F24" s="67">
        <f ca="1">'Adaptive costs A'!F24-'Adaptive costs B'!F24</f>
        <v>0</v>
      </c>
      <c r="G24" s="67">
        <f ca="1">'Adaptive costs A'!G24-'Adaptive costs B'!G24</f>
        <v>0</v>
      </c>
      <c r="H24" s="67">
        <f ca="1">'Adaptive costs A'!H24-'Adaptive costs B'!H24</f>
        <v>0</v>
      </c>
      <c r="I24" s="67">
        <f ca="1">'Adaptive costs A'!I24-'Adaptive costs B'!I24</f>
        <v>0</v>
      </c>
      <c r="J24" s="67">
        <f ca="1">'Adaptive costs A'!J24-'Adaptive costs B'!J24</f>
        <v>0</v>
      </c>
      <c r="K24" s="67">
        <f ca="1">'Adaptive costs A'!K24-'Adaptive costs B'!K24</f>
        <v>0</v>
      </c>
      <c r="M24" s="4" t="str">
        <f t="shared" si="0"/>
        <v>$M(2015)</v>
      </c>
    </row>
    <row r="25" spans="1:13" s="4" customFormat="1" x14ac:dyDescent="0.2">
      <c r="A25" t="str">
        <v>EE sea level</v>
      </c>
      <c r="B25" s="67">
        <f ca="1">'Adaptive costs A'!B25-'Adaptive costs B'!B25</f>
        <v>0</v>
      </c>
      <c r="C25" s="67">
        <f ca="1">'Adaptive costs A'!C25-'Adaptive costs B'!C25</f>
        <v>0</v>
      </c>
      <c r="D25" s="67">
        <f ca="1">'Adaptive costs A'!D25-'Adaptive costs B'!D25</f>
        <v>0</v>
      </c>
      <c r="E25" s="67">
        <f ca="1">'Adaptive costs A'!E25-'Adaptive costs B'!E25</f>
        <v>0</v>
      </c>
      <c r="F25" s="67">
        <f ca="1">'Adaptive costs A'!F25-'Adaptive costs B'!F25</f>
        <v>0</v>
      </c>
      <c r="G25" s="67">
        <f ca="1">'Adaptive costs A'!G25-'Adaptive costs B'!G25</f>
        <v>0</v>
      </c>
      <c r="H25" s="67">
        <f ca="1">'Adaptive costs A'!H25-'Adaptive costs B'!H25</f>
        <v>0</v>
      </c>
      <c r="I25" s="67">
        <f ca="1">'Adaptive costs A'!I25-'Adaptive costs B'!I25</f>
        <v>0</v>
      </c>
      <c r="J25" s="67">
        <f ca="1">'Adaptive costs A'!J25-'Adaptive costs B'!J25</f>
        <v>0</v>
      </c>
      <c r="K25" s="67">
        <f ca="1">'Adaptive costs A'!K25-'Adaptive costs B'!K25</f>
        <v>0</v>
      </c>
      <c r="M25" s="4" t="str">
        <f t="shared" si="0"/>
        <v>$M(2015)</v>
      </c>
    </row>
    <row r="26" spans="1:13" s="4" customFormat="1" x14ac:dyDescent="0.2">
      <c r="A26" t="str">
        <v>CA sea level</v>
      </c>
      <c r="B26" s="67">
        <f ca="1">'Adaptive costs A'!B26-'Adaptive costs B'!B26</f>
        <v>0</v>
      </c>
      <c r="C26" s="67">
        <f ca="1">'Adaptive costs A'!C26-'Adaptive costs B'!C26</f>
        <v>0</v>
      </c>
      <c r="D26" s="67">
        <f ca="1">'Adaptive costs A'!D26-'Adaptive costs B'!D26</f>
        <v>0</v>
      </c>
      <c r="E26" s="67">
        <f ca="1">'Adaptive costs A'!E26-'Adaptive costs B'!E26</f>
        <v>0</v>
      </c>
      <c r="F26" s="67">
        <f ca="1">'Adaptive costs A'!F26-'Adaptive costs B'!F26</f>
        <v>0</v>
      </c>
      <c r="G26" s="67">
        <f ca="1">'Adaptive costs A'!G26-'Adaptive costs B'!G26</f>
        <v>0</v>
      </c>
      <c r="H26" s="67">
        <f ca="1">'Adaptive costs A'!H26-'Adaptive costs B'!H26</f>
        <v>0</v>
      </c>
      <c r="I26" s="67">
        <f ca="1">'Adaptive costs A'!I26-'Adaptive costs B'!I26</f>
        <v>0</v>
      </c>
      <c r="J26" s="67">
        <f ca="1">'Adaptive costs A'!J26-'Adaptive costs B'!J26</f>
        <v>0</v>
      </c>
      <c r="K26" s="67">
        <f ca="1">'Adaptive costs A'!K26-'Adaptive costs B'!K26</f>
        <v>0</v>
      </c>
      <c r="M26" s="4" t="str">
        <f t="shared" si="0"/>
        <v>$M(2015)</v>
      </c>
    </row>
    <row r="27" spans="1:13" s="4" customFormat="1" x14ac:dyDescent="0.2">
      <c r="A27" t="str">
        <v>IA sea level</v>
      </c>
      <c r="B27" s="67">
        <f ca="1">'Adaptive costs A'!B27-'Adaptive costs B'!B27</f>
        <v>0</v>
      </c>
      <c r="C27" s="67">
        <f ca="1">'Adaptive costs A'!C27-'Adaptive costs B'!C27</f>
        <v>0</v>
      </c>
      <c r="D27" s="67">
        <f ca="1">'Adaptive costs A'!D27-'Adaptive costs B'!D27</f>
        <v>0</v>
      </c>
      <c r="E27" s="67">
        <f ca="1">'Adaptive costs A'!E27-'Adaptive costs B'!E27</f>
        <v>0</v>
      </c>
      <c r="F27" s="67">
        <f ca="1">'Adaptive costs A'!F27-'Adaptive costs B'!F27</f>
        <v>0</v>
      </c>
      <c r="G27" s="67">
        <f ca="1">'Adaptive costs A'!G27-'Adaptive costs B'!G27</f>
        <v>0</v>
      </c>
      <c r="H27" s="67">
        <f ca="1">'Adaptive costs A'!H27-'Adaptive costs B'!H27</f>
        <v>0</v>
      </c>
      <c r="I27" s="67">
        <f ca="1">'Adaptive costs A'!I27-'Adaptive costs B'!I27</f>
        <v>0</v>
      </c>
      <c r="J27" s="67">
        <f ca="1">'Adaptive costs A'!J27-'Adaptive costs B'!J27</f>
        <v>0</v>
      </c>
      <c r="K27" s="67">
        <f ca="1">'Adaptive costs A'!K27-'Adaptive costs B'!K27</f>
        <v>0</v>
      </c>
      <c r="M27" s="4" t="str">
        <f t="shared" si="0"/>
        <v>$M(2015)</v>
      </c>
    </row>
    <row r="28" spans="1:13" s="4" customFormat="1" x14ac:dyDescent="0.2">
      <c r="A28" t="str">
        <v>AF sea level</v>
      </c>
      <c r="B28" s="67">
        <f ca="1">'Adaptive costs A'!B28-'Adaptive costs B'!B28</f>
        <v>0</v>
      </c>
      <c r="C28" s="67">
        <f ca="1">'Adaptive costs A'!C28-'Adaptive costs B'!C28</f>
        <v>0</v>
      </c>
      <c r="D28" s="67">
        <f ca="1">'Adaptive costs A'!D28-'Adaptive costs B'!D28</f>
        <v>0</v>
      </c>
      <c r="E28" s="67">
        <f ca="1">'Adaptive costs A'!E28-'Adaptive costs B'!E28</f>
        <v>0</v>
      </c>
      <c r="F28" s="67">
        <f ca="1">'Adaptive costs A'!F28-'Adaptive costs B'!F28</f>
        <v>0</v>
      </c>
      <c r="G28" s="67">
        <f ca="1">'Adaptive costs A'!G28-'Adaptive costs B'!G28</f>
        <v>0</v>
      </c>
      <c r="H28" s="67">
        <f ca="1">'Adaptive costs A'!H28-'Adaptive costs B'!H28</f>
        <v>0</v>
      </c>
      <c r="I28" s="67">
        <f ca="1">'Adaptive costs A'!I28-'Adaptive costs B'!I28</f>
        <v>0</v>
      </c>
      <c r="J28" s="67">
        <f ca="1">'Adaptive costs A'!J28-'Adaptive costs B'!J28</f>
        <v>0</v>
      </c>
      <c r="K28" s="67">
        <f ca="1">'Adaptive costs A'!K28-'Adaptive costs B'!K28</f>
        <v>0</v>
      </c>
      <c r="M28" s="4" t="str">
        <f t="shared" si="0"/>
        <v>$M(2015)</v>
      </c>
    </row>
    <row r="29" spans="1:13" s="4" customFormat="1" x14ac:dyDescent="0.2">
      <c r="A29" t="str">
        <v>LA sea level</v>
      </c>
      <c r="B29" s="67">
        <f ca="1">'Adaptive costs A'!B29-'Adaptive costs B'!B29</f>
        <v>0</v>
      </c>
      <c r="C29" s="67">
        <f ca="1">'Adaptive costs A'!C29-'Adaptive costs B'!C29</f>
        <v>0</v>
      </c>
      <c r="D29" s="67">
        <f ca="1">'Adaptive costs A'!D29-'Adaptive costs B'!D29</f>
        <v>0</v>
      </c>
      <c r="E29" s="67">
        <f ca="1">'Adaptive costs A'!E29-'Adaptive costs B'!E29</f>
        <v>0</v>
      </c>
      <c r="F29" s="67">
        <f ca="1">'Adaptive costs A'!F29-'Adaptive costs B'!F29</f>
        <v>0</v>
      </c>
      <c r="G29" s="67">
        <f ca="1">'Adaptive costs A'!G29-'Adaptive costs B'!G29</f>
        <v>0</v>
      </c>
      <c r="H29" s="67">
        <f ca="1">'Adaptive costs A'!H29-'Adaptive costs B'!H29</f>
        <v>0</v>
      </c>
      <c r="I29" s="67">
        <f ca="1">'Adaptive costs A'!I29-'Adaptive costs B'!I29</f>
        <v>0</v>
      </c>
      <c r="J29" s="67">
        <f ca="1">'Adaptive costs A'!J29-'Adaptive costs B'!J29</f>
        <v>0</v>
      </c>
      <c r="K29" s="67">
        <f ca="1">'Adaptive costs A'!K29-'Adaptive costs B'!K29</f>
        <v>0</v>
      </c>
      <c r="M29" s="4" t="str">
        <f t="shared" si="0"/>
        <v>$M(2015)</v>
      </c>
    </row>
    <row r="30" spans="1:13" ht="13.5" thickBot="1" x14ac:dyDescent="0.25">
      <c r="A30" s="2" t="s">
        <v>374</v>
      </c>
      <c r="B30" s="73">
        <f ca="1">'Adaptive costs A'!B30-'Adaptive costs B'!B30</f>
        <v>0</v>
      </c>
      <c r="C30" s="73">
        <f ca="1">'Adaptive costs A'!C30-'Adaptive costs B'!C30</f>
        <v>0</v>
      </c>
      <c r="D30" s="73">
        <f ca="1">'Adaptive costs A'!D30-'Adaptive costs B'!D30</f>
        <v>0</v>
      </c>
      <c r="E30" s="73">
        <f ca="1">'Adaptive costs A'!E30-'Adaptive costs B'!E30</f>
        <v>0</v>
      </c>
      <c r="F30" s="73">
        <f ca="1">'Adaptive costs A'!F30-'Adaptive costs B'!F30</f>
        <v>0</v>
      </c>
      <c r="G30" s="73">
        <f ca="1">'Adaptive costs A'!G30-'Adaptive costs B'!G30</f>
        <v>0</v>
      </c>
      <c r="H30" s="73">
        <f ca="1">'Adaptive costs A'!H30-'Adaptive costs B'!H30</f>
        <v>0</v>
      </c>
      <c r="I30" s="73">
        <f ca="1">'Adaptive costs A'!I30-'Adaptive costs B'!I30</f>
        <v>0</v>
      </c>
      <c r="J30" s="73">
        <f ca="1">'Adaptive costs A'!J30-'Adaptive costs B'!J30</f>
        <v>0</v>
      </c>
      <c r="K30" s="73">
        <f ca="1">'Adaptive costs A'!K30-'Adaptive costs B'!K30</f>
        <v>0</v>
      </c>
      <c r="L30" s="1"/>
      <c r="M30" s="4" t="str">
        <f t="shared" si="0"/>
        <v>$M(2015)</v>
      </c>
    </row>
    <row r="31" spans="1:13" s="2" customFormat="1" ht="15" thickTop="1" x14ac:dyDescent="0.25">
      <c r="A31" s="2" t="s">
        <v>372</v>
      </c>
      <c r="B31" s="2" t="s">
        <v>373</v>
      </c>
    </row>
    <row r="32" spans="1:13" x14ac:dyDescent="0.2">
      <c r="A32" t="str">
        <f t="array" ref="A32:A39">R_CODE&amp;" sea level"</f>
        <v>EU sea level</v>
      </c>
      <c r="B32" s="66">
        <f ca="1">'Adaptive costs A'!B32-'Adaptive costs B'!B32</f>
        <v>0</v>
      </c>
      <c r="C32" s="66">
        <f ca="1">'Adaptive costs A'!C32-'Adaptive costs B'!C32</f>
        <v>0</v>
      </c>
      <c r="D32" s="66">
        <f ca="1">'Adaptive costs A'!D32-'Adaptive costs B'!D32</f>
        <v>0</v>
      </c>
      <c r="E32" s="66">
        <f ca="1">'Adaptive costs A'!E32-'Adaptive costs B'!E32</f>
        <v>0</v>
      </c>
      <c r="F32" s="66">
        <f ca="1">'Adaptive costs A'!F32-'Adaptive costs B'!F32</f>
        <v>0</v>
      </c>
      <c r="G32" s="66">
        <f ca="1">'Adaptive costs A'!G32-'Adaptive costs B'!G32</f>
        <v>0</v>
      </c>
      <c r="H32" s="66">
        <f ca="1">'Adaptive costs A'!H32-'Adaptive costs B'!H32</f>
        <v>0</v>
      </c>
      <c r="I32" s="66">
        <f ca="1">'Adaptive costs A'!I32-'Adaptive costs B'!I32</f>
        <v>0</v>
      </c>
      <c r="J32" s="66">
        <f ca="1">'Adaptive costs A'!J32-'Adaptive costs B'!J32</f>
        <v>0</v>
      </c>
      <c r="K32" s="66">
        <f ca="1">'Adaptive costs A'!K32-'Adaptive costs B'!K32</f>
        <v>0</v>
      </c>
      <c r="M32" s="4" t="str">
        <f t="shared" ref="M32:M40" si="1">CURRENCY_NAME</f>
        <v>$M(2015)</v>
      </c>
    </row>
    <row r="33" spans="1:13" x14ac:dyDescent="0.2">
      <c r="A33" t="str">
        <v>US sea level</v>
      </c>
      <c r="B33" s="67">
        <f ca="1">'Adaptive costs A'!B33-'Adaptive costs B'!B33</f>
        <v>0</v>
      </c>
      <c r="C33" s="67">
        <f ca="1">'Adaptive costs A'!C33-'Adaptive costs B'!C33</f>
        <v>0</v>
      </c>
      <c r="D33" s="67">
        <f ca="1">'Adaptive costs A'!D33-'Adaptive costs B'!D33</f>
        <v>0</v>
      </c>
      <c r="E33" s="67">
        <f ca="1">'Adaptive costs A'!E33-'Adaptive costs B'!E33</f>
        <v>0</v>
      </c>
      <c r="F33" s="67">
        <f ca="1">'Adaptive costs A'!F33-'Adaptive costs B'!F33</f>
        <v>0</v>
      </c>
      <c r="G33" s="67">
        <f ca="1">'Adaptive costs A'!G33-'Adaptive costs B'!G33</f>
        <v>0</v>
      </c>
      <c r="H33" s="67">
        <f ca="1">'Adaptive costs A'!H33-'Adaptive costs B'!H33</f>
        <v>0</v>
      </c>
      <c r="I33" s="67">
        <f ca="1">'Adaptive costs A'!I33-'Adaptive costs B'!I33</f>
        <v>0</v>
      </c>
      <c r="J33" s="67">
        <f ca="1">'Adaptive costs A'!J33-'Adaptive costs B'!J33</f>
        <v>0</v>
      </c>
      <c r="K33" s="67">
        <f ca="1">'Adaptive costs A'!K33-'Adaptive costs B'!K33</f>
        <v>0</v>
      </c>
      <c r="M33" s="4" t="str">
        <f t="shared" si="1"/>
        <v>$M(2015)</v>
      </c>
    </row>
    <row r="34" spans="1:13" x14ac:dyDescent="0.2">
      <c r="A34" t="str">
        <v>OT sea level</v>
      </c>
      <c r="B34" s="67">
        <f ca="1">'Adaptive costs A'!B34-'Adaptive costs B'!B34</f>
        <v>0</v>
      </c>
      <c r="C34" s="67">
        <f ca="1">'Adaptive costs A'!C34-'Adaptive costs B'!C34</f>
        <v>0</v>
      </c>
      <c r="D34" s="67">
        <f ca="1">'Adaptive costs A'!D34-'Adaptive costs B'!D34</f>
        <v>0</v>
      </c>
      <c r="E34" s="67">
        <f ca="1">'Adaptive costs A'!E34-'Adaptive costs B'!E34</f>
        <v>0</v>
      </c>
      <c r="F34" s="67">
        <f ca="1">'Adaptive costs A'!F34-'Adaptive costs B'!F34</f>
        <v>0</v>
      </c>
      <c r="G34" s="67">
        <f ca="1">'Adaptive costs A'!G34-'Adaptive costs B'!G34</f>
        <v>0</v>
      </c>
      <c r="H34" s="67">
        <f ca="1">'Adaptive costs A'!H34-'Adaptive costs B'!H34</f>
        <v>0</v>
      </c>
      <c r="I34" s="67">
        <f ca="1">'Adaptive costs A'!I34-'Adaptive costs B'!I34</f>
        <v>0</v>
      </c>
      <c r="J34" s="67">
        <f ca="1">'Adaptive costs A'!J34-'Adaptive costs B'!J34</f>
        <v>0</v>
      </c>
      <c r="K34" s="67">
        <f ca="1">'Adaptive costs A'!K34-'Adaptive costs B'!K34</f>
        <v>0</v>
      </c>
      <c r="M34" s="4" t="str">
        <f t="shared" si="1"/>
        <v>$M(2015)</v>
      </c>
    </row>
    <row r="35" spans="1:13" x14ac:dyDescent="0.2">
      <c r="A35" t="str">
        <v>EE sea level</v>
      </c>
      <c r="B35" s="67">
        <f ca="1">'Adaptive costs A'!B35-'Adaptive costs B'!B35</f>
        <v>0</v>
      </c>
      <c r="C35" s="67">
        <f ca="1">'Adaptive costs A'!C35-'Adaptive costs B'!C35</f>
        <v>0</v>
      </c>
      <c r="D35" s="67">
        <f ca="1">'Adaptive costs A'!D35-'Adaptive costs B'!D35</f>
        <v>0</v>
      </c>
      <c r="E35" s="67">
        <f ca="1">'Adaptive costs A'!E35-'Adaptive costs B'!E35</f>
        <v>0</v>
      </c>
      <c r="F35" s="67">
        <f ca="1">'Adaptive costs A'!F35-'Adaptive costs B'!F35</f>
        <v>0</v>
      </c>
      <c r="G35" s="67">
        <f ca="1">'Adaptive costs A'!G35-'Adaptive costs B'!G35</f>
        <v>0</v>
      </c>
      <c r="H35" s="67">
        <f ca="1">'Adaptive costs A'!H35-'Adaptive costs B'!H35</f>
        <v>0</v>
      </c>
      <c r="I35" s="67">
        <f ca="1">'Adaptive costs A'!I35-'Adaptive costs B'!I35</f>
        <v>0</v>
      </c>
      <c r="J35" s="67">
        <f ca="1">'Adaptive costs A'!J35-'Adaptive costs B'!J35</f>
        <v>0</v>
      </c>
      <c r="K35" s="67">
        <f ca="1">'Adaptive costs A'!K35-'Adaptive costs B'!K35</f>
        <v>0</v>
      </c>
      <c r="M35" s="4" t="str">
        <f t="shared" si="1"/>
        <v>$M(2015)</v>
      </c>
    </row>
    <row r="36" spans="1:13" x14ac:dyDescent="0.2">
      <c r="A36" t="str">
        <v>CA sea level</v>
      </c>
      <c r="B36" s="67">
        <f ca="1">'Adaptive costs A'!B36-'Adaptive costs B'!B36</f>
        <v>0</v>
      </c>
      <c r="C36" s="67">
        <f ca="1">'Adaptive costs A'!C36-'Adaptive costs B'!C36</f>
        <v>0</v>
      </c>
      <c r="D36" s="67">
        <f ca="1">'Adaptive costs A'!D36-'Adaptive costs B'!D36</f>
        <v>0</v>
      </c>
      <c r="E36" s="67">
        <f ca="1">'Adaptive costs A'!E36-'Adaptive costs B'!E36</f>
        <v>0</v>
      </c>
      <c r="F36" s="67">
        <f ca="1">'Adaptive costs A'!F36-'Adaptive costs B'!F36</f>
        <v>0</v>
      </c>
      <c r="G36" s="67">
        <f ca="1">'Adaptive costs A'!G36-'Adaptive costs B'!G36</f>
        <v>0</v>
      </c>
      <c r="H36" s="67">
        <f ca="1">'Adaptive costs A'!H36-'Adaptive costs B'!H36</f>
        <v>0</v>
      </c>
      <c r="I36" s="67">
        <f ca="1">'Adaptive costs A'!I36-'Adaptive costs B'!I36</f>
        <v>0</v>
      </c>
      <c r="J36" s="67">
        <f ca="1">'Adaptive costs A'!J36-'Adaptive costs B'!J36</f>
        <v>0</v>
      </c>
      <c r="K36" s="67">
        <f ca="1">'Adaptive costs A'!K36-'Adaptive costs B'!K36</f>
        <v>0</v>
      </c>
      <c r="M36" s="4" t="str">
        <f t="shared" si="1"/>
        <v>$M(2015)</v>
      </c>
    </row>
    <row r="37" spans="1:13" x14ac:dyDescent="0.2">
      <c r="A37" t="str">
        <v>IA sea level</v>
      </c>
      <c r="B37" s="67">
        <f ca="1">'Adaptive costs A'!B37-'Adaptive costs B'!B37</f>
        <v>0</v>
      </c>
      <c r="C37" s="67">
        <f ca="1">'Adaptive costs A'!C37-'Adaptive costs B'!C37</f>
        <v>0</v>
      </c>
      <c r="D37" s="67">
        <f ca="1">'Adaptive costs A'!D37-'Adaptive costs B'!D37</f>
        <v>0</v>
      </c>
      <c r="E37" s="67">
        <f ca="1">'Adaptive costs A'!E37-'Adaptive costs B'!E37</f>
        <v>0</v>
      </c>
      <c r="F37" s="67">
        <f ca="1">'Adaptive costs A'!F37-'Adaptive costs B'!F37</f>
        <v>0</v>
      </c>
      <c r="G37" s="67">
        <f ca="1">'Adaptive costs A'!G37-'Adaptive costs B'!G37</f>
        <v>0</v>
      </c>
      <c r="H37" s="67">
        <f ca="1">'Adaptive costs A'!H37-'Adaptive costs B'!H37</f>
        <v>0</v>
      </c>
      <c r="I37" s="67">
        <f ca="1">'Adaptive costs A'!I37-'Adaptive costs B'!I37</f>
        <v>0</v>
      </c>
      <c r="J37" s="67">
        <f ca="1">'Adaptive costs A'!J37-'Adaptive costs B'!J37</f>
        <v>0</v>
      </c>
      <c r="K37" s="67">
        <f ca="1">'Adaptive costs A'!K37-'Adaptive costs B'!K37</f>
        <v>0</v>
      </c>
      <c r="M37" s="4" t="str">
        <f t="shared" si="1"/>
        <v>$M(2015)</v>
      </c>
    </row>
    <row r="38" spans="1:13" x14ac:dyDescent="0.2">
      <c r="A38" t="str">
        <v>AF sea level</v>
      </c>
      <c r="B38" s="67">
        <f ca="1">'Adaptive costs A'!B38-'Adaptive costs B'!B38</f>
        <v>0</v>
      </c>
      <c r="C38" s="67">
        <f ca="1">'Adaptive costs A'!C38-'Adaptive costs B'!C38</f>
        <v>0</v>
      </c>
      <c r="D38" s="67">
        <f ca="1">'Adaptive costs A'!D38-'Adaptive costs B'!D38</f>
        <v>0</v>
      </c>
      <c r="E38" s="67">
        <f ca="1">'Adaptive costs A'!E38-'Adaptive costs B'!E38</f>
        <v>0</v>
      </c>
      <c r="F38" s="67">
        <f ca="1">'Adaptive costs A'!F38-'Adaptive costs B'!F38</f>
        <v>0</v>
      </c>
      <c r="G38" s="67">
        <f ca="1">'Adaptive costs A'!G38-'Adaptive costs B'!G38</f>
        <v>0</v>
      </c>
      <c r="H38" s="67">
        <f ca="1">'Adaptive costs A'!H38-'Adaptive costs B'!H38</f>
        <v>0</v>
      </c>
      <c r="I38" s="67">
        <f ca="1">'Adaptive costs A'!I38-'Adaptive costs B'!I38</f>
        <v>0</v>
      </c>
      <c r="J38" s="67">
        <f ca="1">'Adaptive costs A'!J38-'Adaptive costs B'!J38</f>
        <v>0</v>
      </c>
      <c r="K38" s="67">
        <f ca="1">'Adaptive costs A'!K38-'Adaptive costs B'!K38</f>
        <v>0</v>
      </c>
      <c r="M38" s="4" t="str">
        <f t="shared" si="1"/>
        <v>$M(2015)</v>
      </c>
    </row>
    <row r="39" spans="1:13" x14ac:dyDescent="0.2">
      <c r="A39" t="str">
        <v>LA sea level</v>
      </c>
      <c r="B39" s="67">
        <f ca="1">'Adaptive costs A'!B39-'Adaptive costs B'!B39</f>
        <v>0</v>
      </c>
      <c r="C39" s="67">
        <f ca="1">'Adaptive costs A'!C39-'Adaptive costs B'!C39</f>
        <v>0</v>
      </c>
      <c r="D39" s="67">
        <f ca="1">'Adaptive costs A'!D39-'Adaptive costs B'!D39</f>
        <v>0</v>
      </c>
      <c r="E39" s="67">
        <f ca="1">'Adaptive costs A'!E39-'Adaptive costs B'!E39</f>
        <v>0</v>
      </c>
      <c r="F39" s="67">
        <f ca="1">'Adaptive costs A'!F39-'Adaptive costs B'!F39</f>
        <v>0</v>
      </c>
      <c r="G39" s="67">
        <f ca="1">'Adaptive costs A'!G39-'Adaptive costs B'!G39</f>
        <v>0</v>
      </c>
      <c r="H39" s="67">
        <f ca="1">'Adaptive costs A'!H39-'Adaptive costs B'!H39</f>
        <v>0</v>
      </c>
      <c r="I39" s="67">
        <f ca="1">'Adaptive costs A'!I39-'Adaptive costs B'!I39</f>
        <v>0</v>
      </c>
      <c r="J39" s="67">
        <f ca="1">'Adaptive costs A'!J39-'Adaptive costs B'!J39</f>
        <v>0</v>
      </c>
      <c r="K39" s="67">
        <f ca="1">'Adaptive costs A'!K39-'Adaptive costs B'!K39</f>
        <v>0</v>
      </c>
      <c r="M39" s="4" t="str">
        <f t="shared" si="1"/>
        <v>$M(2015)</v>
      </c>
    </row>
    <row r="40" spans="1:13" ht="13.5" thickBot="1" x14ac:dyDescent="0.25">
      <c r="A40" s="2" t="s">
        <v>374</v>
      </c>
      <c r="B40" s="73">
        <f ca="1">'Adaptive costs A'!B40-'Adaptive costs B'!B40</f>
        <v>0</v>
      </c>
      <c r="C40" s="73">
        <f ca="1">'Adaptive costs A'!C40-'Adaptive costs B'!C40</f>
        <v>0</v>
      </c>
      <c r="D40" s="73">
        <f ca="1">'Adaptive costs A'!D40-'Adaptive costs B'!D40</f>
        <v>0</v>
      </c>
      <c r="E40" s="73">
        <f ca="1">'Adaptive costs A'!E40-'Adaptive costs B'!E40</f>
        <v>0</v>
      </c>
      <c r="F40" s="73">
        <f ca="1">'Adaptive costs A'!F40-'Adaptive costs B'!F40</f>
        <v>0</v>
      </c>
      <c r="G40" s="73">
        <f ca="1">'Adaptive costs A'!G40-'Adaptive costs B'!G40</f>
        <v>0</v>
      </c>
      <c r="H40" s="73">
        <f ca="1">'Adaptive costs A'!H40-'Adaptive costs B'!H40</f>
        <v>0</v>
      </c>
      <c r="I40" s="73">
        <f ca="1">'Adaptive costs A'!I40-'Adaptive costs B'!I40</f>
        <v>0</v>
      </c>
      <c r="J40" s="73">
        <f ca="1">'Adaptive costs A'!J40-'Adaptive costs B'!J40</f>
        <v>0</v>
      </c>
      <c r="K40" s="73">
        <f ca="1">'Adaptive costs A'!K40-'Adaptive costs B'!K40</f>
        <v>0</v>
      </c>
      <c r="L40" s="1"/>
      <c r="M40" s="4" t="str">
        <f t="shared" si="1"/>
        <v>$M(2015)</v>
      </c>
    </row>
    <row r="41" spans="1:13" ht="15" thickTop="1" x14ac:dyDescent="0.25">
      <c r="A41" s="44" t="s">
        <v>110</v>
      </c>
      <c r="B41" s="2" t="s">
        <v>379</v>
      </c>
      <c r="C41" s="1"/>
      <c r="D41" s="1"/>
      <c r="E41" s="1"/>
      <c r="F41" s="1"/>
      <c r="G41" s="1"/>
      <c r="H41" s="1"/>
      <c r="I41" s="1"/>
      <c r="J41" s="1"/>
      <c r="K41" s="1"/>
      <c r="L41" s="1"/>
      <c r="M41" s="1"/>
    </row>
    <row r="42" spans="1:13" x14ac:dyDescent="0.2">
      <c r="A42" t="str">
        <f t="array" ref="A42:A49">R_CODE&amp;" sea level"</f>
        <v>EU sea level</v>
      </c>
      <c r="B42" s="66">
        <f ca="1">'Adaptive costs A'!B42-'Adaptive costs B'!B42</f>
        <v>0</v>
      </c>
      <c r="C42" s="66">
        <f ca="1">'Adaptive costs A'!C42-'Adaptive costs B'!C42</f>
        <v>0</v>
      </c>
      <c r="D42" s="66">
        <f ca="1">'Adaptive costs A'!D42-'Adaptive costs B'!D42</f>
        <v>0</v>
      </c>
      <c r="E42" s="66">
        <f ca="1">'Adaptive costs A'!E42-'Adaptive costs B'!E42</f>
        <v>0</v>
      </c>
      <c r="F42" s="66">
        <f ca="1">'Adaptive costs A'!F42-'Adaptive costs B'!F42</f>
        <v>0</v>
      </c>
      <c r="G42" s="66">
        <f ca="1">'Adaptive costs A'!G42-'Adaptive costs B'!G42</f>
        <v>0</v>
      </c>
      <c r="H42" s="66">
        <f ca="1">'Adaptive costs A'!H42-'Adaptive costs B'!H42</f>
        <v>0</v>
      </c>
      <c r="I42" s="66">
        <f ca="1">'Adaptive costs A'!I42-'Adaptive costs B'!I42</f>
        <v>0</v>
      </c>
      <c r="J42" s="66">
        <f ca="1">'Adaptive costs A'!J42-'Adaptive costs B'!J42</f>
        <v>0</v>
      </c>
      <c r="K42" s="66">
        <f ca="1">'Adaptive costs A'!K42-'Adaptive costs B'!K42</f>
        <v>0</v>
      </c>
      <c r="L42" s="1"/>
      <c r="M42" s="4" t="str">
        <f t="shared" ref="M42:M50" si="2">CURRENCY_NAME</f>
        <v>$M(2015)</v>
      </c>
    </row>
    <row r="43" spans="1:13" x14ac:dyDescent="0.2">
      <c r="A43" t="str">
        <v>US sea level</v>
      </c>
      <c r="B43" s="67">
        <f ca="1">'Adaptive costs A'!B43-'Adaptive costs B'!B43</f>
        <v>0</v>
      </c>
      <c r="C43" s="67">
        <f ca="1">'Adaptive costs A'!C43-'Adaptive costs B'!C43</f>
        <v>0</v>
      </c>
      <c r="D43" s="67">
        <f ca="1">'Adaptive costs A'!D43-'Adaptive costs B'!D43</f>
        <v>0</v>
      </c>
      <c r="E43" s="67">
        <f ca="1">'Adaptive costs A'!E43-'Adaptive costs B'!E43</f>
        <v>0</v>
      </c>
      <c r="F43" s="67">
        <f ca="1">'Adaptive costs A'!F43-'Adaptive costs B'!F43</f>
        <v>0</v>
      </c>
      <c r="G43" s="67">
        <f ca="1">'Adaptive costs A'!G43-'Adaptive costs B'!G43</f>
        <v>0</v>
      </c>
      <c r="H43" s="67">
        <f ca="1">'Adaptive costs A'!H43-'Adaptive costs B'!H43</f>
        <v>0</v>
      </c>
      <c r="I43" s="67">
        <f ca="1">'Adaptive costs A'!I43-'Adaptive costs B'!I43</f>
        <v>0</v>
      </c>
      <c r="J43" s="67">
        <f ca="1">'Adaptive costs A'!J43-'Adaptive costs B'!J43</f>
        <v>0</v>
      </c>
      <c r="K43" s="67">
        <f ca="1">'Adaptive costs A'!K43-'Adaptive costs B'!K43</f>
        <v>0</v>
      </c>
      <c r="L43" s="1"/>
      <c r="M43" s="4" t="str">
        <f t="shared" si="2"/>
        <v>$M(2015)</v>
      </c>
    </row>
    <row r="44" spans="1:13" x14ac:dyDescent="0.2">
      <c r="A44" t="str">
        <v>OT sea level</v>
      </c>
      <c r="B44" s="67">
        <f ca="1">'Adaptive costs A'!B44-'Adaptive costs B'!B44</f>
        <v>0</v>
      </c>
      <c r="C44" s="67">
        <f ca="1">'Adaptive costs A'!C44-'Adaptive costs B'!C44</f>
        <v>0</v>
      </c>
      <c r="D44" s="67">
        <f ca="1">'Adaptive costs A'!D44-'Adaptive costs B'!D44</f>
        <v>0</v>
      </c>
      <c r="E44" s="67">
        <f ca="1">'Adaptive costs A'!E44-'Adaptive costs B'!E44</f>
        <v>0</v>
      </c>
      <c r="F44" s="67">
        <f ca="1">'Adaptive costs A'!F44-'Adaptive costs B'!F44</f>
        <v>0</v>
      </c>
      <c r="G44" s="67">
        <f ca="1">'Adaptive costs A'!G44-'Adaptive costs B'!G44</f>
        <v>0</v>
      </c>
      <c r="H44" s="67">
        <f ca="1">'Adaptive costs A'!H44-'Adaptive costs B'!H44</f>
        <v>0</v>
      </c>
      <c r="I44" s="67">
        <f ca="1">'Adaptive costs A'!I44-'Adaptive costs B'!I44</f>
        <v>0</v>
      </c>
      <c r="J44" s="67">
        <f ca="1">'Adaptive costs A'!J44-'Adaptive costs B'!J44</f>
        <v>0</v>
      </c>
      <c r="K44" s="67">
        <f ca="1">'Adaptive costs A'!K44-'Adaptive costs B'!K44</f>
        <v>0</v>
      </c>
      <c r="L44" s="1"/>
      <c r="M44" s="4" t="str">
        <f t="shared" si="2"/>
        <v>$M(2015)</v>
      </c>
    </row>
    <row r="45" spans="1:13" x14ac:dyDescent="0.2">
      <c r="A45" t="str">
        <v>EE sea level</v>
      </c>
      <c r="B45" s="67">
        <f ca="1">'Adaptive costs A'!B45-'Adaptive costs B'!B45</f>
        <v>0</v>
      </c>
      <c r="C45" s="67">
        <f ca="1">'Adaptive costs A'!C45-'Adaptive costs B'!C45</f>
        <v>0</v>
      </c>
      <c r="D45" s="67">
        <f ca="1">'Adaptive costs A'!D45-'Adaptive costs B'!D45</f>
        <v>0</v>
      </c>
      <c r="E45" s="67">
        <f ca="1">'Adaptive costs A'!E45-'Adaptive costs B'!E45</f>
        <v>0</v>
      </c>
      <c r="F45" s="67">
        <f ca="1">'Adaptive costs A'!F45-'Adaptive costs B'!F45</f>
        <v>0</v>
      </c>
      <c r="G45" s="67">
        <f ca="1">'Adaptive costs A'!G45-'Adaptive costs B'!G45</f>
        <v>0</v>
      </c>
      <c r="H45" s="67">
        <f ca="1">'Adaptive costs A'!H45-'Adaptive costs B'!H45</f>
        <v>0</v>
      </c>
      <c r="I45" s="67">
        <f ca="1">'Adaptive costs A'!I45-'Adaptive costs B'!I45</f>
        <v>0</v>
      </c>
      <c r="J45" s="67">
        <f ca="1">'Adaptive costs A'!J45-'Adaptive costs B'!J45</f>
        <v>0</v>
      </c>
      <c r="K45" s="67">
        <f ca="1">'Adaptive costs A'!K45-'Adaptive costs B'!K45</f>
        <v>0</v>
      </c>
      <c r="L45" s="1"/>
      <c r="M45" s="4" t="str">
        <f t="shared" si="2"/>
        <v>$M(2015)</v>
      </c>
    </row>
    <row r="46" spans="1:13" x14ac:dyDescent="0.2">
      <c r="A46" t="str">
        <v>CA sea level</v>
      </c>
      <c r="B46" s="67">
        <f ca="1">'Adaptive costs A'!B46-'Adaptive costs B'!B46</f>
        <v>0</v>
      </c>
      <c r="C46" s="67">
        <f ca="1">'Adaptive costs A'!C46-'Adaptive costs B'!C46</f>
        <v>0</v>
      </c>
      <c r="D46" s="67">
        <f ca="1">'Adaptive costs A'!D46-'Adaptive costs B'!D46</f>
        <v>0</v>
      </c>
      <c r="E46" s="67">
        <f ca="1">'Adaptive costs A'!E46-'Adaptive costs B'!E46</f>
        <v>0</v>
      </c>
      <c r="F46" s="67">
        <f ca="1">'Adaptive costs A'!F46-'Adaptive costs B'!F46</f>
        <v>0</v>
      </c>
      <c r="G46" s="67">
        <f ca="1">'Adaptive costs A'!G46-'Adaptive costs B'!G46</f>
        <v>0</v>
      </c>
      <c r="H46" s="67">
        <f ca="1">'Adaptive costs A'!H46-'Adaptive costs B'!H46</f>
        <v>0</v>
      </c>
      <c r="I46" s="67">
        <f ca="1">'Adaptive costs A'!I46-'Adaptive costs B'!I46</f>
        <v>0</v>
      </c>
      <c r="J46" s="67">
        <f ca="1">'Adaptive costs A'!J46-'Adaptive costs B'!J46</f>
        <v>0</v>
      </c>
      <c r="K46" s="67">
        <f ca="1">'Adaptive costs A'!K46-'Adaptive costs B'!K46</f>
        <v>0</v>
      </c>
      <c r="L46" s="1"/>
      <c r="M46" s="4" t="str">
        <f t="shared" si="2"/>
        <v>$M(2015)</v>
      </c>
    </row>
    <row r="47" spans="1:13" x14ac:dyDescent="0.2">
      <c r="A47" t="str">
        <v>IA sea level</v>
      </c>
      <c r="B47" s="67">
        <f ca="1">'Adaptive costs A'!B47-'Adaptive costs B'!B47</f>
        <v>0</v>
      </c>
      <c r="C47" s="67">
        <f ca="1">'Adaptive costs A'!C47-'Adaptive costs B'!C47</f>
        <v>0</v>
      </c>
      <c r="D47" s="67">
        <f ca="1">'Adaptive costs A'!D47-'Adaptive costs B'!D47</f>
        <v>0</v>
      </c>
      <c r="E47" s="67">
        <f ca="1">'Adaptive costs A'!E47-'Adaptive costs B'!E47</f>
        <v>0</v>
      </c>
      <c r="F47" s="67">
        <f ca="1">'Adaptive costs A'!F47-'Adaptive costs B'!F47</f>
        <v>0</v>
      </c>
      <c r="G47" s="67">
        <f ca="1">'Adaptive costs A'!G47-'Adaptive costs B'!G47</f>
        <v>0</v>
      </c>
      <c r="H47" s="67">
        <f ca="1">'Adaptive costs A'!H47-'Adaptive costs B'!H47</f>
        <v>0</v>
      </c>
      <c r="I47" s="67">
        <f ca="1">'Adaptive costs A'!I47-'Adaptive costs B'!I47</f>
        <v>0</v>
      </c>
      <c r="J47" s="67">
        <f ca="1">'Adaptive costs A'!J47-'Adaptive costs B'!J47</f>
        <v>0</v>
      </c>
      <c r="K47" s="67">
        <f ca="1">'Adaptive costs A'!K47-'Adaptive costs B'!K47</f>
        <v>0</v>
      </c>
      <c r="L47" s="1"/>
      <c r="M47" s="4" t="str">
        <f t="shared" si="2"/>
        <v>$M(2015)</v>
      </c>
    </row>
    <row r="48" spans="1:13" x14ac:dyDescent="0.2">
      <c r="A48" t="str">
        <v>AF sea level</v>
      </c>
      <c r="B48" s="67">
        <f ca="1">'Adaptive costs A'!B48-'Adaptive costs B'!B48</f>
        <v>0</v>
      </c>
      <c r="C48" s="67">
        <f ca="1">'Adaptive costs A'!C48-'Adaptive costs B'!C48</f>
        <v>0</v>
      </c>
      <c r="D48" s="67">
        <f ca="1">'Adaptive costs A'!D48-'Adaptive costs B'!D48</f>
        <v>0</v>
      </c>
      <c r="E48" s="67">
        <f ca="1">'Adaptive costs A'!E48-'Adaptive costs B'!E48</f>
        <v>0</v>
      </c>
      <c r="F48" s="67">
        <f ca="1">'Adaptive costs A'!F48-'Adaptive costs B'!F48</f>
        <v>0</v>
      </c>
      <c r="G48" s="67">
        <f ca="1">'Adaptive costs A'!G48-'Adaptive costs B'!G48</f>
        <v>0</v>
      </c>
      <c r="H48" s="67">
        <f ca="1">'Adaptive costs A'!H48-'Adaptive costs B'!H48</f>
        <v>0</v>
      </c>
      <c r="I48" s="67">
        <f ca="1">'Adaptive costs A'!I48-'Adaptive costs B'!I48</f>
        <v>0</v>
      </c>
      <c r="J48" s="67">
        <f ca="1">'Adaptive costs A'!J48-'Adaptive costs B'!J48</f>
        <v>0</v>
      </c>
      <c r="K48" s="67">
        <f ca="1">'Adaptive costs A'!K48-'Adaptive costs B'!K48</f>
        <v>0</v>
      </c>
      <c r="L48" s="1"/>
      <c r="M48" s="4" t="str">
        <f t="shared" si="2"/>
        <v>$M(2015)</v>
      </c>
    </row>
    <row r="49" spans="1:13" x14ac:dyDescent="0.2">
      <c r="A49" t="str">
        <v>LA sea level</v>
      </c>
      <c r="B49" s="67">
        <f ca="1">'Adaptive costs A'!B49-'Adaptive costs B'!B49</f>
        <v>0</v>
      </c>
      <c r="C49" s="67">
        <f ca="1">'Adaptive costs A'!C49-'Adaptive costs B'!C49</f>
        <v>0</v>
      </c>
      <c r="D49" s="67">
        <f ca="1">'Adaptive costs A'!D49-'Adaptive costs B'!D49</f>
        <v>0</v>
      </c>
      <c r="E49" s="67">
        <f ca="1">'Adaptive costs A'!E49-'Adaptive costs B'!E49</f>
        <v>0</v>
      </c>
      <c r="F49" s="67">
        <f ca="1">'Adaptive costs A'!F49-'Adaptive costs B'!F49</f>
        <v>0</v>
      </c>
      <c r="G49" s="67">
        <f ca="1">'Adaptive costs A'!G49-'Adaptive costs B'!G49</f>
        <v>0</v>
      </c>
      <c r="H49" s="67">
        <f ca="1">'Adaptive costs A'!H49-'Adaptive costs B'!H49</f>
        <v>0</v>
      </c>
      <c r="I49" s="67">
        <f ca="1">'Adaptive costs A'!I49-'Adaptive costs B'!I49</f>
        <v>0</v>
      </c>
      <c r="J49" s="67">
        <f ca="1">'Adaptive costs A'!J49-'Adaptive costs B'!J49</f>
        <v>0</v>
      </c>
      <c r="K49" s="67">
        <f ca="1">'Adaptive costs A'!K49-'Adaptive costs B'!K49</f>
        <v>0</v>
      </c>
      <c r="L49" s="1"/>
      <c r="M49" s="4" t="str">
        <f t="shared" si="2"/>
        <v>$M(2015)</v>
      </c>
    </row>
    <row r="50" spans="1:13" ht="13.5" thickBot="1" x14ac:dyDescent="0.25">
      <c r="A50" s="2" t="s">
        <v>374</v>
      </c>
      <c r="B50" s="73">
        <f ca="1">'Adaptive costs A'!B50-'Adaptive costs B'!B50</f>
        <v>0</v>
      </c>
      <c r="C50" s="73">
        <f ca="1">'Adaptive costs A'!C50-'Adaptive costs B'!C50</f>
        <v>0</v>
      </c>
      <c r="D50" s="73">
        <f ca="1">'Adaptive costs A'!D50-'Adaptive costs B'!D50</f>
        <v>0</v>
      </c>
      <c r="E50" s="73">
        <f ca="1">'Adaptive costs A'!E50-'Adaptive costs B'!E50</f>
        <v>0</v>
      </c>
      <c r="F50" s="73">
        <f ca="1">'Adaptive costs A'!F50-'Adaptive costs B'!F50</f>
        <v>0</v>
      </c>
      <c r="G50" s="73">
        <f ca="1">'Adaptive costs A'!G50-'Adaptive costs B'!G50</f>
        <v>0</v>
      </c>
      <c r="H50" s="73">
        <f ca="1">'Adaptive costs A'!H50-'Adaptive costs B'!H50</f>
        <v>0</v>
      </c>
      <c r="I50" s="73">
        <f ca="1">'Adaptive costs A'!I50-'Adaptive costs B'!I50</f>
        <v>0</v>
      </c>
      <c r="J50" s="73">
        <f ca="1">'Adaptive costs A'!J50-'Adaptive costs B'!J50</f>
        <v>0</v>
      </c>
      <c r="K50" s="73">
        <f ca="1">'Adaptive costs A'!K50-'Adaptive costs B'!K50</f>
        <v>0</v>
      </c>
      <c r="L50" s="1"/>
      <c r="M50" s="4" t="str">
        <f t="shared" si="2"/>
        <v>$M(2015)</v>
      </c>
    </row>
    <row r="51" spans="1:13" s="2" customFormat="1" ht="15" thickTop="1" x14ac:dyDescent="0.25">
      <c r="A51" s="2" t="s">
        <v>370</v>
      </c>
      <c r="B51" s="2" t="s">
        <v>375</v>
      </c>
    </row>
    <row r="52" spans="1:13" s="4" customFormat="1" x14ac:dyDescent="0.2">
      <c r="A52" t="str">
        <f t="array" ref="A52:A59">R_CODE&amp;" "&amp;I_1_NAME</f>
        <v>EU Economic</v>
      </c>
      <c r="B52" s="66">
        <f ca="1">'Adaptive costs A'!B52-'Adaptive costs B'!B52</f>
        <v>0</v>
      </c>
      <c r="C52" s="66">
        <f ca="1">'Adaptive costs A'!C52-'Adaptive costs B'!C52</f>
        <v>0</v>
      </c>
      <c r="D52" s="66">
        <f ca="1">'Adaptive costs A'!D52-'Adaptive costs B'!D52</f>
        <v>0</v>
      </c>
      <c r="E52" s="66">
        <f ca="1">'Adaptive costs A'!E52-'Adaptive costs B'!E52</f>
        <v>0</v>
      </c>
      <c r="F52" s="66">
        <f ca="1">'Adaptive costs A'!F52-'Adaptive costs B'!F52</f>
        <v>0</v>
      </c>
      <c r="G52" s="66">
        <f ca="1">'Adaptive costs A'!G52-'Adaptive costs B'!G52</f>
        <v>0</v>
      </c>
      <c r="H52" s="66">
        <f ca="1">'Adaptive costs A'!H52-'Adaptive costs B'!H52</f>
        <v>0</v>
      </c>
      <c r="I52" s="66">
        <f ca="1">'Adaptive costs A'!I52-'Adaptive costs B'!I52</f>
        <v>0</v>
      </c>
      <c r="J52" s="66">
        <f ca="1">'Adaptive costs A'!J52-'Adaptive costs B'!J52</f>
        <v>0</v>
      </c>
      <c r="K52" s="66">
        <f ca="1">'Adaptive costs A'!K52-'Adaptive costs B'!K52</f>
        <v>0</v>
      </c>
      <c r="M52" s="4" t="str">
        <f t="shared" ref="M52:M60" si="3">CURRENCY_NAME</f>
        <v>$M(2015)</v>
      </c>
    </row>
    <row r="53" spans="1:13" s="4" customFormat="1" x14ac:dyDescent="0.2">
      <c r="A53" t="str">
        <v>US Economic</v>
      </c>
      <c r="B53" s="67">
        <f ca="1">'Adaptive costs A'!B53-'Adaptive costs B'!B53</f>
        <v>0</v>
      </c>
      <c r="C53" s="67">
        <f ca="1">'Adaptive costs A'!C53-'Adaptive costs B'!C53</f>
        <v>0</v>
      </c>
      <c r="D53" s="67">
        <f ca="1">'Adaptive costs A'!D53-'Adaptive costs B'!D53</f>
        <v>0</v>
      </c>
      <c r="E53" s="67">
        <f ca="1">'Adaptive costs A'!E53-'Adaptive costs B'!E53</f>
        <v>0</v>
      </c>
      <c r="F53" s="67">
        <f ca="1">'Adaptive costs A'!F53-'Adaptive costs B'!F53</f>
        <v>0</v>
      </c>
      <c r="G53" s="67">
        <f ca="1">'Adaptive costs A'!G53-'Adaptive costs B'!G53</f>
        <v>0</v>
      </c>
      <c r="H53" s="67">
        <f ca="1">'Adaptive costs A'!H53-'Adaptive costs B'!H53</f>
        <v>0</v>
      </c>
      <c r="I53" s="67">
        <f ca="1">'Adaptive costs A'!I53-'Adaptive costs B'!I53</f>
        <v>0</v>
      </c>
      <c r="J53" s="67">
        <f ca="1">'Adaptive costs A'!J53-'Adaptive costs B'!J53</f>
        <v>0</v>
      </c>
      <c r="K53" s="67">
        <f ca="1">'Adaptive costs A'!K53-'Adaptive costs B'!K53</f>
        <v>0</v>
      </c>
      <c r="M53" s="4" t="str">
        <f t="shared" si="3"/>
        <v>$M(2015)</v>
      </c>
    </row>
    <row r="54" spans="1:13" s="4" customFormat="1" x14ac:dyDescent="0.2">
      <c r="A54" t="str">
        <v>OT Economic</v>
      </c>
      <c r="B54" s="67">
        <f ca="1">'Adaptive costs A'!B54-'Adaptive costs B'!B54</f>
        <v>0</v>
      </c>
      <c r="C54" s="67">
        <f ca="1">'Adaptive costs A'!C54-'Adaptive costs B'!C54</f>
        <v>0</v>
      </c>
      <c r="D54" s="67">
        <f ca="1">'Adaptive costs A'!D54-'Adaptive costs B'!D54</f>
        <v>0</v>
      </c>
      <c r="E54" s="67">
        <f ca="1">'Adaptive costs A'!E54-'Adaptive costs B'!E54</f>
        <v>0</v>
      </c>
      <c r="F54" s="67">
        <f ca="1">'Adaptive costs A'!F54-'Adaptive costs B'!F54</f>
        <v>0</v>
      </c>
      <c r="G54" s="67">
        <f ca="1">'Adaptive costs A'!G54-'Adaptive costs B'!G54</f>
        <v>0</v>
      </c>
      <c r="H54" s="67">
        <f ca="1">'Adaptive costs A'!H54-'Adaptive costs B'!H54</f>
        <v>0</v>
      </c>
      <c r="I54" s="67">
        <f ca="1">'Adaptive costs A'!I54-'Adaptive costs B'!I54</f>
        <v>0</v>
      </c>
      <c r="J54" s="67">
        <f ca="1">'Adaptive costs A'!J54-'Adaptive costs B'!J54</f>
        <v>0</v>
      </c>
      <c r="K54" s="67">
        <f ca="1">'Adaptive costs A'!K54-'Adaptive costs B'!K54</f>
        <v>0</v>
      </c>
      <c r="M54" s="4" t="str">
        <f t="shared" si="3"/>
        <v>$M(2015)</v>
      </c>
    </row>
    <row r="55" spans="1:13" s="4" customFormat="1" x14ac:dyDescent="0.2">
      <c r="A55" t="str">
        <v>EE Economic</v>
      </c>
      <c r="B55" s="67">
        <f ca="1">'Adaptive costs A'!B55-'Adaptive costs B'!B55</f>
        <v>0</v>
      </c>
      <c r="C55" s="67">
        <f ca="1">'Adaptive costs A'!C55-'Adaptive costs B'!C55</f>
        <v>0</v>
      </c>
      <c r="D55" s="67">
        <f ca="1">'Adaptive costs A'!D55-'Adaptive costs B'!D55</f>
        <v>0</v>
      </c>
      <c r="E55" s="67">
        <f ca="1">'Adaptive costs A'!E55-'Adaptive costs B'!E55</f>
        <v>0</v>
      </c>
      <c r="F55" s="67">
        <f ca="1">'Adaptive costs A'!F55-'Adaptive costs B'!F55</f>
        <v>0</v>
      </c>
      <c r="G55" s="67">
        <f ca="1">'Adaptive costs A'!G55-'Adaptive costs B'!G55</f>
        <v>0</v>
      </c>
      <c r="H55" s="67">
        <f ca="1">'Adaptive costs A'!H55-'Adaptive costs B'!H55</f>
        <v>0</v>
      </c>
      <c r="I55" s="67">
        <f ca="1">'Adaptive costs A'!I55-'Adaptive costs B'!I55</f>
        <v>0</v>
      </c>
      <c r="J55" s="67">
        <f ca="1">'Adaptive costs A'!J55-'Adaptive costs B'!J55</f>
        <v>0</v>
      </c>
      <c r="K55" s="67">
        <f ca="1">'Adaptive costs A'!K55-'Adaptive costs B'!K55</f>
        <v>0</v>
      </c>
      <c r="M55" s="4" t="str">
        <f t="shared" si="3"/>
        <v>$M(2015)</v>
      </c>
    </row>
    <row r="56" spans="1:13" s="4" customFormat="1" x14ac:dyDescent="0.2">
      <c r="A56" t="str">
        <v>CA Economic</v>
      </c>
      <c r="B56" s="67">
        <f ca="1">'Adaptive costs A'!B56-'Adaptive costs B'!B56</f>
        <v>0</v>
      </c>
      <c r="C56" s="67">
        <f ca="1">'Adaptive costs A'!C56-'Adaptive costs B'!C56</f>
        <v>0</v>
      </c>
      <c r="D56" s="67">
        <f ca="1">'Adaptive costs A'!D56-'Adaptive costs B'!D56</f>
        <v>0</v>
      </c>
      <c r="E56" s="67">
        <f ca="1">'Adaptive costs A'!E56-'Adaptive costs B'!E56</f>
        <v>0</v>
      </c>
      <c r="F56" s="67">
        <f ca="1">'Adaptive costs A'!F56-'Adaptive costs B'!F56</f>
        <v>0</v>
      </c>
      <c r="G56" s="67">
        <f ca="1">'Adaptive costs A'!G56-'Adaptive costs B'!G56</f>
        <v>0</v>
      </c>
      <c r="H56" s="67">
        <f ca="1">'Adaptive costs A'!H56-'Adaptive costs B'!H56</f>
        <v>0</v>
      </c>
      <c r="I56" s="67">
        <f ca="1">'Adaptive costs A'!I56-'Adaptive costs B'!I56</f>
        <v>0</v>
      </c>
      <c r="J56" s="67">
        <f ca="1">'Adaptive costs A'!J56-'Adaptive costs B'!J56</f>
        <v>0</v>
      </c>
      <c r="K56" s="67">
        <f ca="1">'Adaptive costs A'!K56-'Adaptive costs B'!K56</f>
        <v>0</v>
      </c>
      <c r="M56" s="4" t="str">
        <f t="shared" si="3"/>
        <v>$M(2015)</v>
      </c>
    </row>
    <row r="57" spans="1:13" s="4" customFormat="1" x14ac:dyDescent="0.2">
      <c r="A57" t="str">
        <v>IA Economic</v>
      </c>
      <c r="B57" s="67">
        <f ca="1">'Adaptive costs A'!B57-'Adaptive costs B'!B57</f>
        <v>0</v>
      </c>
      <c r="C57" s="67">
        <f ca="1">'Adaptive costs A'!C57-'Adaptive costs B'!C57</f>
        <v>0</v>
      </c>
      <c r="D57" s="67">
        <f ca="1">'Adaptive costs A'!D57-'Adaptive costs B'!D57</f>
        <v>0</v>
      </c>
      <c r="E57" s="67">
        <f ca="1">'Adaptive costs A'!E57-'Adaptive costs B'!E57</f>
        <v>0</v>
      </c>
      <c r="F57" s="67">
        <f ca="1">'Adaptive costs A'!F57-'Adaptive costs B'!F57</f>
        <v>0</v>
      </c>
      <c r="G57" s="67">
        <f ca="1">'Adaptive costs A'!G57-'Adaptive costs B'!G57</f>
        <v>0</v>
      </c>
      <c r="H57" s="67">
        <f ca="1">'Adaptive costs A'!H57-'Adaptive costs B'!H57</f>
        <v>0</v>
      </c>
      <c r="I57" s="67">
        <f ca="1">'Adaptive costs A'!I57-'Adaptive costs B'!I57</f>
        <v>0</v>
      </c>
      <c r="J57" s="67">
        <f ca="1">'Adaptive costs A'!J57-'Adaptive costs B'!J57</f>
        <v>0</v>
      </c>
      <c r="K57" s="67">
        <f ca="1">'Adaptive costs A'!K57-'Adaptive costs B'!K57</f>
        <v>0</v>
      </c>
      <c r="M57" s="4" t="str">
        <f t="shared" si="3"/>
        <v>$M(2015)</v>
      </c>
    </row>
    <row r="58" spans="1:13" s="4" customFormat="1" x14ac:dyDescent="0.2">
      <c r="A58" t="str">
        <v>AF Economic</v>
      </c>
      <c r="B58" s="67">
        <f ca="1">'Adaptive costs A'!B58-'Adaptive costs B'!B58</f>
        <v>0</v>
      </c>
      <c r="C58" s="67">
        <f ca="1">'Adaptive costs A'!C58-'Adaptive costs B'!C58</f>
        <v>0</v>
      </c>
      <c r="D58" s="67">
        <f ca="1">'Adaptive costs A'!D58-'Adaptive costs B'!D58</f>
        <v>0</v>
      </c>
      <c r="E58" s="67">
        <f ca="1">'Adaptive costs A'!E58-'Adaptive costs B'!E58</f>
        <v>0</v>
      </c>
      <c r="F58" s="67">
        <f ca="1">'Adaptive costs A'!F58-'Adaptive costs B'!F58</f>
        <v>0</v>
      </c>
      <c r="G58" s="67">
        <f ca="1">'Adaptive costs A'!G58-'Adaptive costs B'!G58</f>
        <v>0</v>
      </c>
      <c r="H58" s="67">
        <f ca="1">'Adaptive costs A'!H58-'Adaptive costs B'!H58</f>
        <v>0</v>
      </c>
      <c r="I58" s="67">
        <f ca="1">'Adaptive costs A'!I58-'Adaptive costs B'!I58</f>
        <v>0</v>
      </c>
      <c r="J58" s="67">
        <f ca="1">'Adaptive costs A'!J58-'Adaptive costs B'!J58</f>
        <v>0</v>
      </c>
      <c r="K58" s="67">
        <f ca="1">'Adaptive costs A'!K58-'Adaptive costs B'!K58</f>
        <v>0</v>
      </c>
      <c r="M58" s="4" t="str">
        <f t="shared" si="3"/>
        <v>$M(2015)</v>
      </c>
    </row>
    <row r="59" spans="1:13" s="4" customFormat="1" x14ac:dyDescent="0.2">
      <c r="A59" t="str">
        <v>LA Economic</v>
      </c>
      <c r="B59" s="67">
        <f ca="1">'Adaptive costs A'!B59-'Adaptive costs B'!B59</f>
        <v>0</v>
      </c>
      <c r="C59" s="67">
        <f ca="1">'Adaptive costs A'!C59-'Adaptive costs B'!C59</f>
        <v>0</v>
      </c>
      <c r="D59" s="67">
        <f ca="1">'Adaptive costs A'!D59-'Adaptive costs B'!D59</f>
        <v>0</v>
      </c>
      <c r="E59" s="67">
        <f ca="1">'Adaptive costs A'!E59-'Adaptive costs B'!E59</f>
        <v>0</v>
      </c>
      <c r="F59" s="67">
        <f ca="1">'Adaptive costs A'!F59-'Adaptive costs B'!F59</f>
        <v>0</v>
      </c>
      <c r="G59" s="67">
        <f ca="1">'Adaptive costs A'!G59-'Adaptive costs B'!G59</f>
        <v>0</v>
      </c>
      <c r="H59" s="67">
        <f ca="1">'Adaptive costs A'!H59-'Adaptive costs B'!H59</f>
        <v>0</v>
      </c>
      <c r="I59" s="67">
        <f ca="1">'Adaptive costs A'!I59-'Adaptive costs B'!I59</f>
        <v>0</v>
      </c>
      <c r="J59" s="67">
        <f ca="1">'Adaptive costs A'!J59-'Adaptive costs B'!J59</f>
        <v>0</v>
      </c>
      <c r="K59" s="67">
        <f ca="1">'Adaptive costs A'!K59-'Adaptive costs B'!K59</f>
        <v>0</v>
      </c>
      <c r="M59" s="4" t="str">
        <f t="shared" si="3"/>
        <v>$M(2015)</v>
      </c>
    </row>
    <row r="60" spans="1:13" ht="13.5" thickBot="1" x14ac:dyDescent="0.25">
      <c r="A60" s="2" t="str">
        <f>"Global "&amp;I_1_NAME</f>
        <v>Global Economic</v>
      </c>
      <c r="B60" s="73">
        <f ca="1">'Adaptive costs A'!B60-'Adaptive costs B'!B60</f>
        <v>0</v>
      </c>
      <c r="C60" s="73">
        <f ca="1">'Adaptive costs A'!C60-'Adaptive costs B'!C60</f>
        <v>0</v>
      </c>
      <c r="D60" s="73">
        <f ca="1">'Adaptive costs A'!D60-'Adaptive costs B'!D60</f>
        <v>0</v>
      </c>
      <c r="E60" s="73">
        <f ca="1">'Adaptive costs A'!E60-'Adaptive costs B'!E60</f>
        <v>0</v>
      </c>
      <c r="F60" s="73">
        <f ca="1">'Adaptive costs A'!F60-'Adaptive costs B'!F60</f>
        <v>0</v>
      </c>
      <c r="G60" s="73">
        <f ca="1">'Adaptive costs A'!G60-'Adaptive costs B'!G60</f>
        <v>0</v>
      </c>
      <c r="H60" s="73">
        <f ca="1">'Adaptive costs A'!H60-'Adaptive costs B'!H60</f>
        <v>0</v>
      </c>
      <c r="I60" s="73">
        <f ca="1">'Adaptive costs A'!I60-'Adaptive costs B'!I60</f>
        <v>0</v>
      </c>
      <c r="J60" s="73">
        <f ca="1">'Adaptive costs A'!J60-'Adaptive costs B'!J60</f>
        <v>0</v>
      </c>
      <c r="K60" s="73">
        <f ca="1">'Adaptive costs A'!K60-'Adaptive costs B'!K60</f>
        <v>0</v>
      </c>
      <c r="L60" s="1"/>
      <c r="M60" s="4" t="str">
        <f t="shared" si="3"/>
        <v>$M(2015)</v>
      </c>
    </row>
    <row r="61" spans="1:13" s="2" customFormat="1" ht="15" thickTop="1" x14ac:dyDescent="0.25">
      <c r="A61" s="2" t="s">
        <v>372</v>
      </c>
      <c r="B61" s="2" t="s">
        <v>376</v>
      </c>
    </row>
    <row r="62" spans="1:13" x14ac:dyDescent="0.2">
      <c r="A62" t="str">
        <f t="array" ref="A62:A69">R_CODE&amp;" "&amp;I_1_NAME</f>
        <v>EU Economic</v>
      </c>
      <c r="B62" s="66">
        <f ca="1">'Adaptive costs A'!B62-'Adaptive costs B'!B62</f>
        <v>0</v>
      </c>
      <c r="C62" s="66">
        <f ca="1">'Adaptive costs A'!C62-'Adaptive costs B'!C62</f>
        <v>0</v>
      </c>
      <c r="D62" s="66">
        <f ca="1">'Adaptive costs A'!D62-'Adaptive costs B'!D62</f>
        <v>0</v>
      </c>
      <c r="E62" s="66">
        <f ca="1">'Adaptive costs A'!E62-'Adaptive costs B'!E62</f>
        <v>0</v>
      </c>
      <c r="F62" s="66">
        <f ca="1">'Adaptive costs A'!F62-'Adaptive costs B'!F62</f>
        <v>0</v>
      </c>
      <c r="G62" s="66">
        <f ca="1">'Adaptive costs A'!G62-'Adaptive costs B'!G62</f>
        <v>0</v>
      </c>
      <c r="H62" s="66">
        <f ca="1">'Adaptive costs A'!H62-'Adaptive costs B'!H62</f>
        <v>0</v>
      </c>
      <c r="I62" s="66">
        <f ca="1">'Adaptive costs A'!I62-'Adaptive costs B'!I62</f>
        <v>0</v>
      </c>
      <c r="J62" s="66">
        <f ca="1">'Adaptive costs A'!J62-'Adaptive costs B'!J62</f>
        <v>0</v>
      </c>
      <c r="K62" s="66">
        <f ca="1">'Adaptive costs A'!K62-'Adaptive costs B'!K62</f>
        <v>0</v>
      </c>
      <c r="M62" s="4" t="str">
        <f t="shared" ref="M62:M70" si="4">CURRENCY_NAME</f>
        <v>$M(2015)</v>
      </c>
    </row>
    <row r="63" spans="1:13" x14ac:dyDescent="0.2">
      <c r="A63" t="str">
        <v>US Economic</v>
      </c>
      <c r="B63" s="67">
        <f ca="1">'Adaptive costs A'!B63-'Adaptive costs B'!B63</f>
        <v>0</v>
      </c>
      <c r="C63" s="67">
        <f ca="1">'Adaptive costs A'!C63-'Adaptive costs B'!C63</f>
        <v>0</v>
      </c>
      <c r="D63" s="67">
        <f ca="1">'Adaptive costs A'!D63-'Adaptive costs B'!D63</f>
        <v>0</v>
      </c>
      <c r="E63" s="67">
        <f ca="1">'Adaptive costs A'!E63-'Adaptive costs B'!E63</f>
        <v>0</v>
      </c>
      <c r="F63" s="67">
        <f ca="1">'Adaptive costs A'!F63-'Adaptive costs B'!F63</f>
        <v>0</v>
      </c>
      <c r="G63" s="67">
        <f ca="1">'Adaptive costs A'!G63-'Adaptive costs B'!G63</f>
        <v>0</v>
      </c>
      <c r="H63" s="67">
        <f ca="1">'Adaptive costs A'!H63-'Adaptive costs B'!H63</f>
        <v>0</v>
      </c>
      <c r="I63" s="67">
        <f ca="1">'Adaptive costs A'!I63-'Adaptive costs B'!I63</f>
        <v>0</v>
      </c>
      <c r="J63" s="67">
        <f ca="1">'Adaptive costs A'!J63-'Adaptive costs B'!J63</f>
        <v>0</v>
      </c>
      <c r="K63" s="67">
        <f ca="1">'Adaptive costs A'!K63-'Adaptive costs B'!K63</f>
        <v>0</v>
      </c>
      <c r="M63" s="4" t="str">
        <f t="shared" si="4"/>
        <v>$M(2015)</v>
      </c>
    </row>
    <row r="64" spans="1:13" x14ac:dyDescent="0.2">
      <c r="A64" t="str">
        <v>OT Economic</v>
      </c>
      <c r="B64" s="67">
        <f ca="1">'Adaptive costs A'!B64-'Adaptive costs B'!B64</f>
        <v>0</v>
      </c>
      <c r="C64" s="67">
        <f ca="1">'Adaptive costs A'!C64-'Adaptive costs B'!C64</f>
        <v>0</v>
      </c>
      <c r="D64" s="67">
        <f ca="1">'Adaptive costs A'!D64-'Adaptive costs B'!D64</f>
        <v>0</v>
      </c>
      <c r="E64" s="67">
        <f ca="1">'Adaptive costs A'!E64-'Adaptive costs B'!E64</f>
        <v>0</v>
      </c>
      <c r="F64" s="67">
        <f ca="1">'Adaptive costs A'!F64-'Adaptive costs B'!F64</f>
        <v>0</v>
      </c>
      <c r="G64" s="67">
        <f ca="1">'Adaptive costs A'!G64-'Adaptive costs B'!G64</f>
        <v>0</v>
      </c>
      <c r="H64" s="67">
        <f ca="1">'Adaptive costs A'!H64-'Adaptive costs B'!H64</f>
        <v>0</v>
      </c>
      <c r="I64" s="67">
        <f ca="1">'Adaptive costs A'!I64-'Adaptive costs B'!I64</f>
        <v>0</v>
      </c>
      <c r="J64" s="67">
        <f ca="1">'Adaptive costs A'!J64-'Adaptive costs B'!J64</f>
        <v>0</v>
      </c>
      <c r="K64" s="67">
        <f ca="1">'Adaptive costs A'!K64-'Adaptive costs B'!K64</f>
        <v>0</v>
      </c>
      <c r="M64" s="4" t="str">
        <f t="shared" si="4"/>
        <v>$M(2015)</v>
      </c>
    </row>
    <row r="65" spans="1:13" x14ac:dyDescent="0.2">
      <c r="A65" t="str">
        <v>EE Economic</v>
      </c>
      <c r="B65" s="67">
        <f ca="1">'Adaptive costs A'!B65-'Adaptive costs B'!B65</f>
        <v>0</v>
      </c>
      <c r="C65" s="67">
        <f ca="1">'Adaptive costs A'!C65-'Adaptive costs B'!C65</f>
        <v>0</v>
      </c>
      <c r="D65" s="67">
        <f ca="1">'Adaptive costs A'!D65-'Adaptive costs B'!D65</f>
        <v>0</v>
      </c>
      <c r="E65" s="67">
        <f ca="1">'Adaptive costs A'!E65-'Adaptive costs B'!E65</f>
        <v>0</v>
      </c>
      <c r="F65" s="67">
        <f ca="1">'Adaptive costs A'!F65-'Adaptive costs B'!F65</f>
        <v>0</v>
      </c>
      <c r="G65" s="67">
        <f ca="1">'Adaptive costs A'!G65-'Adaptive costs B'!G65</f>
        <v>0</v>
      </c>
      <c r="H65" s="67">
        <f ca="1">'Adaptive costs A'!H65-'Adaptive costs B'!H65</f>
        <v>0</v>
      </c>
      <c r="I65" s="67">
        <f ca="1">'Adaptive costs A'!I65-'Adaptive costs B'!I65</f>
        <v>0</v>
      </c>
      <c r="J65" s="67">
        <f ca="1">'Adaptive costs A'!J65-'Adaptive costs B'!J65</f>
        <v>0</v>
      </c>
      <c r="K65" s="67">
        <f ca="1">'Adaptive costs A'!K65-'Adaptive costs B'!K65</f>
        <v>0</v>
      </c>
      <c r="M65" s="4" t="str">
        <f t="shared" si="4"/>
        <v>$M(2015)</v>
      </c>
    </row>
    <row r="66" spans="1:13" x14ac:dyDescent="0.2">
      <c r="A66" t="str">
        <v>CA Economic</v>
      </c>
      <c r="B66" s="67">
        <f ca="1">'Adaptive costs A'!B66-'Adaptive costs B'!B66</f>
        <v>0</v>
      </c>
      <c r="C66" s="67">
        <f ca="1">'Adaptive costs A'!C66-'Adaptive costs B'!C66</f>
        <v>0</v>
      </c>
      <c r="D66" s="67">
        <f ca="1">'Adaptive costs A'!D66-'Adaptive costs B'!D66</f>
        <v>0</v>
      </c>
      <c r="E66" s="67">
        <f ca="1">'Adaptive costs A'!E66-'Adaptive costs B'!E66</f>
        <v>0</v>
      </c>
      <c r="F66" s="67">
        <f ca="1">'Adaptive costs A'!F66-'Adaptive costs B'!F66</f>
        <v>0</v>
      </c>
      <c r="G66" s="67">
        <f ca="1">'Adaptive costs A'!G66-'Adaptive costs B'!G66</f>
        <v>0</v>
      </c>
      <c r="H66" s="67">
        <f ca="1">'Adaptive costs A'!H66-'Adaptive costs B'!H66</f>
        <v>0</v>
      </c>
      <c r="I66" s="67">
        <f ca="1">'Adaptive costs A'!I66-'Adaptive costs B'!I66</f>
        <v>0</v>
      </c>
      <c r="J66" s="67">
        <f ca="1">'Adaptive costs A'!J66-'Adaptive costs B'!J66</f>
        <v>0</v>
      </c>
      <c r="K66" s="67">
        <f ca="1">'Adaptive costs A'!K66-'Adaptive costs B'!K66</f>
        <v>0</v>
      </c>
      <c r="M66" s="4" t="str">
        <f t="shared" si="4"/>
        <v>$M(2015)</v>
      </c>
    </row>
    <row r="67" spans="1:13" x14ac:dyDescent="0.2">
      <c r="A67" t="str">
        <v>IA Economic</v>
      </c>
      <c r="B67" s="67">
        <f ca="1">'Adaptive costs A'!B67-'Adaptive costs B'!B67</f>
        <v>0</v>
      </c>
      <c r="C67" s="67">
        <f ca="1">'Adaptive costs A'!C67-'Adaptive costs B'!C67</f>
        <v>0</v>
      </c>
      <c r="D67" s="67">
        <f ca="1">'Adaptive costs A'!D67-'Adaptive costs B'!D67</f>
        <v>0</v>
      </c>
      <c r="E67" s="67">
        <f ca="1">'Adaptive costs A'!E67-'Adaptive costs B'!E67</f>
        <v>0</v>
      </c>
      <c r="F67" s="67">
        <f ca="1">'Adaptive costs A'!F67-'Adaptive costs B'!F67</f>
        <v>0</v>
      </c>
      <c r="G67" s="67">
        <f ca="1">'Adaptive costs A'!G67-'Adaptive costs B'!G67</f>
        <v>0</v>
      </c>
      <c r="H67" s="67">
        <f ca="1">'Adaptive costs A'!H67-'Adaptive costs B'!H67</f>
        <v>0</v>
      </c>
      <c r="I67" s="67">
        <f ca="1">'Adaptive costs A'!I67-'Adaptive costs B'!I67</f>
        <v>0</v>
      </c>
      <c r="J67" s="67">
        <f ca="1">'Adaptive costs A'!J67-'Adaptive costs B'!J67</f>
        <v>0</v>
      </c>
      <c r="K67" s="67">
        <f ca="1">'Adaptive costs A'!K67-'Adaptive costs B'!K67</f>
        <v>0</v>
      </c>
      <c r="M67" s="4" t="str">
        <f t="shared" si="4"/>
        <v>$M(2015)</v>
      </c>
    </row>
    <row r="68" spans="1:13" x14ac:dyDescent="0.2">
      <c r="A68" t="str">
        <v>AF Economic</v>
      </c>
      <c r="B68" s="67">
        <f ca="1">'Adaptive costs A'!B68-'Adaptive costs B'!B68</f>
        <v>0</v>
      </c>
      <c r="C68" s="67">
        <f ca="1">'Adaptive costs A'!C68-'Adaptive costs B'!C68</f>
        <v>0</v>
      </c>
      <c r="D68" s="67">
        <f ca="1">'Adaptive costs A'!D68-'Adaptive costs B'!D68</f>
        <v>0</v>
      </c>
      <c r="E68" s="67">
        <f ca="1">'Adaptive costs A'!E68-'Adaptive costs B'!E68</f>
        <v>0</v>
      </c>
      <c r="F68" s="67">
        <f ca="1">'Adaptive costs A'!F68-'Adaptive costs B'!F68</f>
        <v>0</v>
      </c>
      <c r="G68" s="67">
        <f ca="1">'Adaptive costs A'!G68-'Adaptive costs B'!G68</f>
        <v>0</v>
      </c>
      <c r="H68" s="67">
        <f ca="1">'Adaptive costs A'!H68-'Adaptive costs B'!H68</f>
        <v>0</v>
      </c>
      <c r="I68" s="67">
        <f ca="1">'Adaptive costs A'!I68-'Adaptive costs B'!I68</f>
        <v>0</v>
      </c>
      <c r="J68" s="67">
        <f ca="1">'Adaptive costs A'!J68-'Adaptive costs B'!J68</f>
        <v>0</v>
      </c>
      <c r="K68" s="67">
        <f ca="1">'Adaptive costs A'!K68-'Adaptive costs B'!K68</f>
        <v>0</v>
      </c>
      <c r="M68" s="4" t="str">
        <f t="shared" si="4"/>
        <v>$M(2015)</v>
      </c>
    </row>
    <row r="69" spans="1:13" x14ac:dyDescent="0.2">
      <c r="A69" t="str">
        <v>LA Economic</v>
      </c>
      <c r="B69" s="67">
        <f ca="1">'Adaptive costs A'!B69-'Adaptive costs B'!B69</f>
        <v>0</v>
      </c>
      <c r="C69" s="67">
        <f ca="1">'Adaptive costs A'!C69-'Adaptive costs B'!C69</f>
        <v>0</v>
      </c>
      <c r="D69" s="67">
        <f ca="1">'Adaptive costs A'!D69-'Adaptive costs B'!D69</f>
        <v>0</v>
      </c>
      <c r="E69" s="67">
        <f ca="1">'Adaptive costs A'!E69-'Adaptive costs B'!E69</f>
        <v>0</v>
      </c>
      <c r="F69" s="67">
        <f ca="1">'Adaptive costs A'!F69-'Adaptive costs B'!F69</f>
        <v>0</v>
      </c>
      <c r="G69" s="67">
        <f ca="1">'Adaptive costs A'!G69-'Adaptive costs B'!G69</f>
        <v>0</v>
      </c>
      <c r="H69" s="67">
        <f ca="1">'Adaptive costs A'!H69-'Adaptive costs B'!H69</f>
        <v>0</v>
      </c>
      <c r="I69" s="67">
        <f ca="1">'Adaptive costs A'!I69-'Adaptive costs B'!I69</f>
        <v>0</v>
      </c>
      <c r="J69" s="67">
        <f ca="1">'Adaptive costs A'!J69-'Adaptive costs B'!J69</f>
        <v>0</v>
      </c>
      <c r="K69" s="67">
        <f ca="1">'Adaptive costs A'!K69-'Adaptive costs B'!K69</f>
        <v>0</v>
      </c>
      <c r="M69" s="4" t="str">
        <f t="shared" si="4"/>
        <v>$M(2015)</v>
      </c>
    </row>
    <row r="70" spans="1:13" ht="13.5" thickBot="1" x14ac:dyDescent="0.25">
      <c r="A70" s="2" t="str">
        <f>"Global "&amp;I_1_NAME</f>
        <v>Global Economic</v>
      </c>
      <c r="B70" s="73">
        <f ca="1">'Adaptive costs A'!B70-'Adaptive costs B'!B70</f>
        <v>0</v>
      </c>
      <c r="C70" s="73">
        <f ca="1">'Adaptive costs A'!C70-'Adaptive costs B'!C70</f>
        <v>0</v>
      </c>
      <c r="D70" s="73">
        <f ca="1">'Adaptive costs A'!D70-'Adaptive costs B'!D70</f>
        <v>0</v>
      </c>
      <c r="E70" s="73">
        <f ca="1">'Adaptive costs A'!E70-'Adaptive costs B'!E70</f>
        <v>0</v>
      </c>
      <c r="F70" s="73">
        <f ca="1">'Adaptive costs A'!F70-'Adaptive costs B'!F70</f>
        <v>0</v>
      </c>
      <c r="G70" s="73">
        <f ca="1">'Adaptive costs A'!G70-'Adaptive costs B'!G70</f>
        <v>0</v>
      </c>
      <c r="H70" s="73">
        <f ca="1">'Adaptive costs A'!H70-'Adaptive costs B'!H70</f>
        <v>0</v>
      </c>
      <c r="I70" s="73">
        <f ca="1">'Adaptive costs A'!I70-'Adaptive costs B'!I70</f>
        <v>0</v>
      </c>
      <c r="J70" s="73">
        <f ca="1">'Adaptive costs A'!J70-'Adaptive costs B'!J70</f>
        <v>0</v>
      </c>
      <c r="K70" s="73">
        <f ca="1">'Adaptive costs A'!K70-'Adaptive costs B'!K70</f>
        <v>0</v>
      </c>
      <c r="L70" s="1"/>
      <c r="M70" s="4" t="str">
        <f t="shared" si="4"/>
        <v>$M(2015)</v>
      </c>
    </row>
    <row r="71" spans="1:13" ht="15" thickTop="1" x14ac:dyDescent="0.25">
      <c r="A71" s="44" t="s">
        <v>110</v>
      </c>
      <c r="B71" s="2" t="s">
        <v>93</v>
      </c>
      <c r="C71" s="1"/>
      <c r="D71" s="1"/>
      <c r="E71" s="1"/>
      <c r="F71" s="1"/>
      <c r="G71" s="1"/>
      <c r="H71" s="1"/>
      <c r="I71" s="1"/>
      <c r="J71" s="1"/>
      <c r="K71" s="1"/>
      <c r="L71" s="1"/>
      <c r="M71" s="1"/>
    </row>
    <row r="72" spans="1:13" x14ac:dyDescent="0.2">
      <c r="A72" t="str">
        <f t="array" ref="A72:A79">R_CODE&amp;" "&amp;I_1_NAME</f>
        <v>EU Economic</v>
      </c>
      <c r="B72" s="66">
        <f ca="1">'Adaptive costs A'!B72-'Adaptive costs B'!B72</f>
        <v>0</v>
      </c>
      <c r="C72" s="66">
        <f ca="1">'Adaptive costs A'!C72-'Adaptive costs B'!C72</f>
        <v>0</v>
      </c>
      <c r="D72" s="66">
        <f ca="1">'Adaptive costs A'!D72-'Adaptive costs B'!D72</f>
        <v>0</v>
      </c>
      <c r="E72" s="66">
        <f ca="1">'Adaptive costs A'!E72-'Adaptive costs B'!E72</f>
        <v>0</v>
      </c>
      <c r="F72" s="66">
        <f ca="1">'Adaptive costs A'!F72-'Adaptive costs B'!F72</f>
        <v>0</v>
      </c>
      <c r="G72" s="66">
        <f ca="1">'Adaptive costs A'!G72-'Adaptive costs B'!G72</f>
        <v>0</v>
      </c>
      <c r="H72" s="66">
        <f ca="1">'Adaptive costs A'!H72-'Adaptive costs B'!H72</f>
        <v>0</v>
      </c>
      <c r="I72" s="66">
        <f ca="1">'Adaptive costs A'!I72-'Adaptive costs B'!I72</f>
        <v>0</v>
      </c>
      <c r="J72" s="66">
        <f ca="1">'Adaptive costs A'!J72-'Adaptive costs B'!J72</f>
        <v>0</v>
      </c>
      <c r="K72" s="66">
        <f ca="1">'Adaptive costs A'!K72-'Adaptive costs B'!K72</f>
        <v>0</v>
      </c>
      <c r="L72" s="1"/>
      <c r="M72" s="4" t="str">
        <f t="shared" ref="M72:M80" si="5">CURRENCY_NAME</f>
        <v>$M(2015)</v>
      </c>
    </row>
    <row r="73" spans="1:13" x14ac:dyDescent="0.2">
      <c r="A73" t="str">
        <v>US Economic</v>
      </c>
      <c r="B73" s="67">
        <f ca="1">'Adaptive costs A'!B73-'Adaptive costs B'!B73</f>
        <v>0</v>
      </c>
      <c r="C73" s="67">
        <f ca="1">'Adaptive costs A'!C73-'Adaptive costs B'!C73</f>
        <v>0</v>
      </c>
      <c r="D73" s="67">
        <f ca="1">'Adaptive costs A'!D73-'Adaptive costs B'!D73</f>
        <v>0</v>
      </c>
      <c r="E73" s="67">
        <f ca="1">'Adaptive costs A'!E73-'Adaptive costs B'!E73</f>
        <v>0</v>
      </c>
      <c r="F73" s="67">
        <f ca="1">'Adaptive costs A'!F73-'Adaptive costs B'!F73</f>
        <v>0</v>
      </c>
      <c r="G73" s="67">
        <f ca="1">'Adaptive costs A'!G73-'Adaptive costs B'!G73</f>
        <v>0</v>
      </c>
      <c r="H73" s="67">
        <f ca="1">'Adaptive costs A'!H73-'Adaptive costs B'!H73</f>
        <v>0</v>
      </c>
      <c r="I73" s="67">
        <f ca="1">'Adaptive costs A'!I73-'Adaptive costs B'!I73</f>
        <v>0</v>
      </c>
      <c r="J73" s="67">
        <f ca="1">'Adaptive costs A'!J73-'Adaptive costs B'!J73</f>
        <v>0</v>
      </c>
      <c r="K73" s="67">
        <f ca="1">'Adaptive costs A'!K73-'Adaptive costs B'!K73</f>
        <v>0</v>
      </c>
      <c r="L73" s="1"/>
      <c r="M73" s="4" t="str">
        <f t="shared" si="5"/>
        <v>$M(2015)</v>
      </c>
    </row>
    <row r="74" spans="1:13" x14ac:dyDescent="0.2">
      <c r="A74" t="str">
        <v>OT Economic</v>
      </c>
      <c r="B74" s="67">
        <f ca="1">'Adaptive costs A'!B74-'Adaptive costs B'!B74</f>
        <v>0</v>
      </c>
      <c r="C74" s="67">
        <f ca="1">'Adaptive costs A'!C74-'Adaptive costs B'!C74</f>
        <v>0</v>
      </c>
      <c r="D74" s="67">
        <f ca="1">'Adaptive costs A'!D74-'Adaptive costs B'!D74</f>
        <v>0</v>
      </c>
      <c r="E74" s="67">
        <f ca="1">'Adaptive costs A'!E74-'Adaptive costs B'!E74</f>
        <v>0</v>
      </c>
      <c r="F74" s="67">
        <f ca="1">'Adaptive costs A'!F74-'Adaptive costs B'!F74</f>
        <v>0</v>
      </c>
      <c r="G74" s="67">
        <f ca="1">'Adaptive costs A'!G74-'Adaptive costs B'!G74</f>
        <v>0</v>
      </c>
      <c r="H74" s="67">
        <f ca="1">'Adaptive costs A'!H74-'Adaptive costs B'!H74</f>
        <v>0</v>
      </c>
      <c r="I74" s="67">
        <f ca="1">'Adaptive costs A'!I74-'Adaptive costs B'!I74</f>
        <v>0</v>
      </c>
      <c r="J74" s="67">
        <f ca="1">'Adaptive costs A'!J74-'Adaptive costs B'!J74</f>
        <v>0</v>
      </c>
      <c r="K74" s="67">
        <f ca="1">'Adaptive costs A'!K74-'Adaptive costs B'!K74</f>
        <v>0</v>
      </c>
      <c r="L74" s="1"/>
      <c r="M74" s="4" t="str">
        <f t="shared" si="5"/>
        <v>$M(2015)</v>
      </c>
    </row>
    <row r="75" spans="1:13" x14ac:dyDescent="0.2">
      <c r="A75" t="str">
        <v>EE Economic</v>
      </c>
      <c r="B75" s="67">
        <f ca="1">'Adaptive costs A'!B75-'Adaptive costs B'!B75</f>
        <v>0</v>
      </c>
      <c r="C75" s="67">
        <f ca="1">'Adaptive costs A'!C75-'Adaptive costs B'!C75</f>
        <v>0</v>
      </c>
      <c r="D75" s="67">
        <f ca="1">'Adaptive costs A'!D75-'Adaptive costs B'!D75</f>
        <v>0</v>
      </c>
      <c r="E75" s="67">
        <f ca="1">'Adaptive costs A'!E75-'Adaptive costs B'!E75</f>
        <v>0</v>
      </c>
      <c r="F75" s="67">
        <f ca="1">'Adaptive costs A'!F75-'Adaptive costs B'!F75</f>
        <v>0</v>
      </c>
      <c r="G75" s="67">
        <f ca="1">'Adaptive costs A'!G75-'Adaptive costs B'!G75</f>
        <v>0</v>
      </c>
      <c r="H75" s="67">
        <f ca="1">'Adaptive costs A'!H75-'Adaptive costs B'!H75</f>
        <v>0</v>
      </c>
      <c r="I75" s="67">
        <f ca="1">'Adaptive costs A'!I75-'Adaptive costs B'!I75</f>
        <v>0</v>
      </c>
      <c r="J75" s="67">
        <f ca="1">'Adaptive costs A'!J75-'Adaptive costs B'!J75</f>
        <v>0</v>
      </c>
      <c r="K75" s="67">
        <f ca="1">'Adaptive costs A'!K75-'Adaptive costs B'!K75</f>
        <v>0</v>
      </c>
      <c r="L75" s="1"/>
      <c r="M75" s="4" t="str">
        <f t="shared" si="5"/>
        <v>$M(2015)</v>
      </c>
    </row>
    <row r="76" spans="1:13" x14ac:dyDescent="0.2">
      <c r="A76" t="str">
        <v>CA Economic</v>
      </c>
      <c r="B76" s="67">
        <f ca="1">'Adaptive costs A'!B76-'Adaptive costs B'!B76</f>
        <v>0</v>
      </c>
      <c r="C76" s="67">
        <f ca="1">'Adaptive costs A'!C76-'Adaptive costs B'!C76</f>
        <v>0</v>
      </c>
      <c r="D76" s="67">
        <f ca="1">'Adaptive costs A'!D76-'Adaptive costs B'!D76</f>
        <v>0</v>
      </c>
      <c r="E76" s="67">
        <f ca="1">'Adaptive costs A'!E76-'Adaptive costs B'!E76</f>
        <v>0</v>
      </c>
      <c r="F76" s="67">
        <f ca="1">'Adaptive costs A'!F76-'Adaptive costs B'!F76</f>
        <v>0</v>
      </c>
      <c r="G76" s="67">
        <f ca="1">'Adaptive costs A'!G76-'Adaptive costs B'!G76</f>
        <v>0</v>
      </c>
      <c r="H76" s="67">
        <f ca="1">'Adaptive costs A'!H76-'Adaptive costs B'!H76</f>
        <v>0</v>
      </c>
      <c r="I76" s="67">
        <f ca="1">'Adaptive costs A'!I76-'Adaptive costs B'!I76</f>
        <v>0</v>
      </c>
      <c r="J76" s="67">
        <f ca="1">'Adaptive costs A'!J76-'Adaptive costs B'!J76</f>
        <v>0</v>
      </c>
      <c r="K76" s="67">
        <f ca="1">'Adaptive costs A'!K76-'Adaptive costs B'!K76</f>
        <v>0</v>
      </c>
      <c r="L76" s="1"/>
      <c r="M76" s="4" t="str">
        <f t="shared" si="5"/>
        <v>$M(2015)</v>
      </c>
    </row>
    <row r="77" spans="1:13" x14ac:dyDescent="0.2">
      <c r="A77" t="str">
        <v>IA Economic</v>
      </c>
      <c r="B77" s="67">
        <f ca="1">'Adaptive costs A'!B77-'Adaptive costs B'!B77</f>
        <v>0</v>
      </c>
      <c r="C77" s="67">
        <f ca="1">'Adaptive costs A'!C77-'Adaptive costs B'!C77</f>
        <v>0</v>
      </c>
      <c r="D77" s="67">
        <f ca="1">'Adaptive costs A'!D77-'Adaptive costs B'!D77</f>
        <v>0</v>
      </c>
      <c r="E77" s="67">
        <f ca="1">'Adaptive costs A'!E77-'Adaptive costs B'!E77</f>
        <v>0</v>
      </c>
      <c r="F77" s="67">
        <f ca="1">'Adaptive costs A'!F77-'Adaptive costs B'!F77</f>
        <v>0</v>
      </c>
      <c r="G77" s="67">
        <f ca="1">'Adaptive costs A'!G77-'Adaptive costs B'!G77</f>
        <v>0</v>
      </c>
      <c r="H77" s="67">
        <f ca="1">'Adaptive costs A'!H77-'Adaptive costs B'!H77</f>
        <v>0</v>
      </c>
      <c r="I77" s="67">
        <f ca="1">'Adaptive costs A'!I77-'Adaptive costs B'!I77</f>
        <v>0</v>
      </c>
      <c r="J77" s="67">
        <f ca="1">'Adaptive costs A'!J77-'Adaptive costs B'!J77</f>
        <v>0</v>
      </c>
      <c r="K77" s="67">
        <f ca="1">'Adaptive costs A'!K77-'Adaptive costs B'!K77</f>
        <v>0</v>
      </c>
      <c r="L77" s="1"/>
      <c r="M77" s="4" t="str">
        <f t="shared" si="5"/>
        <v>$M(2015)</v>
      </c>
    </row>
    <row r="78" spans="1:13" x14ac:dyDescent="0.2">
      <c r="A78" t="str">
        <v>AF Economic</v>
      </c>
      <c r="B78" s="67">
        <f ca="1">'Adaptive costs A'!B78-'Adaptive costs B'!B78</f>
        <v>0</v>
      </c>
      <c r="C78" s="67">
        <f ca="1">'Adaptive costs A'!C78-'Adaptive costs B'!C78</f>
        <v>0</v>
      </c>
      <c r="D78" s="67">
        <f ca="1">'Adaptive costs A'!D78-'Adaptive costs B'!D78</f>
        <v>0</v>
      </c>
      <c r="E78" s="67">
        <f ca="1">'Adaptive costs A'!E78-'Adaptive costs B'!E78</f>
        <v>0</v>
      </c>
      <c r="F78" s="67">
        <f ca="1">'Adaptive costs A'!F78-'Adaptive costs B'!F78</f>
        <v>0</v>
      </c>
      <c r="G78" s="67">
        <f ca="1">'Adaptive costs A'!G78-'Adaptive costs B'!G78</f>
        <v>0</v>
      </c>
      <c r="H78" s="67">
        <f ca="1">'Adaptive costs A'!H78-'Adaptive costs B'!H78</f>
        <v>0</v>
      </c>
      <c r="I78" s="67">
        <f ca="1">'Adaptive costs A'!I78-'Adaptive costs B'!I78</f>
        <v>0</v>
      </c>
      <c r="J78" s="67">
        <f ca="1">'Adaptive costs A'!J78-'Adaptive costs B'!J78</f>
        <v>0</v>
      </c>
      <c r="K78" s="67">
        <f ca="1">'Adaptive costs A'!K78-'Adaptive costs B'!K78</f>
        <v>0</v>
      </c>
      <c r="L78" s="1"/>
      <c r="M78" s="4" t="str">
        <f t="shared" si="5"/>
        <v>$M(2015)</v>
      </c>
    </row>
    <row r="79" spans="1:13" x14ac:dyDescent="0.2">
      <c r="A79" t="str">
        <v>LA Economic</v>
      </c>
      <c r="B79" s="67">
        <f ca="1">'Adaptive costs A'!B79-'Adaptive costs B'!B79</f>
        <v>0</v>
      </c>
      <c r="C79" s="67">
        <f ca="1">'Adaptive costs A'!C79-'Adaptive costs B'!C79</f>
        <v>0</v>
      </c>
      <c r="D79" s="67">
        <f ca="1">'Adaptive costs A'!D79-'Adaptive costs B'!D79</f>
        <v>0</v>
      </c>
      <c r="E79" s="67">
        <f ca="1">'Adaptive costs A'!E79-'Adaptive costs B'!E79</f>
        <v>0</v>
      </c>
      <c r="F79" s="67">
        <f ca="1">'Adaptive costs A'!F79-'Adaptive costs B'!F79</f>
        <v>0</v>
      </c>
      <c r="G79" s="67">
        <f ca="1">'Adaptive costs A'!G79-'Adaptive costs B'!G79</f>
        <v>0</v>
      </c>
      <c r="H79" s="67">
        <f ca="1">'Adaptive costs A'!H79-'Adaptive costs B'!H79</f>
        <v>0</v>
      </c>
      <c r="I79" s="67">
        <f ca="1">'Adaptive costs A'!I79-'Adaptive costs B'!I79</f>
        <v>0</v>
      </c>
      <c r="J79" s="67">
        <f ca="1">'Adaptive costs A'!J79-'Adaptive costs B'!J79</f>
        <v>0</v>
      </c>
      <c r="K79" s="67">
        <f ca="1">'Adaptive costs A'!K79-'Adaptive costs B'!K79</f>
        <v>0</v>
      </c>
      <c r="L79" s="1"/>
      <c r="M79" s="4" t="str">
        <f t="shared" si="5"/>
        <v>$M(2015)</v>
      </c>
    </row>
    <row r="80" spans="1:13" ht="13.5" thickBot="1" x14ac:dyDescent="0.25">
      <c r="A80" s="2" t="str">
        <f>"Global "&amp;I_1_NAME</f>
        <v>Global Economic</v>
      </c>
      <c r="B80" s="73">
        <f ca="1">'Adaptive costs A'!B80-'Adaptive costs B'!B80</f>
        <v>0</v>
      </c>
      <c r="C80" s="73">
        <f ca="1">'Adaptive costs A'!C80-'Adaptive costs B'!C80</f>
        <v>0</v>
      </c>
      <c r="D80" s="73">
        <f ca="1">'Adaptive costs A'!D80-'Adaptive costs B'!D80</f>
        <v>0</v>
      </c>
      <c r="E80" s="73">
        <f ca="1">'Adaptive costs A'!E80-'Adaptive costs B'!E80</f>
        <v>0</v>
      </c>
      <c r="F80" s="73">
        <f ca="1">'Adaptive costs A'!F80-'Adaptive costs B'!F80</f>
        <v>0</v>
      </c>
      <c r="G80" s="73">
        <f ca="1">'Adaptive costs A'!G80-'Adaptive costs B'!G80</f>
        <v>0</v>
      </c>
      <c r="H80" s="73">
        <f ca="1">'Adaptive costs A'!H80-'Adaptive costs B'!H80</f>
        <v>0</v>
      </c>
      <c r="I80" s="73">
        <f ca="1">'Adaptive costs A'!I80-'Adaptive costs B'!I80</f>
        <v>0</v>
      </c>
      <c r="J80" s="73">
        <f ca="1">'Adaptive costs A'!J80-'Adaptive costs B'!J80</f>
        <v>0</v>
      </c>
      <c r="K80" s="73">
        <f ca="1">'Adaptive costs A'!K80-'Adaptive costs B'!K80</f>
        <v>0</v>
      </c>
      <c r="L80" s="1"/>
      <c r="M80" s="4" t="str">
        <f t="shared" si="5"/>
        <v>$M(2015)</v>
      </c>
    </row>
    <row r="81" spans="1:13" s="2" customFormat="1" ht="15" thickTop="1" x14ac:dyDescent="0.25">
      <c r="A81" s="2" t="s">
        <v>370</v>
      </c>
      <c r="B81" s="2" t="s">
        <v>377</v>
      </c>
    </row>
    <row r="82" spans="1:13" s="4" customFormat="1" x14ac:dyDescent="0.2">
      <c r="A82" t="str">
        <f t="array" ref="A82:A89">R_CODE&amp;" "&amp;I_2_NAME</f>
        <v>EU Non-econ</v>
      </c>
      <c r="B82" s="66">
        <f ca="1">'Adaptive costs A'!B82-'Adaptive costs B'!B82</f>
        <v>0</v>
      </c>
      <c r="C82" s="66">
        <f ca="1">'Adaptive costs A'!C82-'Adaptive costs B'!C82</f>
        <v>0</v>
      </c>
      <c r="D82" s="66">
        <f ca="1">'Adaptive costs A'!D82-'Adaptive costs B'!D82</f>
        <v>0</v>
      </c>
      <c r="E82" s="66">
        <f ca="1">'Adaptive costs A'!E82-'Adaptive costs B'!E82</f>
        <v>0</v>
      </c>
      <c r="F82" s="66">
        <f ca="1">'Adaptive costs A'!F82-'Adaptive costs B'!F82</f>
        <v>0</v>
      </c>
      <c r="G82" s="66">
        <f ca="1">'Adaptive costs A'!G82-'Adaptive costs B'!G82</f>
        <v>0</v>
      </c>
      <c r="H82" s="66">
        <f ca="1">'Adaptive costs A'!H82-'Adaptive costs B'!H82</f>
        <v>0</v>
      </c>
      <c r="I82" s="66">
        <f ca="1">'Adaptive costs A'!I82-'Adaptive costs B'!I82</f>
        <v>0</v>
      </c>
      <c r="J82" s="66">
        <f ca="1">'Adaptive costs A'!J82-'Adaptive costs B'!J82</f>
        <v>0</v>
      </c>
      <c r="K82" s="66">
        <f ca="1">'Adaptive costs A'!K82-'Adaptive costs B'!K82</f>
        <v>0</v>
      </c>
      <c r="M82" s="4" t="str">
        <f t="shared" ref="M82:M90" si="6">CURRENCY_NAME</f>
        <v>$M(2015)</v>
      </c>
    </row>
    <row r="83" spans="1:13" s="4" customFormat="1" x14ac:dyDescent="0.2">
      <c r="A83" t="str">
        <v>US Non-econ</v>
      </c>
      <c r="B83" s="67">
        <f ca="1">'Adaptive costs A'!B83-'Adaptive costs B'!B83</f>
        <v>0</v>
      </c>
      <c r="C83" s="67">
        <f ca="1">'Adaptive costs A'!C83-'Adaptive costs B'!C83</f>
        <v>0</v>
      </c>
      <c r="D83" s="67">
        <f ca="1">'Adaptive costs A'!D83-'Adaptive costs B'!D83</f>
        <v>0</v>
      </c>
      <c r="E83" s="67">
        <f ca="1">'Adaptive costs A'!E83-'Adaptive costs B'!E83</f>
        <v>0</v>
      </c>
      <c r="F83" s="67">
        <f ca="1">'Adaptive costs A'!F83-'Adaptive costs B'!F83</f>
        <v>0</v>
      </c>
      <c r="G83" s="67">
        <f ca="1">'Adaptive costs A'!G83-'Adaptive costs B'!G83</f>
        <v>0</v>
      </c>
      <c r="H83" s="67">
        <f ca="1">'Adaptive costs A'!H83-'Adaptive costs B'!H83</f>
        <v>0</v>
      </c>
      <c r="I83" s="67">
        <f ca="1">'Adaptive costs A'!I83-'Adaptive costs B'!I83</f>
        <v>0</v>
      </c>
      <c r="J83" s="67">
        <f ca="1">'Adaptive costs A'!J83-'Adaptive costs B'!J83</f>
        <v>0</v>
      </c>
      <c r="K83" s="67">
        <f ca="1">'Adaptive costs A'!K83-'Adaptive costs B'!K83</f>
        <v>0</v>
      </c>
      <c r="M83" s="4" t="str">
        <f t="shared" si="6"/>
        <v>$M(2015)</v>
      </c>
    </row>
    <row r="84" spans="1:13" s="4" customFormat="1" x14ac:dyDescent="0.2">
      <c r="A84" t="str">
        <v>OT Non-econ</v>
      </c>
      <c r="B84" s="67">
        <f ca="1">'Adaptive costs A'!B84-'Adaptive costs B'!B84</f>
        <v>0</v>
      </c>
      <c r="C84" s="67">
        <f ca="1">'Adaptive costs A'!C84-'Adaptive costs B'!C84</f>
        <v>0</v>
      </c>
      <c r="D84" s="67">
        <f ca="1">'Adaptive costs A'!D84-'Adaptive costs B'!D84</f>
        <v>0</v>
      </c>
      <c r="E84" s="67">
        <f ca="1">'Adaptive costs A'!E84-'Adaptive costs B'!E84</f>
        <v>0</v>
      </c>
      <c r="F84" s="67">
        <f ca="1">'Adaptive costs A'!F84-'Adaptive costs B'!F84</f>
        <v>0</v>
      </c>
      <c r="G84" s="67">
        <f ca="1">'Adaptive costs A'!G84-'Adaptive costs B'!G84</f>
        <v>0</v>
      </c>
      <c r="H84" s="67">
        <f ca="1">'Adaptive costs A'!H84-'Adaptive costs B'!H84</f>
        <v>0</v>
      </c>
      <c r="I84" s="67">
        <f ca="1">'Adaptive costs A'!I84-'Adaptive costs B'!I84</f>
        <v>0</v>
      </c>
      <c r="J84" s="67">
        <f ca="1">'Adaptive costs A'!J84-'Adaptive costs B'!J84</f>
        <v>0</v>
      </c>
      <c r="K84" s="67">
        <f ca="1">'Adaptive costs A'!K84-'Adaptive costs B'!K84</f>
        <v>0</v>
      </c>
      <c r="M84" s="4" t="str">
        <f t="shared" si="6"/>
        <v>$M(2015)</v>
      </c>
    </row>
    <row r="85" spans="1:13" s="4" customFormat="1" x14ac:dyDescent="0.2">
      <c r="A85" t="str">
        <v>EE Non-econ</v>
      </c>
      <c r="B85" s="67">
        <f ca="1">'Adaptive costs A'!B85-'Adaptive costs B'!B85</f>
        <v>0</v>
      </c>
      <c r="C85" s="67">
        <f ca="1">'Adaptive costs A'!C85-'Adaptive costs B'!C85</f>
        <v>0</v>
      </c>
      <c r="D85" s="67">
        <f ca="1">'Adaptive costs A'!D85-'Adaptive costs B'!D85</f>
        <v>0</v>
      </c>
      <c r="E85" s="67">
        <f ca="1">'Adaptive costs A'!E85-'Adaptive costs B'!E85</f>
        <v>0</v>
      </c>
      <c r="F85" s="67">
        <f ca="1">'Adaptive costs A'!F85-'Adaptive costs B'!F85</f>
        <v>0</v>
      </c>
      <c r="G85" s="67">
        <f ca="1">'Adaptive costs A'!G85-'Adaptive costs B'!G85</f>
        <v>0</v>
      </c>
      <c r="H85" s="67">
        <f ca="1">'Adaptive costs A'!H85-'Adaptive costs B'!H85</f>
        <v>0</v>
      </c>
      <c r="I85" s="67">
        <f ca="1">'Adaptive costs A'!I85-'Adaptive costs B'!I85</f>
        <v>0</v>
      </c>
      <c r="J85" s="67">
        <f ca="1">'Adaptive costs A'!J85-'Adaptive costs B'!J85</f>
        <v>0</v>
      </c>
      <c r="K85" s="67">
        <f ca="1">'Adaptive costs A'!K85-'Adaptive costs B'!K85</f>
        <v>0</v>
      </c>
      <c r="M85" s="4" t="str">
        <f t="shared" si="6"/>
        <v>$M(2015)</v>
      </c>
    </row>
    <row r="86" spans="1:13" s="4" customFormat="1" x14ac:dyDescent="0.2">
      <c r="A86" t="str">
        <v>CA Non-econ</v>
      </c>
      <c r="B86" s="67">
        <f ca="1">'Adaptive costs A'!B86-'Adaptive costs B'!B86</f>
        <v>0</v>
      </c>
      <c r="C86" s="67">
        <f ca="1">'Adaptive costs A'!C86-'Adaptive costs B'!C86</f>
        <v>0</v>
      </c>
      <c r="D86" s="67">
        <f ca="1">'Adaptive costs A'!D86-'Adaptive costs B'!D86</f>
        <v>0</v>
      </c>
      <c r="E86" s="67">
        <f ca="1">'Adaptive costs A'!E86-'Adaptive costs B'!E86</f>
        <v>0</v>
      </c>
      <c r="F86" s="67">
        <f ca="1">'Adaptive costs A'!F86-'Adaptive costs B'!F86</f>
        <v>0</v>
      </c>
      <c r="G86" s="67">
        <f ca="1">'Adaptive costs A'!G86-'Adaptive costs B'!G86</f>
        <v>0</v>
      </c>
      <c r="H86" s="67">
        <f ca="1">'Adaptive costs A'!H86-'Adaptive costs B'!H86</f>
        <v>0</v>
      </c>
      <c r="I86" s="67">
        <f ca="1">'Adaptive costs A'!I86-'Adaptive costs B'!I86</f>
        <v>0</v>
      </c>
      <c r="J86" s="67">
        <f ca="1">'Adaptive costs A'!J86-'Adaptive costs B'!J86</f>
        <v>0</v>
      </c>
      <c r="K86" s="67">
        <f ca="1">'Adaptive costs A'!K86-'Adaptive costs B'!K86</f>
        <v>0</v>
      </c>
      <c r="M86" s="4" t="str">
        <f t="shared" si="6"/>
        <v>$M(2015)</v>
      </c>
    </row>
    <row r="87" spans="1:13" s="4" customFormat="1" x14ac:dyDescent="0.2">
      <c r="A87" t="str">
        <v>IA Non-econ</v>
      </c>
      <c r="B87" s="67">
        <f ca="1">'Adaptive costs A'!B87-'Adaptive costs B'!B87</f>
        <v>0</v>
      </c>
      <c r="C87" s="67">
        <f ca="1">'Adaptive costs A'!C87-'Adaptive costs B'!C87</f>
        <v>0</v>
      </c>
      <c r="D87" s="67">
        <f ca="1">'Adaptive costs A'!D87-'Adaptive costs B'!D87</f>
        <v>0</v>
      </c>
      <c r="E87" s="67">
        <f ca="1">'Adaptive costs A'!E87-'Adaptive costs B'!E87</f>
        <v>0</v>
      </c>
      <c r="F87" s="67">
        <f ca="1">'Adaptive costs A'!F87-'Adaptive costs B'!F87</f>
        <v>0</v>
      </c>
      <c r="G87" s="67">
        <f ca="1">'Adaptive costs A'!G87-'Adaptive costs B'!G87</f>
        <v>0</v>
      </c>
      <c r="H87" s="67">
        <f ca="1">'Adaptive costs A'!H87-'Adaptive costs B'!H87</f>
        <v>0</v>
      </c>
      <c r="I87" s="67">
        <f ca="1">'Adaptive costs A'!I87-'Adaptive costs B'!I87</f>
        <v>0</v>
      </c>
      <c r="J87" s="67">
        <f ca="1">'Adaptive costs A'!J87-'Adaptive costs B'!J87</f>
        <v>0</v>
      </c>
      <c r="K87" s="67">
        <f ca="1">'Adaptive costs A'!K87-'Adaptive costs B'!K87</f>
        <v>0</v>
      </c>
      <c r="M87" s="4" t="str">
        <f t="shared" si="6"/>
        <v>$M(2015)</v>
      </c>
    </row>
    <row r="88" spans="1:13" s="4" customFormat="1" x14ac:dyDescent="0.2">
      <c r="A88" t="str">
        <v>AF Non-econ</v>
      </c>
      <c r="B88" s="67">
        <f ca="1">'Adaptive costs A'!B88-'Adaptive costs B'!B88</f>
        <v>0</v>
      </c>
      <c r="C88" s="67">
        <f ca="1">'Adaptive costs A'!C88-'Adaptive costs B'!C88</f>
        <v>0</v>
      </c>
      <c r="D88" s="67">
        <f ca="1">'Adaptive costs A'!D88-'Adaptive costs B'!D88</f>
        <v>0</v>
      </c>
      <c r="E88" s="67">
        <f ca="1">'Adaptive costs A'!E88-'Adaptive costs B'!E88</f>
        <v>0</v>
      </c>
      <c r="F88" s="67">
        <f ca="1">'Adaptive costs A'!F88-'Adaptive costs B'!F88</f>
        <v>0</v>
      </c>
      <c r="G88" s="67">
        <f ca="1">'Adaptive costs A'!G88-'Adaptive costs B'!G88</f>
        <v>0</v>
      </c>
      <c r="H88" s="67">
        <f ca="1">'Adaptive costs A'!H88-'Adaptive costs B'!H88</f>
        <v>0</v>
      </c>
      <c r="I88" s="67">
        <f ca="1">'Adaptive costs A'!I88-'Adaptive costs B'!I88</f>
        <v>0</v>
      </c>
      <c r="J88" s="67">
        <f ca="1">'Adaptive costs A'!J88-'Adaptive costs B'!J88</f>
        <v>0</v>
      </c>
      <c r="K88" s="67">
        <f ca="1">'Adaptive costs A'!K88-'Adaptive costs B'!K88</f>
        <v>0</v>
      </c>
      <c r="M88" s="4" t="str">
        <f t="shared" si="6"/>
        <v>$M(2015)</v>
      </c>
    </row>
    <row r="89" spans="1:13" s="4" customFormat="1" x14ac:dyDescent="0.2">
      <c r="A89" t="str">
        <v>LA Non-econ</v>
      </c>
      <c r="B89" s="67">
        <f ca="1">'Adaptive costs A'!B89-'Adaptive costs B'!B89</f>
        <v>0</v>
      </c>
      <c r="C89" s="67">
        <f ca="1">'Adaptive costs A'!C89-'Adaptive costs B'!C89</f>
        <v>0</v>
      </c>
      <c r="D89" s="67">
        <f ca="1">'Adaptive costs A'!D89-'Adaptive costs B'!D89</f>
        <v>0</v>
      </c>
      <c r="E89" s="67">
        <f ca="1">'Adaptive costs A'!E89-'Adaptive costs B'!E89</f>
        <v>0</v>
      </c>
      <c r="F89" s="67">
        <f ca="1">'Adaptive costs A'!F89-'Adaptive costs B'!F89</f>
        <v>0</v>
      </c>
      <c r="G89" s="67">
        <f ca="1">'Adaptive costs A'!G89-'Adaptive costs B'!G89</f>
        <v>0</v>
      </c>
      <c r="H89" s="67">
        <f ca="1">'Adaptive costs A'!H89-'Adaptive costs B'!H89</f>
        <v>0</v>
      </c>
      <c r="I89" s="67">
        <f ca="1">'Adaptive costs A'!I89-'Adaptive costs B'!I89</f>
        <v>0</v>
      </c>
      <c r="J89" s="67">
        <f ca="1">'Adaptive costs A'!J89-'Adaptive costs B'!J89</f>
        <v>0</v>
      </c>
      <c r="K89" s="67">
        <f ca="1">'Adaptive costs A'!K89-'Adaptive costs B'!K89</f>
        <v>0</v>
      </c>
      <c r="M89" s="4" t="str">
        <f t="shared" si="6"/>
        <v>$M(2015)</v>
      </c>
    </row>
    <row r="90" spans="1:13" ht="13.5" thickBot="1" x14ac:dyDescent="0.25">
      <c r="A90" s="2" t="str">
        <f>"Global "&amp;I_2_NAME</f>
        <v>Global Non-econ</v>
      </c>
      <c r="B90" s="73">
        <f ca="1">'Adaptive costs A'!B90-'Adaptive costs B'!B90</f>
        <v>0</v>
      </c>
      <c r="C90" s="73">
        <f ca="1">'Adaptive costs A'!C90-'Adaptive costs B'!C90</f>
        <v>0</v>
      </c>
      <c r="D90" s="73">
        <f ca="1">'Adaptive costs A'!D90-'Adaptive costs B'!D90</f>
        <v>0</v>
      </c>
      <c r="E90" s="73">
        <f ca="1">'Adaptive costs A'!E90-'Adaptive costs B'!E90</f>
        <v>0</v>
      </c>
      <c r="F90" s="73">
        <f ca="1">'Adaptive costs A'!F90-'Adaptive costs B'!F90</f>
        <v>0</v>
      </c>
      <c r="G90" s="73">
        <f ca="1">'Adaptive costs A'!G90-'Adaptive costs B'!G90</f>
        <v>0</v>
      </c>
      <c r="H90" s="73">
        <f ca="1">'Adaptive costs A'!H90-'Adaptive costs B'!H90</f>
        <v>0</v>
      </c>
      <c r="I90" s="73">
        <f ca="1">'Adaptive costs A'!I90-'Adaptive costs B'!I90</f>
        <v>0</v>
      </c>
      <c r="J90" s="73">
        <f ca="1">'Adaptive costs A'!J90-'Adaptive costs B'!J90</f>
        <v>0</v>
      </c>
      <c r="K90" s="73">
        <f ca="1">'Adaptive costs A'!K90-'Adaptive costs B'!K90</f>
        <v>0</v>
      </c>
      <c r="L90" s="1"/>
      <c r="M90" s="4" t="str">
        <f t="shared" si="6"/>
        <v>$M(2015)</v>
      </c>
    </row>
    <row r="91" spans="1:13" s="2" customFormat="1" ht="15" thickTop="1" x14ac:dyDescent="0.25">
      <c r="A91" s="2" t="s">
        <v>372</v>
      </c>
      <c r="B91" s="2" t="s">
        <v>378</v>
      </c>
    </row>
    <row r="92" spans="1:13" x14ac:dyDescent="0.2">
      <c r="A92" t="str">
        <f t="array" ref="A92:A99">R_CODE&amp;" "&amp;I_2_NAME</f>
        <v>EU Non-econ</v>
      </c>
      <c r="B92" s="66">
        <f ca="1">'Adaptive costs A'!B92-'Adaptive costs B'!B92</f>
        <v>0</v>
      </c>
      <c r="C92" s="66">
        <f ca="1">'Adaptive costs A'!C92-'Adaptive costs B'!C92</f>
        <v>0</v>
      </c>
      <c r="D92" s="66">
        <f ca="1">'Adaptive costs A'!D92-'Adaptive costs B'!D92</f>
        <v>0</v>
      </c>
      <c r="E92" s="66">
        <f ca="1">'Adaptive costs A'!E92-'Adaptive costs B'!E92</f>
        <v>0</v>
      </c>
      <c r="F92" s="66">
        <f ca="1">'Adaptive costs A'!F92-'Adaptive costs B'!F92</f>
        <v>0</v>
      </c>
      <c r="G92" s="66">
        <f ca="1">'Adaptive costs A'!G92-'Adaptive costs B'!G92</f>
        <v>0</v>
      </c>
      <c r="H92" s="66">
        <f ca="1">'Adaptive costs A'!H92-'Adaptive costs B'!H92</f>
        <v>0</v>
      </c>
      <c r="I92" s="66">
        <f ca="1">'Adaptive costs A'!I92-'Adaptive costs B'!I92</f>
        <v>0</v>
      </c>
      <c r="J92" s="66">
        <f ca="1">'Adaptive costs A'!J92-'Adaptive costs B'!J92</f>
        <v>0</v>
      </c>
      <c r="K92" s="66">
        <f ca="1">'Adaptive costs A'!K92-'Adaptive costs B'!K92</f>
        <v>0</v>
      </c>
      <c r="M92" s="4" t="str">
        <f t="shared" ref="M92:M100" si="7">CURRENCY_NAME</f>
        <v>$M(2015)</v>
      </c>
    </row>
    <row r="93" spans="1:13" x14ac:dyDescent="0.2">
      <c r="A93" t="str">
        <v>US Non-econ</v>
      </c>
      <c r="B93" s="67">
        <f ca="1">'Adaptive costs A'!B93-'Adaptive costs B'!B93</f>
        <v>0</v>
      </c>
      <c r="C93" s="67">
        <f ca="1">'Adaptive costs A'!C93-'Adaptive costs B'!C93</f>
        <v>0</v>
      </c>
      <c r="D93" s="67">
        <f ca="1">'Adaptive costs A'!D93-'Adaptive costs B'!D93</f>
        <v>0</v>
      </c>
      <c r="E93" s="67">
        <f ca="1">'Adaptive costs A'!E93-'Adaptive costs B'!E93</f>
        <v>0</v>
      </c>
      <c r="F93" s="67">
        <f ca="1">'Adaptive costs A'!F93-'Adaptive costs B'!F93</f>
        <v>0</v>
      </c>
      <c r="G93" s="67">
        <f ca="1">'Adaptive costs A'!G93-'Adaptive costs B'!G93</f>
        <v>0</v>
      </c>
      <c r="H93" s="67">
        <f ca="1">'Adaptive costs A'!H93-'Adaptive costs B'!H93</f>
        <v>0</v>
      </c>
      <c r="I93" s="67">
        <f ca="1">'Adaptive costs A'!I93-'Adaptive costs B'!I93</f>
        <v>0</v>
      </c>
      <c r="J93" s="67">
        <f ca="1">'Adaptive costs A'!J93-'Adaptive costs B'!J93</f>
        <v>0</v>
      </c>
      <c r="K93" s="67">
        <f ca="1">'Adaptive costs A'!K93-'Adaptive costs B'!K93</f>
        <v>0</v>
      </c>
      <c r="M93" s="4" t="str">
        <f t="shared" si="7"/>
        <v>$M(2015)</v>
      </c>
    </row>
    <row r="94" spans="1:13" x14ac:dyDescent="0.2">
      <c r="A94" t="str">
        <v>OT Non-econ</v>
      </c>
      <c r="B94" s="67">
        <f ca="1">'Adaptive costs A'!B94-'Adaptive costs B'!B94</f>
        <v>0</v>
      </c>
      <c r="C94" s="67">
        <f ca="1">'Adaptive costs A'!C94-'Adaptive costs B'!C94</f>
        <v>0</v>
      </c>
      <c r="D94" s="67">
        <f ca="1">'Adaptive costs A'!D94-'Adaptive costs B'!D94</f>
        <v>0</v>
      </c>
      <c r="E94" s="67">
        <f ca="1">'Adaptive costs A'!E94-'Adaptive costs B'!E94</f>
        <v>0</v>
      </c>
      <c r="F94" s="67">
        <f ca="1">'Adaptive costs A'!F94-'Adaptive costs B'!F94</f>
        <v>0</v>
      </c>
      <c r="G94" s="67">
        <f ca="1">'Adaptive costs A'!G94-'Adaptive costs B'!G94</f>
        <v>0</v>
      </c>
      <c r="H94" s="67">
        <f ca="1">'Adaptive costs A'!H94-'Adaptive costs B'!H94</f>
        <v>0</v>
      </c>
      <c r="I94" s="67">
        <f ca="1">'Adaptive costs A'!I94-'Adaptive costs B'!I94</f>
        <v>0</v>
      </c>
      <c r="J94" s="67">
        <f ca="1">'Adaptive costs A'!J94-'Adaptive costs B'!J94</f>
        <v>0</v>
      </c>
      <c r="K94" s="67">
        <f ca="1">'Adaptive costs A'!K94-'Adaptive costs B'!K94</f>
        <v>0</v>
      </c>
      <c r="M94" s="4" t="str">
        <f t="shared" si="7"/>
        <v>$M(2015)</v>
      </c>
    </row>
    <row r="95" spans="1:13" x14ac:dyDescent="0.2">
      <c r="A95" t="str">
        <v>EE Non-econ</v>
      </c>
      <c r="B95" s="67">
        <f ca="1">'Adaptive costs A'!B95-'Adaptive costs B'!B95</f>
        <v>0</v>
      </c>
      <c r="C95" s="67">
        <f ca="1">'Adaptive costs A'!C95-'Adaptive costs B'!C95</f>
        <v>0</v>
      </c>
      <c r="D95" s="67">
        <f ca="1">'Adaptive costs A'!D95-'Adaptive costs B'!D95</f>
        <v>0</v>
      </c>
      <c r="E95" s="67">
        <f ca="1">'Adaptive costs A'!E95-'Adaptive costs B'!E95</f>
        <v>0</v>
      </c>
      <c r="F95" s="67">
        <f ca="1">'Adaptive costs A'!F95-'Adaptive costs B'!F95</f>
        <v>0</v>
      </c>
      <c r="G95" s="67">
        <f ca="1">'Adaptive costs A'!G95-'Adaptive costs B'!G95</f>
        <v>0</v>
      </c>
      <c r="H95" s="67">
        <f ca="1">'Adaptive costs A'!H95-'Adaptive costs B'!H95</f>
        <v>0</v>
      </c>
      <c r="I95" s="67">
        <f ca="1">'Adaptive costs A'!I95-'Adaptive costs B'!I95</f>
        <v>0</v>
      </c>
      <c r="J95" s="67">
        <f ca="1">'Adaptive costs A'!J95-'Adaptive costs B'!J95</f>
        <v>0</v>
      </c>
      <c r="K95" s="67">
        <f ca="1">'Adaptive costs A'!K95-'Adaptive costs B'!K95</f>
        <v>0</v>
      </c>
      <c r="M95" s="4" t="str">
        <f t="shared" si="7"/>
        <v>$M(2015)</v>
      </c>
    </row>
    <row r="96" spans="1:13" x14ac:dyDescent="0.2">
      <c r="A96" t="str">
        <v>CA Non-econ</v>
      </c>
      <c r="B96" s="67">
        <f ca="1">'Adaptive costs A'!B96-'Adaptive costs B'!B96</f>
        <v>0</v>
      </c>
      <c r="C96" s="67">
        <f ca="1">'Adaptive costs A'!C96-'Adaptive costs B'!C96</f>
        <v>0</v>
      </c>
      <c r="D96" s="67">
        <f ca="1">'Adaptive costs A'!D96-'Adaptive costs B'!D96</f>
        <v>0</v>
      </c>
      <c r="E96" s="67">
        <f ca="1">'Adaptive costs A'!E96-'Adaptive costs B'!E96</f>
        <v>0</v>
      </c>
      <c r="F96" s="67">
        <f ca="1">'Adaptive costs A'!F96-'Adaptive costs B'!F96</f>
        <v>0</v>
      </c>
      <c r="G96" s="67">
        <f ca="1">'Adaptive costs A'!G96-'Adaptive costs B'!G96</f>
        <v>0</v>
      </c>
      <c r="H96" s="67">
        <f ca="1">'Adaptive costs A'!H96-'Adaptive costs B'!H96</f>
        <v>0</v>
      </c>
      <c r="I96" s="67">
        <f ca="1">'Adaptive costs A'!I96-'Adaptive costs B'!I96</f>
        <v>0</v>
      </c>
      <c r="J96" s="67">
        <f ca="1">'Adaptive costs A'!J96-'Adaptive costs B'!J96</f>
        <v>0</v>
      </c>
      <c r="K96" s="67">
        <f ca="1">'Adaptive costs A'!K96-'Adaptive costs B'!K96</f>
        <v>0</v>
      </c>
      <c r="M96" s="4" t="str">
        <f t="shared" si="7"/>
        <v>$M(2015)</v>
      </c>
    </row>
    <row r="97" spans="1:13" x14ac:dyDescent="0.2">
      <c r="A97" t="str">
        <v>IA Non-econ</v>
      </c>
      <c r="B97" s="67">
        <f ca="1">'Adaptive costs A'!B97-'Adaptive costs B'!B97</f>
        <v>0</v>
      </c>
      <c r="C97" s="67">
        <f ca="1">'Adaptive costs A'!C97-'Adaptive costs B'!C97</f>
        <v>0</v>
      </c>
      <c r="D97" s="67">
        <f ca="1">'Adaptive costs A'!D97-'Adaptive costs B'!D97</f>
        <v>0</v>
      </c>
      <c r="E97" s="67">
        <f ca="1">'Adaptive costs A'!E97-'Adaptive costs B'!E97</f>
        <v>0</v>
      </c>
      <c r="F97" s="67">
        <f ca="1">'Adaptive costs A'!F97-'Adaptive costs B'!F97</f>
        <v>0</v>
      </c>
      <c r="G97" s="67">
        <f ca="1">'Adaptive costs A'!G97-'Adaptive costs B'!G97</f>
        <v>0</v>
      </c>
      <c r="H97" s="67">
        <f ca="1">'Adaptive costs A'!H97-'Adaptive costs B'!H97</f>
        <v>0</v>
      </c>
      <c r="I97" s="67">
        <f ca="1">'Adaptive costs A'!I97-'Adaptive costs B'!I97</f>
        <v>0</v>
      </c>
      <c r="J97" s="67">
        <f ca="1">'Adaptive costs A'!J97-'Adaptive costs B'!J97</f>
        <v>0</v>
      </c>
      <c r="K97" s="67">
        <f ca="1">'Adaptive costs A'!K97-'Adaptive costs B'!K97</f>
        <v>0</v>
      </c>
      <c r="M97" s="4" t="str">
        <f t="shared" si="7"/>
        <v>$M(2015)</v>
      </c>
    </row>
    <row r="98" spans="1:13" x14ac:dyDescent="0.2">
      <c r="A98" t="str">
        <v>AF Non-econ</v>
      </c>
      <c r="B98" s="67">
        <f ca="1">'Adaptive costs A'!B98-'Adaptive costs B'!B98</f>
        <v>0</v>
      </c>
      <c r="C98" s="67">
        <f ca="1">'Adaptive costs A'!C98-'Adaptive costs B'!C98</f>
        <v>0</v>
      </c>
      <c r="D98" s="67">
        <f ca="1">'Adaptive costs A'!D98-'Adaptive costs B'!D98</f>
        <v>0</v>
      </c>
      <c r="E98" s="67">
        <f ca="1">'Adaptive costs A'!E98-'Adaptive costs B'!E98</f>
        <v>0</v>
      </c>
      <c r="F98" s="67">
        <f ca="1">'Adaptive costs A'!F98-'Adaptive costs B'!F98</f>
        <v>0</v>
      </c>
      <c r="G98" s="67">
        <f ca="1">'Adaptive costs A'!G98-'Adaptive costs B'!G98</f>
        <v>0</v>
      </c>
      <c r="H98" s="67">
        <f ca="1">'Adaptive costs A'!H98-'Adaptive costs B'!H98</f>
        <v>0</v>
      </c>
      <c r="I98" s="67">
        <f ca="1">'Adaptive costs A'!I98-'Adaptive costs B'!I98</f>
        <v>0</v>
      </c>
      <c r="J98" s="67">
        <f ca="1">'Adaptive costs A'!J98-'Adaptive costs B'!J98</f>
        <v>0</v>
      </c>
      <c r="K98" s="67">
        <f ca="1">'Adaptive costs A'!K98-'Adaptive costs B'!K98</f>
        <v>0</v>
      </c>
      <c r="M98" s="4" t="str">
        <f t="shared" si="7"/>
        <v>$M(2015)</v>
      </c>
    </row>
    <row r="99" spans="1:13" x14ac:dyDescent="0.2">
      <c r="A99" t="str">
        <v>LA Non-econ</v>
      </c>
      <c r="B99" s="67">
        <f ca="1">'Adaptive costs A'!B99-'Adaptive costs B'!B99</f>
        <v>0</v>
      </c>
      <c r="C99" s="67">
        <f ca="1">'Adaptive costs A'!C99-'Adaptive costs B'!C99</f>
        <v>0</v>
      </c>
      <c r="D99" s="67">
        <f ca="1">'Adaptive costs A'!D99-'Adaptive costs B'!D99</f>
        <v>0</v>
      </c>
      <c r="E99" s="67">
        <f ca="1">'Adaptive costs A'!E99-'Adaptive costs B'!E99</f>
        <v>0</v>
      </c>
      <c r="F99" s="67">
        <f ca="1">'Adaptive costs A'!F99-'Adaptive costs B'!F99</f>
        <v>0</v>
      </c>
      <c r="G99" s="67">
        <f ca="1">'Adaptive costs A'!G99-'Adaptive costs B'!G99</f>
        <v>0</v>
      </c>
      <c r="H99" s="67">
        <f ca="1">'Adaptive costs A'!H99-'Adaptive costs B'!H99</f>
        <v>0</v>
      </c>
      <c r="I99" s="67">
        <f ca="1">'Adaptive costs A'!I99-'Adaptive costs B'!I99</f>
        <v>0</v>
      </c>
      <c r="J99" s="67">
        <f ca="1">'Adaptive costs A'!J99-'Adaptive costs B'!J99</f>
        <v>0</v>
      </c>
      <c r="K99" s="67">
        <f ca="1">'Adaptive costs A'!K99-'Adaptive costs B'!K99</f>
        <v>0</v>
      </c>
      <c r="M99" s="4" t="str">
        <f t="shared" si="7"/>
        <v>$M(2015)</v>
      </c>
    </row>
    <row r="100" spans="1:13" ht="13.5" thickBot="1" x14ac:dyDescent="0.25">
      <c r="A100" s="2" t="str">
        <f>"Global "&amp;I_2_NAME</f>
        <v>Global Non-econ</v>
      </c>
      <c r="B100" s="73">
        <f ca="1">'Adaptive costs A'!B100-'Adaptive costs B'!B100</f>
        <v>0</v>
      </c>
      <c r="C100" s="73">
        <f ca="1">'Adaptive costs A'!C100-'Adaptive costs B'!C100</f>
        <v>0</v>
      </c>
      <c r="D100" s="73">
        <f ca="1">'Adaptive costs A'!D100-'Adaptive costs B'!D100</f>
        <v>0</v>
      </c>
      <c r="E100" s="73">
        <f ca="1">'Adaptive costs A'!E100-'Adaptive costs B'!E100</f>
        <v>0</v>
      </c>
      <c r="F100" s="73">
        <f ca="1">'Adaptive costs A'!F100-'Adaptive costs B'!F100</f>
        <v>0</v>
      </c>
      <c r="G100" s="73">
        <f ca="1">'Adaptive costs A'!G100-'Adaptive costs B'!G100</f>
        <v>0</v>
      </c>
      <c r="H100" s="73">
        <f ca="1">'Adaptive costs A'!H100-'Adaptive costs B'!H100</f>
        <v>0</v>
      </c>
      <c r="I100" s="73">
        <f ca="1">'Adaptive costs A'!I100-'Adaptive costs B'!I100</f>
        <v>0</v>
      </c>
      <c r="J100" s="73">
        <f ca="1">'Adaptive costs A'!J100-'Adaptive costs B'!J100</f>
        <v>0</v>
      </c>
      <c r="K100" s="73">
        <f ca="1">'Adaptive costs A'!K100-'Adaptive costs B'!K100</f>
        <v>0</v>
      </c>
      <c r="L100" s="1"/>
      <c r="M100" s="4" t="str">
        <f t="shared" si="7"/>
        <v>$M(2015)</v>
      </c>
    </row>
    <row r="101" spans="1:13" ht="15" thickTop="1" x14ac:dyDescent="0.25">
      <c r="A101" s="44" t="s">
        <v>110</v>
      </c>
      <c r="B101" s="2" t="s">
        <v>94</v>
      </c>
      <c r="C101" s="1"/>
      <c r="D101" s="1"/>
      <c r="E101" s="1"/>
      <c r="F101" s="1"/>
      <c r="G101" s="1"/>
      <c r="H101" s="1"/>
      <c r="I101" s="1"/>
      <c r="J101" s="1"/>
      <c r="K101" s="1"/>
      <c r="L101" s="1"/>
      <c r="M101" s="1"/>
    </row>
    <row r="102" spans="1:13" x14ac:dyDescent="0.2">
      <c r="A102" t="str">
        <f t="array" ref="A102:A109">R_CODE&amp;" "&amp;I_2_NAME</f>
        <v>EU Non-econ</v>
      </c>
      <c r="B102" s="66">
        <f ca="1">'Adaptive costs A'!B102-'Adaptive costs B'!B102</f>
        <v>0</v>
      </c>
      <c r="C102" s="66">
        <f ca="1">'Adaptive costs A'!C102-'Adaptive costs B'!C102</f>
        <v>0</v>
      </c>
      <c r="D102" s="66">
        <f ca="1">'Adaptive costs A'!D102-'Adaptive costs B'!D102</f>
        <v>0</v>
      </c>
      <c r="E102" s="66">
        <f ca="1">'Adaptive costs A'!E102-'Adaptive costs B'!E102</f>
        <v>0</v>
      </c>
      <c r="F102" s="66">
        <f ca="1">'Adaptive costs A'!F102-'Adaptive costs B'!F102</f>
        <v>0</v>
      </c>
      <c r="G102" s="66">
        <f ca="1">'Adaptive costs A'!G102-'Adaptive costs B'!G102</f>
        <v>0</v>
      </c>
      <c r="H102" s="66">
        <f ca="1">'Adaptive costs A'!H102-'Adaptive costs B'!H102</f>
        <v>0</v>
      </c>
      <c r="I102" s="66">
        <f ca="1">'Adaptive costs A'!I102-'Adaptive costs B'!I102</f>
        <v>0</v>
      </c>
      <c r="J102" s="66">
        <f ca="1">'Adaptive costs A'!J102-'Adaptive costs B'!J102</f>
        <v>0</v>
      </c>
      <c r="K102" s="66">
        <f ca="1">'Adaptive costs A'!K102-'Adaptive costs B'!K102</f>
        <v>0</v>
      </c>
      <c r="L102" s="1"/>
      <c r="M102" s="4" t="str">
        <f t="shared" ref="M102:M110" si="8">CURRENCY_NAME</f>
        <v>$M(2015)</v>
      </c>
    </row>
    <row r="103" spans="1:13" x14ac:dyDescent="0.2">
      <c r="A103" t="str">
        <v>US Non-econ</v>
      </c>
      <c r="B103" s="67">
        <f ca="1">'Adaptive costs A'!B103-'Adaptive costs B'!B103</f>
        <v>0</v>
      </c>
      <c r="C103" s="67">
        <f ca="1">'Adaptive costs A'!C103-'Adaptive costs B'!C103</f>
        <v>0</v>
      </c>
      <c r="D103" s="67">
        <f ca="1">'Adaptive costs A'!D103-'Adaptive costs B'!D103</f>
        <v>0</v>
      </c>
      <c r="E103" s="67">
        <f ca="1">'Adaptive costs A'!E103-'Adaptive costs B'!E103</f>
        <v>0</v>
      </c>
      <c r="F103" s="67">
        <f ca="1">'Adaptive costs A'!F103-'Adaptive costs B'!F103</f>
        <v>0</v>
      </c>
      <c r="G103" s="67">
        <f ca="1">'Adaptive costs A'!G103-'Adaptive costs B'!G103</f>
        <v>0</v>
      </c>
      <c r="H103" s="67">
        <f ca="1">'Adaptive costs A'!H103-'Adaptive costs B'!H103</f>
        <v>0</v>
      </c>
      <c r="I103" s="67">
        <f ca="1">'Adaptive costs A'!I103-'Adaptive costs B'!I103</f>
        <v>0</v>
      </c>
      <c r="J103" s="67">
        <f ca="1">'Adaptive costs A'!J103-'Adaptive costs B'!J103</f>
        <v>0</v>
      </c>
      <c r="K103" s="67">
        <f ca="1">'Adaptive costs A'!K103-'Adaptive costs B'!K103</f>
        <v>0</v>
      </c>
      <c r="L103" s="1"/>
      <c r="M103" s="4" t="str">
        <f t="shared" si="8"/>
        <v>$M(2015)</v>
      </c>
    </row>
    <row r="104" spans="1:13" x14ac:dyDescent="0.2">
      <c r="A104" t="str">
        <v>OT Non-econ</v>
      </c>
      <c r="B104" s="67">
        <f ca="1">'Adaptive costs A'!B104-'Adaptive costs B'!B104</f>
        <v>0</v>
      </c>
      <c r="C104" s="67">
        <f ca="1">'Adaptive costs A'!C104-'Adaptive costs B'!C104</f>
        <v>0</v>
      </c>
      <c r="D104" s="67">
        <f ca="1">'Adaptive costs A'!D104-'Adaptive costs B'!D104</f>
        <v>0</v>
      </c>
      <c r="E104" s="67">
        <f ca="1">'Adaptive costs A'!E104-'Adaptive costs B'!E104</f>
        <v>0</v>
      </c>
      <c r="F104" s="67">
        <f ca="1">'Adaptive costs A'!F104-'Adaptive costs B'!F104</f>
        <v>0</v>
      </c>
      <c r="G104" s="67">
        <f ca="1">'Adaptive costs A'!G104-'Adaptive costs B'!G104</f>
        <v>0</v>
      </c>
      <c r="H104" s="67">
        <f ca="1">'Adaptive costs A'!H104-'Adaptive costs B'!H104</f>
        <v>0</v>
      </c>
      <c r="I104" s="67">
        <f ca="1">'Adaptive costs A'!I104-'Adaptive costs B'!I104</f>
        <v>0</v>
      </c>
      <c r="J104" s="67">
        <f ca="1">'Adaptive costs A'!J104-'Adaptive costs B'!J104</f>
        <v>0</v>
      </c>
      <c r="K104" s="67">
        <f ca="1">'Adaptive costs A'!K104-'Adaptive costs B'!K104</f>
        <v>0</v>
      </c>
      <c r="L104" s="1"/>
      <c r="M104" s="4" t="str">
        <f t="shared" si="8"/>
        <v>$M(2015)</v>
      </c>
    </row>
    <row r="105" spans="1:13" x14ac:dyDescent="0.2">
      <c r="A105" t="str">
        <v>EE Non-econ</v>
      </c>
      <c r="B105" s="67">
        <f ca="1">'Adaptive costs A'!B105-'Adaptive costs B'!B105</f>
        <v>0</v>
      </c>
      <c r="C105" s="67">
        <f ca="1">'Adaptive costs A'!C105-'Adaptive costs B'!C105</f>
        <v>0</v>
      </c>
      <c r="D105" s="67">
        <f ca="1">'Adaptive costs A'!D105-'Adaptive costs B'!D105</f>
        <v>0</v>
      </c>
      <c r="E105" s="67">
        <f ca="1">'Adaptive costs A'!E105-'Adaptive costs B'!E105</f>
        <v>0</v>
      </c>
      <c r="F105" s="67">
        <f ca="1">'Adaptive costs A'!F105-'Adaptive costs B'!F105</f>
        <v>0</v>
      </c>
      <c r="G105" s="67">
        <f ca="1">'Adaptive costs A'!G105-'Adaptive costs B'!G105</f>
        <v>0</v>
      </c>
      <c r="H105" s="67">
        <f ca="1">'Adaptive costs A'!H105-'Adaptive costs B'!H105</f>
        <v>0</v>
      </c>
      <c r="I105" s="67">
        <f ca="1">'Adaptive costs A'!I105-'Adaptive costs B'!I105</f>
        <v>0</v>
      </c>
      <c r="J105" s="67">
        <f ca="1">'Adaptive costs A'!J105-'Adaptive costs B'!J105</f>
        <v>0</v>
      </c>
      <c r="K105" s="67">
        <f ca="1">'Adaptive costs A'!K105-'Adaptive costs B'!K105</f>
        <v>0</v>
      </c>
      <c r="L105" s="1"/>
      <c r="M105" s="4" t="str">
        <f t="shared" si="8"/>
        <v>$M(2015)</v>
      </c>
    </row>
    <row r="106" spans="1:13" x14ac:dyDescent="0.2">
      <c r="A106" t="str">
        <v>CA Non-econ</v>
      </c>
      <c r="B106" s="67">
        <f ca="1">'Adaptive costs A'!B106-'Adaptive costs B'!B106</f>
        <v>0</v>
      </c>
      <c r="C106" s="67">
        <f ca="1">'Adaptive costs A'!C106-'Adaptive costs B'!C106</f>
        <v>0</v>
      </c>
      <c r="D106" s="67">
        <f ca="1">'Adaptive costs A'!D106-'Adaptive costs B'!D106</f>
        <v>0</v>
      </c>
      <c r="E106" s="67">
        <f ca="1">'Adaptive costs A'!E106-'Adaptive costs B'!E106</f>
        <v>0</v>
      </c>
      <c r="F106" s="67">
        <f ca="1">'Adaptive costs A'!F106-'Adaptive costs B'!F106</f>
        <v>0</v>
      </c>
      <c r="G106" s="67">
        <f ca="1">'Adaptive costs A'!G106-'Adaptive costs B'!G106</f>
        <v>0</v>
      </c>
      <c r="H106" s="67">
        <f ca="1">'Adaptive costs A'!H106-'Adaptive costs B'!H106</f>
        <v>0</v>
      </c>
      <c r="I106" s="67">
        <f ca="1">'Adaptive costs A'!I106-'Adaptive costs B'!I106</f>
        <v>0</v>
      </c>
      <c r="J106" s="67">
        <f ca="1">'Adaptive costs A'!J106-'Adaptive costs B'!J106</f>
        <v>0</v>
      </c>
      <c r="K106" s="67">
        <f ca="1">'Adaptive costs A'!K106-'Adaptive costs B'!K106</f>
        <v>0</v>
      </c>
      <c r="L106" s="1"/>
      <c r="M106" s="4" t="str">
        <f t="shared" si="8"/>
        <v>$M(2015)</v>
      </c>
    </row>
    <row r="107" spans="1:13" x14ac:dyDescent="0.2">
      <c r="A107" t="str">
        <v>IA Non-econ</v>
      </c>
      <c r="B107" s="67">
        <f ca="1">'Adaptive costs A'!B107-'Adaptive costs B'!B107</f>
        <v>0</v>
      </c>
      <c r="C107" s="67">
        <f ca="1">'Adaptive costs A'!C107-'Adaptive costs B'!C107</f>
        <v>0</v>
      </c>
      <c r="D107" s="67">
        <f ca="1">'Adaptive costs A'!D107-'Adaptive costs B'!D107</f>
        <v>0</v>
      </c>
      <c r="E107" s="67">
        <f ca="1">'Adaptive costs A'!E107-'Adaptive costs B'!E107</f>
        <v>0</v>
      </c>
      <c r="F107" s="67">
        <f ca="1">'Adaptive costs A'!F107-'Adaptive costs B'!F107</f>
        <v>0</v>
      </c>
      <c r="G107" s="67">
        <f ca="1">'Adaptive costs A'!G107-'Adaptive costs B'!G107</f>
        <v>0</v>
      </c>
      <c r="H107" s="67">
        <f ca="1">'Adaptive costs A'!H107-'Adaptive costs B'!H107</f>
        <v>0</v>
      </c>
      <c r="I107" s="67">
        <f ca="1">'Adaptive costs A'!I107-'Adaptive costs B'!I107</f>
        <v>0</v>
      </c>
      <c r="J107" s="67">
        <f ca="1">'Adaptive costs A'!J107-'Adaptive costs B'!J107</f>
        <v>0</v>
      </c>
      <c r="K107" s="67">
        <f ca="1">'Adaptive costs A'!K107-'Adaptive costs B'!K107</f>
        <v>0</v>
      </c>
      <c r="L107" s="1"/>
      <c r="M107" s="4" t="str">
        <f t="shared" si="8"/>
        <v>$M(2015)</v>
      </c>
    </row>
    <row r="108" spans="1:13" x14ac:dyDescent="0.2">
      <c r="A108" t="str">
        <v>AF Non-econ</v>
      </c>
      <c r="B108" s="67">
        <f ca="1">'Adaptive costs A'!B108-'Adaptive costs B'!B108</f>
        <v>0</v>
      </c>
      <c r="C108" s="67">
        <f ca="1">'Adaptive costs A'!C108-'Adaptive costs B'!C108</f>
        <v>0</v>
      </c>
      <c r="D108" s="67">
        <f ca="1">'Adaptive costs A'!D108-'Adaptive costs B'!D108</f>
        <v>0</v>
      </c>
      <c r="E108" s="67">
        <f ca="1">'Adaptive costs A'!E108-'Adaptive costs B'!E108</f>
        <v>0</v>
      </c>
      <c r="F108" s="67">
        <f ca="1">'Adaptive costs A'!F108-'Adaptive costs B'!F108</f>
        <v>0</v>
      </c>
      <c r="G108" s="67">
        <f ca="1">'Adaptive costs A'!G108-'Adaptive costs B'!G108</f>
        <v>0</v>
      </c>
      <c r="H108" s="67">
        <f ca="1">'Adaptive costs A'!H108-'Adaptive costs B'!H108</f>
        <v>0</v>
      </c>
      <c r="I108" s="67">
        <f ca="1">'Adaptive costs A'!I108-'Adaptive costs B'!I108</f>
        <v>0</v>
      </c>
      <c r="J108" s="67">
        <f ca="1">'Adaptive costs A'!J108-'Adaptive costs B'!J108</f>
        <v>0</v>
      </c>
      <c r="K108" s="67">
        <f ca="1">'Adaptive costs A'!K108-'Adaptive costs B'!K108</f>
        <v>0</v>
      </c>
      <c r="L108" s="1"/>
      <c r="M108" s="4" t="str">
        <f t="shared" si="8"/>
        <v>$M(2015)</v>
      </c>
    </row>
    <row r="109" spans="1:13" x14ac:dyDescent="0.2">
      <c r="A109" t="str">
        <v>LA Non-econ</v>
      </c>
      <c r="B109" s="67">
        <f ca="1">'Adaptive costs A'!B109-'Adaptive costs B'!B109</f>
        <v>0</v>
      </c>
      <c r="C109" s="67">
        <f ca="1">'Adaptive costs A'!C109-'Adaptive costs B'!C109</f>
        <v>0</v>
      </c>
      <c r="D109" s="67">
        <f ca="1">'Adaptive costs A'!D109-'Adaptive costs B'!D109</f>
        <v>0</v>
      </c>
      <c r="E109" s="67">
        <f ca="1">'Adaptive costs A'!E109-'Adaptive costs B'!E109</f>
        <v>0</v>
      </c>
      <c r="F109" s="67">
        <f ca="1">'Adaptive costs A'!F109-'Adaptive costs B'!F109</f>
        <v>0</v>
      </c>
      <c r="G109" s="67">
        <f ca="1">'Adaptive costs A'!G109-'Adaptive costs B'!G109</f>
        <v>0</v>
      </c>
      <c r="H109" s="67">
        <f ca="1">'Adaptive costs A'!H109-'Adaptive costs B'!H109</f>
        <v>0</v>
      </c>
      <c r="I109" s="67">
        <f ca="1">'Adaptive costs A'!I109-'Adaptive costs B'!I109</f>
        <v>0</v>
      </c>
      <c r="J109" s="67">
        <f ca="1">'Adaptive costs A'!J109-'Adaptive costs B'!J109</f>
        <v>0</v>
      </c>
      <c r="K109" s="67">
        <f ca="1">'Adaptive costs A'!K109-'Adaptive costs B'!K109</f>
        <v>0</v>
      </c>
      <c r="L109" s="1"/>
      <c r="M109" s="4" t="str">
        <f t="shared" si="8"/>
        <v>$M(2015)</v>
      </c>
    </row>
    <row r="110" spans="1:13" ht="13.5" thickBot="1" x14ac:dyDescent="0.25">
      <c r="A110" s="2" t="str">
        <f>"Global "&amp;I_2_NAME</f>
        <v>Global Non-econ</v>
      </c>
      <c r="B110" s="73">
        <f ca="1">'Adaptive costs A'!B110-'Adaptive costs B'!B110</f>
        <v>0</v>
      </c>
      <c r="C110" s="73">
        <f ca="1">'Adaptive costs A'!C110-'Adaptive costs B'!C110</f>
        <v>0</v>
      </c>
      <c r="D110" s="73">
        <f ca="1">'Adaptive costs A'!D110-'Adaptive costs B'!D110</f>
        <v>0</v>
      </c>
      <c r="E110" s="73">
        <f ca="1">'Adaptive costs A'!E110-'Adaptive costs B'!E110</f>
        <v>0</v>
      </c>
      <c r="F110" s="73">
        <f ca="1">'Adaptive costs A'!F110-'Adaptive costs B'!F110</f>
        <v>0</v>
      </c>
      <c r="G110" s="73">
        <f ca="1">'Adaptive costs A'!G110-'Adaptive costs B'!G110</f>
        <v>0</v>
      </c>
      <c r="H110" s="73">
        <f ca="1">'Adaptive costs A'!H110-'Adaptive costs B'!H110</f>
        <v>0</v>
      </c>
      <c r="I110" s="73">
        <f ca="1">'Adaptive costs A'!I110-'Adaptive costs B'!I110</f>
        <v>0</v>
      </c>
      <c r="J110" s="73">
        <f ca="1">'Adaptive costs A'!J110-'Adaptive costs B'!J110</f>
        <v>0</v>
      </c>
      <c r="K110" s="73">
        <f ca="1">'Adaptive costs A'!K110-'Adaptive costs B'!K110</f>
        <v>0</v>
      </c>
      <c r="L110" s="1"/>
      <c r="M110" s="4" t="str">
        <f t="shared" si="8"/>
        <v>$M(2015)</v>
      </c>
    </row>
    <row r="111" spans="1:13" ht="15" thickTop="1" x14ac:dyDescent="0.25">
      <c r="A111" s="44" t="s">
        <v>107</v>
      </c>
      <c r="B111" s="2" t="s">
        <v>380</v>
      </c>
      <c r="C111" s="1"/>
      <c r="D111" s="1"/>
      <c r="E111" s="1"/>
      <c r="F111" s="1"/>
      <c r="G111" s="1"/>
      <c r="H111" s="1"/>
      <c r="I111" s="1"/>
      <c r="J111" s="1"/>
      <c r="K111" s="1"/>
      <c r="L111" s="1"/>
      <c r="M111" s="1"/>
    </row>
    <row r="112" spans="1:13" x14ac:dyDescent="0.2">
      <c r="A112" t="str">
        <f t="array" ref="A112:A119">R_CODE</f>
        <v>EU</v>
      </c>
      <c r="B112" s="66">
        <f ca="1">'Adaptive costs A'!B112-'Adaptive costs B'!B112</f>
        <v>0</v>
      </c>
      <c r="C112" s="66">
        <f ca="1">'Adaptive costs A'!C112-'Adaptive costs B'!C112</f>
        <v>0</v>
      </c>
      <c r="D112" s="66">
        <f ca="1">'Adaptive costs A'!D112-'Adaptive costs B'!D112</f>
        <v>0</v>
      </c>
      <c r="E112" s="66">
        <f ca="1">'Adaptive costs A'!E112-'Adaptive costs B'!E112</f>
        <v>0</v>
      </c>
      <c r="F112" s="66">
        <f ca="1">'Adaptive costs A'!F112-'Adaptive costs B'!F112</f>
        <v>0</v>
      </c>
      <c r="G112" s="66">
        <f ca="1">'Adaptive costs A'!G112-'Adaptive costs B'!G112</f>
        <v>0</v>
      </c>
      <c r="H112" s="66">
        <f ca="1">'Adaptive costs A'!H112-'Adaptive costs B'!H112</f>
        <v>0</v>
      </c>
      <c r="I112" s="66">
        <f ca="1">'Adaptive costs A'!I112-'Adaptive costs B'!I112</f>
        <v>0</v>
      </c>
      <c r="J112" s="66">
        <f ca="1">'Adaptive costs A'!J112-'Adaptive costs B'!J112</f>
        <v>0</v>
      </c>
      <c r="K112" s="66">
        <f ca="1">'Adaptive costs A'!K112-'Adaptive costs B'!K112</f>
        <v>0</v>
      </c>
      <c r="L112" s="1"/>
      <c r="M112" s="4" t="str">
        <f t="shared" ref="M112:M120" si="9">CURRENCY_NAME</f>
        <v>$M(2015)</v>
      </c>
    </row>
    <row r="113" spans="1:13" x14ac:dyDescent="0.2">
      <c r="A113" t="str">
        <v>US</v>
      </c>
      <c r="B113" s="67">
        <f ca="1">'Adaptive costs A'!B113-'Adaptive costs B'!B113</f>
        <v>0</v>
      </c>
      <c r="C113" s="67">
        <f ca="1">'Adaptive costs A'!C113-'Adaptive costs B'!C113</f>
        <v>0</v>
      </c>
      <c r="D113" s="67">
        <f ca="1">'Adaptive costs A'!D113-'Adaptive costs B'!D113</f>
        <v>0</v>
      </c>
      <c r="E113" s="67">
        <f ca="1">'Adaptive costs A'!E113-'Adaptive costs B'!E113</f>
        <v>0</v>
      </c>
      <c r="F113" s="67">
        <f ca="1">'Adaptive costs A'!F113-'Adaptive costs B'!F113</f>
        <v>0</v>
      </c>
      <c r="G113" s="67">
        <f ca="1">'Adaptive costs A'!G113-'Adaptive costs B'!G113</f>
        <v>0</v>
      </c>
      <c r="H113" s="67">
        <f ca="1">'Adaptive costs A'!H113-'Adaptive costs B'!H113</f>
        <v>0</v>
      </c>
      <c r="I113" s="67">
        <f ca="1">'Adaptive costs A'!I113-'Adaptive costs B'!I113</f>
        <v>0</v>
      </c>
      <c r="J113" s="67">
        <f ca="1">'Adaptive costs A'!J113-'Adaptive costs B'!J113</f>
        <v>0</v>
      </c>
      <c r="K113" s="67">
        <f ca="1">'Adaptive costs A'!K113-'Adaptive costs B'!K113</f>
        <v>0</v>
      </c>
      <c r="L113" s="1"/>
      <c r="M113" s="4" t="str">
        <f t="shared" si="9"/>
        <v>$M(2015)</v>
      </c>
    </row>
    <row r="114" spans="1:13" x14ac:dyDescent="0.2">
      <c r="A114" t="str">
        <v>OT</v>
      </c>
      <c r="B114" s="67">
        <f ca="1">'Adaptive costs A'!B114-'Adaptive costs B'!B114</f>
        <v>0</v>
      </c>
      <c r="C114" s="67">
        <f ca="1">'Adaptive costs A'!C114-'Adaptive costs B'!C114</f>
        <v>0</v>
      </c>
      <c r="D114" s="67">
        <f ca="1">'Adaptive costs A'!D114-'Adaptive costs B'!D114</f>
        <v>0</v>
      </c>
      <c r="E114" s="67">
        <f ca="1">'Adaptive costs A'!E114-'Adaptive costs B'!E114</f>
        <v>0</v>
      </c>
      <c r="F114" s="67">
        <f ca="1">'Adaptive costs A'!F114-'Adaptive costs B'!F114</f>
        <v>0</v>
      </c>
      <c r="G114" s="67">
        <f ca="1">'Adaptive costs A'!G114-'Adaptive costs B'!G114</f>
        <v>0</v>
      </c>
      <c r="H114" s="67">
        <f ca="1">'Adaptive costs A'!H114-'Adaptive costs B'!H114</f>
        <v>0</v>
      </c>
      <c r="I114" s="67">
        <f ca="1">'Adaptive costs A'!I114-'Adaptive costs B'!I114</f>
        <v>0</v>
      </c>
      <c r="J114" s="67">
        <f ca="1">'Adaptive costs A'!J114-'Adaptive costs B'!J114</f>
        <v>0</v>
      </c>
      <c r="K114" s="67">
        <f ca="1">'Adaptive costs A'!K114-'Adaptive costs B'!K114</f>
        <v>0</v>
      </c>
      <c r="L114" s="1"/>
      <c r="M114" s="4" t="str">
        <f t="shared" si="9"/>
        <v>$M(2015)</v>
      </c>
    </row>
    <row r="115" spans="1:13" x14ac:dyDescent="0.2">
      <c r="A115" t="str">
        <v>EE</v>
      </c>
      <c r="B115" s="67">
        <f ca="1">'Adaptive costs A'!B115-'Adaptive costs B'!B115</f>
        <v>0</v>
      </c>
      <c r="C115" s="67">
        <f ca="1">'Adaptive costs A'!C115-'Adaptive costs B'!C115</f>
        <v>0</v>
      </c>
      <c r="D115" s="67">
        <f ca="1">'Adaptive costs A'!D115-'Adaptive costs B'!D115</f>
        <v>0</v>
      </c>
      <c r="E115" s="67">
        <f ca="1">'Adaptive costs A'!E115-'Adaptive costs B'!E115</f>
        <v>0</v>
      </c>
      <c r="F115" s="67">
        <f ca="1">'Adaptive costs A'!F115-'Adaptive costs B'!F115</f>
        <v>0</v>
      </c>
      <c r="G115" s="67">
        <f ca="1">'Adaptive costs A'!G115-'Adaptive costs B'!G115</f>
        <v>0</v>
      </c>
      <c r="H115" s="67">
        <f ca="1">'Adaptive costs A'!H115-'Adaptive costs B'!H115</f>
        <v>0</v>
      </c>
      <c r="I115" s="67">
        <f ca="1">'Adaptive costs A'!I115-'Adaptive costs B'!I115</f>
        <v>0</v>
      </c>
      <c r="J115" s="67">
        <f ca="1">'Adaptive costs A'!J115-'Adaptive costs B'!J115</f>
        <v>0</v>
      </c>
      <c r="K115" s="67">
        <f ca="1">'Adaptive costs A'!K115-'Adaptive costs B'!K115</f>
        <v>0</v>
      </c>
      <c r="L115" s="1"/>
      <c r="M115" s="4" t="str">
        <f t="shared" si="9"/>
        <v>$M(2015)</v>
      </c>
    </row>
    <row r="116" spans="1:13" x14ac:dyDescent="0.2">
      <c r="A116" t="str">
        <v>CA</v>
      </c>
      <c r="B116" s="67">
        <f ca="1">'Adaptive costs A'!B116-'Adaptive costs B'!B116</f>
        <v>0</v>
      </c>
      <c r="C116" s="67">
        <f ca="1">'Adaptive costs A'!C116-'Adaptive costs B'!C116</f>
        <v>0</v>
      </c>
      <c r="D116" s="67">
        <f ca="1">'Adaptive costs A'!D116-'Adaptive costs B'!D116</f>
        <v>0</v>
      </c>
      <c r="E116" s="67">
        <f ca="1">'Adaptive costs A'!E116-'Adaptive costs B'!E116</f>
        <v>0</v>
      </c>
      <c r="F116" s="67">
        <f ca="1">'Adaptive costs A'!F116-'Adaptive costs B'!F116</f>
        <v>0</v>
      </c>
      <c r="G116" s="67">
        <f ca="1">'Adaptive costs A'!G116-'Adaptive costs B'!G116</f>
        <v>0</v>
      </c>
      <c r="H116" s="67">
        <f ca="1">'Adaptive costs A'!H116-'Adaptive costs B'!H116</f>
        <v>0</v>
      </c>
      <c r="I116" s="67">
        <f ca="1">'Adaptive costs A'!I116-'Adaptive costs B'!I116</f>
        <v>0</v>
      </c>
      <c r="J116" s="67">
        <f ca="1">'Adaptive costs A'!J116-'Adaptive costs B'!J116</f>
        <v>0</v>
      </c>
      <c r="K116" s="67">
        <f ca="1">'Adaptive costs A'!K116-'Adaptive costs B'!K116</f>
        <v>0</v>
      </c>
      <c r="L116" s="1"/>
      <c r="M116" s="4" t="str">
        <f t="shared" si="9"/>
        <v>$M(2015)</v>
      </c>
    </row>
    <row r="117" spans="1:13" x14ac:dyDescent="0.2">
      <c r="A117" t="str">
        <v>IA</v>
      </c>
      <c r="B117" s="67">
        <f ca="1">'Adaptive costs A'!B117-'Adaptive costs B'!B117</f>
        <v>0</v>
      </c>
      <c r="C117" s="67">
        <f ca="1">'Adaptive costs A'!C117-'Adaptive costs B'!C117</f>
        <v>0</v>
      </c>
      <c r="D117" s="67">
        <f ca="1">'Adaptive costs A'!D117-'Adaptive costs B'!D117</f>
        <v>0</v>
      </c>
      <c r="E117" s="67">
        <f ca="1">'Adaptive costs A'!E117-'Adaptive costs B'!E117</f>
        <v>0</v>
      </c>
      <c r="F117" s="67">
        <f ca="1">'Adaptive costs A'!F117-'Adaptive costs B'!F117</f>
        <v>0</v>
      </c>
      <c r="G117" s="67">
        <f ca="1">'Adaptive costs A'!G117-'Adaptive costs B'!G117</f>
        <v>0</v>
      </c>
      <c r="H117" s="67">
        <f ca="1">'Adaptive costs A'!H117-'Adaptive costs B'!H117</f>
        <v>0</v>
      </c>
      <c r="I117" s="67">
        <f ca="1">'Adaptive costs A'!I117-'Adaptive costs B'!I117</f>
        <v>0</v>
      </c>
      <c r="J117" s="67">
        <f ca="1">'Adaptive costs A'!J117-'Adaptive costs B'!J117</f>
        <v>0</v>
      </c>
      <c r="K117" s="67">
        <f ca="1">'Adaptive costs A'!K117-'Adaptive costs B'!K117</f>
        <v>0</v>
      </c>
      <c r="L117" s="1"/>
      <c r="M117" s="4" t="str">
        <f t="shared" si="9"/>
        <v>$M(2015)</v>
      </c>
    </row>
    <row r="118" spans="1:13" x14ac:dyDescent="0.2">
      <c r="A118" t="str">
        <v>AF</v>
      </c>
      <c r="B118" s="67">
        <f ca="1">'Adaptive costs A'!B118-'Adaptive costs B'!B118</f>
        <v>0</v>
      </c>
      <c r="C118" s="67">
        <f ca="1">'Adaptive costs A'!C118-'Adaptive costs B'!C118</f>
        <v>0</v>
      </c>
      <c r="D118" s="67">
        <f ca="1">'Adaptive costs A'!D118-'Adaptive costs B'!D118</f>
        <v>0</v>
      </c>
      <c r="E118" s="67">
        <f ca="1">'Adaptive costs A'!E118-'Adaptive costs B'!E118</f>
        <v>0</v>
      </c>
      <c r="F118" s="67">
        <f ca="1">'Adaptive costs A'!F118-'Adaptive costs B'!F118</f>
        <v>0</v>
      </c>
      <c r="G118" s="67">
        <f ca="1">'Adaptive costs A'!G118-'Adaptive costs B'!G118</f>
        <v>0</v>
      </c>
      <c r="H118" s="67">
        <f ca="1">'Adaptive costs A'!H118-'Adaptive costs B'!H118</f>
        <v>0</v>
      </c>
      <c r="I118" s="67">
        <f ca="1">'Adaptive costs A'!I118-'Adaptive costs B'!I118</f>
        <v>0</v>
      </c>
      <c r="J118" s="67">
        <f ca="1">'Adaptive costs A'!J118-'Adaptive costs B'!J118</f>
        <v>0</v>
      </c>
      <c r="K118" s="67">
        <f ca="1">'Adaptive costs A'!K118-'Adaptive costs B'!K118</f>
        <v>0</v>
      </c>
      <c r="L118" s="1"/>
      <c r="M118" s="4" t="str">
        <f t="shared" si="9"/>
        <v>$M(2015)</v>
      </c>
    </row>
    <row r="119" spans="1:13" x14ac:dyDescent="0.2">
      <c r="A119" t="str">
        <v>LA</v>
      </c>
      <c r="B119" s="67">
        <f ca="1">'Adaptive costs A'!B119-'Adaptive costs B'!B119</f>
        <v>0</v>
      </c>
      <c r="C119" s="67">
        <f ca="1">'Adaptive costs A'!C119-'Adaptive costs B'!C119</f>
        <v>0</v>
      </c>
      <c r="D119" s="67">
        <f ca="1">'Adaptive costs A'!D119-'Adaptive costs B'!D119</f>
        <v>0</v>
      </c>
      <c r="E119" s="67">
        <f ca="1">'Adaptive costs A'!E119-'Adaptive costs B'!E119</f>
        <v>0</v>
      </c>
      <c r="F119" s="67">
        <f ca="1">'Adaptive costs A'!F119-'Adaptive costs B'!F119</f>
        <v>0</v>
      </c>
      <c r="G119" s="67">
        <f ca="1">'Adaptive costs A'!G119-'Adaptive costs B'!G119</f>
        <v>0</v>
      </c>
      <c r="H119" s="67">
        <f ca="1">'Adaptive costs A'!H119-'Adaptive costs B'!H119</f>
        <v>0</v>
      </c>
      <c r="I119" s="67">
        <f ca="1">'Adaptive costs A'!I119-'Adaptive costs B'!I119</f>
        <v>0</v>
      </c>
      <c r="J119" s="67">
        <f ca="1">'Adaptive costs A'!J119-'Adaptive costs B'!J119</f>
        <v>0</v>
      </c>
      <c r="K119" s="67">
        <f ca="1">'Adaptive costs A'!K119-'Adaptive costs B'!K119</f>
        <v>0</v>
      </c>
      <c r="L119" s="1"/>
      <c r="M119" s="4" t="str">
        <f t="shared" si="9"/>
        <v>$M(2015)</v>
      </c>
    </row>
    <row r="120" spans="1:13" ht="13.5" thickBot="1" x14ac:dyDescent="0.25">
      <c r="A120" s="2" t="s">
        <v>204</v>
      </c>
      <c r="B120" s="73">
        <f ca="1">'Adaptive costs A'!B120-'Adaptive costs B'!B120</f>
        <v>0</v>
      </c>
      <c r="C120" s="73">
        <f ca="1">'Adaptive costs A'!C120-'Adaptive costs B'!C120</f>
        <v>0</v>
      </c>
      <c r="D120" s="73">
        <f ca="1">'Adaptive costs A'!D120-'Adaptive costs B'!D120</f>
        <v>0</v>
      </c>
      <c r="E120" s="73">
        <f ca="1">'Adaptive costs A'!E120-'Adaptive costs B'!E120</f>
        <v>0</v>
      </c>
      <c r="F120" s="73">
        <f ca="1">'Adaptive costs A'!F120-'Adaptive costs B'!F120</f>
        <v>0</v>
      </c>
      <c r="G120" s="73">
        <f ca="1">'Adaptive costs A'!G120-'Adaptive costs B'!G120</f>
        <v>0</v>
      </c>
      <c r="H120" s="73">
        <f ca="1">'Adaptive costs A'!H120-'Adaptive costs B'!H120</f>
        <v>0</v>
      </c>
      <c r="I120" s="73">
        <f ca="1">'Adaptive costs A'!I120-'Adaptive costs B'!I120</f>
        <v>0</v>
      </c>
      <c r="J120" s="73">
        <f ca="1">'Adaptive costs A'!J120-'Adaptive costs B'!J120</f>
        <v>0</v>
      </c>
      <c r="K120" s="73">
        <f ca="1">'Adaptive costs A'!K120-'Adaptive costs B'!K120</f>
        <v>0</v>
      </c>
      <c r="L120" s="1"/>
      <c r="M120" s="4" t="str">
        <f t="shared" si="9"/>
        <v>$M(2015)</v>
      </c>
    </row>
    <row r="121" spans="1:13" ht="15" thickTop="1" x14ac:dyDescent="0.25">
      <c r="A121" s="44" t="s">
        <v>382</v>
      </c>
      <c r="B121" s="2" t="s">
        <v>384</v>
      </c>
      <c r="C121" s="1"/>
      <c r="D121" s="1"/>
      <c r="E121" s="1"/>
      <c r="F121" s="1"/>
      <c r="G121" s="1"/>
      <c r="H121" s="1"/>
      <c r="I121" s="1"/>
      <c r="J121" s="1"/>
      <c r="K121" s="1"/>
      <c r="L121" s="1"/>
      <c r="M121" s="1"/>
    </row>
    <row r="122" spans="1:13" x14ac:dyDescent="0.2">
      <c r="A122" t="str">
        <f t="array" ref="A122:A129">R_CODE</f>
        <v>EU</v>
      </c>
      <c r="B122" s="66">
        <f ca="1">'Adaptive costs A'!B122-'Adaptive costs B'!B122</f>
        <v>0</v>
      </c>
      <c r="C122" s="66">
        <f ca="1">'Adaptive costs A'!C122-'Adaptive costs B'!C122</f>
        <v>0</v>
      </c>
      <c r="D122" s="66">
        <f ca="1">'Adaptive costs A'!D122-'Adaptive costs B'!D122</f>
        <v>0</v>
      </c>
      <c r="E122" s="66">
        <f ca="1">'Adaptive costs A'!E122-'Adaptive costs B'!E122</f>
        <v>0</v>
      </c>
      <c r="F122" s="66">
        <f ca="1">'Adaptive costs A'!F122-'Adaptive costs B'!F122</f>
        <v>0</v>
      </c>
      <c r="G122" s="66">
        <f ca="1">'Adaptive costs A'!G122-'Adaptive costs B'!G122</f>
        <v>0</v>
      </c>
      <c r="H122" s="66">
        <f ca="1">'Adaptive costs A'!H122-'Adaptive costs B'!H122</f>
        <v>0</v>
      </c>
      <c r="I122" s="66">
        <f ca="1">'Adaptive costs A'!I122-'Adaptive costs B'!I122</f>
        <v>0</v>
      </c>
      <c r="J122" s="66">
        <f ca="1">'Adaptive costs A'!J122-'Adaptive costs B'!J122</f>
        <v>0</v>
      </c>
      <c r="K122" s="66">
        <f ca="1">'Adaptive costs A'!K122-'Adaptive costs B'!K122</f>
        <v>0</v>
      </c>
      <c r="L122" s="1"/>
      <c r="M122" s="1" t="str">
        <f t="shared" ref="M122:M130" si="10">CURRENCY_NAME&amp;"/"&amp;POP_UNIT_NAME</f>
        <v>$M(2015)/million</v>
      </c>
    </row>
    <row r="123" spans="1:13" x14ac:dyDescent="0.2">
      <c r="A123" t="str">
        <v>US</v>
      </c>
      <c r="B123" s="67">
        <f ca="1">'Adaptive costs A'!B123-'Adaptive costs B'!B123</f>
        <v>0</v>
      </c>
      <c r="C123" s="67">
        <f ca="1">'Adaptive costs A'!C123-'Adaptive costs B'!C123</f>
        <v>0</v>
      </c>
      <c r="D123" s="67">
        <f ca="1">'Adaptive costs A'!D123-'Adaptive costs B'!D123</f>
        <v>0</v>
      </c>
      <c r="E123" s="67">
        <f ca="1">'Adaptive costs A'!E123-'Adaptive costs B'!E123</f>
        <v>0</v>
      </c>
      <c r="F123" s="67">
        <f ca="1">'Adaptive costs A'!F123-'Adaptive costs B'!F123</f>
        <v>0</v>
      </c>
      <c r="G123" s="67">
        <f ca="1">'Adaptive costs A'!G123-'Adaptive costs B'!G123</f>
        <v>0</v>
      </c>
      <c r="H123" s="67">
        <f ca="1">'Adaptive costs A'!H123-'Adaptive costs B'!H123</f>
        <v>0</v>
      </c>
      <c r="I123" s="67">
        <f ca="1">'Adaptive costs A'!I123-'Adaptive costs B'!I123</f>
        <v>0</v>
      </c>
      <c r="J123" s="67">
        <f ca="1">'Adaptive costs A'!J123-'Adaptive costs B'!J123</f>
        <v>0</v>
      </c>
      <c r="K123" s="67">
        <f ca="1">'Adaptive costs A'!K123-'Adaptive costs B'!K123</f>
        <v>0</v>
      </c>
      <c r="L123" s="1"/>
      <c r="M123" s="1" t="str">
        <f t="shared" si="10"/>
        <v>$M(2015)/million</v>
      </c>
    </row>
    <row r="124" spans="1:13" x14ac:dyDescent="0.2">
      <c r="A124" t="str">
        <v>OT</v>
      </c>
      <c r="B124" s="67">
        <f ca="1">'Adaptive costs A'!B124-'Adaptive costs B'!B124</f>
        <v>0</v>
      </c>
      <c r="C124" s="67">
        <f ca="1">'Adaptive costs A'!C124-'Adaptive costs B'!C124</f>
        <v>0</v>
      </c>
      <c r="D124" s="67">
        <f ca="1">'Adaptive costs A'!D124-'Adaptive costs B'!D124</f>
        <v>0</v>
      </c>
      <c r="E124" s="67">
        <f ca="1">'Adaptive costs A'!E124-'Adaptive costs B'!E124</f>
        <v>0</v>
      </c>
      <c r="F124" s="67">
        <f ca="1">'Adaptive costs A'!F124-'Adaptive costs B'!F124</f>
        <v>0</v>
      </c>
      <c r="G124" s="67">
        <f ca="1">'Adaptive costs A'!G124-'Adaptive costs B'!G124</f>
        <v>0</v>
      </c>
      <c r="H124" s="67">
        <f ca="1">'Adaptive costs A'!H124-'Adaptive costs B'!H124</f>
        <v>0</v>
      </c>
      <c r="I124" s="67">
        <f ca="1">'Adaptive costs A'!I124-'Adaptive costs B'!I124</f>
        <v>0</v>
      </c>
      <c r="J124" s="67">
        <f ca="1">'Adaptive costs A'!J124-'Adaptive costs B'!J124</f>
        <v>0</v>
      </c>
      <c r="K124" s="67">
        <f ca="1">'Adaptive costs A'!K124-'Adaptive costs B'!K124</f>
        <v>0</v>
      </c>
      <c r="L124" s="1"/>
      <c r="M124" s="1" t="str">
        <f t="shared" si="10"/>
        <v>$M(2015)/million</v>
      </c>
    </row>
    <row r="125" spans="1:13" x14ac:dyDescent="0.2">
      <c r="A125" t="str">
        <v>EE</v>
      </c>
      <c r="B125" s="67">
        <f ca="1">'Adaptive costs A'!B125-'Adaptive costs B'!B125</f>
        <v>0</v>
      </c>
      <c r="C125" s="67">
        <f ca="1">'Adaptive costs A'!C125-'Adaptive costs B'!C125</f>
        <v>0</v>
      </c>
      <c r="D125" s="67">
        <f ca="1">'Adaptive costs A'!D125-'Adaptive costs B'!D125</f>
        <v>0</v>
      </c>
      <c r="E125" s="67">
        <f ca="1">'Adaptive costs A'!E125-'Adaptive costs B'!E125</f>
        <v>0</v>
      </c>
      <c r="F125" s="67">
        <f ca="1">'Adaptive costs A'!F125-'Adaptive costs B'!F125</f>
        <v>0</v>
      </c>
      <c r="G125" s="67">
        <f ca="1">'Adaptive costs A'!G125-'Adaptive costs B'!G125</f>
        <v>0</v>
      </c>
      <c r="H125" s="67">
        <f ca="1">'Adaptive costs A'!H125-'Adaptive costs B'!H125</f>
        <v>0</v>
      </c>
      <c r="I125" s="67">
        <f ca="1">'Adaptive costs A'!I125-'Adaptive costs B'!I125</f>
        <v>0</v>
      </c>
      <c r="J125" s="67">
        <f ca="1">'Adaptive costs A'!J125-'Adaptive costs B'!J125</f>
        <v>0</v>
      </c>
      <c r="K125" s="67">
        <f ca="1">'Adaptive costs A'!K125-'Adaptive costs B'!K125</f>
        <v>0</v>
      </c>
      <c r="L125" s="1"/>
      <c r="M125" s="1" t="str">
        <f t="shared" si="10"/>
        <v>$M(2015)/million</v>
      </c>
    </row>
    <row r="126" spans="1:13" x14ac:dyDescent="0.2">
      <c r="A126" t="str">
        <v>CA</v>
      </c>
      <c r="B126" s="67">
        <f ca="1">'Adaptive costs A'!B126-'Adaptive costs B'!B126</f>
        <v>0</v>
      </c>
      <c r="C126" s="67">
        <f ca="1">'Adaptive costs A'!C126-'Adaptive costs B'!C126</f>
        <v>0</v>
      </c>
      <c r="D126" s="67">
        <f ca="1">'Adaptive costs A'!D126-'Adaptive costs B'!D126</f>
        <v>0</v>
      </c>
      <c r="E126" s="67">
        <f ca="1">'Adaptive costs A'!E126-'Adaptive costs B'!E126</f>
        <v>0</v>
      </c>
      <c r="F126" s="67">
        <f ca="1">'Adaptive costs A'!F126-'Adaptive costs B'!F126</f>
        <v>0</v>
      </c>
      <c r="G126" s="67">
        <f ca="1">'Adaptive costs A'!G126-'Adaptive costs B'!G126</f>
        <v>0</v>
      </c>
      <c r="H126" s="67">
        <f ca="1">'Adaptive costs A'!H126-'Adaptive costs B'!H126</f>
        <v>0</v>
      </c>
      <c r="I126" s="67">
        <f ca="1">'Adaptive costs A'!I126-'Adaptive costs B'!I126</f>
        <v>0</v>
      </c>
      <c r="J126" s="67">
        <f ca="1">'Adaptive costs A'!J126-'Adaptive costs B'!J126</f>
        <v>0</v>
      </c>
      <c r="K126" s="67">
        <f ca="1">'Adaptive costs A'!K126-'Adaptive costs B'!K126</f>
        <v>0</v>
      </c>
      <c r="L126" s="1"/>
      <c r="M126" s="1" t="str">
        <f t="shared" si="10"/>
        <v>$M(2015)/million</v>
      </c>
    </row>
    <row r="127" spans="1:13" x14ac:dyDescent="0.2">
      <c r="A127" t="str">
        <v>IA</v>
      </c>
      <c r="B127" s="67">
        <f ca="1">'Adaptive costs A'!B127-'Adaptive costs B'!B127</f>
        <v>0</v>
      </c>
      <c r="C127" s="67">
        <f ca="1">'Adaptive costs A'!C127-'Adaptive costs B'!C127</f>
        <v>0</v>
      </c>
      <c r="D127" s="67">
        <f ca="1">'Adaptive costs A'!D127-'Adaptive costs B'!D127</f>
        <v>0</v>
      </c>
      <c r="E127" s="67">
        <f ca="1">'Adaptive costs A'!E127-'Adaptive costs B'!E127</f>
        <v>0</v>
      </c>
      <c r="F127" s="67">
        <f ca="1">'Adaptive costs A'!F127-'Adaptive costs B'!F127</f>
        <v>0</v>
      </c>
      <c r="G127" s="67">
        <f ca="1">'Adaptive costs A'!G127-'Adaptive costs B'!G127</f>
        <v>0</v>
      </c>
      <c r="H127" s="67">
        <f ca="1">'Adaptive costs A'!H127-'Adaptive costs B'!H127</f>
        <v>0</v>
      </c>
      <c r="I127" s="67">
        <f ca="1">'Adaptive costs A'!I127-'Adaptive costs B'!I127</f>
        <v>0</v>
      </c>
      <c r="J127" s="67">
        <f ca="1">'Adaptive costs A'!J127-'Adaptive costs B'!J127</f>
        <v>0</v>
      </c>
      <c r="K127" s="67">
        <f ca="1">'Adaptive costs A'!K127-'Adaptive costs B'!K127</f>
        <v>0</v>
      </c>
      <c r="L127" s="1"/>
      <c r="M127" s="1" t="str">
        <f t="shared" si="10"/>
        <v>$M(2015)/million</v>
      </c>
    </row>
    <row r="128" spans="1:13" x14ac:dyDescent="0.2">
      <c r="A128" t="str">
        <v>AF</v>
      </c>
      <c r="B128" s="67">
        <f ca="1">'Adaptive costs A'!B128-'Adaptive costs B'!B128</f>
        <v>0</v>
      </c>
      <c r="C128" s="67">
        <f ca="1">'Adaptive costs A'!C128-'Adaptive costs B'!C128</f>
        <v>0</v>
      </c>
      <c r="D128" s="67">
        <f ca="1">'Adaptive costs A'!D128-'Adaptive costs B'!D128</f>
        <v>0</v>
      </c>
      <c r="E128" s="67">
        <f ca="1">'Adaptive costs A'!E128-'Adaptive costs B'!E128</f>
        <v>0</v>
      </c>
      <c r="F128" s="67">
        <f ca="1">'Adaptive costs A'!F128-'Adaptive costs B'!F128</f>
        <v>0</v>
      </c>
      <c r="G128" s="67">
        <f ca="1">'Adaptive costs A'!G128-'Adaptive costs B'!G128</f>
        <v>0</v>
      </c>
      <c r="H128" s="67">
        <f ca="1">'Adaptive costs A'!H128-'Adaptive costs B'!H128</f>
        <v>0</v>
      </c>
      <c r="I128" s="67">
        <f ca="1">'Adaptive costs A'!I128-'Adaptive costs B'!I128</f>
        <v>0</v>
      </c>
      <c r="J128" s="67">
        <f ca="1">'Adaptive costs A'!J128-'Adaptive costs B'!J128</f>
        <v>0</v>
      </c>
      <c r="K128" s="67">
        <f ca="1">'Adaptive costs A'!K128-'Adaptive costs B'!K128</f>
        <v>0</v>
      </c>
      <c r="L128" s="1"/>
      <c r="M128" s="1" t="str">
        <f t="shared" si="10"/>
        <v>$M(2015)/million</v>
      </c>
    </row>
    <row r="129" spans="1:14" x14ac:dyDescent="0.2">
      <c r="A129" t="str">
        <v>LA</v>
      </c>
      <c r="B129" s="67">
        <f ca="1">'Adaptive costs A'!B129-'Adaptive costs B'!B129</f>
        <v>0</v>
      </c>
      <c r="C129" s="67">
        <f ca="1">'Adaptive costs A'!C129-'Adaptive costs B'!C129</f>
        <v>0</v>
      </c>
      <c r="D129" s="67">
        <f ca="1">'Adaptive costs A'!D129-'Adaptive costs B'!D129</f>
        <v>0</v>
      </c>
      <c r="E129" s="67">
        <f ca="1">'Adaptive costs A'!E129-'Adaptive costs B'!E129</f>
        <v>0</v>
      </c>
      <c r="F129" s="67">
        <f ca="1">'Adaptive costs A'!F129-'Adaptive costs B'!F129</f>
        <v>0</v>
      </c>
      <c r="G129" s="67">
        <f ca="1">'Adaptive costs A'!G129-'Adaptive costs B'!G129</f>
        <v>0</v>
      </c>
      <c r="H129" s="67">
        <f ca="1">'Adaptive costs A'!H129-'Adaptive costs B'!H129</f>
        <v>0</v>
      </c>
      <c r="I129" s="67">
        <f ca="1">'Adaptive costs A'!I129-'Adaptive costs B'!I129</f>
        <v>0</v>
      </c>
      <c r="J129" s="67">
        <f ca="1">'Adaptive costs A'!J129-'Adaptive costs B'!J129</f>
        <v>0</v>
      </c>
      <c r="K129" s="67">
        <f ca="1">'Adaptive costs A'!K129-'Adaptive costs B'!K129</f>
        <v>0</v>
      </c>
      <c r="L129" s="1"/>
      <c r="M129" s="1" t="str">
        <f t="shared" si="10"/>
        <v>$M(2015)/million</v>
      </c>
    </row>
    <row r="130" spans="1:14" ht="13.5" thickBot="1" x14ac:dyDescent="0.25">
      <c r="A130" s="2" t="s">
        <v>383</v>
      </c>
      <c r="B130" s="73">
        <f ca="1">'Adaptive costs A'!B130-'Adaptive costs B'!B130</f>
        <v>0</v>
      </c>
      <c r="C130" s="73">
        <f ca="1">'Adaptive costs A'!C130-'Adaptive costs B'!C130</f>
        <v>0</v>
      </c>
      <c r="D130" s="73">
        <f ca="1">'Adaptive costs A'!D130-'Adaptive costs B'!D130</f>
        <v>0</v>
      </c>
      <c r="E130" s="73">
        <f ca="1">'Adaptive costs A'!E130-'Adaptive costs B'!E130</f>
        <v>0</v>
      </c>
      <c r="F130" s="73">
        <f ca="1">'Adaptive costs A'!F130-'Adaptive costs B'!F130</f>
        <v>0</v>
      </c>
      <c r="G130" s="73">
        <f ca="1">'Adaptive costs A'!G130-'Adaptive costs B'!G130</f>
        <v>0</v>
      </c>
      <c r="H130" s="73">
        <f ca="1">'Adaptive costs A'!H130-'Adaptive costs B'!H130</f>
        <v>0</v>
      </c>
      <c r="I130" s="73">
        <f ca="1">'Adaptive costs A'!I130-'Adaptive costs B'!I130</f>
        <v>0</v>
      </c>
      <c r="J130" s="73">
        <f ca="1">'Adaptive costs A'!J130-'Adaptive costs B'!J130</f>
        <v>0</v>
      </c>
      <c r="K130" s="73">
        <f ca="1">'Adaptive costs A'!K130-'Adaptive costs B'!K130</f>
        <v>0</v>
      </c>
      <c r="L130" s="1"/>
      <c r="M130" s="1" t="str">
        <f t="shared" si="10"/>
        <v>$M(2015)/million</v>
      </c>
      <c r="N130" s="7"/>
    </row>
    <row r="131" spans="1:14" ht="15" thickTop="1" x14ac:dyDescent="0.25">
      <c r="A131" s="44" t="s">
        <v>393</v>
      </c>
      <c r="B131" s="2" t="s">
        <v>394</v>
      </c>
      <c r="C131" s="1"/>
      <c r="D131" s="1"/>
      <c r="E131" s="1"/>
      <c r="F131" s="1"/>
      <c r="G131" s="1"/>
      <c r="H131" s="1"/>
      <c r="I131" s="1"/>
      <c r="J131" s="1"/>
      <c r="K131" s="1"/>
      <c r="L131" s="1"/>
      <c r="M131" s="1"/>
    </row>
    <row r="132" spans="1:14" x14ac:dyDescent="0.2">
      <c r="A132" t="str">
        <f t="array" ref="A132:A139">R_CODE</f>
        <v>EU</v>
      </c>
      <c r="B132" s="29">
        <f ca="1">'Adaptive costs A'!B132-'Adaptive costs B'!B132</f>
        <v>0</v>
      </c>
      <c r="C132" s="29">
        <f ca="1">'Adaptive costs A'!C132-'Adaptive costs B'!C132</f>
        <v>0</v>
      </c>
      <c r="D132" s="29">
        <f ca="1">'Adaptive costs A'!D132-'Adaptive costs B'!D132</f>
        <v>0</v>
      </c>
      <c r="E132" s="29">
        <f ca="1">'Adaptive costs A'!E132-'Adaptive costs B'!E132</f>
        <v>0</v>
      </c>
      <c r="F132" s="29">
        <f ca="1">'Adaptive costs A'!F132-'Adaptive costs B'!F132</f>
        <v>0</v>
      </c>
      <c r="G132" s="29">
        <f ca="1">'Adaptive costs A'!G132-'Adaptive costs B'!G132</f>
        <v>0</v>
      </c>
      <c r="H132" s="29">
        <f ca="1">'Adaptive costs A'!H132-'Adaptive costs B'!H132</f>
        <v>0</v>
      </c>
      <c r="I132" s="29">
        <f ca="1">'Adaptive costs A'!I132-'Adaptive costs B'!I132</f>
        <v>0</v>
      </c>
      <c r="J132" s="29">
        <f ca="1">'Adaptive costs A'!J132-'Adaptive costs B'!J132</f>
        <v>0</v>
      </c>
      <c r="K132" s="29">
        <f ca="1">'Adaptive costs A'!K132-'Adaptive costs B'!K132</f>
        <v>0</v>
      </c>
      <c r="L132" s="1"/>
      <c r="M132" s="1" t="str">
        <f t="shared" ref="M132:M139" si="11">CURRENCY_NAME&amp;"/"&amp;POP_UNIT_NAME</f>
        <v>$M(2015)/million</v>
      </c>
    </row>
    <row r="133" spans="1:14" x14ac:dyDescent="0.2">
      <c r="A133" t="str">
        <v>US</v>
      </c>
      <c r="B133" s="26">
        <f ca="1">'Adaptive costs A'!B133-'Adaptive costs B'!B133</f>
        <v>0</v>
      </c>
      <c r="C133" s="26">
        <f ca="1">'Adaptive costs A'!C133-'Adaptive costs B'!C133</f>
        <v>0</v>
      </c>
      <c r="D133" s="26">
        <f ca="1">'Adaptive costs A'!D133-'Adaptive costs B'!D133</f>
        <v>0</v>
      </c>
      <c r="E133" s="26">
        <f ca="1">'Adaptive costs A'!E133-'Adaptive costs B'!E133</f>
        <v>0</v>
      </c>
      <c r="F133" s="26">
        <f ca="1">'Adaptive costs A'!F133-'Adaptive costs B'!F133</f>
        <v>0</v>
      </c>
      <c r="G133" s="26">
        <f ca="1">'Adaptive costs A'!G133-'Adaptive costs B'!G133</f>
        <v>0</v>
      </c>
      <c r="H133" s="26">
        <f ca="1">'Adaptive costs A'!H133-'Adaptive costs B'!H133</f>
        <v>0</v>
      </c>
      <c r="I133" s="26">
        <f ca="1">'Adaptive costs A'!I133-'Adaptive costs B'!I133</f>
        <v>0</v>
      </c>
      <c r="J133" s="26">
        <f ca="1">'Adaptive costs A'!J133-'Adaptive costs B'!J133</f>
        <v>0</v>
      </c>
      <c r="K133" s="26">
        <f ca="1">'Adaptive costs A'!K133-'Adaptive costs B'!K133</f>
        <v>0</v>
      </c>
      <c r="L133" s="1"/>
      <c r="M133" s="1" t="str">
        <f t="shared" si="11"/>
        <v>$M(2015)/million</v>
      </c>
    </row>
    <row r="134" spans="1:14" x14ac:dyDescent="0.2">
      <c r="A134" t="str">
        <v>OT</v>
      </c>
      <c r="B134" s="26">
        <f ca="1">'Adaptive costs A'!B134-'Adaptive costs B'!B134</f>
        <v>0</v>
      </c>
      <c r="C134" s="26">
        <f ca="1">'Adaptive costs A'!C134-'Adaptive costs B'!C134</f>
        <v>0</v>
      </c>
      <c r="D134" s="26">
        <f ca="1">'Adaptive costs A'!D134-'Adaptive costs B'!D134</f>
        <v>0</v>
      </c>
      <c r="E134" s="26">
        <f ca="1">'Adaptive costs A'!E134-'Adaptive costs B'!E134</f>
        <v>0</v>
      </c>
      <c r="F134" s="26">
        <f ca="1">'Adaptive costs A'!F134-'Adaptive costs B'!F134</f>
        <v>0</v>
      </c>
      <c r="G134" s="26">
        <f ca="1">'Adaptive costs A'!G134-'Adaptive costs B'!G134</f>
        <v>0</v>
      </c>
      <c r="H134" s="26">
        <f ca="1">'Adaptive costs A'!H134-'Adaptive costs B'!H134</f>
        <v>0</v>
      </c>
      <c r="I134" s="26">
        <f ca="1">'Adaptive costs A'!I134-'Adaptive costs B'!I134</f>
        <v>0</v>
      </c>
      <c r="J134" s="26">
        <f ca="1">'Adaptive costs A'!J134-'Adaptive costs B'!J134</f>
        <v>0</v>
      </c>
      <c r="K134" s="26">
        <f ca="1">'Adaptive costs A'!K134-'Adaptive costs B'!K134</f>
        <v>0</v>
      </c>
      <c r="L134" s="1"/>
      <c r="M134" s="1" t="str">
        <f t="shared" si="11"/>
        <v>$M(2015)/million</v>
      </c>
    </row>
    <row r="135" spans="1:14" x14ac:dyDescent="0.2">
      <c r="A135" t="str">
        <v>EE</v>
      </c>
      <c r="B135" s="26">
        <f ca="1">'Adaptive costs A'!B135-'Adaptive costs B'!B135</f>
        <v>0</v>
      </c>
      <c r="C135" s="26">
        <f ca="1">'Adaptive costs A'!C135-'Adaptive costs B'!C135</f>
        <v>0</v>
      </c>
      <c r="D135" s="26">
        <f ca="1">'Adaptive costs A'!D135-'Adaptive costs B'!D135</f>
        <v>0</v>
      </c>
      <c r="E135" s="26">
        <f ca="1">'Adaptive costs A'!E135-'Adaptive costs B'!E135</f>
        <v>0</v>
      </c>
      <c r="F135" s="26">
        <f ca="1">'Adaptive costs A'!F135-'Adaptive costs B'!F135</f>
        <v>0</v>
      </c>
      <c r="G135" s="26">
        <f ca="1">'Adaptive costs A'!G135-'Adaptive costs B'!G135</f>
        <v>0</v>
      </c>
      <c r="H135" s="26">
        <f ca="1">'Adaptive costs A'!H135-'Adaptive costs B'!H135</f>
        <v>0</v>
      </c>
      <c r="I135" s="26">
        <f ca="1">'Adaptive costs A'!I135-'Adaptive costs B'!I135</f>
        <v>0</v>
      </c>
      <c r="J135" s="26">
        <f ca="1">'Adaptive costs A'!J135-'Adaptive costs B'!J135</f>
        <v>0</v>
      </c>
      <c r="K135" s="26">
        <f ca="1">'Adaptive costs A'!K135-'Adaptive costs B'!K135</f>
        <v>0</v>
      </c>
      <c r="L135" s="1"/>
      <c r="M135" s="1" t="str">
        <f t="shared" si="11"/>
        <v>$M(2015)/million</v>
      </c>
    </row>
    <row r="136" spans="1:14" x14ac:dyDescent="0.2">
      <c r="A136" t="str">
        <v>CA</v>
      </c>
      <c r="B136" s="26">
        <f ca="1">'Adaptive costs A'!B136-'Adaptive costs B'!B136</f>
        <v>0</v>
      </c>
      <c r="C136" s="26">
        <f ca="1">'Adaptive costs A'!C136-'Adaptive costs B'!C136</f>
        <v>0</v>
      </c>
      <c r="D136" s="26">
        <f ca="1">'Adaptive costs A'!D136-'Adaptive costs B'!D136</f>
        <v>0</v>
      </c>
      <c r="E136" s="26">
        <f ca="1">'Adaptive costs A'!E136-'Adaptive costs B'!E136</f>
        <v>0</v>
      </c>
      <c r="F136" s="26">
        <f ca="1">'Adaptive costs A'!F136-'Adaptive costs B'!F136</f>
        <v>0</v>
      </c>
      <c r="G136" s="26">
        <f ca="1">'Adaptive costs A'!G136-'Adaptive costs B'!G136</f>
        <v>0</v>
      </c>
      <c r="H136" s="26">
        <f ca="1">'Adaptive costs A'!H136-'Adaptive costs B'!H136</f>
        <v>0</v>
      </c>
      <c r="I136" s="26">
        <f ca="1">'Adaptive costs A'!I136-'Adaptive costs B'!I136</f>
        <v>0</v>
      </c>
      <c r="J136" s="26">
        <f ca="1">'Adaptive costs A'!J136-'Adaptive costs B'!J136</f>
        <v>0</v>
      </c>
      <c r="K136" s="26">
        <f ca="1">'Adaptive costs A'!K136-'Adaptive costs B'!K136</f>
        <v>0</v>
      </c>
      <c r="L136" s="1"/>
      <c r="M136" s="1" t="str">
        <f t="shared" si="11"/>
        <v>$M(2015)/million</v>
      </c>
    </row>
    <row r="137" spans="1:14" x14ac:dyDescent="0.2">
      <c r="A137" t="str">
        <v>IA</v>
      </c>
      <c r="B137" s="26">
        <f ca="1">'Adaptive costs A'!B137-'Adaptive costs B'!B137</f>
        <v>0</v>
      </c>
      <c r="C137" s="26">
        <f ca="1">'Adaptive costs A'!C137-'Adaptive costs B'!C137</f>
        <v>0</v>
      </c>
      <c r="D137" s="26">
        <f ca="1">'Adaptive costs A'!D137-'Adaptive costs B'!D137</f>
        <v>0</v>
      </c>
      <c r="E137" s="26">
        <f ca="1">'Adaptive costs A'!E137-'Adaptive costs B'!E137</f>
        <v>0</v>
      </c>
      <c r="F137" s="26">
        <f ca="1">'Adaptive costs A'!F137-'Adaptive costs B'!F137</f>
        <v>0</v>
      </c>
      <c r="G137" s="26">
        <f ca="1">'Adaptive costs A'!G137-'Adaptive costs B'!G137</f>
        <v>0</v>
      </c>
      <c r="H137" s="26">
        <f ca="1">'Adaptive costs A'!H137-'Adaptive costs B'!H137</f>
        <v>0</v>
      </c>
      <c r="I137" s="26">
        <f ca="1">'Adaptive costs A'!I137-'Adaptive costs B'!I137</f>
        <v>0</v>
      </c>
      <c r="J137" s="26">
        <f ca="1">'Adaptive costs A'!J137-'Adaptive costs B'!J137</f>
        <v>0</v>
      </c>
      <c r="K137" s="26">
        <f ca="1">'Adaptive costs A'!K137-'Adaptive costs B'!K137</f>
        <v>0</v>
      </c>
      <c r="L137" s="1"/>
      <c r="M137" s="1" t="str">
        <f t="shared" si="11"/>
        <v>$M(2015)/million</v>
      </c>
    </row>
    <row r="138" spans="1:14" x14ac:dyDescent="0.2">
      <c r="A138" t="str">
        <v>AF</v>
      </c>
      <c r="B138" s="26">
        <f ca="1">'Adaptive costs A'!B138-'Adaptive costs B'!B138</f>
        <v>0</v>
      </c>
      <c r="C138" s="26">
        <f ca="1">'Adaptive costs A'!C138-'Adaptive costs B'!C138</f>
        <v>0</v>
      </c>
      <c r="D138" s="26">
        <f ca="1">'Adaptive costs A'!D138-'Adaptive costs B'!D138</f>
        <v>0</v>
      </c>
      <c r="E138" s="26">
        <f ca="1">'Adaptive costs A'!E138-'Adaptive costs B'!E138</f>
        <v>0</v>
      </c>
      <c r="F138" s="26">
        <f ca="1">'Adaptive costs A'!F138-'Adaptive costs B'!F138</f>
        <v>0</v>
      </c>
      <c r="G138" s="26">
        <f ca="1">'Adaptive costs A'!G138-'Adaptive costs B'!G138</f>
        <v>0</v>
      </c>
      <c r="H138" s="26">
        <f ca="1">'Adaptive costs A'!H138-'Adaptive costs B'!H138</f>
        <v>0</v>
      </c>
      <c r="I138" s="26">
        <f ca="1">'Adaptive costs A'!I138-'Adaptive costs B'!I138</f>
        <v>0</v>
      </c>
      <c r="J138" s="26">
        <f ca="1">'Adaptive costs A'!J138-'Adaptive costs B'!J138</f>
        <v>0</v>
      </c>
      <c r="K138" s="26">
        <f ca="1">'Adaptive costs A'!K138-'Adaptive costs B'!K138</f>
        <v>0</v>
      </c>
      <c r="L138" s="1"/>
      <c r="M138" s="1" t="str">
        <f t="shared" si="11"/>
        <v>$M(2015)/million</v>
      </c>
    </row>
    <row r="139" spans="1:14" x14ac:dyDescent="0.2">
      <c r="A139" t="str">
        <v>LA</v>
      </c>
      <c r="B139" s="26">
        <f ca="1">'Adaptive costs A'!B139-'Adaptive costs B'!B139</f>
        <v>0</v>
      </c>
      <c r="C139" s="26">
        <f ca="1">'Adaptive costs A'!C139-'Adaptive costs B'!C139</f>
        <v>0</v>
      </c>
      <c r="D139" s="26">
        <f ca="1">'Adaptive costs A'!D139-'Adaptive costs B'!D139</f>
        <v>0</v>
      </c>
      <c r="E139" s="26">
        <f ca="1">'Adaptive costs A'!E139-'Adaptive costs B'!E139</f>
        <v>0</v>
      </c>
      <c r="F139" s="26">
        <f ca="1">'Adaptive costs A'!F139-'Adaptive costs B'!F139</f>
        <v>0</v>
      </c>
      <c r="G139" s="26">
        <f ca="1">'Adaptive costs A'!G139-'Adaptive costs B'!G139</f>
        <v>0</v>
      </c>
      <c r="H139" s="26">
        <f ca="1">'Adaptive costs A'!H139-'Adaptive costs B'!H139</f>
        <v>0</v>
      </c>
      <c r="I139" s="26">
        <f ca="1">'Adaptive costs A'!I139-'Adaptive costs B'!I139</f>
        <v>0</v>
      </c>
      <c r="J139" s="26">
        <f ca="1">'Adaptive costs A'!J139-'Adaptive costs B'!J139</f>
        <v>0</v>
      </c>
      <c r="K139" s="26">
        <f ca="1">'Adaptive costs A'!K139-'Adaptive costs B'!K139</f>
        <v>0</v>
      </c>
      <c r="L139" s="1"/>
      <c r="M139" s="1" t="str">
        <f t="shared" si="11"/>
        <v>$M(2015)/million</v>
      </c>
    </row>
    <row r="140" spans="1:14" ht="14.25" x14ac:dyDescent="0.25">
      <c r="A140" s="44" t="s">
        <v>385</v>
      </c>
      <c r="B140" s="2" t="s">
        <v>386</v>
      </c>
      <c r="C140" s="1"/>
      <c r="D140" s="1"/>
      <c r="E140" s="1"/>
      <c r="F140" s="1"/>
      <c r="G140" s="1"/>
      <c r="H140" s="1"/>
      <c r="I140" s="1"/>
      <c r="J140" s="1"/>
      <c r="K140" s="1"/>
      <c r="L140" s="1"/>
      <c r="M140" s="1"/>
    </row>
    <row r="141" spans="1:14" x14ac:dyDescent="0.2">
      <c r="A141" t="str">
        <f t="array" ref="A141:A148">R_CODE</f>
        <v>EU</v>
      </c>
      <c r="B141" s="29">
        <f ca="1">'Adaptive costs A'!B141-'Adaptive costs B'!B141</f>
        <v>0</v>
      </c>
      <c r="C141" s="29">
        <f ca="1">'Adaptive costs A'!C141-'Adaptive costs B'!C141</f>
        <v>0</v>
      </c>
      <c r="D141" s="29">
        <f ca="1">'Adaptive costs A'!D141-'Adaptive costs B'!D141</f>
        <v>0</v>
      </c>
      <c r="E141" s="29">
        <f ca="1">'Adaptive costs A'!E141-'Adaptive costs B'!E141</f>
        <v>0</v>
      </c>
      <c r="F141" s="29">
        <f ca="1">'Adaptive costs A'!F141-'Adaptive costs B'!F141</f>
        <v>0</v>
      </c>
      <c r="G141" s="29">
        <f ca="1">'Adaptive costs A'!G141-'Adaptive costs B'!G141</f>
        <v>0</v>
      </c>
      <c r="H141" s="29">
        <f ca="1">'Adaptive costs A'!H141-'Adaptive costs B'!H141</f>
        <v>0</v>
      </c>
      <c r="I141" s="29">
        <f ca="1">'Adaptive costs A'!I141-'Adaptive costs B'!I141</f>
        <v>0</v>
      </c>
      <c r="J141" s="29">
        <f ca="1">'Adaptive costs A'!J141-'Adaptive costs B'!J141</f>
        <v>0</v>
      </c>
      <c r="K141" s="29">
        <f ca="1">'Adaptive costs A'!K141-'Adaptive costs B'!K141</f>
        <v>0</v>
      </c>
      <c r="L141" s="1"/>
      <c r="M141" s="1" t="str">
        <f t="shared" ref="M141:M148" si="12">CURRENCY_NAME&amp;"/"&amp;POP_UNIT_NAME</f>
        <v>$M(2015)/million</v>
      </c>
    </row>
    <row r="142" spans="1:14" x14ac:dyDescent="0.2">
      <c r="A142" t="str">
        <v>US</v>
      </c>
      <c r="B142" s="26">
        <f ca="1">'Adaptive costs A'!B142-'Adaptive costs B'!B142</f>
        <v>0</v>
      </c>
      <c r="C142" s="26">
        <f ca="1">'Adaptive costs A'!C142-'Adaptive costs B'!C142</f>
        <v>0</v>
      </c>
      <c r="D142" s="26">
        <f ca="1">'Adaptive costs A'!D142-'Adaptive costs B'!D142</f>
        <v>0</v>
      </c>
      <c r="E142" s="26">
        <f ca="1">'Adaptive costs A'!E142-'Adaptive costs B'!E142</f>
        <v>0</v>
      </c>
      <c r="F142" s="26">
        <f ca="1">'Adaptive costs A'!F142-'Adaptive costs B'!F142</f>
        <v>0</v>
      </c>
      <c r="G142" s="26">
        <f ca="1">'Adaptive costs A'!G142-'Adaptive costs B'!G142</f>
        <v>0</v>
      </c>
      <c r="H142" s="26">
        <f ca="1">'Adaptive costs A'!H142-'Adaptive costs B'!H142</f>
        <v>0</v>
      </c>
      <c r="I142" s="26">
        <f ca="1">'Adaptive costs A'!I142-'Adaptive costs B'!I142</f>
        <v>0</v>
      </c>
      <c r="J142" s="26">
        <f ca="1">'Adaptive costs A'!J142-'Adaptive costs B'!J142</f>
        <v>0</v>
      </c>
      <c r="K142" s="26">
        <f ca="1">'Adaptive costs A'!K142-'Adaptive costs B'!K142</f>
        <v>0</v>
      </c>
      <c r="L142" s="1"/>
      <c r="M142" s="1" t="str">
        <f t="shared" si="12"/>
        <v>$M(2015)/million</v>
      </c>
    </row>
    <row r="143" spans="1:14" x14ac:dyDescent="0.2">
      <c r="A143" t="str">
        <v>OT</v>
      </c>
      <c r="B143" s="26">
        <f ca="1">'Adaptive costs A'!B143-'Adaptive costs B'!B143</f>
        <v>0</v>
      </c>
      <c r="C143" s="26">
        <f ca="1">'Adaptive costs A'!C143-'Adaptive costs B'!C143</f>
        <v>0</v>
      </c>
      <c r="D143" s="26">
        <f ca="1">'Adaptive costs A'!D143-'Adaptive costs B'!D143</f>
        <v>0</v>
      </c>
      <c r="E143" s="26">
        <f ca="1">'Adaptive costs A'!E143-'Adaptive costs B'!E143</f>
        <v>0</v>
      </c>
      <c r="F143" s="26">
        <f ca="1">'Adaptive costs A'!F143-'Adaptive costs B'!F143</f>
        <v>0</v>
      </c>
      <c r="G143" s="26">
        <f ca="1">'Adaptive costs A'!G143-'Adaptive costs B'!G143</f>
        <v>0</v>
      </c>
      <c r="H143" s="26">
        <f ca="1">'Adaptive costs A'!H143-'Adaptive costs B'!H143</f>
        <v>0</v>
      </c>
      <c r="I143" s="26">
        <f ca="1">'Adaptive costs A'!I143-'Adaptive costs B'!I143</f>
        <v>0</v>
      </c>
      <c r="J143" s="26">
        <f ca="1">'Adaptive costs A'!J143-'Adaptive costs B'!J143</f>
        <v>0</v>
      </c>
      <c r="K143" s="26">
        <f ca="1">'Adaptive costs A'!K143-'Adaptive costs B'!K143</f>
        <v>0</v>
      </c>
      <c r="L143" s="1"/>
      <c r="M143" s="1" t="str">
        <f t="shared" si="12"/>
        <v>$M(2015)/million</v>
      </c>
    </row>
    <row r="144" spans="1:14" x14ac:dyDescent="0.2">
      <c r="A144" t="str">
        <v>EE</v>
      </c>
      <c r="B144" s="26">
        <f ca="1">'Adaptive costs A'!B144-'Adaptive costs B'!B144</f>
        <v>0</v>
      </c>
      <c r="C144" s="26">
        <f ca="1">'Adaptive costs A'!C144-'Adaptive costs B'!C144</f>
        <v>0</v>
      </c>
      <c r="D144" s="26">
        <f ca="1">'Adaptive costs A'!D144-'Adaptive costs B'!D144</f>
        <v>0</v>
      </c>
      <c r="E144" s="26">
        <f ca="1">'Adaptive costs A'!E144-'Adaptive costs B'!E144</f>
        <v>0</v>
      </c>
      <c r="F144" s="26">
        <f ca="1">'Adaptive costs A'!F144-'Adaptive costs B'!F144</f>
        <v>0</v>
      </c>
      <c r="G144" s="26">
        <f ca="1">'Adaptive costs A'!G144-'Adaptive costs B'!G144</f>
        <v>0</v>
      </c>
      <c r="H144" s="26">
        <f ca="1">'Adaptive costs A'!H144-'Adaptive costs B'!H144</f>
        <v>0</v>
      </c>
      <c r="I144" s="26">
        <f ca="1">'Adaptive costs A'!I144-'Adaptive costs B'!I144</f>
        <v>0</v>
      </c>
      <c r="J144" s="26">
        <f ca="1">'Adaptive costs A'!J144-'Adaptive costs B'!J144</f>
        <v>0</v>
      </c>
      <c r="K144" s="26">
        <f ca="1">'Adaptive costs A'!K144-'Adaptive costs B'!K144</f>
        <v>0</v>
      </c>
      <c r="L144" s="1"/>
      <c r="M144" s="1" t="str">
        <f t="shared" si="12"/>
        <v>$M(2015)/million</v>
      </c>
    </row>
    <row r="145" spans="1:13" x14ac:dyDescent="0.2">
      <c r="A145" t="str">
        <v>CA</v>
      </c>
      <c r="B145" s="26">
        <f ca="1">'Adaptive costs A'!B145-'Adaptive costs B'!B145</f>
        <v>0</v>
      </c>
      <c r="C145" s="26">
        <f ca="1">'Adaptive costs A'!C145-'Adaptive costs B'!C145</f>
        <v>0</v>
      </c>
      <c r="D145" s="26">
        <f ca="1">'Adaptive costs A'!D145-'Adaptive costs B'!D145</f>
        <v>0</v>
      </c>
      <c r="E145" s="26">
        <f ca="1">'Adaptive costs A'!E145-'Adaptive costs B'!E145</f>
        <v>0</v>
      </c>
      <c r="F145" s="26">
        <f ca="1">'Adaptive costs A'!F145-'Adaptive costs B'!F145</f>
        <v>0</v>
      </c>
      <c r="G145" s="26">
        <f ca="1">'Adaptive costs A'!G145-'Adaptive costs B'!G145</f>
        <v>0</v>
      </c>
      <c r="H145" s="26">
        <f ca="1">'Adaptive costs A'!H145-'Adaptive costs B'!H145</f>
        <v>0</v>
      </c>
      <c r="I145" s="26">
        <f ca="1">'Adaptive costs A'!I145-'Adaptive costs B'!I145</f>
        <v>0</v>
      </c>
      <c r="J145" s="26">
        <f ca="1">'Adaptive costs A'!J145-'Adaptive costs B'!J145</f>
        <v>0</v>
      </c>
      <c r="K145" s="26">
        <f ca="1">'Adaptive costs A'!K145-'Adaptive costs B'!K145</f>
        <v>0</v>
      </c>
      <c r="L145" s="1"/>
      <c r="M145" s="1" t="str">
        <f t="shared" si="12"/>
        <v>$M(2015)/million</v>
      </c>
    </row>
    <row r="146" spans="1:13" x14ac:dyDescent="0.2">
      <c r="A146" t="str">
        <v>IA</v>
      </c>
      <c r="B146" s="26">
        <f ca="1">'Adaptive costs A'!B146-'Adaptive costs B'!B146</f>
        <v>0</v>
      </c>
      <c r="C146" s="26">
        <f ca="1">'Adaptive costs A'!C146-'Adaptive costs B'!C146</f>
        <v>0</v>
      </c>
      <c r="D146" s="26">
        <f ca="1">'Adaptive costs A'!D146-'Adaptive costs B'!D146</f>
        <v>0</v>
      </c>
      <c r="E146" s="26">
        <f ca="1">'Adaptive costs A'!E146-'Adaptive costs B'!E146</f>
        <v>0</v>
      </c>
      <c r="F146" s="26">
        <f ca="1">'Adaptive costs A'!F146-'Adaptive costs B'!F146</f>
        <v>0</v>
      </c>
      <c r="G146" s="26">
        <f ca="1">'Adaptive costs A'!G146-'Adaptive costs B'!G146</f>
        <v>0</v>
      </c>
      <c r="H146" s="26">
        <f ca="1">'Adaptive costs A'!H146-'Adaptive costs B'!H146</f>
        <v>0</v>
      </c>
      <c r="I146" s="26">
        <f ca="1">'Adaptive costs A'!I146-'Adaptive costs B'!I146</f>
        <v>0</v>
      </c>
      <c r="J146" s="26">
        <f ca="1">'Adaptive costs A'!J146-'Adaptive costs B'!J146</f>
        <v>0</v>
      </c>
      <c r="K146" s="26">
        <f ca="1">'Adaptive costs A'!K146-'Adaptive costs B'!K146</f>
        <v>0</v>
      </c>
      <c r="L146" s="1"/>
      <c r="M146" s="1" t="str">
        <f t="shared" si="12"/>
        <v>$M(2015)/million</v>
      </c>
    </row>
    <row r="147" spans="1:13" x14ac:dyDescent="0.2">
      <c r="A147" t="str">
        <v>AF</v>
      </c>
      <c r="B147" s="26">
        <f ca="1">'Adaptive costs A'!B147-'Adaptive costs B'!B147</f>
        <v>0</v>
      </c>
      <c r="C147" s="26">
        <f ca="1">'Adaptive costs A'!C147-'Adaptive costs B'!C147</f>
        <v>0</v>
      </c>
      <c r="D147" s="26">
        <f ca="1">'Adaptive costs A'!D147-'Adaptive costs B'!D147</f>
        <v>0</v>
      </c>
      <c r="E147" s="26">
        <f ca="1">'Adaptive costs A'!E147-'Adaptive costs B'!E147</f>
        <v>0</v>
      </c>
      <c r="F147" s="26">
        <f ca="1">'Adaptive costs A'!F147-'Adaptive costs B'!F147</f>
        <v>0</v>
      </c>
      <c r="G147" s="26">
        <f ca="1">'Adaptive costs A'!G147-'Adaptive costs B'!G147</f>
        <v>0</v>
      </c>
      <c r="H147" s="26">
        <f ca="1">'Adaptive costs A'!H147-'Adaptive costs B'!H147</f>
        <v>0</v>
      </c>
      <c r="I147" s="26">
        <f ca="1">'Adaptive costs A'!I147-'Adaptive costs B'!I147</f>
        <v>0</v>
      </c>
      <c r="J147" s="26">
        <f ca="1">'Adaptive costs A'!J147-'Adaptive costs B'!J147</f>
        <v>0</v>
      </c>
      <c r="K147" s="26">
        <f ca="1">'Adaptive costs A'!K147-'Adaptive costs B'!K147</f>
        <v>0</v>
      </c>
      <c r="L147" s="1"/>
      <c r="M147" s="1" t="str">
        <f t="shared" si="12"/>
        <v>$M(2015)/million</v>
      </c>
    </row>
    <row r="148" spans="1:13" x14ac:dyDescent="0.2">
      <c r="A148" t="str">
        <v>LA</v>
      </c>
      <c r="B148" s="26">
        <f ca="1">'Adaptive costs A'!B148-'Adaptive costs B'!B148</f>
        <v>0</v>
      </c>
      <c r="C148" s="26">
        <f ca="1">'Adaptive costs A'!C148-'Adaptive costs B'!C148</f>
        <v>0</v>
      </c>
      <c r="D148" s="26">
        <f ca="1">'Adaptive costs A'!D148-'Adaptive costs B'!D148</f>
        <v>0</v>
      </c>
      <c r="E148" s="26">
        <f ca="1">'Adaptive costs A'!E148-'Adaptive costs B'!E148</f>
        <v>0</v>
      </c>
      <c r="F148" s="26">
        <f ca="1">'Adaptive costs A'!F148-'Adaptive costs B'!F148</f>
        <v>0</v>
      </c>
      <c r="G148" s="26">
        <f ca="1">'Adaptive costs A'!G148-'Adaptive costs B'!G148</f>
        <v>0</v>
      </c>
      <c r="H148" s="26">
        <f ca="1">'Adaptive costs A'!H148-'Adaptive costs B'!H148</f>
        <v>0</v>
      </c>
      <c r="I148" s="26">
        <f ca="1">'Adaptive costs A'!I148-'Adaptive costs B'!I148</f>
        <v>0</v>
      </c>
      <c r="J148" s="26">
        <f ca="1">'Adaptive costs A'!J148-'Adaptive costs B'!J148</f>
        <v>0</v>
      </c>
      <c r="K148" s="26">
        <f ca="1">'Adaptive costs A'!K148-'Adaptive costs B'!K148</f>
        <v>0</v>
      </c>
      <c r="L148" s="1"/>
      <c r="M148" s="1" t="str">
        <f t="shared" si="12"/>
        <v>$M(2015)/million</v>
      </c>
    </row>
    <row r="149" spans="1:13" ht="14.25" x14ac:dyDescent="0.25">
      <c r="A149" s="44" t="s">
        <v>381</v>
      </c>
      <c r="B149" s="2" t="s">
        <v>387</v>
      </c>
      <c r="C149" s="1"/>
      <c r="D149" s="1"/>
      <c r="E149" s="1"/>
      <c r="F149" s="1"/>
      <c r="G149" s="1"/>
      <c r="H149" s="1"/>
      <c r="I149" s="1"/>
      <c r="J149" s="1"/>
      <c r="K149" s="1"/>
      <c r="L149" s="1"/>
      <c r="M149" s="1"/>
    </row>
    <row r="150" spans="1:13" x14ac:dyDescent="0.2">
      <c r="A150" t="str">
        <f t="array" ref="A150:A157">R_CODE</f>
        <v>EU</v>
      </c>
      <c r="B150" s="66">
        <f ca="1">'Adaptive costs A'!B150-'Adaptive costs B'!B150</f>
        <v>0</v>
      </c>
      <c r="C150" s="66">
        <f ca="1">'Adaptive costs A'!C150-'Adaptive costs B'!C150</f>
        <v>0</v>
      </c>
      <c r="D150" s="66">
        <f ca="1">'Adaptive costs A'!D150-'Adaptive costs B'!D150</f>
        <v>0</v>
      </c>
      <c r="E150" s="66">
        <f ca="1">'Adaptive costs A'!E150-'Adaptive costs B'!E150</f>
        <v>0</v>
      </c>
      <c r="F150" s="66">
        <f ca="1">'Adaptive costs A'!F150-'Adaptive costs B'!F150</f>
        <v>0</v>
      </c>
      <c r="G150" s="66">
        <f ca="1">'Adaptive costs A'!G150-'Adaptive costs B'!G150</f>
        <v>0</v>
      </c>
      <c r="H150" s="66">
        <f ca="1">'Adaptive costs A'!H150-'Adaptive costs B'!H150</f>
        <v>0</v>
      </c>
      <c r="I150" s="66">
        <f ca="1">'Adaptive costs A'!I150-'Adaptive costs B'!I150</f>
        <v>0</v>
      </c>
      <c r="J150" s="66">
        <f ca="1">'Adaptive costs A'!J150-'Adaptive costs B'!J150</f>
        <v>0</v>
      </c>
      <c r="K150" s="66">
        <f ca="1">'Adaptive costs A'!K150-'Adaptive costs B'!K150</f>
        <v>0</v>
      </c>
      <c r="L150" s="1"/>
      <c r="M150" s="4" t="str">
        <f t="shared" ref="M150:M158" si="13">CURRENCY_NAME</f>
        <v>$M(2015)</v>
      </c>
    </row>
    <row r="151" spans="1:13" x14ac:dyDescent="0.2">
      <c r="A151" t="str">
        <v>US</v>
      </c>
      <c r="B151" s="67">
        <f ca="1">'Adaptive costs A'!B151-'Adaptive costs B'!B151</f>
        <v>0</v>
      </c>
      <c r="C151" s="67">
        <f ca="1">'Adaptive costs A'!C151-'Adaptive costs B'!C151</f>
        <v>0</v>
      </c>
      <c r="D151" s="67">
        <f ca="1">'Adaptive costs A'!D151-'Adaptive costs B'!D151</f>
        <v>0</v>
      </c>
      <c r="E151" s="67">
        <f ca="1">'Adaptive costs A'!E151-'Adaptive costs B'!E151</f>
        <v>0</v>
      </c>
      <c r="F151" s="67">
        <f ca="1">'Adaptive costs A'!F151-'Adaptive costs B'!F151</f>
        <v>0</v>
      </c>
      <c r="G151" s="67">
        <f ca="1">'Adaptive costs A'!G151-'Adaptive costs B'!G151</f>
        <v>0</v>
      </c>
      <c r="H151" s="67">
        <f ca="1">'Adaptive costs A'!H151-'Adaptive costs B'!H151</f>
        <v>0</v>
      </c>
      <c r="I151" s="67">
        <f ca="1">'Adaptive costs A'!I151-'Adaptive costs B'!I151</f>
        <v>0</v>
      </c>
      <c r="J151" s="67">
        <f ca="1">'Adaptive costs A'!J151-'Adaptive costs B'!J151</f>
        <v>0</v>
      </c>
      <c r="K151" s="67">
        <f ca="1">'Adaptive costs A'!K151-'Adaptive costs B'!K151</f>
        <v>0</v>
      </c>
      <c r="L151" s="1"/>
      <c r="M151" s="4" t="str">
        <f t="shared" si="13"/>
        <v>$M(2015)</v>
      </c>
    </row>
    <row r="152" spans="1:13" x14ac:dyDescent="0.2">
      <c r="A152" t="str">
        <v>OT</v>
      </c>
      <c r="B152" s="67">
        <f ca="1">'Adaptive costs A'!B152-'Adaptive costs B'!B152</f>
        <v>0</v>
      </c>
      <c r="C152" s="67">
        <f ca="1">'Adaptive costs A'!C152-'Adaptive costs B'!C152</f>
        <v>0</v>
      </c>
      <c r="D152" s="67">
        <f ca="1">'Adaptive costs A'!D152-'Adaptive costs B'!D152</f>
        <v>0</v>
      </c>
      <c r="E152" s="67">
        <f ca="1">'Adaptive costs A'!E152-'Adaptive costs B'!E152</f>
        <v>0</v>
      </c>
      <c r="F152" s="67">
        <f ca="1">'Adaptive costs A'!F152-'Adaptive costs B'!F152</f>
        <v>0</v>
      </c>
      <c r="G152" s="67">
        <f ca="1">'Adaptive costs A'!G152-'Adaptive costs B'!G152</f>
        <v>0</v>
      </c>
      <c r="H152" s="67">
        <f ca="1">'Adaptive costs A'!H152-'Adaptive costs B'!H152</f>
        <v>0</v>
      </c>
      <c r="I152" s="67">
        <f ca="1">'Adaptive costs A'!I152-'Adaptive costs B'!I152</f>
        <v>0</v>
      </c>
      <c r="J152" s="67">
        <f ca="1">'Adaptive costs A'!J152-'Adaptive costs B'!J152</f>
        <v>0</v>
      </c>
      <c r="K152" s="67">
        <f ca="1">'Adaptive costs A'!K152-'Adaptive costs B'!K152</f>
        <v>0</v>
      </c>
      <c r="L152" s="1"/>
      <c r="M152" s="4" t="str">
        <f t="shared" si="13"/>
        <v>$M(2015)</v>
      </c>
    </row>
    <row r="153" spans="1:13" x14ac:dyDescent="0.2">
      <c r="A153" t="str">
        <v>EE</v>
      </c>
      <c r="B153" s="67">
        <f ca="1">'Adaptive costs A'!B153-'Adaptive costs B'!B153</f>
        <v>0</v>
      </c>
      <c r="C153" s="67">
        <f ca="1">'Adaptive costs A'!C153-'Adaptive costs B'!C153</f>
        <v>0</v>
      </c>
      <c r="D153" s="67">
        <f ca="1">'Adaptive costs A'!D153-'Adaptive costs B'!D153</f>
        <v>0</v>
      </c>
      <c r="E153" s="67">
        <f ca="1">'Adaptive costs A'!E153-'Adaptive costs B'!E153</f>
        <v>0</v>
      </c>
      <c r="F153" s="67">
        <f ca="1">'Adaptive costs A'!F153-'Adaptive costs B'!F153</f>
        <v>0</v>
      </c>
      <c r="G153" s="67">
        <f ca="1">'Adaptive costs A'!G153-'Adaptive costs B'!G153</f>
        <v>0</v>
      </c>
      <c r="H153" s="67">
        <f ca="1">'Adaptive costs A'!H153-'Adaptive costs B'!H153</f>
        <v>0</v>
      </c>
      <c r="I153" s="67">
        <f ca="1">'Adaptive costs A'!I153-'Adaptive costs B'!I153</f>
        <v>0</v>
      </c>
      <c r="J153" s="67">
        <f ca="1">'Adaptive costs A'!J153-'Adaptive costs B'!J153</f>
        <v>0</v>
      </c>
      <c r="K153" s="67">
        <f ca="1">'Adaptive costs A'!K153-'Adaptive costs B'!K153</f>
        <v>0</v>
      </c>
      <c r="L153" s="1"/>
      <c r="M153" s="4" t="str">
        <f t="shared" si="13"/>
        <v>$M(2015)</v>
      </c>
    </row>
    <row r="154" spans="1:13" x14ac:dyDescent="0.2">
      <c r="A154" t="str">
        <v>CA</v>
      </c>
      <c r="B154" s="67">
        <f ca="1">'Adaptive costs A'!B154-'Adaptive costs B'!B154</f>
        <v>0</v>
      </c>
      <c r="C154" s="67">
        <f ca="1">'Adaptive costs A'!C154-'Adaptive costs B'!C154</f>
        <v>0</v>
      </c>
      <c r="D154" s="67">
        <f ca="1">'Adaptive costs A'!D154-'Adaptive costs B'!D154</f>
        <v>0</v>
      </c>
      <c r="E154" s="67">
        <f ca="1">'Adaptive costs A'!E154-'Adaptive costs B'!E154</f>
        <v>0</v>
      </c>
      <c r="F154" s="67">
        <f ca="1">'Adaptive costs A'!F154-'Adaptive costs B'!F154</f>
        <v>0</v>
      </c>
      <c r="G154" s="67">
        <f ca="1">'Adaptive costs A'!G154-'Adaptive costs B'!G154</f>
        <v>0</v>
      </c>
      <c r="H154" s="67">
        <f ca="1">'Adaptive costs A'!H154-'Adaptive costs B'!H154</f>
        <v>0</v>
      </c>
      <c r="I154" s="67">
        <f ca="1">'Adaptive costs A'!I154-'Adaptive costs B'!I154</f>
        <v>0</v>
      </c>
      <c r="J154" s="67">
        <f ca="1">'Adaptive costs A'!J154-'Adaptive costs B'!J154</f>
        <v>0</v>
      </c>
      <c r="K154" s="67">
        <f ca="1">'Adaptive costs A'!K154-'Adaptive costs B'!K154</f>
        <v>0</v>
      </c>
      <c r="L154" s="1"/>
      <c r="M154" s="4" t="str">
        <f t="shared" si="13"/>
        <v>$M(2015)</v>
      </c>
    </row>
    <row r="155" spans="1:13" x14ac:dyDescent="0.2">
      <c r="A155" t="str">
        <v>IA</v>
      </c>
      <c r="B155" s="67">
        <f ca="1">'Adaptive costs A'!B155-'Adaptive costs B'!B155</f>
        <v>0</v>
      </c>
      <c r="C155" s="67">
        <f ca="1">'Adaptive costs A'!C155-'Adaptive costs B'!C155</f>
        <v>0</v>
      </c>
      <c r="D155" s="67">
        <f ca="1">'Adaptive costs A'!D155-'Adaptive costs B'!D155</f>
        <v>0</v>
      </c>
      <c r="E155" s="67">
        <f ca="1">'Adaptive costs A'!E155-'Adaptive costs B'!E155</f>
        <v>0</v>
      </c>
      <c r="F155" s="67">
        <f ca="1">'Adaptive costs A'!F155-'Adaptive costs B'!F155</f>
        <v>0</v>
      </c>
      <c r="G155" s="67">
        <f ca="1">'Adaptive costs A'!G155-'Adaptive costs B'!G155</f>
        <v>0</v>
      </c>
      <c r="H155" s="67">
        <f ca="1">'Adaptive costs A'!H155-'Adaptive costs B'!H155</f>
        <v>0</v>
      </c>
      <c r="I155" s="67">
        <f ca="1">'Adaptive costs A'!I155-'Adaptive costs B'!I155</f>
        <v>0</v>
      </c>
      <c r="J155" s="67">
        <f ca="1">'Adaptive costs A'!J155-'Adaptive costs B'!J155</f>
        <v>0</v>
      </c>
      <c r="K155" s="67">
        <f ca="1">'Adaptive costs A'!K155-'Adaptive costs B'!K155</f>
        <v>0</v>
      </c>
      <c r="L155" s="1"/>
      <c r="M155" s="4" t="str">
        <f t="shared" si="13"/>
        <v>$M(2015)</v>
      </c>
    </row>
    <row r="156" spans="1:13" x14ac:dyDescent="0.2">
      <c r="A156" t="str">
        <v>AF</v>
      </c>
      <c r="B156" s="67">
        <f ca="1">'Adaptive costs A'!B156-'Adaptive costs B'!B156</f>
        <v>0</v>
      </c>
      <c r="C156" s="67">
        <f ca="1">'Adaptive costs A'!C156-'Adaptive costs B'!C156</f>
        <v>0</v>
      </c>
      <c r="D156" s="67">
        <f ca="1">'Adaptive costs A'!D156-'Adaptive costs B'!D156</f>
        <v>0</v>
      </c>
      <c r="E156" s="67">
        <f ca="1">'Adaptive costs A'!E156-'Adaptive costs B'!E156</f>
        <v>0</v>
      </c>
      <c r="F156" s="67">
        <f ca="1">'Adaptive costs A'!F156-'Adaptive costs B'!F156</f>
        <v>0</v>
      </c>
      <c r="G156" s="67">
        <f ca="1">'Adaptive costs A'!G156-'Adaptive costs B'!G156</f>
        <v>0</v>
      </c>
      <c r="H156" s="67">
        <f ca="1">'Adaptive costs A'!H156-'Adaptive costs B'!H156</f>
        <v>0</v>
      </c>
      <c r="I156" s="67">
        <f ca="1">'Adaptive costs A'!I156-'Adaptive costs B'!I156</f>
        <v>0</v>
      </c>
      <c r="J156" s="67">
        <f ca="1">'Adaptive costs A'!J156-'Adaptive costs B'!J156</f>
        <v>0</v>
      </c>
      <c r="K156" s="67">
        <f ca="1">'Adaptive costs A'!K156-'Adaptive costs B'!K156</f>
        <v>0</v>
      </c>
      <c r="L156" s="1"/>
      <c r="M156" s="4" t="str">
        <f t="shared" si="13"/>
        <v>$M(2015)</v>
      </c>
    </row>
    <row r="157" spans="1:13" x14ac:dyDescent="0.2">
      <c r="A157" t="str">
        <v>LA</v>
      </c>
      <c r="B157" s="67">
        <f ca="1">'Adaptive costs A'!B157-'Adaptive costs B'!B157</f>
        <v>0</v>
      </c>
      <c r="C157" s="67">
        <f ca="1">'Adaptive costs A'!C157-'Adaptive costs B'!C157</f>
        <v>0</v>
      </c>
      <c r="D157" s="67">
        <f ca="1">'Adaptive costs A'!D157-'Adaptive costs B'!D157</f>
        <v>0</v>
      </c>
      <c r="E157" s="67">
        <f ca="1">'Adaptive costs A'!E157-'Adaptive costs B'!E157</f>
        <v>0</v>
      </c>
      <c r="F157" s="67">
        <f ca="1">'Adaptive costs A'!F157-'Adaptive costs B'!F157</f>
        <v>0</v>
      </c>
      <c r="G157" s="67">
        <f ca="1">'Adaptive costs A'!G157-'Adaptive costs B'!G157</f>
        <v>0</v>
      </c>
      <c r="H157" s="67">
        <f ca="1">'Adaptive costs A'!H157-'Adaptive costs B'!H157</f>
        <v>0</v>
      </c>
      <c r="I157" s="67">
        <f ca="1">'Adaptive costs A'!I157-'Adaptive costs B'!I157</f>
        <v>0</v>
      </c>
      <c r="J157" s="67">
        <f ca="1">'Adaptive costs A'!J157-'Adaptive costs B'!J157</f>
        <v>0</v>
      </c>
      <c r="K157" s="67">
        <f ca="1">'Adaptive costs A'!K157-'Adaptive costs B'!K157</f>
        <v>0</v>
      </c>
      <c r="L157" s="1"/>
      <c r="M157" s="4" t="str">
        <f t="shared" si="13"/>
        <v>$M(2015)</v>
      </c>
    </row>
    <row r="158" spans="1:13" ht="13.5" thickBot="1" x14ac:dyDescent="0.25">
      <c r="A158" s="2" t="s">
        <v>204</v>
      </c>
      <c r="B158" s="73">
        <f ca="1">'Adaptive costs A'!B158-'Adaptive costs B'!B158</f>
        <v>0</v>
      </c>
      <c r="C158" s="73">
        <f ca="1">'Adaptive costs A'!C158-'Adaptive costs B'!C158</f>
        <v>0</v>
      </c>
      <c r="D158" s="73">
        <f ca="1">'Adaptive costs A'!D158-'Adaptive costs B'!D158</f>
        <v>0</v>
      </c>
      <c r="E158" s="73">
        <f ca="1">'Adaptive costs A'!E158-'Adaptive costs B'!E158</f>
        <v>0</v>
      </c>
      <c r="F158" s="73">
        <f ca="1">'Adaptive costs A'!F158-'Adaptive costs B'!F158</f>
        <v>0</v>
      </c>
      <c r="G158" s="73">
        <f ca="1">'Adaptive costs A'!G158-'Adaptive costs B'!G158</f>
        <v>0</v>
      </c>
      <c r="H158" s="73">
        <f ca="1">'Adaptive costs A'!H158-'Adaptive costs B'!H158</f>
        <v>0</v>
      </c>
      <c r="I158" s="73">
        <f ca="1">'Adaptive costs A'!I158-'Adaptive costs B'!I158</f>
        <v>0</v>
      </c>
      <c r="J158" s="73">
        <f ca="1">'Adaptive costs A'!J158-'Adaptive costs B'!J158</f>
        <v>0</v>
      </c>
      <c r="K158" s="73">
        <f ca="1">'Adaptive costs A'!K158-'Adaptive costs B'!K158</f>
        <v>0</v>
      </c>
      <c r="L158" s="1"/>
      <c r="M158" s="4" t="str">
        <f t="shared" si="13"/>
        <v>$M(2015)</v>
      </c>
    </row>
    <row r="159" spans="1:13" s="2" customFormat="1" ht="15" thickTop="1" x14ac:dyDescent="0.25">
      <c r="A159" s="2" t="s">
        <v>95</v>
      </c>
      <c r="B159" s="2" t="s">
        <v>388</v>
      </c>
    </row>
    <row r="160" spans="1:13" x14ac:dyDescent="0.2">
      <c r="A160" t="str">
        <f t="array" ref="A160:A167">R_CODE</f>
        <v>EU</v>
      </c>
      <c r="B160" s="66">
        <f ca="1">'Adaptive costs A'!B160-'Adaptive costs B'!B160</f>
        <v>0</v>
      </c>
      <c r="C160" s="66">
        <f ca="1">'Adaptive costs A'!C160-'Adaptive costs B'!C160</f>
        <v>0</v>
      </c>
      <c r="D160" s="66">
        <f ca="1">'Adaptive costs A'!D160-'Adaptive costs B'!D160</f>
        <v>0</v>
      </c>
      <c r="E160" s="66">
        <f ca="1">'Adaptive costs A'!E160-'Adaptive costs B'!E160</f>
        <v>0</v>
      </c>
      <c r="F160" s="66">
        <f ca="1">'Adaptive costs A'!F160-'Adaptive costs B'!F160</f>
        <v>0</v>
      </c>
      <c r="G160" s="66">
        <f ca="1">'Adaptive costs A'!G160-'Adaptive costs B'!G160</f>
        <v>0</v>
      </c>
      <c r="H160" s="66">
        <f ca="1">'Adaptive costs A'!H160-'Adaptive costs B'!H160</f>
        <v>0</v>
      </c>
      <c r="I160" s="66">
        <f ca="1">'Adaptive costs A'!I160-'Adaptive costs B'!I160</f>
        <v>0</v>
      </c>
      <c r="J160" s="66">
        <f ca="1">'Adaptive costs A'!J160-'Adaptive costs B'!J160</f>
        <v>0</v>
      </c>
      <c r="K160" s="66">
        <f ca="1">'Adaptive costs A'!K160-'Adaptive costs B'!K160</f>
        <v>0</v>
      </c>
      <c r="L160" s="1"/>
      <c r="M160" s="4" t="str">
        <f t="shared" ref="M160:M168" si="14">CURRENCY_NAME</f>
        <v>$M(2015)</v>
      </c>
    </row>
    <row r="161" spans="1:13" x14ac:dyDescent="0.2">
      <c r="A161" t="str">
        <v>US</v>
      </c>
      <c r="B161" s="67">
        <f ca="1">'Adaptive costs A'!B161-'Adaptive costs B'!B161</f>
        <v>0</v>
      </c>
      <c r="C161" s="67">
        <f ca="1">'Adaptive costs A'!C161-'Adaptive costs B'!C161</f>
        <v>0</v>
      </c>
      <c r="D161" s="67">
        <f ca="1">'Adaptive costs A'!D161-'Adaptive costs B'!D161</f>
        <v>0</v>
      </c>
      <c r="E161" s="67">
        <f ca="1">'Adaptive costs A'!E161-'Adaptive costs B'!E161</f>
        <v>0</v>
      </c>
      <c r="F161" s="67">
        <f ca="1">'Adaptive costs A'!F161-'Adaptive costs B'!F161</f>
        <v>0</v>
      </c>
      <c r="G161" s="67">
        <f ca="1">'Adaptive costs A'!G161-'Adaptive costs B'!G161</f>
        <v>0</v>
      </c>
      <c r="H161" s="67">
        <f ca="1">'Adaptive costs A'!H161-'Adaptive costs B'!H161</f>
        <v>0</v>
      </c>
      <c r="I161" s="67">
        <f ca="1">'Adaptive costs A'!I161-'Adaptive costs B'!I161</f>
        <v>0</v>
      </c>
      <c r="J161" s="67">
        <f ca="1">'Adaptive costs A'!J161-'Adaptive costs B'!J161</f>
        <v>0</v>
      </c>
      <c r="K161" s="67">
        <f ca="1">'Adaptive costs A'!K161-'Adaptive costs B'!K161</f>
        <v>0</v>
      </c>
      <c r="L161" s="1"/>
      <c r="M161" s="4" t="str">
        <f t="shared" si="14"/>
        <v>$M(2015)</v>
      </c>
    </row>
    <row r="162" spans="1:13" x14ac:dyDescent="0.2">
      <c r="A162" t="str">
        <v>OT</v>
      </c>
      <c r="B162" s="67">
        <f ca="1">'Adaptive costs A'!B162-'Adaptive costs B'!B162</f>
        <v>0</v>
      </c>
      <c r="C162" s="67">
        <f ca="1">'Adaptive costs A'!C162-'Adaptive costs B'!C162</f>
        <v>0</v>
      </c>
      <c r="D162" s="67">
        <f ca="1">'Adaptive costs A'!D162-'Adaptive costs B'!D162</f>
        <v>0</v>
      </c>
      <c r="E162" s="67">
        <f ca="1">'Adaptive costs A'!E162-'Adaptive costs B'!E162</f>
        <v>0</v>
      </c>
      <c r="F162" s="67">
        <f ca="1">'Adaptive costs A'!F162-'Adaptive costs B'!F162</f>
        <v>0</v>
      </c>
      <c r="G162" s="67">
        <f ca="1">'Adaptive costs A'!G162-'Adaptive costs B'!G162</f>
        <v>0</v>
      </c>
      <c r="H162" s="67">
        <f ca="1">'Adaptive costs A'!H162-'Adaptive costs B'!H162</f>
        <v>0</v>
      </c>
      <c r="I162" s="67">
        <f ca="1">'Adaptive costs A'!I162-'Adaptive costs B'!I162</f>
        <v>0</v>
      </c>
      <c r="J162" s="67">
        <f ca="1">'Adaptive costs A'!J162-'Adaptive costs B'!J162</f>
        <v>0</v>
      </c>
      <c r="K162" s="67">
        <f ca="1">'Adaptive costs A'!K162-'Adaptive costs B'!K162</f>
        <v>0</v>
      </c>
      <c r="L162" s="1"/>
      <c r="M162" s="4" t="str">
        <f t="shared" si="14"/>
        <v>$M(2015)</v>
      </c>
    </row>
    <row r="163" spans="1:13" x14ac:dyDescent="0.2">
      <c r="A163" t="str">
        <v>EE</v>
      </c>
      <c r="B163" s="67">
        <f ca="1">'Adaptive costs A'!B163-'Adaptive costs B'!B163</f>
        <v>0</v>
      </c>
      <c r="C163" s="67">
        <f ca="1">'Adaptive costs A'!C163-'Adaptive costs B'!C163</f>
        <v>0</v>
      </c>
      <c r="D163" s="67">
        <f ca="1">'Adaptive costs A'!D163-'Adaptive costs B'!D163</f>
        <v>0</v>
      </c>
      <c r="E163" s="67">
        <f ca="1">'Adaptive costs A'!E163-'Adaptive costs B'!E163</f>
        <v>0</v>
      </c>
      <c r="F163" s="67">
        <f ca="1">'Adaptive costs A'!F163-'Adaptive costs B'!F163</f>
        <v>0</v>
      </c>
      <c r="G163" s="67">
        <f ca="1">'Adaptive costs A'!G163-'Adaptive costs B'!G163</f>
        <v>0</v>
      </c>
      <c r="H163" s="67">
        <f ca="1">'Adaptive costs A'!H163-'Adaptive costs B'!H163</f>
        <v>0</v>
      </c>
      <c r="I163" s="67">
        <f ca="1">'Adaptive costs A'!I163-'Adaptive costs B'!I163</f>
        <v>0</v>
      </c>
      <c r="J163" s="67">
        <f ca="1">'Adaptive costs A'!J163-'Adaptive costs B'!J163</f>
        <v>0</v>
      </c>
      <c r="K163" s="67">
        <f ca="1">'Adaptive costs A'!K163-'Adaptive costs B'!K163</f>
        <v>0</v>
      </c>
      <c r="L163" s="1"/>
      <c r="M163" s="4" t="str">
        <f t="shared" si="14"/>
        <v>$M(2015)</v>
      </c>
    </row>
    <row r="164" spans="1:13" x14ac:dyDescent="0.2">
      <c r="A164" t="str">
        <v>CA</v>
      </c>
      <c r="B164" s="67">
        <f ca="1">'Adaptive costs A'!B164-'Adaptive costs B'!B164</f>
        <v>0</v>
      </c>
      <c r="C164" s="67">
        <f ca="1">'Adaptive costs A'!C164-'Adaptive costs B'!C164</f>
        <v>0</v>
      </c>
      <c r="D164" s="67">
        <f ca="1">'Adaptive costs A'!D164-'Adaptive costs B'!D164</f>
        <v>0</v>
      </c>
      <c r="E164" s="67">
        <f ca="1">'Adaptive costs A'!E164-'Adaptive costs B'!E164</f>
        <v>0</v>
      </c>
      <c r="F164" s="67">
        <f ca="1">'Adaptive costs A'!F164-'Adaptive costs B'!F164</f>
        <v>0</v>
      </c>
      <c r="G164" s="67">
        <f ca="1">'Adaptive costs A'!G164-'Adaptive costs B'!G164</f>
        <v>0</v>
      </c>
      <c r="H164" s="67">
        <f ca="1">'Adaptive costs A'!H164-'Adaptive costs B'!H164</f>
        <v>0</v>
      </c>
      <c r="I164" s="67">
        <f ca="1">'Adaptive costs A'!I164-'Adaptive costs B'!I164</f>
        <v>0</v>
      </c>
      <c r="J164" s="67">
        <f ca="1">'Adaptive costs A'!J164-'Adaptive costs B'!J164</f>
        <v>0</v>
      </c>
      <c r="K164" s="67">
        <f ca="1">'Adaptive costs A'!K164-'Adaptive costs B'!K164</f>
        <v>0</v>
      </c>
      <c r="L164" s="1"/>
      <c r="M164" s="4" t="str">
        <f t="shared" si="14"/>
        <v>$M(2015)</v>
      </c>
    </row>
    <row r="165" spans="1:13" x14ac:dyDescent="0.2">
      <c r="A165" t="str">
        <v>IA</v>
      </c>
      <c r="B165" s="67">
        <f ca="1">'Adaptive costs A'!B165-'Adaptive costs B'!B165</f>
        <v>0</v>
      </c>
      <c r="C165" s="67">
        <f ca="1">'Adaptive costs A'!C165-'Adaptive costs B'!C165</f>
        <v>0</v>
      </c>
      <c r="D165" s="67">
        <f ca="1">'Adaptive costs A'!D165-'Adaptive costs B'!D165</f>
        <v>0</v>
      </c>
      <c r="E165" s="67">
        <f ca="1">'Adaptive costs A'!E165-'Adaptive costs B'!E165</f>
        <v>0</v>
      </c>
      <c r="F165" s="67">
        <f ca="1">'Adaptive costs A'!F165-'Adaptive costs B'!F165</f>
        <v>0</v>
      </c>
      <c r="G165" s="67">
        <f ca="1">'Adaptive costs A'!G165-'Adaptive costs B'!G165</f>
        <v>0</v>
      </c>
      <c r="H165" s="67">
        <f ca="1">'Adaptive costs A'!H165-'Adaptive costs B'!H165</f>
        <v>0</v>
      </c>
      <c r="I165" s="67">
        <f ca="1">'Adaptive costs A'!I165-'Adaptive costs B'!I165</f>
        <v>0</v>
      </c>
      <c r="J165" s="67">
        <f ca="1">'Adaptive costs A'!J165-'Adaptive costs B'!J165</f>
        <v>0</v>
      </c>
      <c r="K165" s="67">
        <f ca="1">'Adaptive costs A'!K165-'Adaptive costs B'!K165</f>
        <v>0</v>
      </c>
      <c r="L165" s="1"/>
      <c r="M165" s="4" t="str">
        <f t="shared" si="14"/>
        <v>$M(2015)</v>
      </c>
    </row>
    <row r="166" spans="1:13" x14ac:dyDescent="0.2">
      <c r="A166" t="str">
        <v>AF</v>
      </c>
      <c r="B166" s="67">
        <f ca="1">'Adaptive costs A'!B166-'Adaptive costs B'!B166</f>
        <v>0</v>
      </c>
      <c r="C166" s="67">
        <f ca="1">'Adaptive costs A'!C166-'Adaptive costs B'!C166</f>
        <v>0</v>
      </c>
      <c r="D166" s="67">
        <f ca="1">'Adaptive costs A'!D166-'Adaptive costs B'!D166</f>
        <v>0</v>
      </c>
      <c r="E166" s="67">
        <f ca="1">'Adaptive costs A'!E166-'Adaptive costs B'!E166</f>
        <v>0</v>
      </c>
      <c r="F166" s="67">
        <f ca="1">'Adaptive costs A'!F166-'Adaptive costs B'!F166</f>
        <v>0</v>
      </c>
      <c r="G166" s="67">
        <f ca="1">'Adaptive costs A'!G166-'Adaptive costs B'!G166</f>
        <v>0</v>
      </c>
      <c r="H166" s="67">
        <f ca="1">'Adaptive costs A'!H166-'Adaptive costs B'!H166</f>
        <v>0</v>
      </c>
      <c r="I166" s="67">
        <f ca="1">'Adaptive costs A'!I166-'Adaptive costs B'!I166</f>
        <v>0</v>
      </c>
      <c r="J166" s="67">
        <f ca="1">'Adaptive costs A'!J166-'Adaptive costs B'!J166</f>
        <v>0</v>
      </c>
      <c r="K166" s="67">
        <f ca="1">'Adaptive costs A'!K166-'Adaptive costs B'!K166</f>
        <v>0</v>
      </c>
      <c r="L166" s="1"/>
      <c r="M166" s="4" t="str">
        <f t="shared" si="14"/>
        <v>$M(2015)</v>
      </c>
    </row>
    <row r="167" spans="1:13" x14ac:dyDescent="0.2">
      <c r="A167" t="str">
        <v>LA</v>
      </c>
      <c r="B167" s="67">
        <f ca="1">'Adaptive costs A'!B167-'Adaptive costs B'!B167</f>
        <v>0</v>
      </c>
      <c r="C167" s="67">
        <f ca="1">'Adaptive costs A'!C167-'Adaptive costs B'!C167</f>
        <v>0</v>
      </c>
      <c r="D167" s="67">
        <f ca="1">'Adaptive costs A'!D167-'Adaptive costs B'!D167</f>
        <v>0</v>
      </c>
      <c r="E167" s="67">
        <f ca="1">'Adaptive costs A'!E167-'Adaptive costs B'!E167</f>
        <v>0</v>
      </c>
      <c r="F167" s="67">
        <f ca="1">'Adaptive costs A'!F167-'Adaptive costs B'!F167</f>
        <v>0</v>
      </c>
      <c r="G167" s="67">
        <f ca="1">'Adaptive costs A'!G167-'Adaptive costs B'!G167</f>
        <v>0</v>
      </c>
      <c r="H167" s="67">
        <f ca="1">'Adaptive costs A'!H167-'Adaptive costs B'!H167</f>
        <v>0</v>
      </c>
      <c r="I167" s="67">
        <f ca="1">'Adaptive costs A'!I167-'Adaptive costs B'!I167</f>
        <v>0</v>
      </c>
      <c r="J167" s="67">
        <f ca="1">'Adaptive costs A'!J167-'Adaptive costs B'!J167</f>
        <v>0</v>
      </c>
      <c r="K167" s="67">
        <f ca="1">'Adaptive costs A'!K167-'Adaptive costs B'!K167</f>
        <v>0</v>
      </c>
      <c r="L167" s="1"/>
      <c r="M167" s="4" t="str">
        <f t="shared" si="14"/>
        <v>$M(2015)</v>
      </c>
    </row>
    <row r="168" spans="1:13" ht="13.5" thickBot="1" x14ac:dyDescent="0.25">
      <c r="A168" s="2" t="s">
        <v>204</v>
      </c>
      <c r="B168" s="73">
        <f ca="1">'Adaptive costs A'!B168-'Adaptive costs B'!B168</f>
        <v>0</v>
      </c>
      <c r="C168" s="73">
        <f ca="1">'Adaptive costs A'!C168-'Adaptive costs B'!C168</f>
        <v>0</v>
      </c>
      <c r="D168" s="73">
        <f ca="1">'Adaptive costs A'!D168-'Adaptive costs B'!D168</f>
        <v>0</v>
      </c>
      <c r="E168" s="73">
        <f ca="1">'Adaptive costs A'!E168-'Adaptive costs B'!E168</f>
        <v>0</v>
      </c>
      <c r="F168" s="73">
        <f ca="1">'Adaptive costs A'!F168-'Adaptive costs B'!F168</f>
        <v>0</v>
      </c>
      <c r="G168" s="73">
        <f ca="1">'Adaptive costs A'!G168-'Adaptive costs B'!G168</f>
        <v>0</v>
      </c>
      <c r="H168" s="73">
        <f ca="1">'Adaptive costs A'!H168-'Adaptive costs B'!H168</f>
        <v>0</v>
      </c>
      <c r="I168" s="73">
        <f ca="1">'Adaptive costs A'!I168-'Adaptive costs B'!I168</f>
        <v>0</v>
      </c>
      <c r="J168" s="73">
        <f ca="1">'Adaptive costs A'!J168-'Adaptive costs B'!J168</f>
        <v>0</v>
      </c>
      <c r="K168" s="73">
        <f ca="1">'Adaptive costs A'!K168-'Adaptive costs B'!K168</f>
        <v>0</v>
      </c>
      <c r="L168" s="1"/>
      <c r="M168" s="4" t="str">
        <f t="shared" si="14"/>
        <v>$M(2015)</v>
      </c>
    </row>
    <row r="169" spans="1:13" s="2" customFormat="1" ht="15" thickTop="1" x14ac:dyDescent="0.25">
      <c r="A169" s="2" t="s">
        <v>96</v>
      </c>
      <c r="B169" s="2" t="s">
        <v>389</v>
      </c>
      <c r="L169" s="2" t="s">
        <v>110</v>
      </c>
    </row>
    <row r="170" spans="1:13" s="4" customFormat="1" x14ac:dyDescent="0.2">
      <c r="A170" t="str">
        <f t="array" ref="A170:A177">R_CODE</f>
        <v>EU</v>
      </c>
      <c r="B170" s="66">
        <f ca="1">'Adaptive costs A'!B170-'Adaptive costs B'!B170</f>
        <v>0</v>
      </c>
      <c r="C170" s="66">
        <f ca="1">'Adaptive costs A'!C170-'Adaptive costs B'!C170</f>
        <v>0</v>
      </c>
      <c r="D170" s="66">
        <f ca="1">'Adaptive costs A'!D170-'Adaptive costs B'!D170</f>
        <v>0</v>
      </c>
      <c r="E170" s="66">
        <f ca="1">'Adaptive costs A'!E170-'Adaptive costs B'!E170</f>
        <v>0</v>
      </c>
      <c r="F170" s="66">
        <f ca="1">'Adaptive costs A'!F170-'Adaptive costs B'!F170</f>
        <v>0</v>
      </c>
      <c r="G170" s="66">
        <f ca="1">'Adaptive costs A'!G170-'Adaptive costs B'!G170</f>
        <v>0</v>
      </c>
      <c r="H170" s="66">
        <f ca="1">'Adaptive costs A'!H170-'Adaptive costs B'!H170</f>
        <v>0</v>
      </c>
      <c r="I170" s="66">
        <f ca="1">'Adaptive costs A'!I170-'Adaptive costs B'!I170</f>
        <v>0</v>
      </c>
      <c r="J170" s="66">
        <f ca="1">'Adaptive costs A'!J170-'Adaptive costs B'!J170</f>
        <v>0</v>
      </c>
      <c r="K170" s="66">
        <f ca="1">'Adaptive costs A'!K170-'Adaptive costs B'!K170</f>
        <v>0</v>
      </c>
      <c r="L170" s="74">
        <f ca="1">'Adaptive costs A'!L170-'Adaptive costs B'!L170</f>
        <v>0</v>
      </c>
      <c r="M170" s="4" t="str">
        <f t="shared" ref="M170:M179" si="15">CURRENCY_NAME</f>
        <v>$M(2015)</v>
      </c>
    </row>
    <row r="171" spans="1:13" s="4" customFormat="1" x14ac:dyDescent="0.2">
      <c r="A171" t="str">
        <v>US</v>
      </c>
      <c r="B171" s="67">
        <f ca="1">'Adaptive costs A'!B171-'Adaptive costs B'!B171</f>
        <v>0</v>
      </c>
      <c r="C171" s="67">
        <f ca="1">'Adaptive costs A'!C171-'Adaptive costs B'!C171</f>
        <v>0</v>
      </c>
      <c r="D171" s="67">
        <f ca="1">'Adaptive costs A'!D171-'Adaptive costs B'!D171</f>
        <v>0</v>
      </c>
      <c r="E171" s="67">
        <f ca="1">'Adaptive costs A'!E171-'Adaptive costs B'!E171</f>
        <v>0</v>
      </c>
      <c r="F171" s="67">
        <f ca="1">'Adaptive costs A'!F171-'Adaptive costs B'!F171</f>
        <v>0</v>
      </c>
      <c r="G171" s="67">
        <f ca="1">'Adaptive costs A'!G171-'Adaptive costs B'!G171</f>
        <v>0</v>
      </c>
      <c r="H171" s="67">
        <f ca="1">'Adaptive costs A'!H171-'Adaptive costs B'!H171</f>
        <v>0</v>
      </c>
      <c r="I171" s="67">
        <f ca="1">'Adaptive costs A'!I171-'Adaptive costs B'!I171</f>
        <v>0</v>
      </c>
      <c r="J171" s="67">
        <f ca="1">'Adaptive costs A'!J171-'Adaptive costs B'!J171</f>
        <v>0</v>
      </c>
      <c r="K171" s="67">
        <f ca="1">'Adaptive costs A'!K171-'Adaptive costs B'!K171</f>
        <v>0</v>
      </c>
      <c r="L171" s="75">
        <f ca="1">'Adaptive costs A'!L171-'Adaptive costs B'!L171</f>
        <v>0</v>
      </c>
      <c r="M171" s="4" t="str">
        <f t="shared" si="15"/>
        <v>$M(2015)</v>
      </c>
    </row>
    <row r="172" spans="1:13" s="4" customFormat="1" x14ac:dyDescent="0.2">
      <c r="A172" t="str">
        <v>OT</v>
      </c>
      <c r="B172" s="67">
        <f ca="1">'Adaptive costs A'!B172-'Adaptive costs B'!B172</f>
        <v>0</v>
      </c>
      <c r="C172" s="67">
        <f ca="1">'Adaptive costs A'!C172-'Adaptive costs B'!C172</f>
        <v>0</v>
      </c>
      <c r="D172" s="67">
        <f ca="1">'Adaptive costs A'!D172-'Adaptive costs B'!D172</f>
        <v>0</v>
      </c>
      <c r="E172" s="67">
        <f ca="1">'Adaptive costs A'!E172-'Adaptive costs B'!E172</f>
        <v>0</v>
      </c>
      <c r="F172" s="67">
        <f ca="1">'Adaptive costs A'!F172-'Adaptive costs B'!F172</f>
        <v>0</v>
      </c>
      <c r="G172" s="67">
        <f ca="1">'Adaptive costs A'!G172-'Adaptive costs B'!G172</f>
        <v>0</v>
      </c>
      <c r="H172" s="67">
        <f ca="1">'Adaptive costs A'!H172-'Adaptive costs B'!H172</f>
        <v>0</v>
      </c>
      <c r="I172" s="67">
        <f ca="1">'Adaptive costs A'!I172-'Adaptive costs B'!I172</f>
        <v>0</v>
      </c>
      <c r="J172" s="67">
        <f ca="1">'Adaptive costs A'!J172-'Adaptive costs B'!J172</f>
        <v>0</v>
      </c>
      <c r="K172" s="67">
        <f ca="1">'Adaptive costs A'!K172-'Adaptive costs B'!K172</f>
        <v>0</v>
      </c>
      <c r="L172" s="75">
        <f ca="1">'Adaptive costs A'!L172-'Adaptive costs B'!L172</f>
        <v>0</v>
      </c>
      <c r="M172" s="4" t="str">
        <f t="shared" si="15"/>
        <v>$M(2015)</v>
      </c>
    </row>
    <row r="173" spans="1:13" s="4" customFormat="1" x14ac:dyDescent="0.2">
      <c r="A173" t="str">
        <v>EE</v>
      </c>
      <c r="B173" s="67">
        <f ca="1">'Adaptive costs A'!B173-'Adaptive costs B'!B173</f>
        <v>0</v>
      </c>
      <c r="C173" s="67">
        <f ca="1">'Adaptive costs A'!C173-'Adaptive costs B'!C173</f>
        <v>0</v>
      </c>
      <c r="D173" s="67">
        <f ca="1">'Adaptive costs A'!D173-'Adaptive costs B'!D173</f>
        <v>0</v>
      </c>
      <c r="E173" s="67">
        <f ca="1">'Adaptive costs A'!E173-'Adaptive costs B'!E173</f>
        <v>0</v>
      </c>
      <c r="F173" s="67">
        <f ca="1">'Adaptive costs A'!F173-'Adaptive costs B'!F173</f>
        <v>0</v>
      </c>
      <c r="G173" s="67">
        <f ca="1">'Adaptive costs A'!G173-'Adaptive costs B'!G173</f>
        <v>0</v>
      </c>
      <c r="H173" s="67">
        <f ca="1">'Adaptive costs A'!H173-'Adaptive costs B'!H173</f>
        <v>0</v>
      </c>
      <c r="I173" s="67">
        <f ca="1">'Adaptive costs A'!I173-'Adaptive costs B'!I173</f>
        <v>0</v>
      </c>
      <c r="J173" s="67">
        <f ca="1">'Adaptive costs A'!J173-'Adaptive costs B'!J173</f>
        <v>0</v>
      </c>
      <c r="K173" s="67">
        <f ca="1">'Adaptive costs A'!K173-'Adaptive costs B'!K173</f>
        <v>0</v>
      </c>
      <c r="L173" s="75">
        <f ca="1">'Adaptive costs A'!L173-'Adaptive costs B'!L173</f>
        <v>0</v>
      </c>
      <c r="M173" s="4" t="str">
        <f t="shared" si="15"/>
        <v>$M(2015)</v>
      </c>
    </row>
    <row r="174" spans="1:13" s="4" customFormat="1" x14ac:dyDescent="0.2">
      <c r="A174" t="str">
        <v>CA</v>
      </c>
      <c r="B174" s="67">
        <f ca="1">'Adaptive costs A'!B174-'Adaptive costs B'!B174</f>
        <v>0</v>
      </c>
      <c r="C174" s="67">
        <f ca="1">'Adaptive costs A'!C174-'Adaptive costs B'!C174</f>
        <v>0</v>
      </c>
      <c r="D174" s="67">
        <f ca="1">'Adaptive costs A'!D174-'Adaptive costs B'!D174</f>
        <v>0</v>
      </c>
      <c r="E174" s="67">
        <f ca="1">'Adaptive costs A'!E174-'Adaptive costs B'!E174</f>
        <v>0</v>
      </c>
      <c r="F174" s="67">
        <f ca="1">'Adaptive costs A'!F174-'Adaptive costs B'!F174</f>
        <v>0</v>
      </c>
      <c r="G174" s="67">
        <f ca="1">'Adaptive costs A'!G174-'Adaptive costs B'!G174</f>
        <v>0</v>
      </c>
      <c r="H174" s="67">
        <f ca="1">'Adaptive costs A'!H174-'Adaptive costs B'!H174</f>
        <v>0</v>
      </c>
      <c r="I174" s="67">
        <f ca="1">'Adaptive costs A'!I174-'Adaptive costs B'!I174</f>
        <v>0</v>
      </c>
      <c r="J174" s="67">
        <f ca="1">'Adaptive costs A'!J174-'Adaptive costs B'!J174</f>
        <v>0</v>
      </c>
      <c r="K174" s="67">
        <f ca="1">'Adaptive costs A'!K174-'Adaptive costs B'!K174</f>
        <v>0</v>
      </c>
      <c r="L174" s="75">
        <f ca="1">'Adaptive costs A'!L174-'Adaptive costs B'!L174</f>
        <v>0</v>
      </c>
      <c r="M174" s="4" t="str">
        <f t="shared" si="15"/>
        <v>$M(2015)</v>
      </c>
    </row>
    <row r="175" spans="1:13" s="4" customFormat="1" x14ac:dyDescent="0.2">
      <c r="A175" t="str">
        <v>IA</v>
      </c>
      <c r="B175" s="67">
        <f ca="1">'Adaptive costs A'!B175-'Adaptive costs B'!B175</f>
        <v>0</v>
      </c>
      <c r="C175" s="67">
        <f ca="1">'Adaptive costs A'!C175-'Adaptive costs B'!C175</f>
        <v>0</v>
      </c>
      <c r="D175" s="67">
        <f ca="1">'Adaptive costs A'!D175-'Adaptive costs B'!D175</f>
        <v>0</v>
      </c>
      <c r="E175" s="67">
        <f ca="1">'Adaptive costs A'!E175-'Adaptive costs B'!E175</f>
        <v>0</v>
      </c>
      <c r="F175" s="67">
        <f ca="1">'Adaptive costs A'!F175-'Adaptive costs B'!F175</f>
        <v>0</v>
      </c>
      <c r="G175" s="67">
        <f ca="1">'Adaptive costs A'!G175-'Adaptive costs B'!G175</f>
        <v>0</v>
      </c>
      <c r="H175" s="67">
        <f ca="1">'Adaptive costs A'!H175-'Adaptive costs B'!H175</f>
        <v>0</v>
      </c>
      <c r="I175" s="67">
        <f ca="1">'Adaptive costs A'!I175-'Adaptive costs B'!I175</f>
        <v>0</v>
      </c>
      <c r="J175" s="67">
        <f ca="1">'Adaptive costs A'!J175-'Adaptive costs B'!J175</f>
        <v>0</v>
      </c>
      <c r="K175" s="67">
        <f ca="1">'Adaptive costs A'!K175-'Adaptive costs B'!K175</f>
        <v>0</v>
      </c>
      <c r="L175" s="75">
        <f ca="1">'Adaptive costs A'!L175-'Adaptive costs B'!L175</f>
        <v>0</v>
      </c>
      <c r="M175" s="4" t="str">
        <f t="shared" si="15"/>
        <v>$M(2015)</v>
      </c>
    </row>
    <row r="176" spans="1:13" s="4" customFormat="1" x14ac:dyDescent="0.2">
      <c r="A176" t="str">
        <v>AF</v>
      </c>
      <c r="B176" s="67">
        <f ca="1">'Adaptive costs A'!B176-'Adaptive costs B'!B176</f>
        <v>0</v>
      </c>
      <c r="C176" s="67">
        <f ca="1">'Adaptive costs A'!C176-'Adaptive costs B'!C176</f>
        <v>0</v>
      </c>
      <c r="D176" s="67">
        <f ca="1">'Adaptive costs A'!D176-'Adaptive costs B'!D176</f>
        <v>0</v>
      </c>
      <c r="E176" s="67">
        <f ca="1">'Adaptive costs A'!E176-'Adaptive costs B'!E176</f>
        <v>0</v>
      </c>
      <c r="F176" s="67">
        <f ca="1">'Adaptive costs A'!F176-'Adaptive costs B'!F176</f>
        <v>0</v>
      </c>
      <c r="G176" s="67">
        <f ca="1">'Adaptive costs A'!G176-'Adaptive costs B'!G176</f>
        <v>0</v>
      </c>
      <c r="H176" s="67">
        <f ca="1">'Adaptive costs A'!H176-'Adaptive costs B'!H176</f>
        <v>0</v>
      </c>
      <c r="I176" s="67">
        <f ca="1">'Adaptive costs A'!I176-'Adaptive costs B'!I176</f>
        <v>0</v>
      </c>
      <c r="J176" s="67">
        <f ca="1">'Adaptive costs A'!J176-'Adaptive costs B'!J176</f>
        <v>0</v>
      </c>
      <c r="K176" s="67">
        <f ca="1">'Adaptive costs A'!K176-'Adaptive costs B'!K176</f>
        <v>0</v>
      </c>
      <c r="L176" s="75">
        <f ca="1">'Adaptive costs A'!L176-'Adaptive costs B'!L176</f>
        <v>0</v>
      </c>
      <c r="M176" s="4" t="str">
        <f t="shared" si="15"/>
        <v>$M(2015)</v>
      </c>
    </row>
    <row r="177" spans="1:13" s="4" customFormat="1" x14ac:dyDescent="0.2">
      <c r="A177" t="str">
        <v>LA</v>
      </c>
      <c r="B177" s="67">
        <f ca="1">'Adaptive costs A'!B177-'Adaptive costs B'!B177</f>
        <v>0</v>
      </c>
      <c r="C177" s="67">
        <f ca="1">'Adaptive costs A'!C177-'Adaptive costs B'!C177</f>
        <v>0</v>
      </c>
      <c r="D177" s="67">
        <f ca="1">'Adaptive costs A'!D177-'Adaptive costs B'!D177</f>
        <v>0</v>
      </c>
      <c r="E177" s="67">
        <f ca="1">'Adaptive costs A'!E177-'Adaptive costs B'!E177</f>
        <v>0</v>
      </c>
      <c r="F177" s="67">
        <f ca="1">'Adaptive costs A'!F177-'Adaptive costs B'!F177</f>
        <v>0</v>
      </c>
      <c r="G177" s="67">
        <f ca="1">'Adaptive costs A'!G177-'Adaptive costs B'!G177</f>
        <v>0</v>
      </c>
      <c r="H177" s="67">
        <f ca="1">'Adaptive costs A'!H177-'Adaptive costs B'!H177</f>
        <v>0</v>
      </c>
      <c r="I177" s="67">
        <f ca="1">'Adaptive costs A'!I177-'Adaptive costs B'!I177</f>
        <v>0</v>
      </c>
      <c r="J177" s="67">
        <f ca="1">'Adaptive costs A'!J177-'Adaptive costs B'!J177</f>
        <v>0</v>
      </c>
      <c r="K177" s="67">
        <f ca="1">'Adaptive costs A'!K177-'Adaptive costs B'!K177</f>
        <v>0</v>
      </c>
      <c r="L177" s="75">
        <f ca="1">'Adaptive costs A'!L177-'Adaptive costs B'!L177</f>
        <v>0</v>
      </c>
      <c r="M177" s="4" t="str">
        <f t="shared" si="15"/>
        <v>$M(2015)</v>
      </c>
    </row>
    <row r="178" spans="1:13" s="2" customFormat="1" ht="13.5" thickBot="1" x14ac:dyDescent="0.25">
      <c r="A178" s="2" t="s">
        <v>204</v>
      </c>
      <c r="B178" s="73">
        <f ca="1">'Adaptive costs A'!B178-'Adaptive costs B'!B178</f>
        <v>0</v>
      </c>
      <c r="C178" s="73">
        <f ca="1">'Adaptive costs A'!C178-'Adaptive costs B'!C178</f>
        <v>0</v>
      </c>
      <c r="D178" s="73">
        <f ca="1">'Adaptive costs A'!D178-'Adaptive costs B'!D178</f>
        <v>0</v>
      </c>
      <c r="E178" s="73">
        <f ca="1">'Adaptive costs A'!E178-'Adaptive costs B'!E178</f>
        <v>0</v>
      </c>
      <c r="F178" s="73">
        <f ca="1">'Adaptive costs A'!F178-'Adaptive costs B'!F178</f>
        <v>0</v>
      </c>
      <c r="G178" s="73">
        <f ca="1">'Adaptive costs A'!G178-'Adaptive costs B'!G178</f>
        <v>0</v>
      </c>
      <c r="H178" s="73">
        <f ca="1">'Adaptive costs A'!H178-'Adaptive costs B'!H178</f>
        <v>0</v>
      </c>
      <c r="I178" s="73">
        <f ca="1">'Adaptive costs A'!I178-'Adaptive costs B'!I178</f>
        <v>0</v>
      </c>
      <c r="J178" s="73">
        <f ca="1">'Adaptive costs A'!J178-'Adaptive costs B'!J178</f>
        <v>0</v>
      </c>
      <c r="K178" s="73">
        <f ca="1">'Adaptive costs A'!K178-'Adaptive costs B'!K178</f>
        <v>0</v>
      </c>
      <c r="L178" s="75">
        <f ca="1">'Adaptive costs A'!L178-'Adaptive costs B'!L178</f>
        <v>0</v>
      </c>
      <c r="M178" s="4" t="str">
        <f t="shared" si="15"/>
        <v>$M(2015)</v>
      </c>
    </row>
    <row r="179" spans="1:13" ht="14.25" thickTop="1" thickBot="1" x14ac:dyDescent="0.25">
      <c r="A179" s="2" t="s">
        <v>107</v>
      </c>
      <c r="L179" s="73">
        <f ca="1">'Adaptive costs A'!L179-'Adaptive costs B'!L179</f>
        <v>0</v>
      </c>
      <c r="M179" s="4" t="str">
        <f t="shared" si="15"/>
        <v>$M(2015)</v>
      </c>
    </row>
    <row r="180" spans="1:13" ht="13.5" thickTop="1" x14ac:dyDescent="0.2"/>
  </sheetData>
  <phoneticPr fontId="21" type="noConversion"/>
  <pageMargins left="0.75" right="0.75" top="1" bottom="1" header="0.5" footer="0.5"/>
  <pageSetup paperSize="9" orientation="portrait" horizontalDpi="360" verticalDpi="360"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AA444"/>
  <sheetViews>
    <sheetView topLeftCell="A168" zoomScale="130" zoomScaleNormal="130" workbookViewId="0">
      <selection activeCell="A183" sqref="A183"/>
    </sheetView>
  </sheetViews>
  <sheetFormatPr defaultRowHeight="12.75" x14ac:dyDescent="0.2"/>
  <cols>
    <col min="1" max="1" width="17.85546875" bestFit="1" customWidth="1"/>
    <col min="2" max="2" width="12.5703125" customWidth="1"/>
    <col min="3" max="3" width="10.140625" bestFit="1" customWidth="1"/>
    <col min="4" max="5" width="9.85546875" bestFit="1" customWidth="1"/>
    <col min="6" max="9" width="10.85546875" bestFit="1" customWidth="1"/>
    <col min="10" max="12" width="11.85546875" bestFit="1" customWidth="1"/>
    <col min="13" max="13" width="11.5703125" customWidth="1"/>
    <col min="14" max="14" width="8.85546875" bestFit="1" customWidth="1"/>
    <col min="16" max="25" width="11.7109375" customWidth="1"/>
    <col min="27" max="27" width="18.28515625" customWidth="1"/>
    <col min="28" max="28" width="13" customWidth="1"/>
  </cols>
  <sheetData>
    <row r="1" spans="1:7" x14ac:dyDescent="0.2">
      <c r="A1" s="2" t="str">
        <f>MODEL_NAME</f>
        <v>PAGE-ICE Nonlinear Arctic Feedbacks</v>
      </c>
      <c r="B1" s="2"/>
      <c r="C1" t="s">
        <v>37</v>
      </c>
      <c r="D1" s="51" t="str">
        <f>VERSION</f>
        <v>6.22</v>
      </c>
    </row>
    <row r="2" spans="1:7" s="3" customFormat="1" x14ac:dyDescent="0.2"/>
    <row r="3" spans="1:7" s="3" customFormat="1" x14ac:dyDescent="0.2">
      <c r="A3" s="3" t="s">
        <v>692</v>
      </c>
    </row>
    <row r="4" spans="1:7" s="3" customFormat="1" x14ac:dyDescent="0.2">
      <c r="A4" s="3" t="str">
        <f t="array" ref="A4:A11">R_CODE</f>
        <v>EU</v>
      </c>
      <c r="C4" s="32">
        <f t="array" aca="1" ref="C4:C11" ca="1" xml:space="preserve"> RTL_ABS_CMIP5_BASE + (RT_G_0_MEAN - RT_G_CMIP5_BASE) * AMPF</f>
        <v>10.609386676836788</v>
      </c>
      <c r="D4" s="3" t="s">
        <v>41</v>
      </c>
      <c r="E4" s="3" t="s">
        <v>713</v>
      </c>
    </row>
    <row r="5" spans="1:7" s="3" customFormat="1" x14ac:dyDescent="0.2">
      <c r="A5" s="3" t="str">
        <v>US</v>
      </c>
      <c r="C5" s="33">
        <f ca="1"/>
        <v>13.942659086417576</v>
      </c>
      <c r="D5" s="3" t="s">
        <v>41</v>
      </c>
      <c r="E5" s="3" t="s">
        <v>713</v>
      </c>
    </row>
    <row r="6" spans="1:7" s="3" customFormat="1" x14ac:dyDescent="0.2">
      <c r="A6" s="3" t="str">
        <v>OT</v>
      </c>
      <c r="C6" s="33">
        <f ca="1"/>
        <v>12.531359717895191</v>
      </c>
      <c r="D6" s="3" t="s">
        <v>41</v>
      </c>
      <c r="E6" s="3" t="s">
        <v>713</v>
      </c>
    </row>
    <row r="7" spans="1:7" s="3" customFormat="1" x14ac:dyDescent="0.2">
      <c r="A7" s="3" t="str">
        <v>EE</v>
      </c>
      <c r="C7" s="33">
        <f ca="1"/>
        <v>7.7461712917308017</v>
      </c>
      <c r="D7" s="3" t="s">
        <v>41</v>
      </c>
      <c r="E7" s="3" t="s">
        <v>713</v>
      </c>
    </row>
    <row r="8" spans="1:7" s="3" customFormat="1" x14ac:dyDescent="0.2">
      <c r="A8" s="3" t="str">
        <v>CA</v>
      </c>
      <c r="C8" s="33">
        <f ca="1"/>
        <v>15.461782611724232</v>
      </c>
      <c r="D8" s="3" t="s">
        <v>41</v>
      </c>
      <c r="E8" s="3" t="s">
        <v>713</v>
      </c>
    </row>
    <row r="9" spans="1:7" s="3" customFormat="1" x14ac:dyDescent="0.2">
      <c r="A9" s="3" t="str">
        <v>IA</v>
      </c>
      <c r="C9" s="33">
        <f ca="1"/>
        <v>25.337426204563457</v>
      </c>
      <c r="D9" s="3" t="s">
        <v>41</v>
      </c>
      <c r="E9" s="3" t="s">
        <v>713</v>
      </c>
    </row>
    <row r="10" spans="1:7" s="3" customFormat="1" x14ac:dyDescent="0.2">
      <c r="A10" s="3" t="str">
        <v>AF</v>
      </c>
      <c r="C10" s="33">
        <f ca="1"/>
        <v>22.35642079387241</v>
      </c>
      <c r="D10" s="3" t="s">
        <v>41</v>
      </c>
      <c r="E10" s="3" t="s">
        <v>713</v>
      </c>
    </row>
    <row r="11" spans="1:7" s="3" customFormat="1" ht="13.5" thickBot="1" x14ac:dyDescent="0.25">
      <c r="A11" s="3" t="str">
        <v>LA</v>
      </c>
      <c r="C11" s="34">
        <f ca="1"/>
        <v>21.519354574959305</v>
      </c>
      <c r="D11" s="3" t="s">
        <v>41</v>
      </c>
      <c r="E11" s="3" t="s">
        <v>713</v>
      </c>
    </row>
    <row r="12" spans="1:7" s="3" customFormat="1" ht="13.5" thickTop="1" x14ac:dyDescent="0.2"/>
    <row r="13" spans="1:7" s="3" customFormat="1" x14ac:dyDescent="0.2">
      <c r="A13" s="3" t="s">
        <v>688</v>
      </c>
    </row>
    <row r="14" spans="1:7" s="3" customFormat="1" x14ac:dyDescent="0.2">
      <c r="C14" s="3" t="s">
        <v>685</v>
      </c>
      <c r="E14" s="3" t="s">
        <v>687</v>
      </c>
      <c r="G14" s="3" t="s">
        <v>686</v>
      </c>
    </row>
    <row r="15" spans="1:7" x14ac:dyDescent="0.2">
      <c r="A15" s="1" t="str">
        <f t="array" ref="A15:A22">R_CODE</f>
        <v>EU</v>
      </c>
      <c r="C15" s="32">
        <v>1</v>
      </c>
      <c r="E15" s="32">
        <v>1</v>
      </c>
      <c r="G15" s="32">
        <v>1</v>
      </c>
    </row>
    <row r="16" spans="1:7" x14ac:dyDescent="0.2">
      <c r="A16" s="1" t="str">
        <v>US</v>
      </c>
      <c r="C16" s="33">
        <f t="array" aca="1" ref="C16:C22" ca="1">WF_S</f>
        <v>0.79999999999999993</v>
      </c>
      <c r="E16" s="33">
        <f t="array" aca="1" ref="E16:E22" ca="1">WF_1</f>
        <v>1</v>
      </c>
      <c r="G16" s="33">
        <f t="array" aca="1" ref="G16:G22" ca="1">WF_2</f>
        <v>1</v>
      </c>
    </row>
    <row r="17" spans="1:14" x14ac:dyDescent="0.2">
      <c r="A17" s="1" t="str">
        <v>OT</v>
      </c>
      <c r="C17" s="33">
        <f ca="1"/>
        <v>0.80000000000000016</v>
      </c>
      <c r="E17" s="33">
        <f ca="1"/>
        <v>1</v>
      </c>
      <c r="G17" s="33">
        <f ca="1"/>
        <v>1</v>
      </c>
    </row>
    <row r="18" spans="1:14" x14ac:dyDescent="0.2">
      <c r="A18" s="1" t="str">
        <v>EE</v>
      </c>
      <c r="C18" s="33">
        <f ca="1"/>
        <v>0.40000000000000008</v>
      </c>
      <c r="E18" s="33">
        <f ca="1"/>
        <v>1</v>
      </c>
      <c r="G18" s="33">
        <f ca="1"/>
        <v>1</v>
      </c>
    </row>
    <row r="19" spans="1:14" x14ac:dyDescent="0.2">
      <c r="A19" s="1" t="str">
        <v>CA</v>
      </c>
      <c r="C19" s="33">
        <f ca="1"/>
        <v>0.80000000000000016</v>
      </c>
      <c r="E19" s="33">
        <f ca="1"/>
        <v>1</v>
      </c>
      <c r="G19" s="33">
        <f ca="1"/>
        <v>1</v>
      </c>
    </row>
    <row r="20" spans="1:14" x14ac:dyDescent="0.2">
      <c r="A20" s="1" t="str">
        <v>IA</v>
      </c>
      <c r="C20" s="33">
        <f ca="1"/>
        <v>0.80000000000000016</v>
      </c>
      <c r="E20" s="33">
        <f ca="1"/>
        <v>1</v>
      </c>
      <c r="G20" s="33">
        <f ca="1"/>
        <v>1</v>
      </c>
    </row>
    <row r="21" spans="1:14" x14ac:dyDescent="0.2">
      <c r="A21" s="1" t="str">
        <v>AF</v>
      </c>
      <c r="C21" s="33">
        <f ca="1"/>
        <v>0.6</v>
      </c>
      <c r="E21" s="33">
        <f ca="1"/>
        <v>1</v>
      </c>
      <c r="G21" s="33">
        <f ca="1"/>
        <v>1</v>
      </c>
    </row>
    <row r="22" spans="1:14" ht="13.5" thickBot="1" x14ac:dyDescent="0.25">
      <c r="A22" s="1" t="str">
        <v>LA</v>
      </c>
      <c r="C22" s="34">
        <f ca="1"/>
        <v>0.6</v>
      </c>
      <c r="E22" s="34">
        <f ca="1"/>
        <v>1</v>
      </c>
      <c r="G22" s="34">
        <f ca="1"/>
        <v>1</v>
      </c>
    </row>
    <row r="23" spans="1:14" ht="14.25" thickTop="1" thickBot="1" x14ac:dyDescent="0.25">
      <c r="A23" s="1"/>
      <c r="C23" s="220"/>
    </row>
    <row r="24" spans="1:14" ht="14.25" thickTop="1" thickBot="1" x14ac:dyDescent="0.25">
      <c r="A24" t="s">
        <v>258</v>
      </c>
      <c r="C24" s="34">
        <f ca="1">ISAT*(1-SAVE/100)</f>
        <v>17</v>
      </c>
      <c r="D24" t="s">
        <v>132</v>
      </c>
    </row>
    <row r="25" spans="1:14" ht="13.5" thickTop="1" x14ac:dyDescent="0.2"/>
    <row r="26" spans="1:14" x14ac:dyDescent="0.2">
      <c r="B26">
        <f>Y_0</f>
        <v>2015</v>
      </c>
      <c r="C26">
        <f t="array" ref="C26:L26">Y</f>
        <v>2020</v>
      </c>
      <c r="D26">
        <v>2025</v>
      </c>
      <c r="E26">
        <v>2030</v>
      </c>
      <c r="F26">
        <v>2040</v>
      </c>
      <c r="G26">
        <v>2050</v>
      </c>
      <c r="H26">
        <v>2060</v>
      </c>
      <c r="I26">
        <v>2070</v>
      </c>
      <c r="J26">
        <v>2080</v>
      </c>
      <c r="K26">
        <v>2090</v>
      </c>
      <c r="L26">
        <v>2100</v>
      </c>
    </row>
    <row r="27" spans="1:14" s="4" customFormat="1" x14ac:dyDescent="0.2">
      <c r="A27" s="4" t="s">
        <v>57</v>
      </c>
      <c r="C27" s="12">
        <f t="array" ref="C27:L27">YP</f>
        <v>5</v>
      </c>
      <c r="D27" s="12">
        <v>5</v>
      </c>
      <c r="E27" s="12">
        <v>5</v>
      </c>
      <c r="F27" s="12">
        <v>10</v>
      </c>
      <c r="G27" s="12">
        <v>10</v>
      </c>
      <c r="H27" s="12">
        <v>10</v>
      </c>
      <c r="I27" s="12">
        <v>10</v>
      </c>
      <c r="J27" s="12">
        <v>10</v>
      </c>
      <c r="K27" s="12">
        <v>10</v>
      </c>
      <c r="L27" s="12">
        <v>10</v>
      </c>
      <c r="N27" s="4" t="s">
        <v>39</v>
      </c>
    </row>
    <row r="28" spans="1:14" s="4" customFormat="1" x14ac:dyDescent="0.2">
      <c r="A28" s="4" t="s">
        <v>82</v>
      </c>
      <c r="C28" s="14">
        <f t="array" ref="C28:K28">(Y+Y_NOT_1)/2</f>
        <v>2022.5</v>
      </c>
      <c r="D28" s="14">
        <v>2027.5</v>
      </c>
      <c r="E28" s="14">
        <v>2035</v>
      </c>
      <c r="F28" s="14">
        <v>2045</v>
      </c>
      <c r="G28" s="14">
        <v>2055</v>
      </c>
      <c r="H28" s="14">
        <v>2065</v>
      </c>
      <c r="I28" s="14">
        <v>2075</v>
      </c>
      <c r="J28" s="14">
        <v>2085</v>
      </c>
      <c r="K28" s="14">
        <v>2095</v>
      </c>
      <c r="L28" s="14">
        <f>Y_LAST</f>
        <v>2100</v>
      </c>
    </row>
    <row r="29" spans="1:14" s="4" customFormat="1" x14ac:dyDescent="0.2">
      <c r="A29" s="4" t="s">
        <v>83</v>
      </c>
      <c r="C29" s="14">
        <f>Y_0</f>
        <v>2015</v>
      </c>
      <c r="D29" s="14">
        <f t="array" ref="D29:L29">(Y+Y_NOT_1)/2</f>
        <v>2022.5</v>
      </c>
      <c r="E29" s="14">
        <v>2027.5</v>
      </c>
      <c r="F29" s="14">
        <v>2035</v>
      </c>
      <c r="G29" s="14">
        <v>2045</v>
      </c>
      <c r="H29" s="14">
        <v>2055</v>
      </c>
      <c r="I29" s="14">
        <v>2065</v>
      </c>
      <c r="J29" s="14">
        <v>2075</v>
      </c>
      <c r="K29" s="14">
        <v>2085</v>
      </c>
      <c r="L29" s="14">
        <v>2095</v>
      </c>
    </row>
    <row r="30" spans="1:14" s="4" customFormat="1" ht="13.5" thickBot="1" x14ac:dyDescent="0.25">
      <c r="A30" s="4" t="s">
        <v>81</v>
      </c>
      <c r="C30" s="35">
        <f t="array" ref="C30:L30">Y_HI-Y_LO</f>
        <v>7.5</v>
      </c>
      <c r="D30" s="35">
        <v>5</v>
      </c>
      <c r="E30" s="35">
        <v>7.5</v>
      </c>
      <c r="F30" s="35">
        <v>10</v>
      </c>
      <c r="G30" s="35">
        <v>10</v>
      </c>
      <c r="H30" s="35">
        <v>10</v>
      </c>
      <c r="I30" s="35">
        <v>10</v>
      </c>
      <c r="J30" s="35">
        <v>10</v>
      </c>
      <c r="K30" s="35">
        <v>10</v>
      </c>
      <c r="L30" s="35">
        <v>5</v>
      </c>
      <c r="N30" s="4" t="s">
        <v>39</v>
      </c>
    </row>
    <row r="31" spans="1:14" s="4" customFormat="1" ht="13.5" thickTop="1" x14ac:dyDescent="0.2"/>
    <row r="32" spans="1:14" x14ac:dyDescent="0.2">
      <c r="A32" s="2" t="s">
        <v>77</v>
      </c>
      <c r="B32" s="2"/>
    </row>
    <row r="33" spans="1:14" ht="15.75" x14ac:dyDescent="0.3">
      <c r="C33" s="3" t="s">
        <v>201</v>
      </c>
    </row>
    <row r="34" spans="1:14" x14ac:dyDescent="0.2">
      <c r="A34" t="str">
        <f t="array" ref="A34:A41">R_CODE&amp;" sea level"</f>
        <v>EU sea level</v>
      </c>
      <c r="C34" s="13">
        <f t="array" ref="C34:L41">IF(Y-pstart_s_a&lt;0,0,IF(((Y-pstart_s_a)/pyears_s_a)&lt;1,((Y-pstart_s_a)/pyears_s_a)*plateau_s_a,plateau_s_a))</f>
        <v>0.1</v>
      </c>
      <c r="D34" s="13">
        <v>0.125</v>
      </c>
      <c r="E34" s="13">
        <v>0.15</v>
      </c>
      <c r="F34" s="13">
        <v>0.2</v>
      </c>
      <c r="G34" s="13">
        <v>0.25</v>
      </c>
      <c r="H34" s="13">
        <v>0.25</v>
      </c>
      <c r="I34" s="13">
        <v>0.25</v>
      </c>
      <c r="J34" s="13">
        <v>0.25</v>
      </c>
      <c r="K34" s="13">
        <v>0.25</v>
      </c>
      <c r="L34" s="13">
        <v>0.25</v>
      </c>
      <c r="N34" s="59" t="s">
        <v>180</v>
      </c>
    </row>
    <row r="35" spans="1:14" x14ac:dyDescent="0.2">
      <c r="A35" t="str">
        <v>US sea level</v>
      </c>
      <c r="C35" s="13">
        <v>0.1</v>
      </c>
      <c r="D35" s="13">
        <v>0.125</v>
      </c>
      <c r="E35" s="13">
        <v>0.15</v>
      </c>
      <c r="F35" s="13">
        <v>0.2</v>
      </c>
      <c r="G35" s="13">
        <v>0.25</v>
      </c>
      <c r="H35" s="13">
        <v>0.25</v>
      </c>
      <c r="I35" s="13">
        <v>0.25</v>
      </c>
      <c r="J35" s="13">
        <v>0.25</v>
      </c>
      <c r="K35" s="13">
        <v>0.25</v>
      </c>
      <c r="L35" s="13">
        <v>0.25</v>
      </c>
      <c r="N35" s="59" t="s">
        <v>180</v>
      </c>
    </row>
    <row r="36" spans="1:14" x14ac:dyDescent="0.2">
      <c r="A36" t="str">
        <v>OT sea level</v>
      </c>
      <c r="C36" s="13">
        <v>0.1</v>
      </c>
      <c r="D36" s="13">
        <v>0.125</v>
      </c>
      <c r="E36" s="13">
        <v>0.15</v>
      </c>
      <c r="F36" s="13">
        <v>0.2</v>
      </c>
      <c r="G36" s="13">
        <v>0.25</v>
      </c>
      <c r="H36" s="13">
        <v>0.25</v>
      </c>
      <c r="I36" s="13">
        <v>0.25</v>
      </c>
      <c r="J36" s="13">
        <v>0.25</v>
      </c>
      <c r="K36" s="13">
        <v>0.25</v>
      </c>
      <c r="L36" s="13">
        <v>0.25</v>
      </c>
      <c r="N36" s="59" t="s">
        <v>180</v>
      </c>
    </row>
    <row r="37" spans="1:14" x14ac:dyDescent="0.2">
      <c r="A37" t="str">
        <v>EE sea level</v>
      </c>
      <c r="C37" s="13">
        <v>0.1</v>
      </c>
      <c r="D37" s="13">
        <v>0.125</v>
      </c>
      <c r="E37" s="13">
        <v>0.15</v>
      </c>
      <c r="F37" s="13">
        <v>0.2</v>
      </c>
      <c r="G37" s="13">
        <v>0.25</v>
      </c>
      <c r="H37" s="13">
        <v>0.25</v>
      </c>
      <c r="I37" s="13">
        <v>0.25</v>
      </c>
      <c r="J37" s="13">
        <v>0.25</v>
      </c>
      <c r="K37" s="13">
        <v>0.25</v>
      </c>
      <c r="L37" s="13">
        <v>0.25</v>
      </c>
      <c r="N37" s="59" t="s">
        <v>180</v>
      </c>
    </row>
    <row r="38" spans="1:14" x14ac:dyDescent="0.2">
      <c r="A38" t="str">
        <v>CA sea level</v>
      </c>
      <c r="C38" s="13">
        <v>5.3333333333333337E-2</v>
      </c>
      <c r="D38" s="13">
        <v>6.6666666666666666E-2</v>
      </c>
      <c r="E38" s="13">
        <v>8.0000000000000016E-2</v>
      </c>
      <c r="F38" s="13">
        <v>0.10666666666666667</v>
      </c>
      <c r="G38" s="13">
        <v>0.13333333333333333</v>
      </c>
      <c r="H38" s="13">
        <v>0.16000000000000003</v>
      </c>
      <c r="I38" s="13">
        <v>0.18666666666666668</v>
      </c>
      <c r="J38" s="13">
        <v>0.2</v>
      </c>
      <c r="K38" s="13">
        <v>0.2</v>
      </c>
      <c r="L38" s="13">
        <v>0.2</v>
      </c>
      <c r="N38" s="59" t="s">
        <v>180</v>
      </c>
    </row>
    <row r="39" spans="1:14" x14ac:dyDescent="0.2">
      <c r="A39" t="str">
        <v>IA sea level</v>
      </c>
      <c r="C39" s="13">
        <v>5.3333333333333337E-2</v>
      </c>
      <c r="D39" s="13">
        <v>6.6666666666666666E-2</v>
      </c>
      <c r="E39" s="13">
        <v>8.0000000000000016E-2</v>
      </c>
      <c r="F39" s="13">
        <v>0.10666666666666667</v>
      </c>
      <c r="G39" s="13">
        <v>0.13333333333333333</v>
      </c>
      <c r="H39" s="13">
        <v>0.16000000000000003</v>
      </c>
      <c r="I39" s="13">
        <v>0.18666666666666668</v>
      </c>
      <c r="J39" s="13">
        <v>0.2</v>
      </c>
      <c r="K39" s="13">
        <v>0.2</v>
      </c>
      <c r="L39" s="13">
        <v>0.2</v>
      </c>
      <c r="N39" s="59" t="s">
        <v>180</v>
      </c>
    </row>
    <row r="40" spans="1:14" x14ac:dyDescent="0.2">
      <c r="A40" t="str">
        <v>AF sea level</v>
      </c>
      <c r="C40" s="13">
        <v>5.3333333333333337E-2</v>
      </c>
      <c r="D40" s="13">
        <v>6.6666666666666666E-2</v>
      </c>
      <c r="E40" s="13">
        <v>8.0000000000000016E-2</v>
      </c>
      <c r="F40" s="13">
        <v>0.10666666666666667</v>
      </c>
      <c r="G40" s="13">
        <v>0.13333333333333333</v>
      </c>
      <c r="H40" s="13">
        <v>0.16000000000000003</v>
      </c>
      <c r="I40" s="13">
        <v>0.18666666666666668</v>
      </c>
      <c r="J40" s="13">
        <v>0.2</v>
      </c>
      <c r="K40" s="13">
        <v>0.2</v>
      </c>
      <c r="L40" s="13">
        <v>0.2</v>
      </c>
      <c r="N40" s="59" t="s">
        <v>180</v>
      </c>
    </row>
    <row r="41" spans="1:14" x14ac:dyDescent="0.2">
      <c r="A41" t="str">
        <v>LA sea level</v>
      </c>
      <c r="C41" s="13">
        <v>5.3333333333333337E-2</v>
      </c>
      <c r="D41" s="13">
        <v>6.6666666666666666E-2</v>
      </c>
      <c r="E41" s="13">
        <v>8.0000000000000016E-2</v>
      </c>
      <c r="F41" s="13">
        <v>0.10666666666666667</v>
      </c>
      <c r="G41" s="13">
        <v>0.13333333333333333</v>
      </c>
      <c r="H41" s="13">
        <v>0.16000000000000003</v>
      </c>
      <c r="I41" s="13">
        <v>0.18666666666666668</v>
      </c>
      <c r="J41" s="13">
        <v>0.2</v>
      </c>
      <c r="K41" s="13">
        <v>0.2</v>
      </c>
      <c r="L41" s="13">
        <v>0.2</v>
      </c>
      <c r="N41" s="59" t="s">
        <v>180</v>
      </c>
    </row>
    <row r="42" spans="1:14" ht="15.75" x14ac:dyDescent="0.3">
      <c r="C42" t="s">
        <v>78</v>
      </c>
    </row>
    <row r="43" spans="1:14" x14ac:dyDescent="0.2">
      <c r="A43" t="str">
        <f t="array" ref="A43:A50">R_CODE&amp;" "&amp;I_1_NAME</f>
        <v>EU Economic</v>
      </c>
      <c r="C43" s="13">
        <f t="array" ref="C43:L50">IF(Y-pstart_1_a&lt;0,0,IF(((Y-pstart_1_a)/pyears_1_a)&lt;1,((Y-pstart_1_a)/pyears_1_a)*plateau_1_a,plateau_1_a))</f>
        <v>0</v>
      </c>
      <c r="D43" s="13">
        <v>0</v>
      </c>
      <c r="E43" s="13">
        <v>0</v>
      </c>
      <c r="F43" s="13">
        <v>0</v>
      </c>
      <c r="G43" s="13">
        <v>0</v>
      </c>
      <c r="H43" s="13">
        <v>0</v>
      </c>
      <c r="I43" s="13">
        <v>0</v>
      </c>
      <c r="J43" s="13">
        <v>0</v>
      </c>
      <c r="K43" s="13">
        <v>0</v>
      </c>
      <c r="L43" s="13">
        <v>0</v>
      </c>
      <c r="N43" s="59" t="s">
        <v>41</v>
      </c>
    </row>
    <row r="44" spans="1:14" x14ac:dyDescent="0.2">
      <c r="A44" t="str">
        <v>US Economic</v>
      </c>
      <c r="C44" s="13">
        <v>0</v>
      </c>
      <c r="D44" s="13">
        <v>0</v>
      </c>
      <c r="E44" s="13">
        <v>0</v>
      </c>
      <c r="F44" s="13">
        <v>0</v>
      </c>
      <c r="G44" s="13">
        <v>0</v>
      </c>
      <c r="H44" s="13">
        <v>0</v>
      </c>
      <c r="I44" s="13">
        <v>0</v>
      </c>
      <c r="J44" s="13">
        <v>0</v>
      </c>
      <c r="K44" s="13">
        <v>0</v>
      </c>
      <c r="L44" s="13">
        <v>0</v>
      </c>
      <c r="N44" s="59" t="s">
        <v>41</v>
      </c>
    </row>
    <row r="45" spans="1:14" x14ac:dyDescent="0.2">
      <c r="A45" t="str">
        <v>OT Economic</v>
      </c>
      <c r="C45" s="13">
        <v>0</v>
      </c>
      <c r="D45" s="13">
        <v>0</v>
      </c>
      <c r="E45" s="13">
        <v>0</v>
      </c>
      <c r="F45" s="13">
        <v>0</v>
      </c>
      <c r="G45" s="13">
        <v>0</v>
      </c>
      <c r="H45" s="13">
        <v>0</v>
      </c>
      <c r="I45" s="13">
        <v>0</v>
      </c>
      <c r="J45" s="13">
        <v>0</v>
      </c>
      <c r="K45" s="13">
        <v>0</v>
      </c>
      <c r="L45" s="13">
        <v>0</v>
      </c>
      <c r="N45" s="59" t="s">
        <v>41</v>
      </c>
    </row>
    <row r="46" spans="1:14" x14ac:dyDescent="0.2">
      <c r="A46" t="str">
        <v>EE Economic</v>
      </c>
      <c r="C46" s="13">
        <v>0</v>
      </c>
      <c r="D46" s="13">
        <v>0</v>
      </c>
      <c r="E46" s="13">
        <v>0</v>
      </c>
      <c r="F46" s="13">
        <v>0</v>
      </c>
      <c r="G46" s="13">
        <v>0</v>
      </c>
      <c r="H46" s="13">
        <v>0</v>
      </c>
      <c r="I46" s="13">
        <v>0</v>
      </c>
      <c r="J46" s="13">
        <v>0</v>
      </c>
      <c r="K46" s="13">
        <v>0</v>
      </c>
      <c r="L46" s="13">
        <v>0</v>
      </c>
      <c r="N46" s="59" t="s">
        <v>41</v>
      </c>
    </row>
    <row r="47" spans="1:14" x14ac:dyDescent="0.2">
      <c r="A47" t="str">
        <v>CA Economic</v>
      </c>
      <c r="C47" s="13">
        <v>0</v>
      </c>
      <c r="D47" s="13">
        <v>0</v>
      </c>
      <c r="E47" s="13">
        <v>0</v>
      </c>
      <c r="F47" s="13">
        <v>0</v>
      </c>
      <c r="G47" s="13">
        <v>0</v>
      </c>
      <c r="H47" s="13">
        <v>0</v>
      </c>
      <c r="I47" s="13">
        <v>0</v>
      </c>
      <c r="J47" s="13">
        <v>0</v>
      </c>
      <c r="K47" s="13">
        <v>0</v>
      </c>
      <c r="L47" s="13">
        <v>0</v>
      </c>
      <c r="N47" s="59" t="s">
        <v>41</v>
      </c>
    </row>
    <row r="48" spans="1:14" x14ac:dyDescent="0.2">
      <c r="A48" t="str">
        <v>IA Economic</v>
      </c>
      <c r="C48" s="13">
        <v>0</v>
      </c>
      <c r="D48" s="13">
        <v>0</v>
      </c>
      <c r="E48" s="13">
        <v>0</v>
      </c>
      <c r="F48" s="13">
        <v>0</v>
      </c>
      <c r="G48" s="13">
        <v>0</v>
      </c>
      <c r="H48" s="13">
        <v>0</v>
      </c>
      <c r="I48" s="13">
        <v>0</v>
      </c>
      <c r="J48" s="13">
        <v>0</v>
      </c>
      <c r="K48" s="13">
        <v>0</v>
      </c>
      <c r="L48" s="13">
        <v>0</v>
      </c>
      <c r="N48" s="59" t="s">
        <v>41</v>
      </c>
    </row>
    <row r="49" spans="1:14" x14ac:dyDescent="0.2">
      <c r="A49" t="str">
        <v>AF Economic</v>
      </c>
      <c r="C49" s="13">
        <v>0</v>
      </c>
      <c r="D49" s="13">
        <v>0</v>
      </c>
      <c r="E49" s="13">
        <v>0</v>
      </c>
      <c r="F49" s="13">
        <v>0</v>
      </c>
      <c r="G49" s="13">
        <v>0</v>
      </c>
      <c r="H49" s="13">
        <v>0</v>
      </c>
      <c r="I49" s="13">
        <v>0</v>
      </c>
      <c r="J49" s="13">
        <v>0</v>
      </c>
      <c r="K49" s="13">
        <v>0</v>
      </c>
      <c r="L49" s="13">
        <v>0</v>
      </c>
      <c r="N49" s="59" t="s">
        <v>41</v>
      </c>
    </row>
    <row r="50" spans="1:14" x14ac:dyDescent="0.2">
      <c r="A50" t="str">
        <v>LA Economic</v>
      </c>
      <c r="C50" s="13">
        <v>0</v>
      </c>
      <c r="D50" s="13">
        <v>0</v>
      </c>
      <c r="E50" s="13">
        <v>0</v>
      </c>
      <c r="F50" s="13">
        <v>0</v>
      </c>
      <c r="G50" s="13">
        <v>0</v>
      </c>
      <c r="H50" s="13">
        <v>0</v>
      </c>
      <c r="I50" s="13">
        <v>0</v>
      </c>
      <c r="J50" s="13">
        <v>0</v>
      </c>
      <c r="K50" s="13">
        <v>0</v>
      </c>
      <c r="L50" s="13">
        <v>0</v>
      </c>
      <c r="N50" s="59" t="s">
        <v>41</v>
      </c>
    </row>
    <row r="51" spans="1:14" ht="15.75" x14ac:dyDescent="0.3">
      <c r="C51" t="s">
        <v>79</v>
      </c>
      <c r="N51" s="1"/>
    </row>
    <row r="52" spans="1:14" x14ac:dyDescent="0.2">
      <c r="A52" t="str">
        <f t="array" ref="A52:A59">R_CODE&amp;" "&amp;I_2_NAME</f>
        <v>EU Non-econ</v>
      </c>
      <c r="C52" s="13">
        <f t="array" ref="C52:L59">IF(Y-pstart_2_a&lt;0,0,IF(((Y-pstart_2_a)/pyears_2_a)&lt;1,((Y-pstart_2_a)/pyears_2_a)*plateau_2_a,plateau_2_a))</f>
        <v>0</v>
      </c>
      <c r="D52" s="13">
        <v>0</v>
      </c>
      <c r="E52" s="13">
        <v>0</v>
      </c>
      <c r="F52" s="13">
        <v>0</v>
      </c>
      <c r="G52" s="13">
        <v>0</v>
      </c>
      <c r="H52" s="13">
        <v>0</v>
      </c>
      <c r="I52" s="13">
        <v>0</v>
      </c>
      <c r="J52" s="13">
        <v>0</v>
      </c>
      <c r="K52" s="13">
        <v>0</v>
      </c>
      <c r="L52" s="13">
        <v>0</v>
      </c>
      <c r="N52" s="59" t="s">
        <v>41</v>
      </c>
    </row>
    <row r="53" spans="1:14" x14ac:dyDescent="0.2">
      <c r="A53" t="str">
        <v>US Non-econ</v>
      </c>
      <c r="C53" s="13">
        <v>0</v>
      </c>
      <c r="D53" s="13">
        <v>0</v>
      </c>
      <c r="E53" s="13">
        <v>0</v>
      </c>
      <c r="F53" s="13">
        <v>0</v>
      </c>
      <c r="G53" s="13">
        <v>0</v>
      </c>
      <c r="H53" s="13">
        <v>0</v>
      </c>
      <c r="I53" s="13">
        <v>0</v>
      </c>
      <c r="J53" s="13">
        <v>0</v>
      </c>
      <c r="K53" s="13">
        <v>0</v>
      </c>
      <c r="L53" s="13">
        <v>0</v>
      </c>
      <c r="N53" s="59" t="s">
        <v>41</v>
      </c>
    </row>
    <row r="54" spans="1:14" x14ac:dyDescent="0.2">
      <c r="A54" t="str">
        <v>OT Non-econ</v>
      </c>
      <c r="C54" s="13">
        <v>0</v>
      </c>
      <c r="D54" s="13">
        <v>0</v>
      </c>
      <c r="E54" s="13">
        <v>0</v>
      </c>
      <c r="F54" s="13">
        <v>0</v>
      </c>
      <c r="G54" s="13">
        <v>0</v>
      </c>
      <c r="H54" s="13">
        <v>0</v>
      </c>
      <c r="I54" s="13">
        <v>0</v>
      </c>
      <c r="J54" s="13">
        <v>0</v>
      </c>
      <c r="K54" s="13">
        <v>0</v>
      </c>
      <c r="L54" s="13">
        <v>0</v>
      </c>
      <c r="N54" s="59" t="s">
        <v>41</v>
      </c>
    </row>
    <row r="55" spans="1:14" x14ac:dyDescent="0.2">
      <c r="A55" t="str">
        <v>EE Non-econ</v>
      </c>
      <c r="C55" s="13">
        <v>0</v>
      </c>
      <c r="D55" s="13">
        <v>0</v>
      </c>
      <c r="E55" s="13">
        <v>0</v>
      </c>
      <c r="F55" s="13">
        <v>0</v>
      </c>
      <c r="G55" s="13">
        <v>0</v>
      </c>
      <c r="H55" s="13">
        <v>0</v>
      </c>
      <c r="I55" s="13">
        <v>0</v>
      </c>
      <c r="J55" s="13">
        <v>0</v>
      </c>
      <c r="K55" s="13">
        <v>0</v>
      </c>
      <c r="L55" s="13">
        <v>0</v>
      </c>
      <c r="N55" s="59" t="s">
        <v>41</v>
      </c>
    </row>
    <row r="56" spans="1:14" x14ac:dyDescent="0.2">
      <c r="A56" t="str">
        <v>CA Non-econ</v>
      </c>
      <c r="C56" s="13">
        <v>0</v>
      </c>
      <c r="D56" s="13">
        <v>0</v>
      </c>
      <c r="E56" s="13">
        <v>0</v>
      </c>
      <c r="F56" s="13">
        <v>0</v>
      </c>
      <c r="G56" s="13">
        <v>0</v>
      </c>
      <c r="H56" s="13">
        <v>0</v>
      </c>
      <c r="I56" s="13">
        <v>0</v>
      </c>
      <c r="J56" s="13">
        <v>0</v>
      </c>
      <c r="K56" s="13">
        <v>0</v>
      </c>
      <c r="L56" s="13">
        <v>0</v>
      </c>
      <c r="N56" s="59" t="s">
        <v>41</v>
      </c>
    </row>
    <row r="57" spans="1:14" x14ac:dyDescent="0.2">
      <c r="A57" t="str">
        <v>IA Non-econ</v>
      </c>
      <c r="C57" s="13">
        <v>0</v>
      </c>
      <c r="D57" s="13">
        <v>0</v>
      </c>
      <c r="E57" s="13">
        <v>0</v>
      </c>
      <c r="F57" s="13">
        <v>0</v>
      </c>
      <c r="G57" s="13">
        <v>0</v>
      </c>
      <c r="H57" s="13">
        <v>0</v>
      </c>
      <c r="I57" s="13">
        <v>0</v>
      </c>
      <c r="J57" s="13">
        <v>0</v>
      </c>
      <c r="K57" s="13">
        <v>0</v>
      </c>
      <c r="L57" s="13">
        <v>0</v>
      </c>
      <c r="N57" s="59" t="s">
        <v>41</v>
      </c>
    </row>
    <row r="58" spans="1:14" x14ac:dyDescent="0.2">
      <c r="A58" t="str">
        <v>AF Non-econ</v>
      </c>
      <c r="C58" s="13">
        <v>0</v>
      </c>
      <c r="D58" s="13">
        <v>0</v>
      </c>
      <c r="E58" s="13">
        <v>0</v>
      </c>
      <c r="F58" s="13">
        <v>0</v>
      </c>
      <c r="G58" s="13">
        <v>0</v>
      </c>
      <c r="H58" s="13">
        <v>0</v>
      </c>
      <c r="I58" s="13">
        <v>0</v>
      </c>
      <c r="J58" s="13">
        <v>0</v>
      </c>
      <c r="K58" s="13">
        <v>0</v>
      </c>
      <c r="L58" s="13">
        <v>0</v>
      </c>
      <c r="N58" s="59" t="s">
        <v>41</v>
      </c>
    </row>
    <row r="59" spans="1:14" x14ac:dyDescent="0.2">
      <c r="A59" t="str">
        <v>LA Non-econ</v>
      </c>
      <c r="C59" s="13">
        <v>0</v>
      </c>
      <c r="D59" s="13">
        <v>0</v>
      </c>
      <c r="E59" s="13">
        <v>0</v>
      </c>
      <c r="F59" s="13">
        <v>0</v>
      </c>
      <c r="G59" s="13">
        <v>0</v>
      </c>
      <c r="H59" s="13">
        <v>0</v>
      </c>
      <c r="I59" s="13">
        <v>0</v>
      </c>
      <c r="J59" s="13">
        <v>0</v>
      </c>
      <c r="K59" s="13">
        <v>0</v>
      </c>
      <c r="L59" s="13">
        <v>0</v>
      </c>
      <c r="N59" s="59" t="s">
        <v>41</v>
      </c>
    </row>
    <row r="60" spans="1:14" ht="15.75" x14ac:dyDescent="0.3">
      <c r="C60" s="63" t="s">
        <v>230</v>
      </c>
    </row>
    <row r="61" spans="1:14" x14ac:dyDescent="0.2">
      <c r="A61" t="str">
        <f t="array" ref="A61:A68">R_CODE&amp;" sea level"</f>
        <v>EU sea level</v>
      </c>
      <c r="C61" s="13">
        <f t="array" ref="C61:L68">IF(Y-istart_s_a&lt;0,0,IF(((Y-istart_s_a)/iyears_s_a)&lt;1,((Y-istart_s_a)/iyears_s_a)*impred_s_a,impred_s_a))</f>
        <v>0</v>
      </c>
      <c r="D61" s="13">
        <v>5</v>
      </c>
      <c r="E61" s="13">
        <v>10</v>
      </c>
      <c r="F61" s="13">
        <v>20</v>
      </c>
      <c r="G61" s="13">
        <v>30</v>
      </c>
      <c r="H61" s="13">
        <v>40</v>
      </c>
      <c r="I61" s="13">
        <v>50</v>
      </c>
      <c r="J61" s="13">
        <v>50</v>
      </c>
      <c r="K61" s="13">
        <v>50</v>
      </c>
      <c r="L61" s="13">
        <v>50</v>
      </c>
      <c r="N61" s="59" t="s">
        <v>38</v>
      </c>
    </row>
    <row r="62" spans="1:14" x14ac:dyDescent="0.2">
      <c r="A62" t="str">
        <v>US sea level</v>
      </c>
      <c r="C62" s="13">
        <v>0</v>
      </c>
      <c r="D62" s="13">
        <v>5</v>
      </c>
      <c r="E62" s="13">
        <v>10</v>
      </c>
      <c r="F62" s="13">
        <v>20</v>
      </c>
      <c r="G62" s="13">
        <v>30</v>
      </c>
      <c r="H62" s="13">
        <v>40</v>
      </c>
      <c r="I62" s="13">
        <v>50</v>
      </c>
      <c r="J62" s="13">
        <v>50</v>
      </c>
      <c r="K62" s="13">
        <v>50</v>
      </c>
      <c r="L62" s="13">
        <v>50</v>
      </c>
      <c r="N62" s="59" t="s">
        <v>38</v>
      </c>
    </row>
    <row r="63" spans="1:14" x14ac:dyDescent="0.2">
      <c r="A63" t="str">
        <v>OT sea level</v>
      </c>
      <c r="C63" s="13">
        <v>0</v>
      </c>
      <c r="D63" s="13">
        <v>5</v>
      </c>
      <c r="E63" s="13">
        <v>10</v>
      </c>
      <c r="F63" s="13">
        <v>20</v>
      </c>
      <c r="G63" s="13">
        <v>30</v>
      </c>
      <c r="H63" s="13">
        <v>40</v>
      </c>
      <c r="I63" s="13">
        <v>50</v>
      </c>
      <c r="J63" s="13">
        <v>50</v>
      </c>
      <c r="K63" s="13">
        <v>50</v>
      </c>
      <c r="L63" s="13">
        <v>50</v>
      </c>
      <c r="N63" s="59" t="s">
        <v>38</v>
      </c>
    </row>
    <row r="64" spans="1:14" x14ac:dyDescent="0.2">
      <c r="A64" t="str">
        <v>EE sea level</v>
      </c>
      <c r="C64" s="13">
        <v>0</v>
      </c>
      <c r="D64" s="13">
        <v>5</v>
      </c>
      <c r="E64" s="13">
        <v>10</v>
      </c>
      <c r="F64" s="13">
        <v>20</v>
      </c>
      <c r="G64" s="13">
        <v>30</v>
      </c>
      <c r="H64" s="13">
        <v>40</v>
      </c>
      <c r="I64" s="13">
        <v>50</v>
      </c>
      <c r="J64" s="13">
        <v>50</v>
      </c>
      <c r="K64" s="13">
        <v>50</v>
      </c>
      <c r="L64" s="13">
        <v>50</v>
      </c>
      <c r="N64" s="59" t="s">
        <v>38</v>
      </c>
    </row>
    <row r="65" spans="1:14" x14ac:dyDescent="0.2">
      <c r="A65" t="str">
        <v>CA sea level</v>
      </c>
      <c r="C65" s="13">
        <v>0</v>
      </c>
      <c r="D65" s="13">
        <v>1.6666666666666667</v>
      </c>
      <c r="E65" s="13">
        <v>3.3333333333333335</v>
      </c>
      <c r="F65" s="13">
        <v>6.666666666666667</v>
      </c>
      <c r="G65" s="13">
        <v>10</v>
      </c>
      <c r="H65" s="13">
        <v>13.333333333333334</v>
      </c>
      <c r="I65" s="13">
        <v>16.666666666666664</v>
      </c>
      <c r="J65" s="13">
        <v>20</v>
      </c>
      <c r="K65" s="13">
        <v>23.333333333333332</v>
      </c>
      <c r="L65" s="13">
        <v>25</v>
      </c>
      <c r="N65" s="59" t="s">
        <v>38</v>
      </c>
    </row>
    <row r="66" spans="1:14" x14ac:dyDescent="0.2">
      <c r="A66" t="str">
        <v>IA sea level</v>
      </c>
      <c r="C66" s="13">
        <v>0</v>
      </c>
      <c r="D66" s="13">
        <v>1.6666666666666667</v>
      </c>
      <c r="E66" s="13">
        <v>3.3333333333333335</v>
      </c>
      <c r="F66" s="13">
        <v>6.666666666666667</v>
      </c>
      <c r="G66" s="13">
        <v>10</v>
      </c>
      <c r="H66" s="13">
        <v>13.333333333333334</v>
      </c>
      <c r="I66" s="13">
        <v>16.666666666666664</v>
      </c>
      <c r="J66" s="13">
        <v>20</v>
      </c>
      <c r="K66" s="13">
        <v>23.333333333333332</v>
      </c>
      <c r="L66" s="13">
        <v>25</v>
      </c>
      <c r="N66" s="59" t="s">
        <v>38</v>
      </c>
    </row>
    <row r="67" spans="1:14" x14ac:dyDescent="0.2">
      <c r="A67" t="str">
        <v>AF sea level</v>
      </c>
      <c r="C67" s="13">
        <v>0</v>
      </c>
      <c r="D67" s="13">
        <v>1.6666666666666667</v>
      </c>
      <c r="E67" s="13">
        <v>3.3333333333333335</v>
      </c>
      <c r="F67" s="13">
        <v>6.666666666666667</v>
      </c>
      <c r="G67" s="13">
        <v>10</v>
      </c>
      <c r="H67" s="13">
        <v>13.333333333333334</v>
      </c>
      <c r="I67" s="13">
        <v>16.666666666666664</v>
      </c>
      <c r="J67" s="13">
        <v>20</v>
      </c>
      <c r="K67" s="13">
        <v>23.333333333333332</v>
      </c>
      <c r="L67" s="13">
        <v>25</v>
      </c>
      <c r="N67" s="59" t="s">
        <v>38</v>
      </c>
    </row>
    <row r="68" spans="1:14" x14ac:dyDescent="0.2">
      <c r="A68" t="str">
        <v>LA sea level</v>
      </c>
      <c r="C68" s="13">
        <v>0</v>
      </c>
      <c r="D68" s="13">
        <v>1.6666666666666667</v>
      </c>
      <c r="E68" s="13">
        <v>3.3333333333333335</v>
      </c>
      <c r="F68" s="13">
        <v>6.666666666666667</v>
      </c>
      <c r="G68" s="13">
        <v>10</v>
      </c>
      <c r="H68" s="13">
        <v>13.333333333333334</v>
      </c>
      <c r="I68" s="13">
        <v>16.666666666666664</v>
      </c>
      <c r="J68" s="13">
        <v>20</v>
      </c>
      <c r="K68" s="13">
        <v>23.333333333333332</v>
      </c>
      <c r="L68" s="13">
        <v>25</v>
      </c>
      <c r="N68" s="59" t="s">
        <v>38</v>
      </c>
    </row>
    <row r="69" spans="1:14" ht="15.75" x14ac:dyDescent="0.3">
      <c r="C69" s="63" t="s">
        <v>231</v>
      </c>
    </row>
    <row r="70" spans="1:14" x14ac:dyDescent="0.2">
      <c r="A70" t="str">
        <f t="array" ref="A70:A77">R_CODE&amp;" "&amp;I_1_NAME</f>
        <v>EU Economic</v>
      </c>
      <c r="C70" s="13">
        <f t="array" ref="C70:L77">IF(Y-istart_1_a&lt;0,0,IF(((Y-istart_1_a)/iyears_1_a)&lt;1,((Y-istart_1_a)/iyears_1_a)*impred_1_a,impred_1_a))</f>
        <v>10</v>
      </c>
      <c r="D70" s="13">
        <v>15</v>
      </c>
      <c r="E70" s="13">
        <v>20</v>
      </c>
      <c r="F70" s="13">
        <v>30</v>
      </c>
      <c r="G70" s="13">
        <v>30</v>
      </c>
      <c r="H70" s="13">
        <v>30</v>
      </c>
      <c r="I70" s="13">
        <v>30</v>
      </c>
      <c r="J70" s="13">
        <v>30</v>
      </c>
      <c r="K70" s="13">
        <v>30</v>
      </c>
      <c r="L70" s="13">
        <v>30</v>
      </c>
      <c r="N70" s="59" t="s">
        <v>38</v>
      </c>
    </row>
    <row r="71" spans="1:14" x14ac:dyDescent="0.2">
      <c r="A71" t="str">
        <v>US Economic</v>
      </c>
      <c r="C71" s="13">
        <v>10</v>
      </c>
      <c r="D71" s="13">
        <v>15</v>
      </c>
      <c r="E71" s="13">
        <v>20</v>
      </c>
      <c r="F71" s="13">
        <v>30</v>
      </c>
      <c r="G71" s="13">
        <v>30</v>
      </c>
      <c r="H71" s="13">
        <v>30</v>
      </c>
      <c r="I71" s="13">
        <v>30</v>
      </c>
      <c r="J71" s="13">
        <v>30</v>
      </c>
      <c r="K71" s="13">
        <v>30</v>
      </c>
      <c r="L71" s="13">
        <v>30</v>
      </c>
      <c r="N71" s="59" t="s">
        <v>38</v>
      </c>
    </row>
    <row r="72" spans="1:14" x14ac:dyDescent="0.2">
      <c r="A72" t="str">
        <v>OT Economic</v>
      </c>
      <c r="C72" s="13">
        <v>10</v>
      </c>
      <c r="D72" s="13">
        <v>15</v>
      </c>
      <c r="E72" s="13">
        <v>20</v>
      </c>
      <c r="F72" s="13">
        <v>30</v>
      </c>
      <c r="G72" s="13">
        <v>30</v>
      </c>
      <c r="H72" s="13">
        <v>30</v>
      </c>
      <c r="I72" s="13">
        <v>30</v>
      </c>
      <c r="J72" s="13">
        <v>30</v>
      </c>
      <c r="K72" s="13">
        <v>30</v>
      </c>
      <c r="L72" s="13">
        <v>30</v>
      </c>
      <c r="N72" s="59" t="s">
        <v>38</v>
      </c>
    </row>
    <row r="73" spans="1:14" x14ac:dyDescent="0.2">
      <c r="A73" t="str">
        <v>EE Economic</v>
      </c>
      <c r="C73" s="13">
        <v>10</v>
      </c>
      <c r="D73" s="13">
        <v>15</v>
      </c>
      <c r="E73" s="13">
        <v>20</v>
      </c>
      <c r="F73" s="13">
        <v>30</v>
      </c>
      <c r="G73" s="13">
        <v>30</v>
      </c>
      <c r="H73" s="13">
        <v>30</v>
      </c>
      <c r="I73" s="13">
        <v>30</v>
      </c>
      <c r="J73" s="13">
        <v>30</v>
      </c>
      <c r="K73" s="13">
        <v>30</v>
      </c>
      <c r="L73" s="13">
        <v>30</v>
      </c>
      <c r="N73" s="59" t="s">
        <v>38</v>
      </c>
    </row>
    <row r="74" spans="1:14" x14ac:dyDescent="0.2">
      <c r="A74" t="str">
        <v>CA Economic</v>
      </c>
      <c r="C74" s="13">
        <v>0</v>
      </c>
      <c r="D74" s="13">
        <v>2</v>
      </c>
      <c r="E74" s="13">
        <v>4</v>
      </c>
      <c r="F74" s="13">
        <v>8</v>
      </c>
      <c r="G74" s="13">
        <v>12</v>
      </c>
      <c r="H74" s="13">
        <v>16</v>
      </c>
      <c r="I74" s="13">
        <v>20</v>
      </c>
      <c r="J74" s="13">
        <v>20</v>
      </c>
      <c r="K74" s="13">
        <v>20</v>
      </c>
      <c r="L74" s="13">
        <v>20</v>
      </c>
      <c r="N74" s="59" t="s">
        <v>38</v>
      </c>
    </row>
    <row r="75" spans="1:14" x14ac:dyDescent="0.2">
      <c r="A75" t="str">
        <v>IA Economic</v>
      </c>
      <c r="C75" s="13">
        <v>0</v>
      </c>
      <c r="D75" s="13">
        <v>2</v>
      </c>
      <c r="E75" s="13">
        <v>4</v>
      </c>
      <c r="F75" s="13">
        <v>8</v>
      </c>
      <c r="G75" s="13">
        <v>12</v>
      </c>
      <c r="H75" s="13">
        <v>16</v>
      </c>
      <c r="I75" s="13">
        <v>20</v>
      </c>
      <c r="J75" s="13">
        <v>20</v>
      </c>
      <c r="K75" s="13">
        <v>20</v>
      </c>
      <c r="L75" s="13">
        <v>20</v>
      </c>
      <c r="N75" s="59" t="s">
        <v>38</v>
      </c>
    </row>
    <row r="76" spans="1:14" x14ac:dyDescent="0.2">
      <c r="A76" t="str">
        <v>AF Economic</v>
      </c>
      <c r="C76" s="13">
        <v>0</v>
      </c>
      <c r="D76" s="13">
        <v>2</v>
      </c>
      <c r="E76" s="13">
        <v>4</v>
      </c>
      <c r="F76" s="13">
        <v>8</v>
      </c>
      <c r="G76" s="13">
        <v>12</v>
      </c>
      <c r="H76" s="13">
        <v>16</v>
      </c>
      <c r="I76" s="13">
        <v>20</v>
      </c>
      <c r="J76" s="13">
        <v>20</v>
      </c>
      <c r="K76" s="13">
        <v>20</v>
      </c>
      <c r="L76" s="13">
        <v>20</v>
      </c>
      <c r="N76" s="59" t="s">
        <v>38</v>
      </c>
    </row>
    <row r="77" spans="1:14" x14ac:dyDescent="0.2">
      <c r="A77" t="str">
        <v>LA Economic</v>
      </c>
      <c r="C77" s="13">
        <v>0</v>
      </c>
      <c r="D77" s="13">
        <v>2</v>
      </c>
      <c r="E77" s="13">
        <v>4</v>
      </c>
      <c r="F77" s="13">
        <v>8</v>
      </c>
      <c r="G77" s="13">
        <v>12</v>
      </c>
      <c r="H77" s="13">
        <v>16</v>
      </c>
      <c r="I77" s="13">
        <v>20</v>
      </c>
      <c r="J77" s="13">
        <v>20</v>
      </c>
      <c r="K77" s="13">
        <v>20</v>
      </c>
      <c r="L77" s="13">
        <v>20</v>
      </c>
      <c r="N77" s="59" t="s">
        <v>38</v>
      </c>
    </row>
    <row r="78" spans="1:14" ht="15.75" x14ac:dyDescent="0.3">
      <c r="C78" s="63" t="s">
        <v>232</v>
      </c>
    </row>
    <row r="79" spans="1:14" x14ac:dyDescent="0.2">
      <c r="A79" t="str">
        <f t="array" ref="A79:A86">R_CODE&amp;" "&amp;I_2_NAME</f>
        <v>EU Non-econ</v>
      </c>
      <c r="C79" s="13">
        <f t="array" ref="C79:L86">IF(Y-istart_2_a&lt;0,0,IF(((Y-istart_2_a)/iyears_2_a)&lt;1,((Y-istart_2_a)/iyears_2_a)*impred_2_a,impred_2_a))</f>
        <v>3.75</v>
      </c>
      <c r="D79" s="13">
        <v>5.625</v>
      </c>
      <c r="E79" s="13">
        <v>7.5</v>
      </c>
      <c r="F79" s="13">
        <v>11.25</v>
      </c>
      <c r="G79" s="13">
        <v>15</v>
      </c>
      <c r="H79" s="13">
        <v>15</v>
      </c>
      <c r="I79" s="13">
        <v>15</v>
      </c>
      <c r="J79" s="13">
        <v>15</v>
      </c>
      <c r="K79" s="13">
        <v>15</v>
      </c>
      <c r="L79" s="13">
        <v>15</v>
      </c>
      <c r="N79" s="59" t="s">
        <v>38</v>
      </c>
    </row>
    <row r="80" spans="1:14" x14ac:dyDescent="0.2">
      <c r="A80" t="str">
        <v>US Non-econ</v>
      </c>
      <c r="C80" s="13">
        <v>3.75</v>
      </c>
      <c r="D80" s="13">
        <v>5.625</v>
      </c>
      <c r="E80" s="13">
        <v>7.5</v>
      </c>
      <c r="F80" s="13">
        <v>11.25</v>
      </c>
      <c r="G80" s="13">
        <v>15</v>
      </c>
      <c r="H80" s="13">
        <v>15</v>
      </c>
      <c r="I80" s="13">
        <v>15</v>
      </c>
      <c r="J80" s="13">
        <v>15</v>
      </c>
      <c r="K80" s="13">
        <v>15</v>
      </c>
      <c r="L80" s="13">
        <v>15</v>
      </c>
      <c r="N80" s="59" t="s">
        <v>38</v>
      </c>
    </row>
    <row r="81" spans="1:14" x14ac:dyDescent="0.2">
      <c r="A81" t="str">
        <v>OT Non-econ</v>
      </c>
      <c r="C81" s="13">
        <v>3.75</v>
      </c>
      <c r="D81" s="13">
        <v>5.625</v>
      </c>
      <c r="E81" s="13">
        <v>7.5</v>
      </c>
      <c r="F81" s="13">
        <v>11.25</v>
      </c>
      <c r="G81" s="13">
        <v>15</v>
      </c>
      <c r="H81" s="13">
        <v>15</v>
      </c>
      <c r="I81" s="13">
        <v>15</v>
      </c>
      <c r="J81" s="13">
        <v>15</v>
      </c>
      <c r="K81" s="13">
        <v>15</v>
      </c>
      <c r="L81" s="13">
        <v>15</v>
      </c>
      <c r="N81" s="59" t="s">
        <v>38</v>
      </c>
    </row>
    <row r="82" spans="1:14" x14ac:dyDescent="0.2">
      <c r="A82" t="str">
        <v>EE Non-econ</v>
      </c>
      <c r="C82" s="13">
        <v>3.75</v>
      </c>
      <c r="D82" s="13">
        <v>5.625</v>
      </c>
      <c r="E82" s="13">
        <v>7.5</v>
      </c>
      <c r="F82" s="13">
        <v>11.25</v>
      </c>
      <c r="G82" s="13">
        <v>15</v>
      </c>
      <c r="H82" s="13">
        <v>15</v>
      </c>
      <c r="I82" s="13">
        <v>15</v>
      </c>
      <c r="J82" s="13">
        <v>15</v>
      </c>
      <c r="K82" s="13">
        <v>15</v>
      </c>
      <c r="L82" s="13">
        <v>15</v>
      </c>
      <c r="N82" s="59" t="s">
        <v>38</v>
      </c>
    </row>
    <row r="83" spans="1:14" x14ac:dyDescent="0.2">
      <c r="A83" t="str">
        <v>CA Non-econ</v>
      </c>
      <c r="C83" s="13">
        <v>3.75</v>
      </c>
      <c r="D83" s="13">
        <v>5.625</v>
      </c>
      <c r="E83" s="13">
        <v>7.5</v>
      </c>
      <c r="F83" s="13">
        <v>11.25</v>
      </c>
      <c r="G83" s="13">
        <v>15</v>
      </c>
      <c r="H83" s="13">
        <v>15</v>
      </c>
      <c r="I83" s="13">
        <v>15</v>
      </c>
      <c r="J83" s="13">
        <v>15</v>
      </c>
      <c r="K83" s="13">
        <v>15</v>
      </c>
      <c r="L83" s="13">
        <v>15</v>
      </c>
      <c r="N83" s="59" t="s">
        <v>38</v>
      </c>
    </row>
    <row r="84" spans="1:14" x14ac:dyDescent="0.2">
      <c r="A84" t="str">
        <v>IA Non-econ</v>
      </c>
      <c r="C84" s="13">
        <v>3.75</v>
      </c>
      <c r="D84" s="13">
        <v>5.625</v>
      </c>
      <c r="E84" s="13">
        <v>7.5</v>
      </c>
      <c r="F84" s="13">
        <v>11.25</v>
      </c>
      <c r="G84" s="13">
        <v>15</v>
      </c>
      <c r="H84" s="13">
        <v>15</v>
      </c>
      <c r="I84" s="13">
        <v>15</v>
      </c>
      <c r="J84" s="13">
        <v>15</v>
      </c>
      <c r="K84" s="13">
        <v>15</v>
      </c>
      <c r="L84" s="13">
        <v>15</v>
      </c>
      <c r="N84" s="59" t="s">
        <v>38</v>
      </c>
    </row>
    <row r="85" spans="1:14" x14ac:dyDescent="0.2">
      <c r="A85" t="str">
        <v>AF Non-econ</v>
      </c>
      <c r="C85" s="13">
        <v>3.75</v>
      </c>
      <c r="D85" s="13">
        <v>5.625</v>
      </c>
      <c r="E85" s="13">
        <v>7.5</v>
      </c>
      <c r="F85" s="13">
        <v>11.25</v>
      </c>
      <c r="G85" s="13">
        <v>15</v>
      </c>
      <c r="H85" s="13">
        <v>15</v>
      </c>
      <c r="I85" s="13">
        <v>15</v>
      </c>
      <c r="J85" s="13">
        <v>15</v>
      </c>
      <c r="K85" s="13">
        <v>15</v>
      </c>
      <c r="L85" s="13">
        <v>15</v>
      </c>
      <c r="N85" s="59" t="s">
        <v>38</v>
      </c>
    </row>
    <row r="86" spans="1:14" x14ac:dyDescent="0.2">
      <c r="A86" t="str">
        <v>LA Non-econ</v>
      </c>
      <c r="C86" s="13">
        <v>3.75</v>
      </c>
      <c r="D86" s="13">
        <v>5.625</v>
      </c>
      <c r="E86" s="13">
        <v>7.5</v>
      </c>
      <c r="F86" s="13">
        <v>11.25</v>
      </c>
      <c r="G86" s="13">
        <v>15</v>
      </c>
      <c r="H86" s="13">
        <v>15</v>
      </c>
      <c r="I86" s="13">
        <v>15</v>
      </c>
      <c r="J86" s="13">
        <v>15</v>
      </c>
      <c r="K86" s="13">
        <v>15</v>
      </c>
      <c r="L86" s="13">
        <v>15</v>
      </c>
      <c r="N86" s="59" t="s">
        <v>38</v>
      </c>
    </row>
    <row r="87" spans="1:14" s="2" customFormat="1" ht="14.25" x14ac:dyDescent="0.25">
      <c r="A87" s="2" t="s">
        <v>951</v>
      </c>
      <c r="C87" s="2" t="s">
        <v>202</v>
      </c>
    </row>
    <row r="88" spans="1:14" x14ac:dyDescent="0.2">
      <c r="A88" t="str">
        <f t="array" ref="A88:A95">R_CODE&amp;" sea level"</f>
        <v>EU sea level</v>
      </c>
      <c r="C88" s="29">
        <f t="array" ref="C88:L95" ca="1">IF((s-atl_s)&lt;0,0,s-atl_s)</f>
        <v>0.12839607233262659</v>
      </c>
      <c r="D88" s="29">
        <f ca="1"/>
        <v>0.14530952258271973</v>
      </c>
      <c r="E88" s="29">
        <f ca="1"/>
        <v>0.16575169965416645</v>
      </c>
      <c r="F88" s="29">
        <f ca="1"/>
        <v>0.22318267247909757</v>
      </c>
      <c r="G88" s="29">
        <f ca="1"/>
        <v>0.29893279650181259</v>
      </c>
      <c r="H88" s="29">
        <f ca="1"/>
        <v>0.42774476023113994</v>
      </c>
      <c r="I88" s="29">
        <f ca="1"/>
        <v>0.55641688606181228</v>
      </c>
      <c r="J88" s="29">
        <f ca="1"/>
        <v>0.67603256072133122</v>
      </c>
      <c r="K88" s="29">
        <f ca="1"/>
        <v>0.78863021687275769</v>
      </c>
      <c r="L88" s="29">
        <f ca="1"/>
        <v>0.89326871343279612</v>
      </c>
      <c r="M88" s="6"/>
      <c r="N88" s="59" t="s">
        <v>180</v>
      </c>
    </row>
    <row r="89" spans="1:14" x14ac:dyDescent="0.2">
      <c r="A89" t="str">
        <v>US sea level</v>
      </c>
      <c r="C89" s="26">
        <f ca="1"/>
        <v>0.12839607233262659</v>
      </c>
      <c r="D89" s="26">
        <f ca="1"/>
        <v>0.14530952258271973</v>
      </c>
      <c r="E89" s="26">
        <f ca="1"/>
        <v>0.16575169965416645</v>
      </c>
      <c r="F89" s="26">
        <f ca="1"/>
        <v>0.22318267247909757</v>
      </c>
      <c r="G89" s="26">
        <f ca="1"/>
        <v>0.29893279650181259</v>
      </c>
      <c r="H89" s="26">
        <f ca="1"/>
        <v>0.42774476023113994</v>
      </c>
      <c r="I89" s="26">
        <f ca="1"/>
        <v>0.55641688606181228</v>
      </c>
      <c r="J89" s="26">
        <f ca="1"/>
        <v>0.67603256072133122</v>
      </c>
      <c r="K89" s="26">
        <f ca="1"/>
        <v>0.78863021687275769</v>
      </c>
      <c r="L89" s="26">
        <f ca="1"/>
        <v>0.89326871343279612</v>
      </c>
      <c r="M89" s="6"/>
      <c r="N89" s="59" t="s">
        <v>180</v>
      </c>
    </row>
    <row r="90" spans="1:14" x14ac:dyDescent="0.2">
      <c r="A90" t="str">
        <v>OT sea level</v>
      </c>
      <c r="C90" s="26">
        <f ca="1"/>
        <v>0.12839607233262659</v>
      </c>
      <c r="D90" s="26">
        <f ca="1"/>
        <v>0.14530952258271973</v>
      </c>
      <c r="E90" s="26">
        <f ca="1"/>
        <v>0.16575169965416645</v>
      </c>
      <c r="F90" s="26">
        <f ca="1"/>
        <v>0.22318267247909757</v>
      </c>
      <c r="G90" s="26">
        <f ca="1"/>
        <v>0.29893279650181259</v>
      </c>
      <c r="H90" s="26">
        <f ca="1"/>
        <v>0.42774476023113994</v>
      </c>
      <c r="I90" s="26">
        <f ca="1"/>
        <v>0.55641688606181228</v>
      </c>
      <c r="J90" s="26">
        <f ca="1"/>
        <v>0.67603256072133122</v>
      </c>
      <c r="K90" s="26">
        <f ca="1"/>
        <v>0.78863021687275769</v>
      </c>
      <c r="L90" s="26">
        <f ca="1"/>
        <v>0.89326871343279612</v>
      </c>
      <c r="M90" s="6"/>
      <c r="N90" s="59" t="s">
        <v>180</v>
      </c>
    </row>
    <row r="91" spans="1:14" x14ac:dyDescent="0.2">
      <c r="A91" t="str">
        <v>EE sea level</v>
      </c>
      <c r="C91" s="26">
        <f ca="1"/>
        <v>0.12839607233262659</v>
      </c>
      <c r="D91" s="26">
        <f ca="1"/>
        <v>0.14530952258271973</v>
      </c>
      <c r="E91" s="26">
        <f ca="1"/>
        <v>0.16575169965416645</v>
      </c>
      <c r="F91" s="26">
        <f ca="1"/>
        <v>0.22318267247909757</v>
      </c>
      <c r="G91" s="26">
        <f ca="1"/>
        <v>0.29893279650181259</v>
      </c>
      <c r="H91" s="26">
        <f ca="1"/>
        <v>0.42774476023113994</v>
      </c>
      <c r="I91" s="26">
        <f ca="1"/>
        <v>0.55641688606181228</v>
      </c>
      <c r="J91" s="26">
        <f ca="1"/>
        <v>0.67603256072133122</v>
      </c>
      <c r="K91" s="26">
        <f ca="1"/>
        <v>0.78863021687275769</v>
      </c>
      <c r="L91" s="26">
        <f ca="1"/>
        <v>0.89326871343279612</v>
      </c>
      <c r="M91" s="6"/>
      <c r="N91" s="59" t="s">
        <v>180</v>
      </c>
    </row>
    <row r="92" spans="1:14" x14ac:dyDescent="0.2">
      <c r="A92" t="str">
        <v>CA sea level</v>
      </c>
      <c r="C92" s="26">
        <f ca="1"/>
        <v>0.17506273899929325</v>
      </c>
      <c r="D92" s="26">
        <f ca="1"/>
        <v>0.20364285591605308</v>
      </c>
      <c r="E92" s="26">
        <f ca="1"/>
        <v>0.23575169965416642</v>
      </c>
      <c r="F92" s="26">
        <f ca="1"/>
        <v>0.31651600581243089</v>
      </c>
      <c r="G92" s="26">
        <f ca="1"/>
        <v>0.41559946316847929</v>
      </c>
      <c r="H92" s="26">
        <f ca="1"/>
        <v>0.51774476023113991</v>
      </c>
      <c r="I92" s="26">
        <f ca="1"/>
        <v>0.61975021939514563</v>
      </c>
      <c r="J92" s="26">
        <f ca="1"/>
        <v>0.72603256072133115</v>
      </c>
      <c r="K92" s="26">
        <f ca="1"/>
        <v>0.83863021687275774</v>
      </c>
      <c r="L92" s="26">
        <f ca="1"/>
        <v>0.94326871343279617</v>
      </c>
      <c r="M92" s="6"/>
      <c r="N92" s="59" t="s">
        <v>180</v>
      </c>
    </row>
    <row r="93" spans="1:14" x14ac:dyDescent="0.2">
      <c r="A93" t="str">
        <v>IA sea level</v>
      </c>
      <c r="C93" s="26">
        <f ca="1"/>
        <v>0.17506273899929325</v>
      </c>
      <c r="D93" s="26">
        <f ca="1"/>
        <v>0.20364285591605308</v>
      </c>
      <c r="E93" s="26">
        <f ca="1"/>
        <v>0.23575169965416642</v>
      </c>
      <c r="F93" s="26">
        <f ca="1"/>
        <v>0.31651600581243089</v>
      </c>
      <c r="G93" s="26">
        <f ca="1"/>
        <v>0.41559946316847929</v>
      </c>
      <c r="H93" s="26">
        <f ca="1"/>
        <v>0.51774476023113991</v>
      </c>
      <c r="I93" s="26">
        <f ca="1"/>
        <v>0.61975021939514563</v>
      </c>
      <c r="J93" s="26">
        <f ca="1"/>
        <v>0.72603256072133115</v>
      </c>
      <c r="K93" s="26">
        <f ca="1"/>
        <v>0.83863021687275774</v>
      </c>
      <c r="L93" s="26">
        <f ca="1"/>
        <v>0.94326871343279617</v>
      </c>
      <c r="M93" s="6"/>
      <c r="N93" s="59" t="s">
        <v>180</v>
      </c>
    </row>
    <row r="94" spans="1:14" x14ac:dyDescent="0.2">
      <c r="A94" t="str">
        <v>AF sea level</v>
      </c>
      <c r="C94" s="26">
        <f ca="1"/>
        <v>0.17506273899929325</v>
      </c>
      <c r="D94" s="26">
        <f ca="1"/>
        <v>0.20364285591605308</v>
      </c>
      <c r="E94" s="26">
        <f ca="1"/>
        <v>0.23575169965416642</v>
      </c>
      <c r="F94" s="26">
        <f ca="1"/>
        <v>0.31651600581243089</v>
      </c>
      <c r="G94" s="26">
        <f ca="1"/>
        <v>0.41559946316847929</v>
      </c>
      <c r="H94" s="26">
        <f ca="1"/>
        <v>0.51774476023113991</v>
      </c>
      <c r="I94" s="26">
        <f ca="1"/>
        <v>0.61975021939514563</v>
      </c>
      <c r="J94" s="26">
        <f ca="1"/>
        <v>0.72603256072133115</v>
      </c>
      <c r="K94" s="26">
        <f ca="1"/>
        <v>0.83863021687275774</v>
      </c>
      <c r="L94" s="26">
        <f ca="1"/>
        <v>0.94326871343279617</v>
      </c>
      <c r="M94" s="6"/>
      <c r="N94" s="59" t="s">
        <v>180</v>
      </c>
    </row>
    <row r="95" spans="1:14" x14ac:dyDescent="0.2">
      <c r="A95" t="str">
        <v>LA sea level</v>
      </c>
      <c r="C95" s="26">
        <f ca="1"/>
        <v>0.17506273899929325</v>
      </c>
      <c r="D95" s="26">
        <f ca="1"/>
        <v>0.20364285591605308</v>
      </c>
      <c r="E95" s="26">
        <f ca="1"/>
        <v>0.23575169965416642</v>
      </c>
      <c r="F95" s="26">
        <f ca="1"/>
        <v>0.31651600581243089</v>
      </c>
      <c r="G95" s="26">
        <f ca="1"/>
        <v>0.41559946316847929</v>
      </c>
      <c r="H95" s="26">
        <f ca="1"/>
        <v>0.51774476023113991</v>
      </c>
      <c r="I95" s="26">
        <f ca="1"/>
        <v>0.61975021939514563</v>
      </c>
      <c r="J95" s="26">
        <f ca="1"/>
        <v>0.72603256072133115</v>
      </c>
      <c r="K95" s="26">
        <f ca="1"/>
        <v>0.83863021687275774</v>
      </c>
      <c r="L95" s="26">
        <f ca="1"/>
        <v>0.94326871343279617</v>
      </c>
      <c r="M95" s="6"/>
      <c r="N95" s="59" t="s">
        <v>180</v>
      </c>
    </row>
    <row r="96" spans="1:14" ht="14.25" x14ac:dyDescent="0.25">
      <c r="A96" s="2" t="s">
        <v>952</v>
      </c>
      <c r="B96" s="2"/>
      <c r="C96" s="2" t="s">
        <v>698</v>
      </c>
      <c r="D96" s="6"/>
      <c r="E96" s="6"/>
      <c r="F96" s="6"/>
      <c r="G96" s="6"/>
      <c r="H96" s="6"/>
      <c r="I96" s="6"/>
      <c r="J96" s="6"/>
      <c r="K96" s="6"/>
      <c r="L96" s="6"/>
      <c r="M96" s="6"/>
      <c r="N96" s="59"/>
    </row>
    <row r="97" spans="1:20" x14ac:dyDescent="0.2">
      <c r="A97" t="str">
        <f t="array" ref="A97:A104">R_CODE&amp;" "&amp;I_1_NAME</f>
        <v>EU Economic</v>
      </c>
      <c r="C97" s="108">
        <f t="array" ref="C97:L104" ca="1" xml:space="preserve"> ((rtl-RTL_0)-atl_1)+RTL_ABS_0</f>
        <v>11.233847076836788</v>
      </c>
      <c r="D97" s="108">
        <f ca="1"/>
        <v>11.453412076836788</v>
      </c>
      <c r="E97" s="108">
        <f ca="1"/>
        <v>11.657666076836787</v>
      </c>
      <c r="F97" s="108">
        <f ca="1"/>
        <v>12.259686076836788</v>
      </c>
      <c r="G97" s="108">
        <f ca="1"/>
        <v>12.716206076836787</v>
      </c>
      <c r="H97" s="108">
        <f ca="1"/>
        <v>12.725696076836787</v>
      </c>
      <c r="I97" s="108">
        <f ca="1"/>
        <v>12.732426076836788</v>
      </c>
      <c r="J97" s="108">
        <f ca="1"/>
        <v>12.616496076836787</v>
      </c>
      <c r="K97" s="108">
        <f ca="1"/>
        <v>12.495506076836786</v>
      </c>
      <c r="L97" s="108">
        <f ca="1"/>
        <v>12.295056076836786</v>
      </c>
      <c r="M97" s="6"/>
      <c r="N97" s="59" t="s">
        <v>41</v>
      </c>
      <c r="O97" s="3" t="s">
        <v>700</v>
      </c>
      <c r="T97" s="124" t="s">
        <v>809</v>
      </c>
    </row>
    <row r="98" spans="1:20" x14ac:dyDescent="0.2">
      <c r="A98" t="str">
        <v>US Economic</v>
      </c>
      <c r="C98" s="108">
        <f ca="1"/>
        <v>14.341756886417576</v>
      </c>
      <c r="D98" s="108">
        <f ca="1"/>
        <v>14.602836886417576</v>
      </c>
      <c r="E98" s="108">
        <f ca="1"/>
        <v>14.822460886417575</v>
      </c>
      <c r="F98" s="108">
        <f ca="1"/>
        <v>15.463623886417576</v>
      </c>
      <c r="G98" s="108">
        <f ca="1"/>
        <v>16.200323886417575</v>
      </c>
      <c r="H98" s="108">
        <f ca="1"/>
        <v>16.434493886417577</v>
      </c>
      <c r="I98" s="108">
        <f ca="1"/>
        <v>16.481793886417577</v>
      </c>
      <c r="J98" s="108">
        <f ca="1"/>
        <v>16.260253886417576</v>
      </c>
      <c r="K98" s="108">
        <f ca="1"/>
        <v>16.039403886417574</v>
      </c>
      <c r="L98" s="108">
        <f ca="1"/>
        <v>15.946533886417576</v>
      </c>
      <c r="M98" s="6"/>
      <c r="N98" s="59" t="s">
        <v>41</v>
      </c>
      <c r="O98" s="3" t="s">
        <v>700</v>
      </c>
      <c r="T98" s="124" t="s">
        <v>944</v>
      </c>
    </row>
    <row r="99" spans="1:20" x14ac:dyDescent="0.2">
      <c r="A99" t="str">
        <v>OT Economic</v>
      </c>
      <c r="C99" s="108">
        <f ca="1"/>
        <v>13.266140117895191</v>
      </c>
      <c r="D99" s="108">
        <f ca="1"/>
        <v>13.464836117895191</v>
      </c>
      <c r="E99" s="108">
        <f ca="1"/>
        <v>13.758278117895191</v>
      </c>
      <c r="F99" s="108">
        <f ca="1"/>
        <v>14.36886811789519</v>
      </c>
      <c r="G99" s="108">
        <f ca="1"/>
        <v>15.062428117895191</v>
      </c>
      <c r="H99" s="108">
        <f ca="1"/>
        <v>15.15187811789519</v>
      </c>
      <c r="I99" s="108">
        <f ca="1"/>
        <v>15.474268117895191</v>
      </c>
      <c r="J99" s="108">
        <f ca="1"/>
        <v>15.114238117895191</v>
      </c>
      <c r="K99" s="108">
        <f ca="1"/>
        <v>14.922938117895191</v>
      </c>
      <c r="L99" s="108">
        <f ca="1"/>
        <v>14.798638117895191</v>
      </c>
      <c r="M99" s="6"/>
      <c r="N99" s="59" t="s">
        <v>41</v>
      </c>
      <c r="O99" s="3" t="s">
        <v>700</v>
      </c>
      <c r="T99" s="124" t="s">
        <v>880</v>
      </c>
    </row>
    <row r="100" spans="1:20" x14ac:dyDescent="0.2">
      <c r="A100" t="str">
        <v>EE Economic</v>
      </c>
      <c r="C100" s="108">
        <f ca="1"/>
        <v>8.4897732917308026</v>
      </c>
      <c r="D100" s="108">
        <f ca="1"/>
        <v>8.8852822917308014</v>
      </c>
      <c r="E100" s="108">
        <f ca="1"/>
        <v>9.0224772917308016</v>
      </c>
      <c r="F100" s="108">
        <f ca="1"/>
        <v>9.8821742917308022</v>
      </c>
      <c r="G100" s="108">
        <f ca="1"/>
        <v>10.605604291730801</v>
      </c>
      <c r="H100" s="108">
        <f ca="1"/>
        <v>10.728294291730801</v>
      </c>
      <c r="I100" s="108">
        <f ca="1"/>
        <v>10.680224291730802</v>
      </c>
      <c r="J100" s="108">
        <f ca="1"/>
        <v>10.574164291730801</v>
      </c>
      <c r="K100" s="108">
        <f ca="1"/>
        <v>10.347114291730803</v>
      </c>
      <c r="L100" s="108">
        <f ca="1"/>
        <v>9.9779542917308017</v>
      </c>
      <c r="M100" s="6"/>
      <c r="N100" s="59" t="s">
        <v>41</v>
      </c>
      <c r="O100" s="3" t="s">
        <v>700</v>
      </c>
      <c r="T100" s="124" t="s">
        <v>879</v>
      </c>
    </row>
    <row r="101" spans="1:20" x14ac:dyDescent="0.2">
      <c r="A101" t="str">
        <v>CA Economic</v>
      </c>
      <c r="C101" s="108">
        <f ca="1"/>
        <v>16.08894701172423</v>
      </c>
      <c r="D101" s="108">
        <f ca="1"/>
        <v>16.376511011724233</v>
      </c>
      <c r="E101" s="108">
        <f ca="1"/>
        <v>16.594292011724232</v>
      </c>
      <c r="F101" s="108">
        <f ca="1"/>
        <v>17.13932001172423</v>
      </c>
      <c r="G101" s="108">
        <f ca="1"/>
        <v>17.930450011724233</v>
      </c>
      <c r="H101" s="108">
        <f ca="1"/>
        <v>17.930950011724232</v>
      </c>
      <c r="I101" s="108">
        <f ca="1"/>
        <v>17.86154001172423</v>
      </c>
      <c r="J101" s="108">
        <f ca="1"/>
        <v>17.795250011724232</v>
      </c>
      <c r="K101" s="108">
        <f ca="1"/>
        <v>17.659210011724234</v>
      </c>
      <c r="L101" s="108">
        <f ca="1"/>
        <v>17.44834001172423</v>
      </c>
      <c r="M101" s="6"/>
      <c r="N101" s="59" t="s">
        <v>41</v>
      </c>
      <c r="O101" s="3" t="s">
        <v>700</v>
      </c>
    </row>
    <row r="102" spans="1:20" x14ac:dyDescent="0.2">
      <c r="A102" t="str">
        <v>IA Economic</v>
      </c>
      <c r="C102" s="108">
        <f ca="1"/>
        <v>25.614980404563457</v>
      </c>
      <c r="D102" s="108">
        <f ca="1"/>
        <v>25.815406404563458</v>
      </c>
      <c r="E102" s="108">
        <f ca="1"/>
        <v>25.990370404563457</v>
      </c>
      <c r="F102" s="108">
        <f ca="1"/>
        <v>26.452298404563457</v>
      </c>
      <c r="G102" s="108">
        <f ca="1"/>
        <v>27.122068404563457</v>
      </c>
      <c r="H102" s="108">
        <f ca="1"/>
        <v>27.165998404563457</v>
      </c>
      <c r="I102" s="108">
        <f ca="1"/>
        <v>27.231168404563455</v>
      </c>
      <c r="J102" s="108">
        <f ca="1"/>
        <v>27.080068404563455</v>
      </c>
      <c r="K102" s="108">
        <f ca="1"/>
        <v>27.013498404563457</v>
      </c>
      <c r="L102" s="108">
        <f ca="1"/>
        <v>26.856788404563456</v>
      </c>
      <c r="M102" s="6"/>
      <c r="N102" s="59" t="s">
        <v>41</v>
      </c>
      <c r="O102" s="3" t="s">
        <v>700</v>
      </c>
    </row>
    <row r="103" spans="1:20" x14ac:dyDescent="0.2">
      <c r="A103" t="str">
        <v>AF Economic</v>
      </c>
      <c r="C103" s="108">
        <f ca="1"/>
        <v>22.506093993872408</v>
      </c>
      <c r="D103" s="108">
        <f ca="1"/>
        <v>22.736590993872408</v>
      </c>
      <c r="E103" s="108">
        <f ca="1"/>
        <v>22.965916993872408</v>
      </c>
      <c r="F103" s="108">
        <f ca="1"/>
        <v>23.430556993872408</v>
      </c>
      <c r="G103" s="108">
        <f ca="1"/>
        <v>24.11434699387241</v>
      </c>
      <c r="H103" s="108">
        <f ca="1"/>
        <v>24.271456993872409</v>
      </c>
      <c r="I103" s="108">
        <f ca="1"/>
        <v>24.26673699387241</v>
      </c>
      <c r="J103" s="108">
        <f ca="1"/>
        <v>24.06995699387241</v>
      </c>
      <c r="K103" s="108">
        <f ca="1"/>
        <v>23.979736993872411</v>
      </c>
      <c r="L103" s="108">
        <f ca="1"/>
        <v>23.80886699387241</v>
      </c>
      <c r="M103" s="6"/>
      <c r="N103" s="59" t="s">
        <v>41</v>
      </c>
      <c r="O103" s="3" t="s">
        <v>700</v>
      </c>
    </row>
    <row r="104" spans="1:20" x14ac:dyDescent="0.2">
      <c r="A104" t="str">
        <v>LA Economic</v>
      </c>
      <c r="C104" s="108">
        <f ca="1"/>
        <v>21.844148374959303</v>
      </c>
      <c r="D104" s="108">
        <f ca="1"/>
        <v>22.053330374959305</v>
      </c>
      <c r="E104" s="108">
        <f ca="1"/>
        <v>22.298861374959305</v>
      </c>
      <c r="F104" s="108">
        <f ca="1"/>
        <v>22.765893374959305</v>
      </c>
      <c r="G104" s="108">
        <f ca="1"/>
        <v>23.365903374959306</v>
      </c>
      <c r="H104" s="108">
        <f ca="1"/>
        <v>23.472923374959304</v>
      </c>
      <c r="I104" s="108">
        <f ca="1"/>
        <v>23.572793374959303</v>
      </c>
      <c r="J104" s="108">
        <f ca="1"/>
        <v>23.324463374959304</v>
      </c>
      <c r="K104" s="108">
        <f ca="1"/>
        <v>23.239303374959306</v>
      </c>
      <c r="L104" s="108">
        <f ca="1"/>
        <v>23.113363374959306</v>
      </c>
      <c r="M104" s="6"/>
      <c r="N104" s="59" t="s">
        <v>41</v>
      </c>
      <c r="O104" s="3" t="s">
        <v>700</v>
      </c>
    </row>
    <row r="105" spans="1:20" s="2" customFormat="1" ht="14.25" x14ac:dyDescent="0.25">
      <c r="A105" s="2" t="s">
        <v>953</v>
      </c>
      <c r="C105" s="2" t="s">
        <v>697</v>
      </c>
    </row>
    <row r="106" spans="1:20" x14ac:dyDescent="0.2">
      <c r="A106" t="str">
        <f t="array" ref="A106:A113">R_CODE&amp;" "&amp;I_1_NAME</f>
        <v>EU Economic</v>
      </c>
      <c r="C106" s="29">
        <f t="array" ref="C106:L113" ca="1">IF((rtl-atl_1)&lt;0,0,rtl-atl_1)</f>
        <v>2.0173709999999998</v>
      </c>
      <c r="D106" s="29">
        <f ca="1"/>
        <v>2.236936</v>
      </c>
      <c r="E106" s="29">
        <f ca="1"/>
        <v>2.4411899999999997</v>
      </c>
      <c r="F106" s="29">
        <f ca="1"/>
        <v>3.0432100000000002</v>
      </c>
      <c r="G106" s="29">
        <f ca="1"/>
        <v>3.49973</v>
      </c>
      <c r="H106" s="29">
        <f ca="1"/>
        <v>3.50922</v>
      </c>
      <c r="I106" s="29">
        <f ca="1"/>
        <v>3.5159500000000001</v>
      </c>
      <c r="J106" s="29">
        <f ca="1"/>
        <v>3.40002</v>
      </c>
      <c r="K106" s="29">
        <f ca="1"/>
        <v>3.2790299999999997</v>
      </c>
      <c r="L106" s="29">
        <f ca="1"/>
        <v>3.0785799999999997</v>
      </c>
      <c r="M106" s="6"/>
      <c r="N106" s="59" t="s">
        <v>41</v>
      </c>
      <c r="O106" s="3" t="s">
        <v>699</v>
      </c>
    </row>
    <row r="107" spans="1:20" x14ac:dyDescent="0.2">
      <c r="A107" t="str">
        <v>US Economic</v>
      </c>
      <c r="C107" s="26">
        <f ca="1"/>
        <v>1.8687830000000001</v>
      </c>
      <c r="D107" s="26">
        <f ca="1"/>
        <v>2.1298629999999998</v>
      </c>
      <c r="E107" s="26">
        <f ca="1"/>
        <v>2.3494869999999999</v>
      </c>
      <c r="F107" s="26">
        <f ca="1"/>
        <v>2.99065</v>
      </c>
      <c r="G107" s="26">
        <f ca="1"/>
        <v>3.7273499999999999</v>
      </c>
      <c r="H107" s="26">
        <f ca="1"/>
        <v>3.9615200000000002</v>
      </c>
      <c r="I107" s="26">
        <f ca="1"/>
        <v>4.0088200000000001</v>
      </c>
      <c r="J107" s="26">
        <f ca="1"/>
        <v>3.78728</v>
      </c>
      <c r="K107" s="26">
        <f ca="1"/>
        <v>3.56643</v>
      </c>
      <c r="L107" s="26">
        <f ca="1"/>
        <v>3.47356</v>
      </c>
      <c r="M107" s="6"/>
      <c r="N107" s="59" t="s">
        <v>41</v>
      </c>
      <c r="O107" s="3" t="s">
        <v>699</v>
      </c>
    </row>
    <row r="108" spans="1:20" x14ac:dyDescent="0.2">
      <c r="A108" t="str">
        <v>OT Economic</v>
      </c>
      <c r="C108" s="26">
        <f ca="1"/>
        <v>2.0728520000000001</v>
      </c>
      <c r="D108" s="26">
        <f ca="1"/>
        <v>2.2715480000000001</v>
      </c>
      <c r="E108" s="26">
        <f ca="1"/>
        <v>2.5649899999999999</v>
      </c>
      <c r="F108" s="26">
        <f ca="1"/>
        <v>3.1755800000000001</v>
      </c>
      <c r="G108" s="26">
        <f ca="1"/>
        <v>3.8691399999999998</v>
      </c>
      <c r="H108" s="26">
        <f ca="1"/>
        <v>3.9585900000000001</v>
      </c>
      <c r="I108" s="26">
        <f ca="1"/>
        <v>4.2809800000000005</v>
      </c>
      <c r="J108" s="26">
        <f ca="1"/>
        <v>3.9209500000000004</v>
      </c>
      <c r="K108" s="26">
        <f ca="1"/>
        <v>3.7296500000000004</v>
      </c>
      <c r="L108" s="26">
        <f ca="1"/>
        <v>3.6053500000000001</v>
      </c>
      <c r="M108" s="6"/>
      <c r="N108" s="59" t="s">
        <v>41</v>
      </c>
      <c r="O108" s="3" t="s">
        <v>699</v>
      </c>
    </row>
    <row r="109" spans="1:20" x14ac:dyDescent="0.2">
      <c r="A109" t="str">
        <v>EE Economic</v>
      </c>
      <c r="C109" s="26">
        <f ca="1"/>
        <v>2.5532890000000004</v>
      </c>
      <c r="D109" s="26">
        <f ca="1"/>
        <v>2.948798</v>
      </c>
      <c r="E109" s="26">
        <f ca="1"/>
        <v>3.0859930000000002</v>
      </c>
      <c r="F109" s="26">
        <f ca="1"/>
        <v>3.9456899999999999</v>
      </c>
      <c r="G109" s="26">
        <f ca="1"/>
        <v>4.6691199999999995</v>
      </c>
      <c r="H109" s="26">
        <f ca="1"/>
        <v>4.7918099999999999</v>
      </c>
      <c r="I109" s="26">
        <f ca="1"/>
        <v>4.7437400000000007</v>
      </c>
      <c r="J109" s="26">
        <f ca="1"/>
        <v>4.6376799999999996</v>
      </c>
      <c r="K109" s="26">
        <f ca="1"/>
        <v>4.4106300000000003</v>
      </c>
      <c r="L109" s="26">
        <f ca="1"/>
        <v>4.0414700000000003</v>
      </c>
      <c r="M109" s="6"/>
      <c r="N109" s="59" t="s">
        <v>41</v>
      </c>
      <c r="O109" s="3" t="s">
        <v>699</v>
      </c>
    </row>
    <row r="110" spans="1:20" x14ac:dyDescent="0.2">
      <c r="A110" t="str">
        <v>CA Economic</v>
      </c>
      <c r="C110" s="26">
        <f ca="1"/>
        <v>1.9103969999999999</v>
      </c>
      <c r="D110" s="26">
        <f ca="1"/>
        <v>2.1979609999999998</v>
      </c>
      <c r="E110" s="26">
        <f ca="1"/>
        <v>2.4157419999999998</v>
      </c>
      <c r="F110" s="26">
        <f ca="1"/>
        <v>2.9607700000000001</v>
      </c>
      <c r="G110" s="26">
        <f ca="1"/>
        <v>3.7519</v>
      </c>
      <c r="H110" s="26">
        <f ca="1"/>
        <v>3.7524000000000002</v>
      </c>
      <c r="I110" s="26">
        <f ca="1"/>
        <v>3.6829900000000002</v>
      </c>
      <c r="J110" s="26">
        <f ca="1"/>
        <v>3.6166999999999998</v>
      </c>
      <c r="K110" s="26">
        <f ca="1"/>
        <v>3.4806600000000003</v>
      </c>
      <c r="L110" s="26">
        <f ca="1"/>
        <v>3.26979</v>
      </c>
      <c r="M110" s="6"/>
      <c r="N110" s="59" t="s">
        <v>41</v>
      </c>
      <c r="O110" s="3" t="s">
        <v>699</v>
      </c>
    </row>
    <row r="111" spans="1:20" x14ac:dyDescent="0.2">
      <c r="A111" t="str">
        <v>IA Economic</v>
      </c>
      <c r="C111" s="26">
        <f ca="1"/>
        <v>1.385302</v>
      </c>
      <c r="D111" s="26">
        <f ca="1"/>
        <v>1.585728</v>
      </c>
      <c r="E111" s="26">
        <f ca="1"/>
        <v>1.7606919999999999</v>
      </c>
      <c r="F111" s="26">
        <f ca="1"/>
        <v>2.22262</v>
      </c>
      <c r="G111" s="26">
        <f ca="1"/>
        <v>2.8923899999999998</v>
      </c>
      <c r="H111" s="26">
        <f ca="1"/>
        <v>2.9363200000000003</v>
      </c>
      <c r="I111" s="26">
        <f ca="1"/>
        <v>3.00149</v>
      </c>
      <c r="J111" s="26">
        <f ca="1"/>
        <v>2.85039</v>
      </c>
      <c r="K111" s="26">
        <f ca="1"/>
        <v>2.78382</v>
      </c>
      <c r="L111" s="26">
        <f ca="1"/>
        <v>2.6271100000000001</v>
      </c>
      <c r="M111" s="6"/>
      <c r="N111" s="59" t="s">
        <v>41</v>
      </c>
      <c r="O111" s="3" t="s">
        <v>699</v>
      </c>
    </row>
    <row r="112" spans="1:20" x14ac:dyDescent="0.2">
      <c r="A112" t="str">
        <v>AF Economic</v>
      </c>
      <c r="C112" s="26">
        <f ca="1"/>
        <v>1.476777</v>
      </c>
      <c r="D112" s="26">
        <f ca="1"/>
        <v>1.707274</v>
      </c>
      <c r="E112" s="26">
        <f ca="1"/>
        <v>1.9365999999999999</v>
      </c>
      <c r="F112" s="26">
        <f ca="1"/>
        <v>2.40124</v>
      </c>
      <c r="G112" s="26">
        <f ca="1"/>
        <v>3.0850299999999997</v>
      </c>
      <c r="H112" s="26">
        <f ca="1"/>
        <v>3.24214</v>
      </c>
      <c r="I112" s="26">
        <f ca="1"/>
        <v>3.2374200000000002</v>
      </c>
      <c r="J112" s="26">
        <f ca="1"/>
        <v>3.0406399999999998</v>
      </c>
      <c r="K112" s="26">
        <f ca="1"/>
        <v>2.9504200000000003</v>
      </c>
      <c r="L112" s="26">
        <f ca="1"/>
        <v>2.77955</v>
      </c>
      <c r="M112" s="6"/>
      <c r="N112" s="59" t="s">
        <v>41</v>
      </c>
      <c r="O112" s="3" t="s">
        <v>699</v>
      </c>
    </row>
    <row r="113" spans="1:15" x14ac:dyDescent="0.2">
      <c r="A113" t="str">
        <v>LA Economic</v>
      </c>
      <c r="C113" s="26">
        <f ca="1"/>
        <v>1.4654449999999999</v>
      </c>
      <c r="D113" s="26">
        <f ca="1"/>
        <v>1.6746270000000001</v>
      </c>
      <c r="E113" s="26">
        <f ca="1"/>
        <v>1.9201579999999998</v>
      </c>
      <c r="F113" s="26">
        <f ca="1"/>
        <v>2.3871899999999999</v>
      </c>
      <c r="G113" s="26">
        <f ca="1"/>
        <v>2.9871999999999996</v>
      </c>
      <c r="H113" s="26">
        <f ca="1"/>
        <v>3.09422</v>
      </c>
      <c r="I113" s="26">
        <f ca="1"/>
        <v>3.1940900000000001</v>
      </c>
      <c r="J113" s="26">
        <f ca="1"/>
        <v>2.9457599999999999</v>
      </c>
      <c r="K113" s="26">
        <f ca="1"/>
        <v>2.8605999999999998</v>
      </c>
      <c r="L113" s="26">
        <f ca="1"/>
        <v>2.7346599999999999</v>
      </c>
      <c r="M113" s="6"/>
      <c r="N113" s="59" t="s">
        <v>41</v>
      </c>
      <c r="O113" s="3" t="s">
        <v>699</v>
      </c>
    </row>
    <row r="114" spans="1:15" s="2" customFormat="1" ht="14.25" x14ac:dyDescent="0.25">
      <c r="A114" s="2" t="s">
        <v>954</v>
      </c>
      <c r="C114" s="2" t="s">
        <v>80</v>
      </c>
    </row>
    <row r="115" spans="1:15" x14ac:dyDescent="0.2">
      <c r="A115" t="str">
        <f t="array" ref="A115:A122">R_CODE&amp;" "&amp;I_2_NAME</f>
        <v>EU Non-econ</v>
      </c>
      <c r="C115" s="29">
        <f t="array" ref="C115:L122" ca="1">IF((rtl-atl_2)&lt;0,0,rtl-atl_2)</f>
        <v>2.0173709999999998</v>
      </c>
      <c r="D115" s="29">
        <f ca="1"/>
        <v>2.236936</v>
      </c>
      <c r="E115" s="29">
        <f ca="1"/>
        <v>2.4411899999999997</v>
      </c>
      <c r="F115" s="29">
        <f ca="1"/>
        <v>3.0432100000000002</v>
      </c>
      <c r="G115" s="29">
        <f ca="1"/>
        <v>3.49973</v>
      </c>
      <c r="H115" s="29">
        <f ca="1"/>
        <v>3.50922</v>
      </c>
      <c r="I115" s="29">
        <f ca="1"/>
        <v>3.5159500000000001</v>
      </c>
      <c r="J115" s="29">
        <f ca="1"/>
        <v>3.40002</v>
      </c>
      <c r="K115" s="29">
        <f ca="1"/>
        <v>3.2790299999999997</v>
      </c>
      <c r="L115" s="29">
        <f ca="1"/>
        <v>3.0785799999999997</v>
      </c>
      <c r="M115" s="6"/>
      <c r="N115" s="59" t="s">
        <v>41</v>
      </c>
    </row>
    <row r="116" spans="1:15" x14ac:dyDescent="0.2">
      <c r="A116" t="str">
        <v>US Non-econ</v>
      </c>
      <c r="C116" s="26">
        <f ca="1"/>
        <v>1.8687830000000001</v>
      </c>
      <c r="D116" s="26">
        <f ca="1"/>
        <v>2.1298629999999998</v>
      </c>
      <c r="E116" s="26">
        <f ca="1"/>
        <v>2.3494869999999999</v>
      </c>
      <c r="F116" s="26">
        <f ca="1"/>
        <v>2.99065</v>
      </c>
      <c r="G116" s="26">
        <f ca="1"/>
        <v>3.7273499999999999</v>
      </c>
      <c r="H116" s="26">
        <f ca="1"/>
        <v>3.9615200000000002</v>
      </c>
      <c r="I116" s="26">
        <f ca="1"/>
        <v>4.0088200000000001</v>
      </c>
      <c r="J116" s="26">
        <f ca="1"/>
        <v>3.78728</v>
      </c>
      <c r="K116" s="26">
        <f ca="1"/>
        <v>3.56643</v>
      </c>
      <c r="L116" s="26">
        <f ca="1"/>
        <v>3.47356</v>
      </c>
      <c r="M116" s="6"/>
      <c r="N116" s="59" t="s">
        <v>41</v>
      </c>
    </row>
    <row r="117" spans="1:15" x14ac:dyDescent="0.2">
      <c r="A117" t="str">
        <v>OT Non-econ</v>
      </c>
      <c r="C117" s="26">
        <f ca="1"/>
        <v>2.0728520000000001</v>
      </c>
      <c r="D117" s="26">
        <f ca="1"/>
        <v>2.2715480000000001</v>
      </c>
      <c r="E117" s="26">
        <f ca="1"/>
        <v>2.5649899999999999</v>
      </c>
      <c r="F117" s="26">
        <f ca="1"/>
        <v>3.1755800000000001</v>
      </c>
      <c r="G117" s="26">
        <f ca="1"/>
        <v>3.8691399999999998</v>
      </c>
      <c r="H117" s="26">
        <f ca="1"/>
        <v>3.9585900000000001</v>
      </c>
      <c r="I117" s="26">
        <f ca="1"/>
        <v>4.2809800000000005</v>
      </c>
      <c r="J117" s="26">
        <f ca="1"/>
        <v>3.9209500000000004</v>
      </c>
      <c r="K117" s="26">
        <f ca="1"/>
        <v>3.7296500000000004</v>
      </c>
      <c r="L117" s="26">
        <f ca="1"/>
        <v>3.6053500000000001</v>
      </c>
      <c r="M117" s="6"/>
      <c r="N117" s="59" t="s">
        <v>41</v>
      </c>
    </row>
    <row r="118" spans="1:15" x14ac:dyDescent="0.2">
      <c r="A118" t="str">
        <v>EE Non-econ</v>
      </c>
      <c r="C118" s="26">
        <f ca="1"/>
        <v>2.5532890000000004</v>
      </c>
      <c r="D118" s="26">
        <f ca="1"/>
        <v>2.948798</v>
      </c>
      <c r="E118" s="26">
        <f ca="1"/>
        <v>3.0859930000000002</v>
      </c>
      <c r="F118" s="26">
        <f ca="1"/>
        <v>3.9456899999999999</v>
      </c>
      <c r="G118" s="26">
        <f ca="1"/>
        <v>4.6691199999999995</v>
      </c>
      <c r="H118" s="26">
        <f ca="1"/>
        <v>4.7918099999999999</v>
      </c>
      <c r="I118" s="26">
        <f ca="1"/>
        <v>4.7437400000000007</v>
      </c>
      <c r="J118" s="26">
        <f ca="1"/>
        <v>4.6376799999999996</v>
      </c>
      <c r="K118" s="26">
        <f ca="1"/>
        <v>4.4106300000000003</v>
      </c>
      <c r="L118" s="26">
        <f ca="1"/>
        <v>4.0414700000000003</v>
      </c>
      <c r="M118" s="6"/>
      <c r="N118" s="59" t="s">
        <v>41</v>
      </c>
    </row>
    <row r="119" spans="1:15" x14ac:dyDescent="0.2">
      <c r="A119" t="str">
        <v>CA Non-econ</v>
      </c>
      <c r="C119" s="26">
        <f ca="1"/>
        <v>1.9103969999999999</v>
      </c>
      <c r="D119" s="26">
        <f ca="1"/>
        <v>2.1979609999999998</v>
      </c>
      <c r="E119" s="26">
        <f ca="1"/>
        <v>2.4157419999999998</v>
      </c>
      <c r="F119" s="26">
        <f ca="1"/>
        <v>2.9607700000000001</v>
      </c>
      <c r="G119" s="26">
        <f ca="1"/>
        <v>3.7519</v>
      </c>
      <c r="H119" s="26">
        <f ca="1"/>
        <v>3.7524000000000002</v>
      </c>
      <c r="I119" s="26">
        <f ca="1"/>
        <v>3.6829900000000002</v>
      </c>
      <c r="J119" s="26">
        <f ca="1"/>
        <v>3.6166999999999998</v>
      </c>
      <c r="K119" s="26">
        <f ca="1"/>
        <v>3.4806600000000003</v>
      </c>
      <c r="L119" s="26">
        <f ca="1"/>
        <v>3.26979</v>
      </c>
      <c r="M119" s="6"/>
      <c r="N119" s="59" t="s">
        <v>41</v>
      </c>
    </row>
    <row r="120" spans="1:15" x14ac:dyDescent="0.2">
      <c r="A120" t="str">
        <v>IA Non-econ</v>
      </c>
      <c r="C120" s="26">
        <f ca="1"/>
        <v>1.385302</v>
      </c>
      <c r="D120" s="26">
        <f ca="1"/>
        <v>1.585728</v>
      </c>
      <c r="E120" s="26">
        <f ca="1"/>
        <v>1.7606919999999999</v>
      </c>
      <c r="F120" s="26">
        <f ca="1"/>
        <v>2.22262</v>
      </c>
      <c r="G120" s="26">
        <f ca="1"/>
        <v>2.8923899999999998</v>
      </c>
      <c r="H120" s="26">
        <f ca="1"/>
        <v>2.9363200000000003</v>
      </c>
      <c r="I120" s="26">
        <f ca="1"/>
        <v>3.00149</v>
      </c>
      <c r="J120" s="26">
        <f ca="1"/>
        <v>2.85039</v>
      </c>
      <c r="K120" s="26">
        <f ca="1"/>
        <v>2.78382</v>
      </c>
      <c r="L120" s="26">
        <f ca="1"/>
        <v>2.6271100000000001</v>
      </c>
      <c r="M120" s="6"/>
      <c r="N120" s="59" t="s">
        <v>41</v>
      </c>
    </row>
    <row r="121" spans="1:15" x14ac:dyDescent="0.2">
      <c r="A121" t="str">
        <v>AF Non-econ</v>
      </c>
      <c r="C121" s="26">
        <f ca="1"/>
        <v>1.476777</v>
      </c>
      <c r="D121" s="26">
        <f ca="1"/>
        <v>1.707274</v>
      </c>
      <c r="E121" s="26">
        <f ca="1"/>
        <v>1.9365999999999999</v>
      </c>
      <c r="F121" s="26">
        <f ca="1"/>
        <v>2.40124</v>
      </c>
      <c r="G121" s="26">
        <f ca="1"/>
        <v>3.0850299999999997</v>
      </c>
      <c r="H121" s="26">
        <f ca="1"/>
        <v>3.24214</v>
      </c>
      <c r="I121" s="26">
        <f ca="1"/>
        <v>3.2374200000000002</v>
      </c>
      <c r="J121" s="26">
        <f ca="1"/>
        <v>3.0406399999999998</v>
      </c>
      <c r="K121" s="26">
        <f ca="1"/>
        <v>2.9504200000000003</v>
      </c>
      <c r="L121" s="26">
        <f ca="1"/>
        <v>2.77955</v>
      </c>
      <c r="M121" s="6"/>
      <c r="N121" s="59" t="s">
        <v>41</v>
      </c>
    </row>
    <row r="122" spans="1:15" x14ac:dyDescent="0.2">
      <c r="A122" t="str">
        <v>LA Non-econ</v>
      </c>
      <c r="C122" s="26">
        <f ca="1"/>
        <v>1.4654449999999999</v>
      </c>
      <c r="D122" s="26">
        <f ca="1"/>
        <v>1.6746270000000001</v>
      </c>
      <c r="E122" s="26">
        <f ca="1"/>
        <v>1.9201579999999998</v>
      </c>
      <c r="F122" s="26">
        <f ca="1"/>
        <v>2.3871899999999999</v>
      </c>
      <c r="G122" s="26">
        <f ca="1"/>
        <v>2.9871999999999996</v>
      </c>
      <c r="H122" s="26">
        <f ca="1"/>
        <v>3.09422</v>
      </c>
      <c r="I122" s="26">
        <f ca="1"/>
        <v>3.1940900000000001</v>
      </c>
      <c r="J122" s="26">
        <f ca="1"/>
        <v>2.9457599999999999</v>
      </c>
      <c r="K122" s="26">
        <f ca="1"/>
        <v>2.8605999999999998</v>
      </c>
      <c r="L122" s="26">
        <f ca="1"/>
        <v>2.7346599999999999</v>
      </c>
      <c r="M122" s="6"/>
      <c r="N122" s="59" t="s">
        <v>41</v>
      </c>
    </row>
    <row r="123" spans="1:15" s="2" customFormat="1" ht="14.25" x14ac:dyDescent="0.25">
      <c r="A123" s="2" t="s">
        <v>955</v>
      </c>
      <c r="C123" s="2" t="s">
        <v>133</v>
      </c>
    </row>
    <row r="124" spans="1:15" x14ac:dyDescent="0.2">
      <c r="A124" t="s">
        <v>134</v>
      </c>
      <c r="C124" s="26">
        <f t="array" ref="C124:L124" ca="1">rt_g-TDIS</f>
        <v>-0.24610599999999971</v>
      </c>
      <c r="D124" s="26">
        <f ca="1"/>
        <v>-6.6278999999999755E-2</v>
      </c>
      <c r="E124" s="26">
        <f ca="1"/>
        <v>0.11608600000000013</v>
      </c>
      <c r="F124" s="26">
        <f ca="1"/>
        <v>0.52877000000000018</v>
      </c>
      <c r="G124" s="26">
        <f ca="1"/>
        <v>1.0040100000000001</v>
      </c>
      <c r="H124" s="26">
        <f ca="1"/>
        <v>1.1456300000000006</v>
      </c>
      <c r="I124" s="26">
        <f ca="1"/>
        <v>1.2167900000000005</v>
      </c>
      <c r="J124" s="26">
        <f ca="1"/>
        <v>1.0867200000000006</v>
      </c>
      <c r="K124" s="26">
        <f ca="1"/>
        <v>0.99741000000000035</v>
      </c>
      <c r="L124" s="26">
        <f ca="1"/>
        <v>0.8828200000000006</v>
      </c>
      <c r="M124" s="6"/>
      <c r="N124" s="1" t="s">
        <v>41</v>
      </c>
    </row>
    <row r="125" spans="1:15" x14ac:dyDescent="0.2">
      <c r="A125" t="s">
        <v>135</v>
      </c>
      <c r="C125" s="26">
        <f t="array" ref="C125:L125" ca="1">i_dis*PDIS/100</f>
        <v>-4.9221199999999944E-2</v>
      </c>
      <c r="D125" s="26">
        <f ca="1"/>
        <v>-1.3255799999999951E-2</v>
      </c>
      <c r="E125" s="26">
        <f ca="1"/>
        <v>2.3217200000000028E-2</v>
      </c>
      <c r="F125" s="26">
        <f ca="1"/>
        <v>0.10575400000000004</v>
      </c>
      <c r="G125" s="26">
        <f ca="1"/>
        <v>0.20080200000000001</v>
      </c>
      <c r="H125" s="26">
        <f ca="1"/>
        <v>0.22912600000000011</v>
      </c>
      <c r="I125" s="26">
        <f ca="1"/>
        <v>0.2433580000000001</v>
      </c>
      <c r="J125" s="26">
        <f ca="1"/>
        <v>0.21734400000000012</v>
      </c>
      <c r="K125" s="26">
        <f ca="1"/>
        <v>0.19948200000000008</v>
      </c>
      <c r="L125" s="26">
        <f ca="1"/>
        <v>0.17656400000000011</v>
      </c>
      <c r="M125" s="6"/>
      <c r="N125" s="1"/>
    </row>
    <row r="126" spans="1:15" x14ac:dyDescent="0.2">
      <c r="A126" s="3" t="s">
        <v>248</v>
      </c>
      <c r="C126" s="26">
        <f t="array" aca="1" ref="C126:L126" ca="1">EXP(-YP/DISTAU)</f>
        <v>0.77880078307140488</v>
      </c>
      <c r="D126" s="26">
        <f ca="1"/>
        <v>0.77880078307140488</v>
      </c>
      <c r="E126" s="26">
        <f ca="1"/>
        <v>0.77880078307140488</v>
      </c>
      <c r="F126" s="26">
        <f ca="1"/>
        <v>0.60653065971263342</v>
      </c>
      <c r="G126" s="26">
        <f ca="1"/>
        <v>0.60653065971263342</v>
      </c>
      <c r="H126" s="26">
        <f ca="1"/>
        <v>0.60653065971263342</v>
      </c>
      <c r="I126" s="26">
        <f ca="1"/>
        <v>0.60653065971263342</v>
      </c>
      <c r="J126" s="26">
        <f ca="1"/>
        <v>0.60653065971263342</v>
      </c>
      <c r="K126" s="26">
        <f ca="1"/>
        <v>0.60653065971263342</v>
      </c>
      <c r="L126" s="26">
        <f ca="1"/>
        <v>0.60653065971263342</v>
      </c>
      <c r="M126" s="6"/>
      <c r="N126" s="1"/>
      <c r="O126">
        <f ca="1">_xll.RiskOutput()+EXPFDIS_1</f>
        <v>0.77880078307140488</v>
      </c>
    </row>
    <row r="127" spans="1:15" x14ac:dyDescent="0.2">
      <c r="A127" t="s">
        <v>203</v>
      </c>
      <c r="B127" s="14">
        <v>0</v>
      </c>
      <c r="C127" s="14">
        <f t="shared" ref="C127:L127" ca="1" si="0">IF(C125&lt;RAND_DIS,B127,1)</f>
        <v>0</v>
      </c>
      <c r="D127" s="14">
        <f t="shared" ca="1" si="0"/>
        <v>0</v>
      </c>
      <c r="E127" s="14">
        <f t="shared" ca="1" si="0"/>
        <v>0</v>
      </c>
      <c r="F127" s="14">
        <f t="shared" ca="1" si="0"/>
        <v>0</v>
      </c>
      <c r="G127" s="14">
        <f t="shared" ca="1" si="0"/>
        <v>0</v>
      </c>
      <c r="H127" s="14">
        <f t="shared" ca="1" si="0"/>
        <v>0</v>
      </c>
      <c r="I127" s="14">
        <f t="shared" ca="1" si="0"/>
        <v>0</v>
      </c>
      <c r="J127" s="14">
        <f t="shared" ca="1" si="0"/>
        <v>0</v>
      </c>
      <c r="K127" s="14">
        <f t="shared" ca="1" si="0"/>
        <v>0</v>
      </c>
      <c r="L127" s="14">
        <f t="shared" ca="1" si="0"/>
        <v>0</v>
      </c>
      <c r="M127" s="6"/>
      <c r="N127" s="1"/>
    </row>
    <row r="128" spans="1:15" s="1" customFormat="1" x14ac:dyDescent="0.2"/>
    <row r="129" spans="1:16" s="1" customFormat="1" x14ac:dyDescent="0.2">
      <c r="A129" s="44" t="s">
        <v>403</v>
      </c>
      <c r="B129" s="6"/>
      <c r="C129" s="6"/>
      <c r="D129" s="6"/>
      <c r="E129" s="6"/>
      <c r="F129" s="6"/>
      <c r="G129" s="6"/>
      <c r="H129" s="6"/>
      <c r="I129" s="6"/>
      <c r="J129" s="6"/>
      <c r="K129" s="6"/>
      <c r="L129" s="6"/>
    </row>
    <row r="130" spans="1:16" s="1" customFormat="1" x14ac:dyDescent="0.2">
      <c r="A130" s="1" t="str">
        <f t="array" ref="A130:A137">R_CODE</f>
        <v>EU</v>
      </c>
      <c r="B130" s="6"/>
      <c r="C130" s="108">
        <f t="array" aca="1" ref="C130:L137" ca="1">IF(CONS_PER_CAP-(tct_per_cap+act_per_cap) &lt; 0.01*CONS_PER_CAP_FOCUS_0,  0.01*CONS_PER_CAP_FOCUS_0, CONS_PER_CAP-(tct_per_cap+act_per_cap))</f>
        <v>33890.538842107861</v>
      </c>
      <c r="D130" s="108">
        <f ca="1"/>
        <v>37899.569911239356</v>
      </c>
      <c r="E130" s="108">
        <f ca="1"/>
        <v>42447.730018350157</v>
      </c>
      <c r="F130" s="108">
        <f ca="1"/>
        <v>52857.463727571958</v>
      </c>
      <c r="G130" s="108">
        <f ca="1"/>
        <v>63979.131571952974</v>
      </c>
      <c r="H130" s="108">
        <f ca="1"/>
        <v>76120.302215305506</v>
      </c>
      <c r="I130" s="108">
        <f ca="1"/>
        <v>91243.203842507923</v>
      </c>
      <c r="J130" s="108">
        <f ca="1"/>
        <v>109032.80376151236</v>
      </c>
      <c r="K130" s="108">
        <f ca="1"/>
        <v>130224.53445645511</v>
      </c>
      <c r="L130" s="108">
        <f ca="1"/>
        <v>155947.6416765227</v>
      </c>
      <c r="N130" s="1" t="str">
        <f t="shared" ref="N130:N137" si="1">CURRENCY_NAME&amp;"/"&amp;POP_UNIT_NAME</f>
        <v>$M(2015)/million</v>
      </c>
      <c r="P130" s="240" t="s">
        <v>871</v>
      </c>
    </row>
    <row r="131" spans="1:16" s="1" customFormat="1" x14ac:dyDescent="0.2">
      <c r="A131" s="1" t="str">
        <v>US</v>
      </c>
      <c r="B131" s="6"/>
      <c r="C131" s="108">
        <f ca="1"/>
        <v>48117.551891488321</v>
      </c>
      <c r="D131" s="108">
        <f ca="1"/>
        <v>52235.168499865344</v>
      </c>
      <c r="E131" s="108">
        <f ca="1"/>
        <v>56726.494329794899</v>
      </c>
      <c r="F131" s="108">
        <f ca="1"/>
        <v>66937.210669677166</v>
      </c>
      <c r="G131" s="108">
        <f ca="1"/>
        <v>77590.806737135805</v>
      </c>
      <c r="H131" s="108">
        <f ca="1"/>
        <v>88141.403469980301</v>
      </c>
      <c r="I131" s="108">
        <f ca="1"/>
        <v>101583.87353596961</v>
      </c>
      <c r="J131" s="108">
        <f ca="1"/>
        <v>118267.73982020792</v>
      </c>
      <c r="K131" s="108">
        <f ca="1"/>
        <v>138369.52239578072</v>
      </c>
      <c r="L131" s="108">
        <f ca="1"/>
        <v>162646.94854226013</v>
      </c>
      <c r="N131" s="1" t="str">
        <f t="shared" si="1"/>
        <v>$M(2015)/million</v>
      </c>
    </row>
    <row r="132" spans="1:16" s="1" customFormat="1" x14ac:dyDescent="0.2">
      <c r="A132" s="1" t="str">
        <v>OT</v>
      </c>
      <c r="B132" s="6"/>
      <c r="C132" s="108">
        <f ca="1"/>
        <v>31256.389943738261</v>
      </c>
      <c r="D132" s="108">
        <f ca="1"/>
        <v>34723.993651625518</v>
      </c>
      <c r="E132" s="108">
        <f ca="1"/>
        <v>38870.891815497176</v>
      </c>
      <c r="F132" s="108">
        <f ca="1"/>
        <v>48649.493122032516</v>
      </c>
      <c r="G132" s="108">
        <f ca="1"/>
        <v>59673.528866383742</v>
      </c>
      <c r="H132" s="108">
        <f ca="1"/>
        <v>71694.0938538583</v>
      </c>
      <c r="I132" s="108">
        <f ca="1"/>
        <v>86750.097197801821</v>
      </c>
      <c r="J132" s="108">
        <f ca="1"/>
        <v>104780.42136620724</v>
      </c>
      <c r="K132" s="108">
        <f ca="1"/>
        <v>126154.29357722147</v>
      </c>
      <c r="L132" s="108">
        <f ca="1"/>
        <v>151885.82454741266</v>
      </c>
      <c r="N132" s="1" t="str">
        <f t="shared" si="1"/>
        <v>$M(2015)/million</v>
      </c>
    </row>
    <row r="133" spans="1:16" s="1" customFormat="1" x14ac:dyDescent="0.2">
      <c r="A133" s="1" t="str">
        <v>EE</v>
      </c>
      <c r="B133" s="6"/>
      <c r="C133" s="108">
        <f ca="1"/>
        <v>15838.345739181173</v>
      </c>
      <c r="D133" s="108">
        <f ca="1"/>
        <v>19406.682632108324</v>
      </c>
      <c r="E133" s="108">
        <f ca="1"/>
        <v>23668.952578422544</v>
      </c>
      <c r="F133" s="108">
        <f ca="1"/>
        <v>33023.272821509025</v>
      </c>
      <c r="G133" s="108">
        <f ca="1"/>
        <v>41923.906854838133</v>
      </c>
      <c r="H133" s="108">
        <f ca="1"/>
        <v>51059.448062896314</v>
      </c>
      <c r="I133" s="108">
        <f ca="1"/>
        <v>63566.464278157378</v>
      </c>
      <c r="J133" s="108">
        <f ca="1"/>
        <v>77909.155990969579</v>
      </c>
      <c r="K133" s="108">
        <f ca="1"/>
        <v>96107.52908203371</v>
      </c>
      <c r="L133" s="108">
        <f ca="1"/>
        <v>118410.2692427256</v>
      </c>
      <c r="N133" s="1" t="str">
        <f t="shared" si="1"/>
        <v>$M(2015)/million</v>
      </c>
    </row>
    <row r="134" spans="1:16" s="1" customFormat="1" x14ac:dyDescent="0.2">
      <c r="A134" s="1" t="str">
        <v>CA</v>
      </c>
      <c r="B134" s="6"/>
      <c r="C134" s="108">
        <f ca="1"/>
        <v>16678.660518231591</v>
      </c>
      <c r="D134" s="108">
        <f ca="1"/>
        <v>22895.756125169104</v>
      </c>
      <c r="E134" s="108">
        <f ca="1"/>
        <v>29938.430265308049</v>
      </c>
      <c r="F134" s="108">
        <f ca="1"/>
        <v>44491.226553653127</v>
      </c>
      <c r="G134" s="108">
        <f ca="1"/>
        <v>58688.412015770969</v>
      </c>
      <c r="H134" s="108">
        <f ca="1"/>
        <v>71625.95843336088</v>
      </c>
      <c r="I134" s="108">
        <f ca="1"/>
        <v>85694.250792589562</v>
      </c>
      <c r="J134" s="108">
        <f ca="1"/>
        <v>101174.18316843752</v>
      </c>
      <c r="K134" s="108">
        <f ca="1"/>
        <v>119535.44151726204</v>
      </c>
      <c r="L134" s="108">
        <f ca="1"/>
        <v>141117.26455957367</v>
      </c>
      <c r="N134" s="1" t="str">
        <f t="shared" si="1"/>
        <v>$M(2015)/million</v>
      </c>
    </row>
    <row r="135" spans="1:16" s="1" customFormat="1" x14ac:dyDescent="0.2">
      <c r="A135" s="1" t="str">
        <v>IA</v>
      </c>
      <c r="B135" s="6"/>
      <c r="C135" s="108">
        <f ca="1"/>
        <v>6855.3090450045929</v>
      </c>
      <c r="D135" s="108">
        <f ca="1"/>
        <v>9101.7485148019241</v>
      </c>
      <c r="E135" s="108">
        <f ca="1"/>
        <v>11909.929260009483</v>
      </c>
      <c r="F135" s="108">
        <f ca="1"/>
        <v>19069.948848913777</v>
      </c>
      <c r="G135" s="108">
        <f ca="1"/>
        <v>28069.264319773763</v>
      </c>
      <c r="H135" s="108">
        <f ca="1"/>
        <v>38677.423992226992</v>
      </c>
      <c r="I135" s="108">
        <f ca="1"/>
        <v>51586.535130945624</v>
      </c>
      <c r="J135" s="108">
        <f ca="1"/>
        <v>67332.852798391745</v>
      </c>
      <c r="K135" s="108">
        <f ca="1"/>
        <v>87118.54942970819</v>
      </c>
      <c r="L135" s="108">
        <f ca="1"/>
        <v>111426.42548974838</v>
      </c>
      <c r="N135" s="1" t="str">
        <f t="shared" si="1"/>
        <v>$M(2015)/million</v>
      </c>
    </row>
    <row r="136" spans="1:16" s="1" customFormat="1" x14ac:dyDescent="0.2">
      <c r="A136" s="1" t="str">
        <v>AF</v>
      </c>
      <c r="B136" s="6"/>
      <c r="C136" s="108">
        <f ca="1"/>
        <v>5348.6576903719479</v>
      </c>
      <c r="D136" s="108">
        <f ca="1"/>
        <v>6455.6373089283052</v>
      </c>
      <c r="E136" s="108">
        <f ca="1"/>
        <v>7964.2038693563463</v>
      </c>
      <c r="F136" s="108">
        <f ca="1"/>
        <v>12231.091736896999</v>
      </c>
      <c r="G136" s="108">
        <f ca="1"/>
        <v>18153.994307305216</v>
      </c>
      <c r="H136" s="108">
        <f ca="1"/>
        <v>25589.533968436488</v>
      </c>
      <c r="I136" s="108">
        <f ca="1"/>
        <v>36177.310590134373</v>
      </c>
      <c r="J136" s="108">
        <f ca="1"/>
        <v>50244.787647505422</v>
      </c>
      <c r="K136" s="108">
        <f ca="1"/>
        <v>69058.303026839014</v>
      </c>
      <c r="L136" s="108">
        <f ca="1"/>
        <v>93663.437331172623</v>
      </c>
      <c r="N136" s="1" t="str">
        <f t="shared" si="1"/>
        <v>$M(2015)/million</v>
      </c>
      <c r="O136" s="6"/>
    </row>
    <row r="137" spans="1:16" s="1" customFormat="1" x14ac:dyDescent="0.2">
      <c r="A137" s="1" t="str">
        <v>LA</v>
      </c>
      <c r="B137" s="6"/>
      <c r="C137" s="108">
        <f ca="1"/>
        <v>12854.1530987063</v>
      </c>
      <c r="D137" s="108">
        <f ca="1"/>
        <v>15154.274413223986</v>
      </c>
      <c r="E137" s="108">
        <f ca="1"/>
        <v>18042.045409760998</v>
      </c>
      <c r="F137" s="108">
        <f ca="1"/>
        <v>25903.608773872285</v>
      </c>
      <c r="G137" s="108">
        <f ca="1"/>
        <v>36200.290541381626</v>
      </c>
      <c r="H137" s="108">
        <f ca="1"/>
        <v>47902.854576765778</v>
      </c>
      <c r="I137" s="108">
        <f ca="1"/>
        <v>61472.426796677159</v>
      </c>
      <c r="J137" s="108">
        <f ca="1"/>
        <v>77881.129652626012</v>
      </c>
      <c r="K137" s="108">
        <f ca="1"/>
        <v>98449.868096432154</v>
      </c>
      <c r="L137" s="108">
        <f ca="1"/>
        <v>123654.44356553369</v>
      </c>
      <c r="N137" s="1" t="str">
        <f t="shared" si="1"/>
        <v>$M(2015)/million</v>
      </c>
    </row>
    <row r="138" spans="1:16" s="1" customFormat="1" x14ac:dyDescent="0.2">
      <c r="A138" s="44" t="s">
        <v>404</v>
      </c>
      <c r="B138" s="6"/>
      <c r="C138" s="6"/>
      <c r="D138" s="6"/>
      <c r="E138" s="6"/>
      <c r="F138" s="6"/>
      <c r="G138" s="6"/>
      <c r="H138" s="6"/>
      <c r="I138" s="6"/>
      <c r="J138" s="6"/>
      <c r="K138" s="6"/>
      <c r="L138" s="6"/>
    </row>
    <row r="139" spans="1:16" s="1" customFormat="1" x14ac:dyDescent="0.2">
      <c r="A139" s="1" t="str">
        <f t="array" ref="A139:A146">R_CODE</f>
        <v>EU</v>
      </c>
      <c r="B139" s="6"/>
      <c r="C139" s="26">
        <f t="array" aca="1" ref="C139:L146" ca="1">cons_per_cap_after_costs/(1-SAVE/100)</f>
        <v>39871.222167185719</v>
      </c>
      <c r="D139" s="26">
        <f ca="1"/>
        <v>44587.729307340422</v>
      </c>
      <c r="E139" s="26">
        <f ca="1"/>
        <v>49938.505903941361</v>
      </c>
      <c r="F139" s="26">
        <f ca="1"/>
        <v>62185.251444202302</v>
      </c>
      <c r="G139" s="26">
        <f ca="1"/>
        <v>75269.566555238795</v>
      </c>
      <c r="H139" s="26">
        <f ca="1"/>
        <v>89553.296723888838</v>
      </c>
      <c r="I139" s="26">
        <f ca="1"/>
        <v>107344.94569706815</v>
      </c>
      <c r="J139" s="26">
        <f ca="1"/>
        <v>128273.88677824984</v>
      </c>
      <c r="K139" s="26">
        <f ca="1"/>
        <v>153205.33465465307</v>
      </c>
      <c r="L139" s="26">
        <f ca="1"/>
        <v>183467.81373708553</v>
      </c>
      <c r="N139" s="1" t="str">
        <f t="shared" ref="N139:N146" si="2">CURRENCY_NAME&amp;"/"&amp;POP_UNIT_NAME</f>
        <v>$M(2015)/million</v>
      </c>
    </row>
    <row r="140" spans="1:16" s="1" customFormat="1" x14ac:dyDescent="0.2">
      <c r="A140" s="1" t="str">
        <v>US</v>
      </c>
      <c r="B140" s="6"/>
      <c r="C140" s="26">
        <f ca="1"/>
        <v>56608.884578221558</v>
      </c>
      <c r="D140" s="26">
        <f ca="1"/>
        <v>61453.139411606287</v>
      </c>
      <c r="E140" s="26">
        <f ca="1"/>
        <v>66737.052152699878</v>
      </c>
      <c r="F140" s="26">
        <f ca="1"/>
        <v>78749.659611384908</v>
      </c>
      <c r="G140" s="26">
        <f ca="1"/>
        <v>91283.302043689182</v>
      </c>
      <c r="H140" s="26">
        <f ca="1"/>
        <v>103695.76878821212</v>
      </c>
      <c r="I140" s="26">
        <f ca="1"/>
        <v>119510.4394540819</v>
      </c>
      <c r="J140" s="26">
        <f ca="1"/>
        <v>139138.51743553873</v>
      </c>
      <c r="K140" s="26">
        <f ca="1"/>
        <v>162787.67340680084</v>
      </c>
      <c r="L140" s="26">
        <f ca="1"/>
        <v>191349.35122618839</v>
      </c>
      <c r="N140" s="1" t="str">
        <f t="shared" si="2"/>
        <v>$M(2015)/million</v>
      </c>
    </row>
    <row r="141" spans="1:16" s="1" customFormat="1" x14ac:dyDescent="0.2">
      <c r="A141" s="1" t="str">
        <v>OT</v>
      </c>
      <c r="B141" s="6"/>
      <c r="C141" s="26">
        <f ca="1"/>
        <v>36772.223463221482</v>
      </c>
      <c r="D141" s="26">
        <f ca="1"/>
        <v>40851.75723720649</v>
      </c>
      <c r="E141" s="26">
        <f ca="1"/>
        <v>45730.460959408447</v>
      </c>
      <c r="F141" s="26">
        <f ca="1"/>
        <v>57234.697790626487</v>
      </c>
      <c r="G141" s="26">
        <f ca="1"/>
        <v>70204.151607510285</v>
      </c>
      <c r="H141" s="26">
        <f ca="1"/>
        <v>84345.992769245058</v>
      </c>
      <c r="I141" s="26">
        <f ca="1"/>
        <v>102058.93787976685</v>
      </c>
      <c r="J141" s="26">
        <f ca="1"/>
        <v>123271.08396024382</v>
      </c>
      <c r="K141" s="26">
        <f ca="1"/>
        <v>148416.81597320174</v>
      </c>
      <c r="L141" s="26">
        <f ca="1"/>
        <v>178689.20534989724</v>
      </c>
      <c r="N141" s="1" t="str">
        <f t="shared" si="2"/>
        <v>$M(2015)/million</v>
      </c>
    </row>
    <row r="142" spans="1:16" s="1" customFormat="1" x14ac:dyDescent="0.2">
      <c r="A142" s="1" t="str">
        <v>EE</v>
      </c>
      <c r="B142" s="6"/>
      <c r="C142" s="26">
        <f ca="1"/>
        <v>18633.347928448438</v>
      </c>
      <c r="D142" s="26">
        <f ca="1"/>
        <v>22831.391331892148</v>
      </c>
      <c r="E142" s="26">
        <f ca="1"/>
        <v>27845.826562850052</v>
      </c>
      <c r="F142" s="26">
        <f ca="1"/>
        <v>38850.909201775321</v>
      </c>
      <c r="G142" s="26">
        <f ca="1"/>
        <v>49322.243358633095</v>
      </c>
      <c r="H142" s="26">
        <f ca="1"/>
        <v>60069.938897525077</v>
      </c>
      <c r="I142" s="26">
        <f ca="1"/>
        <v>74784.075621361626</v>
      </c>
      <c r="J142" s="26">
        <f ca="1"/>
        <v>91657.830577611268</v>
      </c>
      <c r="K142" s="26">
        <f ca="1"/>
        <v>113067.68127298084</v>
      </c>
      <c r="L142" s="26">
        <f ca="1"/>
        <v>139306.19910908895</v>
      </c>
      <c r="N142" s="1" t="str">
        <f t="shared" si="2"/>
        <v>$M(2015)/million</v>
      </c>
    </row>
    <row r="143" spans="1:16" s="1" customFormat="1" x14ac:dyDescent="0.2">
      <c r="A143" s="1" t="str">
        <v>CA</v>
      </c>
      <c r="B143" s="6"/>
      <c r="C143" s="26">
        <f ca="1"/>
        <v>19621.953550860697</v>
      </c>
      <c r="D143" s="26">
        <f ca="1"/>
        <v>26936.183676669534</v>
      </c>
      <c r="E143" s="26">
        <f ca="1"/>
        <v>35221.682665068292</v>
      </c>
      <c r="F143" s="26">
        <f ca="1"/>
        <v>52342.619474886036</v>
      </c>
      <c r="G143" s="26">
        <f ca="1"/>
        <v>69045.190606789372</v>
      </c>
      <c r="H143" s="26">
        <f ca="1"/>
        <v>84265.833451012804</v>
      </c>
      <c r="I143" s="26">
        <f ca="1"/>
        <v>100816.76563834066</v>
      </c>
      <c r="J143" s="26">
        <f ca="1"/>
        <v>119028.45078639709</v>
      </c>
      <c r="K143" s="26">
        <f ca="1"/>
        <v>140629.93119677887</v>
      </c>
      <c r="L143" s="26">
        <f ca="1"/>
        <v>166020.31124655725</v>
      </c>
      <c r="N143" s="1" t="str">
        <f t="shared" si="2"/>
        <v>$M(2015)/million</v>
      </c>
    </row>
    <row r="144" spans="1:16" s="1" customFormat="1" x14ac:dyDescent="0.2">
      <c r="A144" s="1" t="str">
        <v>IA</v>
      </c>
      <c r="B144" s="6"/>
      <c r="C144" s="26">
        <f ca="1"/>
        <v>8065.0694647112859</v>
      </c>
      <c r="D144" s="26">
        <f ca="1"/>
        <v>10707.939429178734</v>
      </c>
      <c r="E144" s="26">
        <f ca="1"/>
        <v>14011.681482364098</v>
      </c>
      <c r="F144" s="26">
        <f ca="1"/>
        <v>22435.23393989856</v>
      </c>
      <c r="G144" s="26">
        <f ca="1"/>
        <v>33022.663905616195</v>
      </c>
      <c r="H144" s="26">
        <f ca="1"/>
        <v>45502.851755561169</v>
      </c>
      <c r="I144" s="26">
        <f ca="1"/>
        <v>60690.041330524262</v>
      </c>
      <c r="J144" s="26">
        <f ca="1"/>
        <v>79215.120939284403</v>
      </c>
      <c r="K144" s="26">
        <f ca="1"/>
        <v>102492.41109377434</v>
      </c>
      <c r="L144" s="26">
        <f ca="1"/>
        <v>131089.91234088046</v>
      </c>
      <c r="N144" s="1" t="str">
        <f t="shared" si="2"/>
        <v>$M(2015)/million</v>
      </c>
    </row>
    <row r="145" spans="1:15" s="1" customFormat="1" x14ac:dyDescent="0.2">
      <c r="A145" s="1" t="str">
        <v>AF</v>
      </c>
      <c r="B145" s="6"/>
      <c r="C145" s="26">
        <f ca="1"/>
        <v>6292.5384592611153</v>
      </c>
      <c r="D145" s="26">
        <f ca="1"/>
        <v>7594.867422268595</v>
      </c>
      <c r="E145" s="26">
        <f ca="1"/>
        <v>9369.6516110074663</v>
      </c>
      <c r="F145" s="26">
        <f ca="1"/>
        <v>14389.519690467057</v>
      </c>
      <c r="G145" s="26">
        <f ca="1"/>
        <v>21357.640361535548</v>
      </c>
      <c r="H145" s="26">
        <f ca="1"/>
        <v>30105.334080513516</v>
      </c>
      <c r="I145" s="26">
        <f ca="1"/>
        <v>42561.541870746325</v>
      </c>
      <c r="J145" s="26">
        <f ca="1"/>
        <v>59111.514879418144</v>
      </c>
      <c r="K145" s="26">
        <f ca="1"/>
        <v>81245.062384516496</v>
      </c>
      <c r="L145" s="26">
        <f ca="1"/>
        <v>110192.27921314427</v>
      </c>
      <c r="N145" s="1" t="str">
        <f t="shared" si="2"/>
        <v>$M(2015)/million</v>
      </c>
      <c r="O145" s="6"/>
    </row>
    <row r="146" spans="1:15" s="1" customFormat="1" x14ac:dyDescent="0.2">
      <c r="A146" s="1" t="str">
        <v>LA</v>
      </c>
      <c r="B146" s="6"/>
      <c r="C146" s="26">
        <f ca="1"/>
        <v>15122.533057301529</v>
      </c>
      <c r="D146" s="26">
        <f ca="1"/>
        <v>17828.55813320469</v>
      </c>
      <c r="E146" s="26">
        <f ca="1"/>
        <v>21225.93577618941</v>
      </c>
      <c r="F146" s="26">
        <f ca="1"/>
        <v>30474.833851614454</v>
      </c>
      <c r="G146" s="26">
        <f ca="1"/>
        <v>42588.577107507794</v>
      </c>
      <c r="H146" s="26">
        <f ca="1"/>
        <v>56356.299502077389</v>
      </c>
      <c r="I146" s="26">
        <f ca="1"/>
        <v>72320.502113737835</v>
      </c>
      <c r="J146" s="26">
        <f ca="1"/>
        <v>91624.858414854141</v>
      </c>
      <c r="K146" s="26">
        <f ca="1"/>
        <v>115823.37423109665</v>
      </c>
      <c r="L146" s="26">
        <f ca="1"/>
        <v>145475.8159594514</v>
      </c>
      <c r="N146" s="1" t="str">
        <f t="shared" si="2"/>
        <v>$M(2015)/million</v>
      </c>
    </row>
    <row r="147" spans="1:15" s="2" customFormat="1" ht="14.25" x14ac:dyDescent="0.25">
      <c r="A147" s="2" t="s">
        <v>220</v>
      </c>
      <c r="C147" s="2" t="s">
        <v>218</v>
      </c>
    </row>
    <row r="148" spans="1:15" x14ac:dyDescent="0.2">
      <c r="A148" t="str">
        <f t="array" ref="A148:A155">R_CODE&amp;" sea level"</f>
        <v>EU sea level</v>
      </c>
      <c r="C148" s="29">
        <f t="array" ref="C148:L155" ca="1">WINCF_S*((W_S+IBEN_S*SCAL)*(i_s/SCAL)^POW_S-i_s*IBEN_S)</f>
        <v>0.36900020314047566</v>
      </c>
      <c r="D148" s="29">
        <f ca="1"/>
        <v>0.40405236439704628</v>
      </c>
      <c r="E148" s="29">
        <f ca="1"/>
        <v>0.44499779239913984</v>
      </c>
      <c r="F148" s="29">
        <f ca="1"/>
        <v>0.55348562274394264</v>
      </c>
      <c r="G148" s="29">
        <f ca="1"/>
        <v>0.6857659925500551</v>
      </c>
      <c r="H148" s="29">
        <f ca="1"/>
        <v>0.89184786200207156</v>
      </c>
      <c r="I148" s="29">
        <f ca="1"/>
        <v>1.0815556852195822</v>
      </c>
      <c r="J148" s="29">
        <f ca="1"/>
        <v>1.2475699738746577</v>
      </c>
      <c r="K148" s="29">
        <f ca="1"/>
        <v>1.3967837266129963</v>
      </c>
      <c r="L148" s="29">
        <f ca="1"/>
        <v>1.530413849347781</v>
      </c>
      <c r="M148" s="6"/>
      <c r="N148" s="59" t="s">
        <v>132</v>
      </c>
    </row>
    <row r="149" spans="1:15" x14ac:dyDescent="0.2">
      <c r="A149" t="str">
        <v>US sea level</v>
      </c>
      <c r="C149" s="26">
        <f ca="1"/>
        <v>0.29520016251238052</v>
      </c>
      <c r="D149" s="26">
        <f ca="1"/>
        <v>0.32324189151763699</v>
      </c>
      <c r="E149" s="26">
        <f ca="1"/>
        <v>0.35599823391931185</v>
      </c>
      <c r="F149" s="26">
        <f ca="1"/>
        <v>0.44278849819515409</v>
      </c>
      <c r="G149" s="26">
        <f ca="1"/>
        <v>0.54861279404004404</v>
      </c>
      <c r="H149" s="26">
        <f ca="1"/>
        <v>0.71347828960165716</v>
      </c>
      <c r="I149" s="26">
        <f ca="1"/>
        <v>0.86524454817566576</v>
      </c>
      <c r="J149" s="26">
        <f ca="1"/>
        <v>0.9980559790997261</v>
      </c>
      <c r="K149" s="26">
        <f ca="1"/>
        <v>1.117426981290397</v>
      </c>
      <c r="L149" s="26">
        <f ca="1"/>
        <v>1.2243310794782247</v>
      </c>
      <c r="M149" s="6"/>
      <c r="N149" s="59" t="s">
        <v>132</v>
      </c>
    </row>
    <row r="150" spans="1:15" x14ac:dyDescent="0.2">
      <c r="A150" t="str">
        <v>OT sea level</v>
      </c>
      <c r="C150" s="26">
        <f ca="1"/>
        <v>0.29520016251238057</v>
      </c>
      <c r="D150" s="26">
        <f ca="1"/>
        <v>0.3232418915176371</v>
      </c>
      <c r="E150" s="26">
        <f ca="1"/>
        <v>0.35599823391931196</v>
      </c>
      <c r="F150" s="26">
        <f ca="1"/>
        <v>0.4427884981951542</v>
      </c>
      <c r="G150" s="26">
        <f ca="1"/>
        <v>0.54861279404004415</v>
      </c>
      <c r="H150" s="26">
        <f ca="1"/>
        <v>0.71347828960165738</v>
      </c>
      <c r="I150" s="26">
        <f ca="1"/>
        <v>0.86524454817566598</v>
      </c>
      <c r="J150" s="26">
        <f ca="1"/>
        <v>0.99805597909972643</v>
      </c>
      <c r="K150" s="26">
        <f ca="1"/>
        <v>1.1174269812903972</v>
      </c>
      <c r="L150" s="26">
        <f ca="1"/>
        <v>1.2243310794782249</v>
      </c>
      <c r="M150" s="6"/>
      <c r="N150" s="59" t="s">
        <v>132</v>
      </c>
    </row>
    <row r="151" spans="1:15" x14ac:dyDescent="0.2">
      <c r="A151" t="str">
        <v>EE sea level</v>
      </c>
      <c r="C151" s="26">
        <f ca="1"/>
        <v>0.14760008125619029</v>
      </c>
      <c r="D151" s="26">
        <f ca="1"/>
        <v>0.16162094575881855</v>
      </c>
      <c r="E151" s="26">
        <f ca="1"/>
        <v>0.17799911695965598</v>
      </c>
      <c r="F151" s="26">
        <f ca="1"/>
        <v>0.2213942490975771</v>
      </c>
      <c r="G151" s="26">
        <f ca="1"/>
        <v>0.27430639702002207</v>
      </c>
      <c r="H151" s="26">
        <f ca="1"/>
        <v>0.35673914480082869</v>
      </c>
      <c r="I151" s="26">
        <f ca="1"/>
        <v>0.43262227408783299</v>
      </c>
      <c r="J151" s="26">
        <f ca="1"/>
        <v>0.49902798954986322</v>
      </c>
      <c r="K151" s="26">
        <f ca="1"/>
        <v>0.5587134906451986</v>
      </c>
      <c r="L151" s="26">
        <f ca="1"/>
        <v>0.61216553973911247</v>
      </c>
      <c r="M151" s="6"/>
      <c r="N151" s="59" t="s">
        <v>132</v>
      </c>
    </row>
    <row r="152" spans="1:15" x14ac:dyDescent="0.2">
      <c r="A152" t="str">
        <v>CA sea level</v>
      </c>
      <c r="C152" s="26">
        <f ca="1"/>
        <v>0.37055616617812887</v>
      </c>
      <c r="D152" s="26">
        <f ca="1"/>
        <v>0.41401497357436001</v>
      </c>
      <c r="E152" s="26">
        <f ca="1"/>
        <v>0.46094119948057044</v>
      </c>
      <c r="F152" s="26">
        <f ca="1"/>
        <v>0.57209587100820669</v>
      </c>
      <c r="G152" s="26">
        <f ca="1"/>
        <v>0.6985652333838912</v>
      </c>
      <c r="H152" s="26">
        <f ca="1"/>
        <v>0.82072344458012458</v>
      </c>
      <c r="I152" s="26">
        <f ca="1"/>
        <v>0.9364204494673094</v>
      </c>
      <c r="J152" s="26">
        <f ca="1"/>
        <v>1.0516707355055159</v>
      </c>
      <c r="K152" s="26">
        <f ca="1"/>
        <v>1.1689529247720194</v>
      </c>
      <c r="L152" s="26">
        <f ca="1"/>
        <v>1.274220630715029</v>
      </c>
      <c r="M152" s="6"/>
      <c r="N152" s="59" t="s">
        <v>132</v>
      </c>
    </row>
    <row r="153" spans="1:15" x14ac:dyDescent="0.2">
      <c r="A153" t="str">
        <v>IA sea level</v>
      </c>
      <c r="C153" s="26">
        <f ca="1"/>
        <v>0.37055616617812887</v>
      </c>
      <c r="D153" s="26">
        <f ca="1"/>
        <v>0.41401497357436001</v>
      </c>
      <c r="E153" s="26">
        <f ca="1"/>
        <v>0.46094119948057044</v>
      </c>
      <c r="F153" s="26">
        <f ca="1"/>
        <v>0.57209587100820669</v>
      </c>
      <c r="G153" s="26">
        <f ca="1"/>
        <v>0.6985652333838912</v>
      </c>
      <c r="H153" s="26">
        <f ca="1"/>
        <v>0.82072344458012458</v>
      </c>
      <c r="I153" s="26">
        <f ca="1"/>
        <v>0.9364204494673094</v>
      </c>
      <c r="J153" s="26">
        <f ca="1"/>
        <v>1.0516707355055159</v>
      </c>
      <c r="K153" s="26">
        <f ca="1"/>
        <v>1.1689529247720194</v>
      </c>
      <c r="L153" s="26">
        <f ca="1"/>
        <v>1.274220630715029</v>
      </c>
      <c r="M153" s="6"/>
      <c r="N153" s="59" t="s">
        <v>132</v>
      </c>
    </row>
    <row r="154" spans="1:15" x14ac:dyDescent="0.2">
      <c r="A154" t="str">
        <v>AF sea level</v>
      </c>
      <c r="C154" s="26">
        <f ca="1"/>
        <v>0.27791712463359658</v>
      </c>
      <c r="D154" s="26">
        <f ca="1"/>
        <v>0.31051123018076993</v>
      </c>
      <c r="E154" s="26">
        <f ca="1"/>
        <v>0.34570589961042775</v>
      </c>
      <c r="F154" s="26">
        <f ca="1"/>
        <v>0.42907190325615491</v>
      </c>
      <c r="G154" s="26">
        <f ca="1"/>
        <v>0.52392392503791829</v>
      </c>
      <c r="H154" s="26">
        <f ca="1"/>
        <v>0.61554258343509327</v>
      </c>
      <c r="I154" s="26">
        <f ca="1"/>
        <v>0.70231533710048188</v>
      </c>
      <c r="J154" s="26">
        <f ca="1"/>
        <v>0.78875305162913678</v>
      </c>
      <c r="K154" s="26">
        <f ca="1"/>
        <v>0.87671469357901433</v>
      </c>
      <c r="L154" s="26">
        <f ca="1"/>
        <v>0.95566547303627147</v>
      </c>
      <c r="M154" s="6"/>
      <c r="N154" s="59" t="s">
        <v>132</v>
      </c>
      <c r="O154" s="6"/>
    </row>
    <row r="155" spans="1:15" x14ac:dyDescent="0.2">
      <c r="A155" t="str">
        <v>LA sea level</v>
      </c>
      <c r="C155" s="26">
        <f ca="1"/>
        <v>0.27791712463359658</v>
      </c>
      <c r="D155" s="26">
        <f ca="1"/>
        <v>0.31051123018076993</v>
      </c>
      <c r="E155" s="26">
        <f ca="1"/>
        <v>0.34570589961042775</v>
      </c>
      <c r="F155" s="26">
        <f ca="1"/>
        <v>0.42907190325615491</v>
      </c>
      <c r="G155" s="26">
        <f ca="1"/>
        <v>0.52392392503791829</v>
      </c>
      <c r="H155" s="26">
        <f ca="1"/>
        <v>0.61554258343509327</v>
      </c>
      <c r="I155" s="26">
        <f ca="1"/>
        <v>0.70231533710048188</v>
      </c>
      <c r="J155" s="26">
        <f ca="1"/>
        <v>0.78875305162913678</v>
      </c>
      <c r="K155" s="26">
        <f ca="1"/>
        <v>0.87671469357901433</v>
      </c>
      <c r="L155" s="26">
        <f ca="1"/>
        <v>0.95566547303627147</v>
      </c>
      <c r="M155" s="6"/>
      <c r="N155" s="59" t="s">
        <v>132</v>
      </c>
    </row>
    <row r="156" spans="1:15" s="2" customFormat="1" ht="14.25" x14ac:dyDescent="0.25">
      <c r="A156" s="2" t="s">
        <v>219</v>
      </c>
      <c r="C156" s="2" t="s">
        <v>221</v>
      </c>
    </row>
    <row r="157" spans="1:15" x14ac:dyDescent="0.2">
      <c r="A157" t="str">
        <f t="array" ref="A157:A164">R_CODE&amp;" sea level"</f>
        <v>EU sea level</v>
      </c>
      <c r="C157" s="29">
        <f t="array" ref="C157:L164" ca="1">iref_s*(gdp_per_cap_after_costs/GDP_PER_CAP_FOCUS_0)^IPOW_S</f>
        <v>0.35798355595185571</v>
      </c>
      <c r="D157" s="29">
        <f ca="1"/>
        <v>0.37905949757907254</v>
      </c>
      <c r="E157" s="29">
        <f ca="1"/>
        <v>0.40351671560844854</v>
      </c>
      <c r="F157" s="29">
        <f ca="1"/>
        <v>0.4699313977325032</v>
      </c>
      <c r="G157" s="29">
        <f ca="1"/>
        <v>0.54982496700239336</v>
      </c>
      <c r="H157" s="29">
        <f ca="1"/>
        <v>0.67873561605107191</v>
      </c>
      <c r="I157" s="29">
        <f ca="1"/>
        <v>0.77955855382212869</v>
      </c>
      <c r="J157" s="29">
        <f ca="1"/>
        <v>0.8524281328228055</v>
      </c>
      <c r="K157" s="29">
        <f ca="1"/>
        <v>0.90485988923586103</v>
      </c>
      <c r="L157" s="29">
        <f ca="1"/>
        <v>0.93923714194239238</v>
      </c>
      <c r="M157" s="6"/>
      <c r="N157" s="59" t="s">
        <v>132</v>
      </c>
    </row>
    <row r="158" spans="1:15" x14ac:dyDescent="0.2">
      <c r="A158" t="str">
        <v>US sea level</v>
      </c>
      <c r="C158" s="26">
        <f ca="1"/>
        <v>0.25780156525764503</v>
      </c>
      <c r="D158" s="26">
        <f ca="1"/>
        <v>0.275422080208092</v>
      </c>
      <c r="E158" s="26">
        <f ca="1"/>
        <v>0.29591847115091163</v>
      </c>
      <c r="F158" s="26">
        <f ca="1"/>
        <v>0.35023219221309582</v>
      </c>
      <c r="G158" s="26">
        <f ca="1"/>
        <v>0.41512880171765021</v>
      </c>
      <c r="H158" s="26">
        <f ca="1"/>
        <v>0.51962111289338142</v>
      </c>
      <c r="I158" s="26">
        <f ca="1"/>
        <v>0.60388112499381041</v>
      </c>
      <c r="J158" s="26">
        <f ca="1"/>
        <v>0.66551067518874052</v>
      </c>
      <c r="K158" s="26">
        <f ca="1"/>
        <v>0.7108321066365012</v>
      </c>
      <c r="L158" s="26">
        <f ca="1"/>
        <v>0.74196789346712899</v>
      </c>
      <c r="M158" s="6"/>
      <c r="N158" s="59" t="s">
        <v>132</v>
      </c>
    </row>
    <row r="159" spans="1:15" x14ac:dyDescent="0.2">
      <c r="A159" t="str">
        <v>OT sea level</v>
      </c>
      <c r="C159" s="26">
        <f ca="1"/>
        <v>0.29342354651560298</v>
      </c>
      <c r="D159" s="26">
        <f ca="1"/>
        <v>0.31131407313124787</v>
      </c>
      <c r="E159" s="26">
        <f ca="1"/>
        <v>0.33145189526016294</v>
      </c>
      <c r="F159" s="26">
        <f ca="1"/>
        <v>0.38541876007058523</v>
      </c>
      <c r="G159" s="26">
        <f ca="1"/>
        <v>0.44915002660106934</v>
      </c>
      <c r="H159" s="26">
        <f ca="1"/>
        <v>0.55283529623460015</v>
      </c>
      <c r="I159" s="26">
        <f ca="1"/>
        <v>0.6331664508545195</v>
      </c>
      <c r="J159" s="26">
        <f ca="1"/>
        <v>0.69012994687274587</v>
      </c>
      <c r="K159" s="26">
        <f ca="1"/>
        <v>0.73081685900869808</v>
      </c>
      <c r="L159" s="26">
        <f ca="1"/>
        <v>0.7573623572260475</v>
      </c>
      <c r="M159" s="6"/>
      <c r="N159" s="59" t="s">
        <v>132</v>
      </c>
    </row>
    <row r="160" spans="1:15" x14ac:dyDescent="0.2">
      <c r="A160" t="str">
        <v>EE sea level</v>
      </c>
      <c r="C160" s="26">
        <f ca="1"/>
        <v>0.17990103647998937</v>
      </c>
      <c r="D160" s="26">
        <f ca="1"/>
        <v>0.18534132665698222</v>
      </c>
      <c r="E160" s="26">
        <f ca="1"/>
        <v>0.19231986726772607</v>
      </c>
      <c r="F160" s="26">
        <f ca="1"/>
        <v>0.2164613269446175</v>
      </c>
      <c r="G160" s="26">
        <f ca="1"/>
        <v>0.24966486339990113</v>
      </c>
      <c r="H160" s="26">
        <f ca="1"/>
        <v>0.30604687315775059</v>
      </c>
      <c r="I160" s="26">
        <f ca="1"/>
        <v>0.34753654061163386</v>
      </c>
      <c r="J160" s="26">
        <f ca="1"/>
        <v>0.37714501338479972</v>
      </c>
      <c r="K160" s="26">
        <f ca="1"/>
        <v>0.3964806065028737</v>
      </c>
      <c r="L160" s="26">
        <f ca="1"/>
        <v>0.40804877887410379</v>
      </c>
      <c r="M160" s="6"/>
      <c r="N160" s="59" t="s">
        <v>132</v>
      </c>
    </row>
    <row r="161" spans="1:27" x14ac:dyDescent="0.2">
      <c r="A161" t="str">
        <v>CA sea level</v>
      </c>
      <c r="C161" s="26">
        <f ca="1"/>
        <v>0.44469854490052335</v>
      </c>
      <c r="D161" s="26">
        <f ca="1"/>
        <v>0.45180347392702547</v>
      </c>
      <c r="E161" s="26">
        <f ca="1"/>
        <v>0.46412700094595821</v>
      </c>
      <c r="F161" s="26">
        <f ca="1"/>
        <v>0.51150103209205244</v>
      </c>
      <c r="G161" s="26">
        <f ca="1"/>
        <v>0.57477950584255055</v>
      </c>
      <c r="H161" s="26">
        <f ca="1"/>
        <v>0.63611512250745783</v>
      </c>
      <c r="I161" s="26">
        <f ca="1"/>
        <v>0.68777343603039365</v>
      </c>
      <c r="J161" s="26">
        <f ca="1"/>
        <v>0.7348841687990314</v>
      </c>
      <c r="K161" s="26">
        <f ca="1"/>
        <v>0.77697676117887338</v>
      </c>
      <c r="L161" s="26">
        <f ca="1"/>
        <v>0.80580619556602018</v>
      </c>
      <c r="M161" s="6"/>
      <c r="N161" s="59" t="s">
        <v>132</v>
      </c>
    </row>
    <row r="162" spans="1:27" x14ac:dyDescent="0.2">
      <c r="A162" t="str">
        <v>IA sea level</v>
      </c>
      <c r="C162" s="26">
        <f ca="1"/>
        <v>0.58063865879418619</v>
      </c>
      <c r="D162" s="26">
        <f ca="1"/>
        <v>0.59585229109923687</v>
      </c>
      <c r="E162" s="26">
        <f ca="1"/>
        <v>0.61197374119610348</v>
      </c>
      <c r="F162" s="26">
        <f ca="1"/>
        <v>0.65951392476408099</v>
      </c>
      <c r="G162" s="26">
        <f ca="1"/>
        <v>0.71712964051004824</v>
      </c>
      <c r="H162" s="26">
        <f ca="1"/>
        <v>0.76527864009202984</v>
      </c>
      <c r="I162" s="26">
        <f ca="1"/>
        <v>0.80088469838487297</v>
      </c>
      <c r="J162" s="26">
        <f ca="1"/>
        <v>0.83037009325021849</v>
      </c>
      <c r="K162" s="26">
        <f ca="1"/>
        <v>0.85432643727045321</v>
      </c>
      <c r="L162" s="26">
        <f ca="1"/>
        <v>0.86498422547542275</v>
      </c>
      <c r="M162" s="6"/>
      <c r="N162" s="59" t="s">
        <v>132</v>
      </c>
    </row>
    <row r="163" spans="1:27" x14ac:dyDescent="0.2">
      <c r="A163" t="str">
        <v>AF sea level</v>
      </c>
      <c r="C163" s="26">
        <f ca="1"/>
        <v>0.46913937097107311</v>
      </c>
      <c r="D163" s="26">
        <f ca="1"/>
        <v>0.49539952929024456</v>
      </c>
      <c r="E163" s="26">
        <f ca="1"/>
        <v>0.51787398492438919</v>
      </c>
      <c r="F163" s="26">
        <f ca="1"/>
        <v>0.56513281309837171</v>
      </c>
      <c r="G163" s="26">
        <f ca="1"/>
        <v>0.61296628428721678</v>
      </c>
      <c r="H163" s="26">
        <f ca="1"/>
        <v>0.64967986101372921</v>
      </c>
      <c r="I163" s="26">
        <f ca="1"/>
        <v>0.66813047857081165</v>
      </c>
      <c r="J163" s="26">
        <f ca="1"/>
        <v>0.6799449657054929</v>
      </c>
      <c r="K163" s="26">
        <f ca="1"/>
        <v>0.686994925719839</v>
      </c>
      <c r="L163" s="26">
        <f ca="1"/>
        <v>0.68343132834764186</v>
      </c>
      <c r="M163" s="6"/>
      <c r="N163" s="59" t="s">
        <v>132</v>
      </c>
      <c r="O163" s="6"/>
    </row>
    <row r="164" spans="1:27" x14ac:dyDescent="0.2">
      <c r="A164" t="str">
        <v>LA sea level</v>
      </c>
      <c r="C164" s="26">
        <f ca="1"/>
        <v>0.36063035718829728</v>
      </c>
      <c r="D164" s="26">
        <f ca="1"/>
        <v>0.38351007917765262</v>
      </c>
      <c r="E164" s="26">
        <f ca="1"/>
        <v>0.40521085801734347</v>
      </c>
      <c r="F164" s="26">
        <f ca="1"/>
        <v>0.4512134217982921</v>
      </c>
      <c r="G164" s="26">
        <f ca="1"/>
        <v>0.49832724135554995</v>
      </c>
      <c r="H164" s="26">
        <f ca="1"/>
        <v>0.53828180409524728</v>
      </c>
      <c r="I164" s="26">
        <f ca="1"/>
        <v>0.56988609397441148</v>
      </c>
      <c r="J164" s="26">
        <f ca="1"/>
        <v>0.5961717522232437</v>
      </c>
      <c r="K164" s="26">
        <f ca="1"/>
        <v>0.61766608891046815</v>
      </c>
      <c r="L164" s="26">
        <f ca="1"/>
        <v>0.6287861862778007</v>
      </c>
      <c r="M164" s="6"/>
      <c r="N164" s="59" t="s">
        <v>132</v>
      </c>
    </row>
    <row r="165" spans="1:27" s="2" customFormat="1" ht="14.25" x14ac:dyDescent="0.25">
      <c r="A165" s="2" t="s">
        <v>223</v>
      </c>
      <c r="C165" s="2" t="s">
        <v>222</v>
      </c>
      <c r="P165" s="2" t="s">
        <v>1121</v>
      </c>
      <c r="Q165" s="2">
        <v>3731.1295734726509</v>
      </c>
      <c r="R165" s="2">
        <v>2426.1527681994476</v>
      </c>
      <c r="S165" s="2">
        <v>3552.712571602302</v>
      </c>
      <c r="T165" s="2">
        <v>4514.9583109114074</v>
      </c>
      <c r="U165" s="2">
        <v>4315.3722470948551</v>
      </c>
      <c r="V165" s="2">
        <v>4118.4784203593954</v>
      </c>
      <c r="W165" s="2">
        <v>3890.9393108804293</v>
      </c>
      <c r="X165" s="2">
        <v>3637.6091360562946</v>
      </c>
      <c r="Y165" s="2">
        <v>3362.102877852833</v>
      </c>
      <c r="Z165" s="2">
        <v>1539.7101356993812</v>
      </c>
    </row>
    <row r="166" spans="1:27" x14ac:dyDescent="0.2">
      <c r="A166" t="str">
        <f t="array" ref="A166:A173">R_CODE&amp;" sea level"</f>
        <v>EU sea level</v>
      </c>
      <c r="C166" s="29">
        <f t="array" ref="C166:L173" ca="1">IF(igdp_s&lt;ISATG,igdp_s,ISATG+(100-SAVE-ISATG)*((igdp_s-ISATG)/((100-SAVE-ISATG)+(igdp_s-ISATG))))*(1-imp_s/100*IF(i_s&lt;impmax_s_a,1,impmax_s_a/i_s))</f>
        <v>0.35798355595185571</v>
      </c>
      <c r="D166" s="29">
        <f ca="1"/>
        <v>0.36010652270011889</v>
      </c>
      <c r="E166" s="29">
        <f ca="1"/>
        <v>0.36316504404760369</v>
      </c>
      <c r="F166" s="29">
        <f ca="1"/>
        <v>0.37594511818600257</v>
      </c>
      <c r="G166" s="29">
        <f ca="1"/>
        <v>0.38487747690167534</v>
      </c>
      <c r="H166" s="29">
        <f ca="1"/>
        <v>0.40724136963064311</v>
      </c>
      <c r="I166" s="29">
        <f ca="1"/>
        <v>0.38977927691106434</v>
      </c>
      <c r="J166" s="29">
        <f ca="1"/>
        <v>0.42621406641140275</v>
      </c>
      <c r="K166" s="29">
        <f ca="1"/>
        <v>0.45242994461793051</v>
      </c>
      <c r="L166" s="29">
        <f ca="1"/>
        <v>0.46961857097119619</v>
      </c>
      <c r="M166" s="6"/>
      <c r="N166" s="59" t="s">
        <v>132</v>
      </c>
      <c r="Q166">
        <v>2469.2933029868564</v>
      </c>
      <c r="R166">
        <v>1655.0206779588766</v>
      </c>
      <c r="S166">
        <v>2495.0510744882445</v>
      </c>
      <c r="T166">
        <v>3338.0788676695838</v>
      </c>
      <c r="U166">
        <v>3337.1775681398367</v>
      </c>
      <c r="V166">
        <v>3336.3701725041342</v>
      </c>
      <c r="W166">
        <v>3311.5332044327552</v>
      </c>
      <c r="X166">
        <v>3249.3916266154547</v>
      </c>
      <c r="Y166">
        <v>3138.1458516589769</v>
      </c>
      <c r="Z166">
        <v>1490.0974668620906</v>
      </c>
    </row>
    <row r="167" spans="1:27" x14ac:dyDescent="0.2">
      <c r="A167" t="str">
        <v>US sea level</v>
      </c>
      <c r="C167" s="26">
        <f ca="1"/>
        <v>0.25780156525764503</v>
      </c>
      <c r="D167" s="26">
        <f ca="1"/>
        <v>0.2616509761976874</v>
      </c>
      <c r="E167" s="26">
        <f ca="1"/>
        <v>0.26632662403582047</v>
      </c>
      <c r="F167" s="26">
        <f ca="1"/>
        <v>0.28018575377047666</v>
      </c>
      <c r="G167" s="26">
        <f ca="1"/>
        <v>0.29059016120235515</v>
      </c>
      <c r="H167" s="26">
        <f ca="1"/>
        <v>0.31177266773602885</v>
      </c>
      <c r="I167" s="26">
        <f ca="1"/>
        <v>0.30194056249690521</v>
      </c>
      <c r="J167" s="26">
        <f ca="1"/>
        <v>0.33275533759437026</v>
      </c>
      <c r="K167" s="26">
        <f ca="1"/>
        <v>0.3554160533182506</v>
      </c>
      <c r="L167" s="26">
        <f ca="1"/>
        <v>0.3709839467335645</v>
      </c>
      <c r="M167" s="6"/>
      <c r="N167" s="59" t="s">
        <v>132</v>
      </c>
      <c r="Q167">
        <v>2239.1949630902322</v>
      </c>
      <c r="R167">
        <v>1458.611518686547</v>
      </c>
      <c r="S167">
        <v>2132.7627674158425</v>
      </c>
      <c r="T167">
        <v>2686.3510478224653</v>
      </c>
      <c r="U167">
        <v>2526.882548698853</v>
      </c>
      <c r="V167">
        <v>2364.3638056037162</v>
      </c>
      <c r="W167">
        <v>2180.9623948197591</v>
      </c>
      <c r="X167">
        <v>1984.7986693586015</v>
      </c>
      <c r="Y167">
        <v>1780.740276098659</v>
      </c>
      <c r="Z167">
        <v>789.37877466952784</v>
      </c>
    </row>
    <row r="168" spans="1:27" x14ac:dyDescent="0.2">
      <c r="A168" t="str">
        <v>OT sea level</v>
      </c>
      <c r="C168" s="26">
        <f ca="1"/>
        <v>0.29342354651560298</v>
      </c>
      <c r="D168" s="26">
        <f ca="1"/>
        <v>0.29574836947468547</v>
      </c>
      <c r="E168" s="26">
        <f ca="1"/>
        <v>0.29830670573414664</v>
      </c>
      <c r="F168" s="26">
        <f ca="1"/>
        <v>0.30833500805646818</v>
      </c>
      <c r="G168" s="26">
        <f ca="1"/>
        <v>0.31440501862074854</v>
      </c>
      <c r="H168" s="26">
        <f ca="1"/>
        <v>0.33170117774076008</v>
      </c>
      <c r="I168" s="26">
        <f ca="1"/>
        <v>0.31658322542725975</v>
      </c>
      <c r="J168" s="26">
        <f ca="1"/>
        <v>0.34506497343637293</v>
      </c>
      <c r="K168" s="26">
        <f ca="1"/>
        <v>0.36540842950434904</v>
      </c>
      <c r="L168" s="26">
        <f ca="1"/>
        <v>0.37868117861302375</v>
      </c>
      <c r="M168" s="6"/>
      <c r="N168" s="59" t="s">
        <v>132</v>
      </c>
      <c r="Q168">
        <v>1990.317156230715</v>
      </c>
      <c r="R168">
        <v>1255.0019685057825</v>
      </c>
      <c r="S168">
        <v>1776.3370011275188</v>
      </c>
      <c r="T168">
        <v>2107.5048846850432</v>
      </c>
      <c r="U168">
        <v>1853.4416966818851</v>
      </c>
      <c r="V168">
        <v>1607.9006187189816</v>
      </c>
      <c r="W168">
        <v>1375.7159618222977</v>
      </c>
      <c r="X168">
        <v>1154.6923183604661</v>
      </c>
      <c r="Y168">
        <v>953.15988237658837</v>
      </c>
      <c r="Z168">
        <v>388.4312004223346</v>
      </c>
    </row>
    <row r="169" spans="1:27" x14ac:dyDescent="0.2">
      <c r="A169" t="str">
        <v>EE sea level</v>
      </c>
      <c r="C169" s="26">
        <f ca="1"/>
        <v>0.17990103647998937</v>
      </c>
      <c r="D169" s="26">
        <f ca="1"/>
        <v>0.17607426032413309</v>
      </c>
      <c r="E169" s="26">
        <f ca="1"/>
        <v>0.17308788054095348</v>
      </c>
      <c r="F169" s="26">
        <f ca="1"/>
        <v>0.173169061555694</v>
      </c>
      <c r="G169" s="26">
        <f ca="1"/>
        <v>0.17476540437993077</v>
      </c>
      <c r="H169" s="26">
        <f ca="1"/>
        <v>0.18362812389465036</v>
      </c>
      <c r="I169" s="26">
        <f ca="1"/>
        <v>0.17376827030581693</v>
      </c>
      <c r="J169" s="26">
        <f ca="1"/>
        <v>0.18857250669239986</v>
      </c>
      <c r="K169" s="26">
        <f ca="1"/>
        <v>0.19824030325143685</v>
      </c>
      <c r="L169" s="26">
        <f ca="1"/>
        <v>0.2040243894370519</v>
      </c>
      <c r="M169" s="6"/>
      <c r="N169" s="59" t="s">
        <v>132</v>
      </c>
      <c r="Q169">
        <v>9826.6054363394578</v>
      </c>
      <c r="R169">
        <v>6223.010026983422</v>
      </c>
      <c r="S169">
        <v>8797.1859940073919</v>
      </c>
      <c r="T169">
        <v>10200.988114705027</v>
      </c>
      <c r="U169">
        <v>8622.3638162845327</v>
      </c>
      <c r="V169">
        <v>7109.1345337649564</v>
      </c>
      <c r="W169">
        <v>5744.3559674504895</v>
      </c>
      <c r="X169">
        <v>4571.4493052692469</v>
      </c>
      <c r="Y169">
        <v>3571.443654170133</v>
      </c>
      <c r="Z169">
        <v>1362.5965597765826</v>
      </c>
    </row>
    <row r="170" spans="1:27" x14ac:dyDescent="0.2">
      <c r="A170" t="str">
        <v>CA sea level</v>
      </c>
      <c r="C170" s="26">
        <f ca="1"/>
        <v>0.44469854490052335</v>
      </c>
      <c r="D170" s="26">
        <f ca="1"/>
        <v>0.44427341602824166</v>
      </c>
      <c r="E170" s="26">
        <f ca="1"/>
        <v>0.44865610091442626</v>
      </c>
      <c r="F170" s="26">
        <f ca="1"/>
        <v>0.47740096328591564</v>
      </c>
      <c r="G170" s="26">
        <f ca="1"/>
        <v>0.51730155525829546</v>
      </c>
      <c r="H170" s="26">
        <f ca="1"/>
        <v>0.55129977283979681</v>
      </c>
      <c r="I170" s="26">
        <f ca="1"/>
        <v>0.57314453002532806</v>
      </c>
      <c r="J170" s="26">
        <f ca="1"/>
        <v>0.5879073350392251</v>
      </c>
      <c r="K170" s="26">
        <f ca="1"/>
        <v>0.59568218357046965</v>
      </c>
      <c r="L170" s="26">
        <f ca="1"/>
        <v>0.60435464667451511</v>
      </c>
      <c r="M170" s="6"/>
      <c r="N170" s="59" t="s">
        <v>132</v>
      </c>
      <c r="Q170">
        <v>18213.058718904904</v>
      </c>
      <c r="R170">
        <v>11967.541445836696</v>
      </c>
      <c r="S170">
        <v>17536.514753006963</v>
      </c>
      <c r="T170">
        <v>21898.528817911159</v>
      </c>
      <c r="U170">
        <v>19957.806374893</v>
      </c>
      <c r="V170">
        <v>17722.134921825822</v>
      </c>
      <c r="W170">
        <v>15370.743074317586</v>
      </c>
      <c r="X170">
        <v>13033.203860891063</v>
      </c>
      <c r="Y170">
        <v>10816.33018475015</v>
      </c>
      <c r="Z170">
        <v>4405.1730338676207</v>
      </c>
    </row>
    <row r="171" spans="1:27" x14ac:dyDescent="0.2">
      <c r="A171" t="str">
        <v>IA sea level</v>
      </c>
      <c r="C171" s="26">
        <f ca="1"/>
        <v>0.58063865879418619</v>
      </c>
      <c r="D171" s="26">
        <f ca="1"/>
        <v>0.58592141958091626</v>
      </c>
      <c r="E171" s="26">
        <f ca="1"/>
        <v>0.59157461648956666</v>
      </c>
      <c r="F171" s="26">
        <f ca="1"/>
        <v>0.61554632977980894</v>
      </c>
      <c r="G171" s="26">
        <f ca="1"/>
        <v>0.64541667645904344</v>
      </c>
      <c r="H171" s="26">
        <f ca="1"/>
        <v>0.66324148807975924</v>
      </c>
      <c r="I171" s="26">
        <f ca="1"/>
        <v>0.66740391532072751</v>
      </c>
      <c r="J171" s="26">
        <f ca="1"/>
        <v>0.66429607460017481</v>
      </c>
      <c r="K171" s="26">
        <f ca="1"/>
        <v>0.6549836019073475</v>
      </c>
      <c r="L171" s="26">
        <f ca="1"/>
        <v>0.64873816910656701</v>
      </c>
      <c r="M171" s="6"/>
      <c r="N171" s="59" t="s">
        <v>132</v>
      </c>
      <c r="Q171">
        <v>10650.070101781928</v>
      </c>
      <c r="R171">
        <v>7291.2597514671843</v>
      </c>
      <c r="S171">
        <v>11105.082525010837</v>
      </c>
      <c r="T171">
        <v>14933.384950664169</v>
      </c>
      <c r="U171">
        <v>14551.211946454265</v>
      </c>
      <c r="V171">
        <v>13755.584441237686</v>
      </c>
      <c r="W171">
        <v>12707.401490362032</v>
      </c>
      <c r="X171">
        <v>11491.670418254376</v>
      </c>
      <c r="Y171">
        <v>10195.532723616994</v>
      </c>
      <c r="Z171">
        <v>4445.146968010511</v>
      </c>
    </row>
    <row r="172" spans="1:27" x14ac:dyDescent="0.2">
      <c r="A172" t="str">
        <v>AF sea level</v>
      </c>
      <c r="C172" s="26">
        <f ca="1"/>
        <v>0.46913937097107311</v>
      </c>
      <c r="D172" s="26">
        <f ca="1"/>
        <v>0.48714287046874044</v>
      </c>
      <c r="E172" s="26">
        <f ca="1"/>
        <v>0.5006115187602429</v>
      </c>
      <c r="F172" s="26">
        <f ca="1"/>
        <v>0.52745729222514692</v>
      </c>
      <c r="G172" s="26">
        <f ca="1"/>
        <v>0.55166965585849514</v>
      </c>
      <c r="H172" s="26">
        <f ca="1"/>
        <v>0.56305587954523195</v>
      </c>
      <c r="I172" s="26">
        <f ca="1"/>
        <v>0.55677539880900973</v>
      </c>
      <c r="J172" s="26">
        <f ca="1"/>
        <v>0.54395597256439432</v>
      </c>
      <c r="K172" s="26">
        <f ca="1"/>
        <v>0.5266961097185433</v>
      </c>
      <c r="L172" s="26">
        <f ca="1"/>
        <v>0.51257349626073134</v>
      </c>
      <c r="M172" s="6"/>
      <c r="N172" s="59" t="s">
        <v>132</v>
      </c>
      <c r="O172" s="6"/>
      <c r="Q172">
        <v>4501.7502722242107</v>
      </c>
      <c r="R172">
        <v>2916.6207490358252</v>
      </c>
      <c r="S172">
        <v>4215.9221401383056</v>
      </c>
      <c r="T172">
        <v>5122.2294028727401</v>
      </c>
      <c r="U172">
        <v>4547.7319500302301</v>
      </c>
      <c r="V172">
        <v>3945.426203751409</v>
      </c>
      <c r="W172">
        <v>3367.2888133269007</v>
      </c>
      <c r="X172">
        <v>2833.0082017673776</v>
      </c>
      <c r="Y172">
        <v>2338.562977083353</v>
      </c>
      <c r="Z172">
        <v>941.97398876251941</v>
      </c>
    </row>
    <row r="173" spans="1:27" x14ac:dyDescent="0.2">
      <c r="A173" t="str">
        <v>LA sea level</v>
      </c>
      <c r="C173" s="26">
        <f ca="1"/>
        <v>0.36063035718829728</v>
      </c>
      <c r="D173" s="26">
        <f ca="1"/>
        <v>0.37711824452469173</v>
      </c>
      <c r="E173" s="26">
        <f ca="1"/>
        <v>0.39170382941676535</v>
      </c>
      <c r="F173" s="26">
        <f ca="1"/>
        <v>0.42113252701173931</v>
      </c>
      <c r="G173" s="26">
        <f ca="1"/>
        <v>0.44849451721999495</v>
      </c>
      <c r="H173" s="26">
        <f ca="1"/>
        <v>0.46651089688254765</v>
      </c>
      <c r="I173" s="26">
        <f ca="1"/>
        <v>0.47490507831200957</v>
      </c>
      <c r="J173" s="26">
        <f ca="1"/>
        <v>0.476937401778595</v>
      </c>
      <c r="K173" s="26">
        <f ca="1"/>
        <v>0.47354400149802561</v>
      </c>
      <c r="L173" s="26">
        <f ca="1"/>
        <v>0.47158963970835055</v>
      </c>
      <c r="M173" s="6"/>
      <c r="N173" s="59" t="s">
        <v>132</v>
      </c>
    </row>
    <row r="174" spans="1:27" s="2" customFormat="1" ht="14.25" x14ac:dyDescent="0.25">
      <c r="A174" s="2" t="s">
        <v>224</v>
      </c>
      <c r="C174" s="2" t="s">
        <v>225</v>
      </c>
    </row>
    <row r="175" spans="1:27" ht="14.25" x14ac:dyDescent="0.2">
      <c r="A175" t="str">
        <f t="array" ref="A175:A182">R_CODE&amp;" sea level"</f>
        <v>EU sea level</v>
      </c>
      <c r="C175" s="29">
        <f t="array" ref="C175:L182" ca="1">(isat_s/100)*gdp_per_cap_after_costs</f>
        <v>142.732418915556</v>
      </c>
      <c r="D175" s="29">
        <f ca="1"/>
        <v>160.56332155960538</v>
      </c>
      <c r="E175" s="29">
        <f ca="1"/>
        <v>181.3591969627638</v>
      </c>
      <c r="F175" s="29">
        <f ca="1"/>
        <v>233.78241703616922</v>
      </c>
      <c r="G175" s="29">
        <f ca="1"/>
        <v>289.69560863263035</v>
      </c>
      <c r="H175" s="29">
        <f ca="1"/>
        <v>364.69807212775879</v>
      </c>
      <c r="I175" s="29">
        <f ca="1"/>
        <v>418.40835313860691</v>
      </c>
      <c r="J175" s="29">
        <f ca="1"/>
        <v>546.7213489815374</v>
      </c>
      <c r="K175" s="29">
        <f ca="1"/>
        <v>693.14681072976202</v>
      </c>
      <c r="L175" s="29">
        <f ca="1"/>
        <v>861.59892506419703</v>
      </c>
      <c r="M175" s="6"/>
      <c r="N175" s="1" t="str">
        <f t="shared" ref="N175:N182" si="3">CURRENCY_NAME&amp;"/"&amp;POP_UNIT_NAME</f>
        <v>$M(2015)/million</v>
      </c>
      <c r="O175" s="1"/>
      <c r="Q175">
        <f ca="1">C175*Q165</f>
        <v>532553.14930911816</v>
      </c>
      <c r="R175">
        <f t="shared" ref="R175:Z175" ca="1" si="4">D175*R165</f>
        <v>389551.14707313466</v>
      </c>
      <c r="S175">
        <f t="shared" ca="1" si="4"/>
        <v>644317.09902530897</v>
      </c>
      <c r="T175">
        <f t="shared" ca="1" si="4"/>
        <v>1055517.8667424088</v>
      </c>
      <c r="U175">
        <f t="shared" ca="1" si="4"/>
        <v>1250144.3895985058</v>
      </c>
      <c r="V175">
        <f t="shared" ca="1" si="4"/>
        <v>1502001.1400048488</v>
      </c>
      <c r="W175">
        <f t="shared" ca="1" si="4"/>
        <v>1628001.5092277464</v>
      </c>
      <c r="X175">
        <f t="shared" ca="1" si="4"/>
        <v>1988758.5739322621</v>
      </c>
      <c r="Y175">
        <f t="shared" ca="1" si="4"/>
        <v>2330430.887129046</v>
      </c>
      <c r="Z175">
        <f t="shared" ca="1" si="4"/>
        <v>1326612.5978290357</v>
      </c>
      <c r="AA175" s="330">
        <f ca="1">SUM(Q175:Z175)</f>
        <v>12647888.359871417</v>
      </c>
    </row>
    <row r="176" spans="1:27" ht="14.25" x14ac:dyDescent="0.2">
      <c r="A176" t="str">
        <v>US sea level</v>
      </c>
      <c r="C176" s="26">
        <f ca="1"/>
        <v>145.93859051754879</v>
      </c>
      <c r="D176" s="26">
        <f ca="1"/>
        <v>160.79273917459361</v>
      </c>
      <c r="E176" s="26">
        <f ca="1"/>
        <v>177.73853797931045</v>
      </c>
      <c r="F176" s="26">
        <f ca="1"/>
        <v>220.64532737384343</v>
      </c>
      <c r="G176" s="26">
        <f ca="1"/>
        <v>265.26029455958911</v>
      </c>
      <c r="H176" s="26">
        <f ca="1"/>
        <v>323.2950646803933</v>
      </c>
      <c r="I176" s="26">
        <f ca="1"/>
        <v>360.85049313017822</v>
      </c>
      <c r="J176" s="26">
        <f ca="1"/>
        <v>462.99084341642862</v>
      </c>
      <c r="K176" s="26">
        <f ca="1"/>
        <v>578.57352411105489</v>
      </c>
      <c r="L176" s="26">
        <f ca="1"/>
        <v>709.87537522798402</v>
      </c>
      <c r="M176" s="6"/>
      <c r="N176" s="1" t="str">
        <f t="shared" si="3"/>
        <v>$M(2015)/million</v>
      </c>
      <c r="O176" s="1"/>
      <c r="Q176">
        <f t="shared" ref="Q176:Q182" ca="1" si="5">C176*Q166</f>
        <v>360365.18421232438</v>
      </c>
      <c r="R176">
        <f t="shared" ref="R176:R182" ca="1" si="6">D176*R166</f>
        <v>266115.30819960072</v>
      </c>
      <c r="S176">
        <f t="shared" ref="S176:S182" ca="1" si="7">E176*S166</f>
        <v>443466.7301632482</v>
      </c>
      <c r="T176">
        <f t="shared" ref="T176:T182" ca="1" si="8">F176*T166</f>
        <v>736531.50455666392</v>
      </c>
      <c r="U176">
        <f t="shared" ref="U176:U182" ca="1" si="9">G176*U166</f>
        <v>885220.70472242637</v>
      </c>
      <c r="V176">
        <f t="shared" ref="V176:V182" ca="1" si="10">H176*V166</f>
        <v>1078632.010717459</v>
      </c>
      <c r="W176">
        <f t="shared" ref="W176:W182" ca="1" si="11">I176*W166</f>
        <v>1194968.389836519</v>
      </c>
      <c r="X176">
        <f t="shared" ref="X176:X182" ca="1" si="12">J176*X166</f>
        <v>1504438.5697969703</v>
      </c>
      <c r="Y176">
        <f t="shared" ref="Y176:Y182" ca="1" si="13">K176*Y166</f>
        <v>1815648.1045688218</v>
      </c>
      <c r="Z176">
        <f t="shared" ref="Z176:Z182" ca="1" si="14">L176*Z166</f>
        <v>1057783.4984149951</v>
      </c>
      <c r="AA176" s="330">
        <f ca="1">SUM(Q176:Z176)</f>
        <v>9343170.0051890295</v>
      </c>
    </row>
    <row r="177" spans="1:27" ht="14.25" x14ac:dyDescent="0.2">
      <c r="A177" t="str">
        <v>OT sea level</v>
      </c>
      <c r="C177" s="26">
        <f ca="1"/>
        <v>107.89836221842717</v>
      </c>
      <c r="D177" s="26">
        <f ca="1"/>
        <v>120.81840593079501</v>
      </c>
      <c r="E177" s="26">
        <f ca="1"/>
        <v>136.41703160505136</v>
      </c>
      <c r="F177" s="26">
        <f ca="1"/>
        <v>176.47461004382342</v>
      </c>
      <c r="G177" s="26">
        <f ca="1"/>
        <v>220.72537593413125</v>
      </c>
      <c r="H177" s="26">
        <f ca="1"/>
        <v>279.77665139272221</v>
      </c>
      <c r="I177" s="26">
        <f ca="1"/>
        <v>323.10147737656928</v>
      </c>
      <c r="J177" s="26">
        <f ca="1"/>
        <v>425.36533312214431</v>
      </c>
      <c r="K177" s="26">
        <f ca="1"/>
        <v>542.32755636803631</v>
      </c>
      <c r="L177" s="26">
        <f ca="1"/>
        <v>676.66238887323709</v>
      </c>
      <c r="M177" s="6"/>
      <c r="N177" s="1" t="str">
        <f t="shared" si="3"/>
        <v>$M(2015)/million</v>
      </c>
      <c r="O177" s="1"/>
      <c r="Q177">
        <f t="shared" ca="1" si="5"/>
        <v>241605.46920518752</v>
      </c>
      <c r="R177">
        <f t="shared" ca="1" si="6"/>
        <v>176227.11856000463</v>
      </c>
      <c r="S177">
        <f t="shared" ca="1" si="7"/>
        <v>290945.16584864381</v>
      </c>
      <c r="T177">
        <f t="shared" ca="1" si="8"/>
        <v>474072.75360528601</v>
      </c>
      <c r="U177">
        <f t="shared" ca="1" si="9"/>
        <v>557747.10050295002</v>
      </c>
      <c r="V177">
        <f t="shared" ca="1" si="10"/>
        <v>661493.78820596088</v>
      </c>
      <c r="W177">
        <f t="shared" ca="1" si="11"/>
        <v>704672.17186900473</v>
      </c>
      <c r="X177">
        <f t="shared" ca="1" si="12"/>
        <v>844264.54717211029</v>
      </c>
      <c r="Y177">
        <f t="shared" ca="1" si="13"/>
        <v>965744.52246272808</v>
      </c>
      <c r="Z177">
        <f t="shared" ca="1" si="14"/>
        <v>534142.9273937114</v>
      </c>
      <c r="AA177" s="331">
        <f t="shared" ref="AA177:AA183" ca="1" si="15">SUM(Q177:Z177)</f>
        <v>5450915.564825587</v>
      </c>
    </row>
    <row r="178" spans="1:27" ht="14.25" x14ac:dyDescent="0.2">
      <c r="A178" t="str">
        <v>EE sea level</v>
      </c>
      <c r="C178" s="26">
        <f ca="1"/>
        <v>33.521586054201364</v>
      </c>
      <c r="D178" s="26">
        <f ca="1"/>
        <v>40.200203409337334</v>
      </c>
      <c r="E178" s="26">
        <f ca="1"/>
        <v>48.197751016746992</v>
      </c>
      <c r="F178" s="26">
        <f ca="1"/>
        <v>67.277754870569083</v>
      </c>
      <c r="G178" s="26">
        <f ca="1"/>
        <v>86.198218054968677</v>
      </c>
      <c r="H178" s="26">
        <f ca="1"/>
        <v>110.30530182218811</v>
      </c>
      <c r="I178" s="26">
        <f ca="1"/>
        <v>129.95099467143422</v>
      </c>
      <c r="J178" s="26">
        <f ca="1"/>
        <v>172.84146870007453</v>
      </c>
      <c r="K178" s="26">
        <f ca="1"/>
        <v>224.14571423492529</v>
      </c>
      <c r="L178" s="26">
        <f ca="1"/>
        <v>284.21862218028252</v>
      </c>
      <c r="M178" s="6"/>
      <c r="N178" s="1" t="str">
        <f t="shared" si="3"/>
        <v>$M(2015)/million</v>
      </c>
      <c r="O178" s="1"/>
      <c r="Q178">
        <f t="shared" ca="1" si="5"/>
        <v>66718.587827741256</v>
      </c>
      <c r="R178">
        <f t="shared" ca="1" si="6"/>
        <v>50451.334413051227</v>
      </c>
      <c r="S178">
        <f t="shared" ca="1" si="7"/>
        <v>85615.448502179162</v>
      </c>
      <c r="T178">
        <f t="shared" ca="1" si="8"/>
        <v>141788.19702036731</v>
      </c>
      <c r="U178">
        <f t="shared" ca="1" si="9"/>
        <v>159763.37152275624</v>
      </c>
      <c r="V178">
        <f t="shared" ca="1" si="10"/>
        <v>177359.96304788027</v>
      </c>
      <c r="W178">
        <f t="shared" ca="1" si="11"/>
        <v>178775.65762417641</v>
      </c>
      <c r="X178">
        <f t="shared" ca="1" si="12"/>
        <v>199578.71620211698</v>
      </c>
      <c r="Y178">
        <f t="shared" ca="1" si="13"/>
        <v>213646.70261537778</v>
      </c>
      <c r="Z178">
        <f t="shared" ca="1" si="14"/>
        <v>110399.38059586911</v>
      </c>
      <c r="AA178" s="331">
        <f t="shared" ca="1" si="15"/>
        <v>1384097.3593715159</v>
      </c>
    </row>
    <row r="179" spans="1:27" ht="14.25" x14ac:dyDescent="0.2">
      <c r="A179" t="str">
        <v>CA sea level</v>
      </c>
      <c r="C179" s="26">
        <f ca="1"/>
        <v>87.258541921734093</v>
      </c>
      <c r="D179" s="26">
        <f ca="1"/>
        <v>119.67030336798138</v>
      </c>
      <c r="E179" s="26">
        <f ca="1"/>
        <v>158.02422812154779</v>
      </c>
      <c r="F179" s="26">
        <f ca="1"/>
        <v>249.88416958218724</v>
      </c>
      <c r="G179" s="26">
        <f ca="1"/>
        <v>357.17184483997596</v>
      </c>
      <c r="H179" s="26">
        <f ca="1"/>
        <v>464.55734839699511</v>
      </c>
      <c r="I179" s="26">
        <f ca="1"/>
        <v>577.82577760460401</v>
      </c>
      <c r="J179" s="26">
        <f ca="1"/>
        <v>699.77699295678269</v>
      </c>
      <c r="K179" s="26">
        <f ca="1"/>
        <v>837.7074449066215</v>
      </c>
      <c r="L179" s="26">
        <f ca="1"/>
        <v>1003.3514654420612</v>
      </c>
      <c r="M179" s="6"/>
      <c r="N179" s="1" t="str">
        <f t="shared" si="3"/>
        <v>$M(2015)/million</v>
      </c>
      <c r="O179" s="1"/>
      <c r="Q179">
        <f t="shared" ca="1" si="5"/>
        <v>857455.26241516671</v>
      </c>
      <c r="R179">
        <f t="shared" ca="1" si="6"/>
        <v>744709.4977910961</v>
      </c>
      <c r="S179">
        <f t="shared" ca="1" si="7"/>
        <v>1390168.5263447093</v>
      </c>
      <c r="T179">
        <f t="shared" ca="1" si="8"/>
        <v>2549065.4439608278</v>
      </c>
      <c r="U179">
        <f t="shared" ca="1" si="9"/>
        <v>3079665.5911438023</v>
      </c>
      <c r="V179">
        <f t="shared" ca="1" si="10"/>
        <v>3302600.6884033564</v>
      </c>
      <c r="W179">
        <f t="shared" ca="1" si="11"/>
        <v>3319236.9537297264</v>
      </c>
      <c r="X179">
        <f t="shared" ca="1" si="12"/>
        <v>3198995.048295687</v>
      </c>
      <c r="Y179">
        <f t="shared" ca="1" si="13"/>
        <v>2991824.9381628297</v>
      </c>
      <c r="Z179">
        <f t="shared" ca="1" si="14"/>
        <v>1367163.2550581454</v>
      </c>
      <c r="AA179" s="331">
        <f t="shared" ca="1" si="15"/>
        <v>22800885.205305349</v>
      </c>
    </row>
    <row r="180" spans="1:27" ht="14.25" x14ac:dyDescent="0.2">
      <c r="A180" t="str">
        <v>IA sea level</v>
      </c>
      <c r="C180" s="26">
        <f ca="1"/>
        <v>46.82891117071906</v>
      </c>
      <c r="D180" s="26">
        <f ca="1"/>
        <v>62.740110711308702</v>
      </c>
      <c r="E180" s="26">
        <f ca="1"/>
        <v>82.889550993035044</v>
      </c>
      <c r="F180" s="26">
        <f ca="1"/>
        <v>138.09925909455961</v>
      </c>
      <c r="G180" s="26">
        <f ca="1"/>
        <v>213.13377985786818</v>
      </c>
      <c r="H180" s="26">
        <f ca="1"/>
        <v>301.79379110231076</v>
      </c>
      <c r="I180" s="26">
        <f ca="1"/>
        <v>405.04771204968671</v>
      </c>
      <c r="J180" s="26">
        <f ca="1"/>
        <v>526.22293888944739</v>
      </c>
      <c r="K180" s="26">
        <f ca="1"/>
        <v>671.30848586368904</v>
      </c>
      <c r="L180" s="26">
        <f ca="1"/>
        <v>850.43029720363154</v>
      </c>
      <c r="M180" s="6"/>
      <c r="N180" s="1" t="str">
        <f t="shared" si="3"/>
        <v>$M(2015)/million</v>
      </c>
      <c r="O180" s="1"/>
      <c r="Q180">
        <f t="shared" ca="1" si="5"/>
        <v>852897.70889468805</v>
      </c>
      <c r="R180">
        <f t="shared" ca="1" si="6"/>
        <v>750844.87525396969</v>
      </c>
      <c r="S180">
        <f t="shared" ca="1" si="7"/>
        <v>1453593.8338594821</v>
      </c>
      <c r="T180">
        <f t="shared" ca="1" si="8"/>
        <v>3024170.6050143936</v>
      </c>
      <c r="U180">
        <f t="shared" ca="1" si="9"/>
        <v>4253682.7103524031</v>
      </c>
      <c r="V180">
        <f t="shared" ca="1" si="10"/>
        <v>5348430.2844844684</v>
      </c>
      <c r="W180">
        <f t="shared" ca="1" si="11"/>
        <v>6225884.3147559064</v>
      </c>
      <c r="X180">
        <f t="shared" ca="1" si="12"/>
        <v>6858370.8388233874</v>
      </c>
      <c r="Y180">
        <f t="shared" ca="1" si="13"/>
        <v>7261094.238926339</v>
      </c>
      <c r="Z180">
        <f t="shared" ca="1" si="14"/>
        <v>3746292.6124254637</v>
      </c>
      <c r="AA180" s="331">
        <f t="shared" ca="1" si="15"/>
        <v>39775262.022790499</v>
      </c>
    </row>
    <row r="181" spans="1:27" ht="14.25" x14ac:dyDescent="0.2">
      <c r="A181" t="str">
        <v>AF sea level</v>
      </c>
      <c r="C181" s="26">
        <f ca="1"/>
        <v>29.520775345890453</v>
      </c>
      <c r="D181" s="26">
        <f ca="1"/>
        <v>36.997855169134468</v>
      </c>
      <c r="E181" s="26">
        <f ca="1"/>
        <v>46.905555232408041</v>
      </c>
      <c r="F181" s="26">
        <f ca="1"/>
        <v>75.898570923541882</v>
      </c>
      <c r="G181" s="26">
        <f ca="1"/>
        <v>117.82362108197822</v>
      </c>
      <c r="H181" s="26">
        <f ca="1"/>
        <v>169.50985359706584</v>
      </c>
      <c r="I181" s="26">
        <f ca="1"/>
        <v>236.97219449011152</v>
      </c>
      <c r="J181" s="26">
        <f ca="1"/>
        <v>321.54061565988565</v>
      </c>
      <c r="K181" s="26">
        <f ca="1"/>
        <v>427.91458291765196</v>
      </c>
      <c r="L181" s="26">
        <f ca="1"/>
        <v>564.81641817220066</v>
      </c>
      <c r="M181" s="6"/>
      <c r="N181" s="1" t="str">
        <f t="shared" si="3"/>
        <v>$M(2015)/million</v>
      </c>
      <c r="O181" s="6"/>
      <c r="Q181">
        <f t="shared" ca="1" si="5"/>
        <v>314398.32689268899</v>
      </c>
      <c r="R181">
        <f t="shared" ca="1" si="6"/>
        <v>269760.97228532226</v>
      </c>
      <c r="S181">
        <f t="shared" ca="1" si="7"/>
        <v>520890.06173734518</v>
      </c>
      <c r="T181">
        <f t="shared" ca="1" si="8"/>
        <v>1133422.5768065373</v>
      </c>
      <c r="U181">
        <f t="shared" ca="1" si="9"/>
        <v>1714476.4826625821</v>
      </c>
      <c r="V181">
        <f t="shared" ca="1" si="10"/>
        <v>2331707.1047762767</v>
      </c>
      <c r="W181">
        <f t="shared" ca="1" si="11"/>
        <v>3011300.8174380045</v>
      </c>
      <c r="X181">
        <f t="shared" ca="1" si="12"/>
        <v>3695038.7812460079</v>
      </c>
      <c r="Y181">
        <f t="shared" ca="1" si="13"/>
        <v>4362817.1330498382</v>
      </c>
      <c r="Z181">
        <f t="shared" ca="1" si="14"/>
        <v>2510691.9887207146</v>
      </c>
      <c r="AA181" s="331">
        <f t="shared" ca="1" si="15"/>
        <v>19864504.245615318</v>
      </c>
    </row>
    <row r="182" spans="1:27" ht="14.25" x14ac:dyDescent="0.2">
      <c r="A182" t="str">
        <v>LA sea level</v>
      </c>
      <c r="C182" s="26">
        <f ca="1"/>
        <v>54.536444980464836</v>
      </c>
      <c r="D182" s="26">
        <f ca="1"/>
        <v>67.234745456005669</v>
      </c>
      <c r="E182" s="26">
        <f ca="1"/>
        <v>83.142803264877131</v>
      </c>
      <c r="F182" s="26">
        <f ca="1"/>
        <v>128.33943790193291</v>
      </c>
      <c r="G182" s="26">
        <f ca="1"/>
        <v>191.00743328918236</v>
      </c>
      <c r="H182" s="26">
        <f ca="1"/>
        <v>262.90827825695595</v>
      </c>
      <c r="I182" s="26">
        <f ca="1"/>
        <v>343.45373719888522</v>
      </c>
      <c r="J182" s="26">
        <f ca="1"/>
        <v>436.99321910712166</v>
      </c>
      <c r="K182" s="26">
        <f ca="1"/>
        <v>548.47464100396815</v>
      </c>
      <c r="L182" s="26">
        <f ca="1"/>
        <v>686.04887634596002</v>
      </c>
      <c r="M182" s="6"/>
      <c r="N182" s="1" t="str">
        <f t="shared" si="3"/>
        <v>$M(2015)/million</v>
      </c>
      <c r="O182" s="1"/>
      <c r="Q182">
        <f t="shared" ca="1" si="5"/>
        <v>245509.45603694825</v>
      </c>
      <c r="R182">
        <f t="shared" ca="1" si="6"/>
        <v>196098.25365312828</v>
      </c>
      <c r="S182">
        <f t="shared" ca="1" si="7"/>
        <v>350523.58507755888</v>
      </c>
      <c r="T182">
        <f t="shared" ca="1" si="8"/>
        <v>657384.0423694409</v>
      </c>
      <c r="U182">
        <f t="shared" ca="1" si="9"/>
        <v>868650.60706248239</v>
      </c>
      <c r="V182">
        <f t="shared" ca="1" si="10"/>
        <v>1037285.2102181609</v>
      </c>
      <c r="W182">
        <f t="shared" ca="1" si="11"/>
        <v>1156507.9271651234</v>
      </c>
      <c r="X182">
        <f t="shared" ca="1" si="12"/>
        <v>1238005.3738472043</v>
      </c>
      <c r="Y182">
        <f t="shared" ca="1" si="13"/>
        <v>1282642.4893209629</v>
      </c>
      <c r="Z182">
        <f t="shared" ca="1" si="14"/>
        <v>646240.19653764844</v>
      </c>
      <c r="AA182" s="331">
        <f t="shared" ca="1" si="15"/>
        <v>7678847.1412886586</v>
      </c>
    </row>
    <row r="183" spans="1:27" s="2" customFormat="1" ht="14.25" x14ac:dyDescent="0.25">
      <c r="A183" s="2" t="s">
        <v>226</v>
      </c>
      <c r="C183" s="2" t="s">
        <v>227</v>
      </c>
      <c r="AA183" s="332">
        <f ca="1">_xll.RiskOutput("SLR")+SUM(AA175:AA182)</f>
        <v>118945569.90425737</v>
      </c>
    </row>
    <row r="184" spans="1:27" x14ac:dyDescent="0.2">
      <c r="A184" t="str">
        <f t="array" ref="A184:A191">R_CODE&amp;" sea level"</f>
        <v>EU sea level</v>
      </c>
      <c r="C184" s="29">
        <f t="array" ref="C184:L191" ca="1">cons_per_cap_after_costs-isat_s_per_cap</f>
        <v>33747.806423192305</v>
      </c>
      <c r="D184" s="29">
        <f ca="1"/>
        <v>37739.006589679753</v>
      </c>
      <c r="E184" s="29">
        <f ca="1"/>
        <v>42266.370821387391</v>
      </c>
      <c r="F184" s="29">
        <f ca="1"/>
        <v>52623.681310535787</v>
      </c>
      <c r="G184" s="29">
        <f ca="1"/>
        <v>63689.435963320342</v>
      </c>
      <c r="H184" s="29">
        <f ca="1"/>
        <v>75755.604143177741</v>
      </c>
      <c r="I184" s="29">
        <f ca="1"/>
        <v>90824.79548936931</v>
      </c>
      <c r="J184" s="29">
        <f ca="1"/>
        <v>108486.08241253083</v>
      </c>
      <c r="K184" s="29">
        <f ca="1"/>
        <v>129531.38764572535</v>
      </c>
      <c r="L184" s="29">
        <f ca="1"/>
        <v>155086.0427514585</v>
      </c>
      <c r="M184" s="6"/>
      <c r="N184" s="1" t="str">
        <f t="shared" ref="N184:N191" si="16">CURRENCY_NAME&amp;"/"&amp;POP_UNIT_NAME</f>
        <v>$M(2015)/million</v>
      </c>
      <c r="O184" s="1"/>
    </row>
    <row r="185" spans="1:27" x14ac:dyDescent="0.2">
      <c r="A185" t="str">
        <v>US sea level</v>
      </c>
      <c r="C185" s="26">
        <f ca="1"/>
        <v>47971.61330097077</v>
      </c>
      <c r="D185" s="26">
        <f ca="1"/>
        <v>52074.375760690753</v>
      </c>
      <c r="E185" s="26">
        <f ca="1"/>
        <v>56548.755791815587</v>
      </c>
      <c r="F185" s="26">
        <f ca="1"/>
        <v>66716.565342303322</v>
      </c>
      <c r="G185" s="26">
        <f ca="1"/>
        <v>77325.546442576218</v>
      </c>
      <c r="H185" s="26">
        <f ca="1"/>
        <v>87818.108405299907</v>
      </c>
      <c r="I185" s="26">
        <f ca="1"/>
        <v>101223.02304283944</v>
      </c>
      <c r="J185" s="26">
        <f ca="1"/>
        <v>117804.7489767915</v>
      </c>
      <c r="K185" s="26">
        <f ca="1"/>
        <v>137790.94887166965</v>
      </c>
      <c r="L185" s="26">
        <f ca="1"/>
        <v>161937.07316703215</v>
      </c>
      <c r="M185" s="6"/>
      <c r="N185" s="1" t="str">
        <f t="shared" si="16"/>
        <v>$M(2015)/million</v>
      </c>
      <c r="O185" s="1"/>
    </row>
    <row r="186" spans="1:27" x14ac:dyDescent="0.2">
      <c r="A186" t="str">
        <v>OT sea level</v>
      </c>
      <c r="C186" s="26">
        <f ca="1"/>
        <v>31148.491581519833</v>
      </c>
      <c r="D186" s="26">
        <f ca="1"/>
        <v>34603.175245694722</v>
      </c>
      <c r="E186" s="26">
        <f ca="1"/>
        <v>38734.474783892125</v>
      </c>
      <c r="F186" s="26">
        <f ca="1"/>
        <v>48473.018511988696</v>
      </c>
      <c r="G186" s="26">
        <f ca="1"/>
        <v>59452.803490449609</v>
      </c>
      <c r="H186" s="26">
        <f ca="1"/>
        <v>71414.31720246558</v>
      </c>
      <c r="I186" s="26">
        <f ca="1"/>
        <v>86426.995720425257</v>
      </c>
      <c r="J186" s="26">
        <f ca="1"/>
        <v>104355.0560330851</v>
      </c>
      <c r="K186" s="26">
        <f ca="1"/>
        <v>125611.96602085343</v>
      </c>
      <c r="L186" s="26">
        <f ca="1"/>
        <v>151209.16215853943</v>
      </c>
      <c r="M186" s="6"/>
      <c r="N186" s="1" t="str">
        <f t="shared" si="16"/>
        <v>$M(2015)/million</v>
      </c>
      <c r="O186" s="1"/>
    </row>
    <row r="187" spans="1:27" x14ac:dyDescent="0.2">
      <c r="A187" t="str">
        <v>EE sea level</v>
      </c>
      <c r="C187" s="26">
        <f ca="1"/>
        <v>15804.824153126972</v>
      </c>
      <c r="D187" s="26">
        <f ca="1"/>
        <v>19366.482428698986</v>
      </c>
      <c r="E187" s="26">
        <f ca="1"/>
        <v>23620.754827405799</v>
      </c>
      <c r="F187" s="26">
        <f ca="1"/>
        <v>32955.995066638454</v>
      </c>
      <c r="G187" s="26">
        <f ca="1"/>
        <v>41837.708636783165</v>
      </c>
      <c r="H187" s="26">
        <f ca="1"/>
        <v>50949.142761074123</v>
      </c>
      <c r="I187" s="26">
        <f ca="1"/>
        <v>63436.513283485947</v>
      </c>
      <c r="J187" s="26">
        <f ca="1"/>
        <v>77736.314522269502</v>
      </c>
      <c r="K187" s="26">
        <f ca="1"/>
        <v>95883.383367798786</v>
      </c>
      <c r="L187" s="26">
        <f ca="1"/>
        <v>118126.05062054531</v>
      </c>
      <c r="M187" s="6"/>
      <c r="N187" s="1" t="str">
        <f t="shared" si="16"/>
        <v>$M(2015)/million</v>
      </c>
      <c r="O187" s="1"/>
    </row>
    <row r="188" spans="1:27" x14ac:dyDescent="0.2">
      <c r="A188" t="str">
        <v>CA sea level</v>
      </c>
      <c r="C188" s="26">
        <f ca="1"/>
        <v>16591.401976309855</v>
      </c>
      <c r="D188" s="26">
        <f ca="1"/>
        <v>22776.085821801124</v>
      </c>
      <c r="E188" s="26">
        <f ca="1"/>
        <v>29780.406037186502</v>
      </c>
      <c r="F188" s="26">
        <f ca="1"/>
        <v>44241.342384070937</v>
      </c>
      <c r="G188" s="26">
        <f ca="1"/>
        <v>58331.240170930992</v>
      </c>
      <c r="H188" s="26">
        <f ca="1"/>
        <v>71161.401084963887</v>
      </c>
      <c r="I188" s="26">
        <f ca="1"/>
        <v>85116.425014984954</v>
      </c>
      <c r="J188" s="26">
        <f ca="1"/>
        <v>100474.40617548073</v>
      </c>
      <c r="K188" s="26">
        <f ca="1"/>
        <v>118697.73407235541</v>
      </c>
      <c r="L188" s="26">
        <f ca="1"/>
        <v>140113.9130941316</v>
      </c>
      <c r="M188" s="6"/>
      <c r="N188" s="1" t="str">
        <f t="shared" si="16"/>
        <v>$M(2015)/million</v>
      </c>
      <c r="O188" s="1"/>
    </row>
    <row r="189" spans="1:27" x14ac:dyDescent="0.2">
      <c r="A189" t="str">
        <v>IA sea level</v>
      </c>
      <c r="C189" s="26">
        <f ca="1"/>
        <v>6808.4801338338739</v>
      </c>
      <c r="D189" s="26">
        <f ca="1"/>
        <v>9039.0084040906149</v>
      </c>
      <c r="E189" s="26">
        <f ca="1"/>
        <v>11827.039709016448</v>
      </c>
      <c r="F189" s="26">
        <f ca="1"/>
        <v>18931.849589819216</v>
      </c>
      <c r="G189" s="26">
        <f ca="1"/>
        <v>27856.130539915895</v>
      </c>
      <c r="H189" s="26">
        <f ca="1"/>
        <v>38375.630201124681</v>
      </c>
      <c r="I189" s="26">
        <f ca="1"/>
        <v>51181.487418895937</v>
      </c>
      <c r="J189" s="26">
        <f ca="1"/>
        <v>66806.629859502296</v>
      </c>
      <c r="K189" s="26">
        <f ca="1"/>
        <v>86447.240943844503</v>
      </c>
      <c r="L189" s="26">
        <f ca="1"/>
        <v>110575.99519254474</v>
      </c>
      <c r="M189" s="6"/>
      <c r="N189" s="1" t="str">
        <f t="shared" si="16"/>
        <v>$M(2015)/million</v>
      </c>
      <c r="O189" s="1"/>
    </row>
    <row r="190" spans="1:27" x14ac:dyDescent="0.2">
      <c r="A190" t="str">
        <v>AF sea level</v>
      </c>
      <c r="C190" s="26">
        <f ca="1"/>
        <v>5319.1369150260571</v>
      </c>
      <c r="D190" s="26">
        <f ca="1"/>
        <v>6418.6394537591705</v>
      </c>
      <c r="E190" s="26">
        <f ca="1"/>
        <v>7917.2983141239383</v>
      </c>
      <c r="F190" s="26">
        <f ca="1"/>
        <v>12155.193165973456</v>
      </c>
      <c r="G190" s="26">
        <f ca="1"/>
        <v>18036.170686223239</v>
      </c>
      <c r="H190" s="26">
        <f ca="1"/>
        <v>25420.024114839423</v>
      </c>
      <c r="I190" s="26">
        <f ca="1"/>
        <v>35940.338395644263</v>
      </c>
      <c r="J190" s="26">
        <f ca="1"/>
        <v>49923.247031845538</v>
      </c>
      <c r="K190" s="26">
        <f ca="1"/>
        <v>68630.388443921358</v>
      </c>
      <c r="L190" s="26">
        <f ca="1"/>
        <v>93098.620913000428</v>
      </c>
      <c r="M190" s="6"/>
      <c r="N190" s="1" t="str">
        <f t="shared" si="16"/>
        <v>$M(2015)/million</v>
      </c>
      <c r="O190" s="6"/>
    </row>
    <row r="191" spans="1:27" x14ac:dyDescent="0.2">
      <c r="A191" t="str">
        <v>LA sea level</v>
      </c>
      <c r="C191" s="26">
        <f ca="1"/>
        <v>12799.616653725834</v>
      </c>
      <c r="D191" s="26">
        <f ca="1"/>
        <v>15087.03966776798</v>
      </c>
      <c r="E191" s="26">
        <f ca="1"/>
        <v>17958.902606496122</v>
      </c>
      <c r="F191" s="26">
        <f ca="1"/>
        <v>25775.269335970352</v>
      </c>
      <c r="G191" s="26">
        <f ca="1"/>
        <v>36009.283108092444</v>
      </c>
      <c r="H191" s="26">
        <f ca="1"/>
        <v>47639.946298508825</v>
      </c>
      <c r="I191" s="26">
        <f ca="1"/>
        <v>61128.973059478274</v>
      </c>
      <c r="J191" s="26">
        <f ca="1"/>
        <v>77444.136433518885</v>
      </c>
      <c r="K191" s="26">
        <f ca="1"/>
        <v>97901.393455428188</v>
      </c>
      <c r="L191" s="26">
        <f ca="1"/>
        <v>122968.39468918773</v>
      </c>
      <c r="M191" s="6"/>
      <c r="N191" s="1" t="str">
        <f t="shared" si="16"/>
        <v>$M(2015)/million</v>
      </c>
      <c r="O191" s="1"/>
    </row>
    <row r="192" spans="1:27" s="2" customFormat="1" ht="14.25" x14ac:dyDescent="0.25">
      <c r="A192" s="2" t="s">
        <v>228</v>
      </c>
      <c r="C192" s="2" t="s">
        <v>229</v>
      </c>
    </row>
    <row r="193" spans="1:17" x14ac:dyDescent="0.2">
      <c r="A193" t="str">
        <f t="array" ref="A193:A200">R_CODE&amp;" sea level"</f>
        <v>EU sea level</v>
      </c>
      <c r="C193" s="29">
        <f t="array" ref="C193:L200" ca="1" xml:space="preserve"> rcons_s_per_cap/(1-SAVE/100)</f>
        <v>39703.301674343893</v>
      </c>
      <c r="D193" s="29">
        <f ca="1"/>
        <v>44398.831281976185</v>
      </c>
      <c r="E193" s="29">
        <f ca="1"/>
        <v>49725.142142808698</v>
      </c>
      <c r="F193" s="29">
        <f ca="1"/>
        <v>61910.213306512691</v>
      </c>
      <c r="G193" s="29">
        <f ca="1"/>
        <v>74928.748192141575</v>
      </c>
      <c r="H193" s="29">
        <f ca="1"/>
        <v>89124.240168444405</v>
      </c>
      <c r="I193" s="29">
        <f ca="1"/>
        <v>106852.7005757286</v>
      </c>
      <c r="J193" s="29">
        <f ca="1"/>
        <v>127630.68519121275</v>
      </c>
      <c r="K193" s="29">
        <f ca="1"/>
        <v>152389.86781850041</v>
      </c>
      <c r="L193" s="29">
        <f ca="1"/>
        <v>182454.16794289235</v>
      </c>
      <c r="M193" s="6"/>
      <c r="N193" s="1" t="str">
        <f t="shared" ref="N193:N200" si="17">CURRENCY_NAME&amp;"/"&amp;POP_UNIT_NAME</f>
        <v>$M(2015)/million</v>
      </c>
      <c r="O193" s="1"/>
    </row>
    <row r="194" spans="1:17" x14ac:dyDescent="0.2">
      <c r="A194" t="str">
        <v>US sea level</v>
      </c>
      <c r="C194" s="26">
        <f ca="1"/>
        <v>56437.192118789142</v>
      </c>
      <c r="D194" s="26">
        <f ca="1"/>
        <v>61263.971483165595</v>
      </c>
      <c r="E194" s="26">
        <f ca="1"/>
        <v>66527.947990371278</v>
      </c>
      <c r="F194" s="26">
        <f ca="1"/>
        <v>78490.076873298021</v>
      </c>
      <c r="G194" s="26">
        <f ca="1"/>
        <v>90971.231108913198</v>
      </c>
      <c r="H194" s="26">
        <f ca="1"/>
        <v>103315.421653294</v>
      </c>
      <c r="I194" s="26">
        <f ca="1"/>
        <v>119085.90946216405</v>
      </c>
      <c r="J194" s="26">
        <f ca="1"/>
        <v>138593.82232563707</v>
      </c>
      <c r="K194" s="26">
        <f ca="1"/>
        <v>162106.99867255252</v>
      </c>
      <c r="L194" s="26">
        <f ca="1"/>
        <v>190514.20372592018</v>
      </c>
      <c r="M194" s="6"/>
      <c r="N194" s="1" t="str">
        <f t="shared" si="17"/>
        <v>$M(2015)/million</v>
      </c>
      <c r="O194" s="1"/>
    </row>
    <row r="195" spans="1:17" x14ac:dyDescent="0.2">
      <c r="A195" t="str">
        <v>OT sea level</v>
      </c>
      <c r="C195" s="26">
        <f ca="1"/>
        <v>36645.284213552746</v>
      </c>
      <c r="D195" s="26">
        <f ca="1"/>
        <v>40709.617936111441</v>
      </c>
      <c r="E195" s="26">
        <f ca="1"/>
        <v>45569.970333990736</v>
      </c>
      <c r="F195" s="26">
        <f ca="1"/>
        <v>57027.080602339644</v>
      </c>
      <c r="G195" s="26">
        <f ca="1"/>
        <v>69944.474694646604</v>
      </c>
      <c r="H195" s="26">
        <f ca="1"/>
        <v>84016.843767606566</v>
      </c>
      <c r="I195" s="26">
        <f ca="1"/>
        <v>101678.81849461795</v>
      </c>
      <c r="J195" s="26">
        <f ca="1"/>
        <v>122770.65415657072</v>
      </c>
      <c r="K195" s="26">
        <f ca="1"/>
        <v>147778.78355394522</v>
      </c>
      <c r="L195" s="26">
        <f ca="1"/>
        <v>177893.13195122287</v>
      </c>
      <c r="M195" s="6"/>
      <c r="N195" s="1" t="str">
        <f t="shared" si="17"/>
        <v>$M(2015)/million</v>
      </c>
      <c r="O195" s="1"/>
    </row>
    <row r="196" spans="1:17" x14ac:dyDescent="0.2">
      <c r="A196" t="str">
        <v>EE sea level</v>
      </c>
      <c r="C196" s="26">
        <f ca="1"/>
        <v>18593.910768384674</v>
      </c>
      <c r="D196" s="26">
        <f ca="1"/>
        <v>22784.096974939985</v>
      </c>
      <c r="E196" s="26">
        <f ca="1"/>
        <v>27789.123326359764</v>
      </c>
      <c r="F196" s="26">
        <f ca="1"/>
        <v>38771.758901927591</v>
      </c>
      <c r="G196" s="26">
        <f ca="1"/>
        <v>49220.833690333136</v>
      </c>
      <c r="H196" s="26">
        <f ca="1"/>
        <v>59940.167954204851</v>
      </c>
      <c r="I196" s="26">
        <f ca="1"/>
        <v>74631.192098218758</v>
      </c>
      <c r="J196" s="26">
        <f ca="1"/>
        <v>91454.487673258234</v>
      </c>
      <c r="K196" s="26">
        <f ca="1"/>
        <v>112803.98043270445</v>
      </c>
      <c r="L196" s="26">
        <f ca="1"/>
        <v>138971.82425946507</v>
      </c>
      <c r="M196" s="6"/>
      <c r="N196" s="1" t="str">
        <f t="shared" si="17"/>
        <v>$M(2015)/million</v>
      </c>
      <c r="O196" s="1"/>
    </row>
    <row r="197" spans="1:17" x14ac:dyDescent="0.2">
      <c r="A197" t="str">
        <v>CA sea level</v>
      </c>
      <c r="C197" s="26">
        <f ca="1"/>
        <v>19519.296442717477</v>
      </c>
      <c r="D197" s="26">
        <f ca="1"/>
        <v>26795.395084471911</v>
      </c>
      <c r="E197" s="26">
        <f ca="1"/>
        <v>35035.771808454709</v>
      </c>
      <c r="F197" s="26">
        <f ca="1"/>
        <v>52048.638098906988</v>
      </c>
      <c r="G197" s="26">
        <f ca="1"/>
        <v>68624.988436389409</v>
      </c>
      <c r="H197" s="26">
        <f ca="1"/>
        <v>83719.295394075161</v>
      </c>
      <c r="I197" s="26">
        <f ca="1"/>
        <v>100136.97060586466</v>
      </c>
      <c r="J197" s="26">
        <f ca="1"/>
        <v>118205.1837358597</v>
      </c>
      <c r="K197" s="26">
        <f ca="1"/>
        <v>139644.39302630047</v>
      </c>
      <c r="L197" s="26">
        <f ca="1"/>
        <v>164839.8977578019</v>
      </c>
      <c r="M197" s="6"/>
      <c r="N197" s="1" t="str">
        <f t="shared" si="17"/>
        <v>$M(2015)/million</v>
      </c>
      <c r="O197" s="1"/>
    </row>
    <row r="198" spans="1:17" x14ac:dyDescent="0.2">
      <c r="A198" t="str">
        <v>IA sea level</v>
      </c>
      <c r="C198" s="26">
        <f ca="1"/>
        <v>8009.9766280398517</v>
      </c>
      <c r="D198" s="26">
        <f ca="1"/>
        <v>10634.127534224253</v>
      </c>
      <c r="E198" s="26">
        <f ca="1"/>
        <v>13914.164363548762</v>
      </c>
      <c r="F198" s="26">
        <f ca="1"/>
        <v>22272.764223316724</v>
      </c>
      <c r="G198" s="26">
        <f ca="1"/>
        <v>32771.918282253995</v>
      </c>
      <c r="H198" s="26">
        <f ca="1"/>
        <v>45147.800236617273</v>
      </c>
      <c r="I198" s="26">
        <f ca="1"/>
        <v>60213.514610465812</v>
      </c>
      <c r="J198" s="26">
        <f ca="1"/>
        <v>78596.035128826232</v>
      </c>
      <c r="K198" s="26">
        <f ca="1"/>
        <v>101702.63640452294</v>
      </c>
      <c r="L198" s="26">
        <f ca="1"/>
        <v>130089.40610887617</v>
      </c>
      <c r="M198" s="6"/>
      <c r="N198" s="1" t="str">
        <f t="shared" si="17"/>
        <v>$M(2015)/million</v>
      </c>
      <c r="O198" s="1"/>
    </row>
    <row r="199" spans="1:17" x14ac:dyDescent="0.2">
      <c r="A199" t="str">
        <v>AF sea level</v>
      </c>
      <c r="C199" s="26">
        <f ca="1"/>
        <v>6257.8081353247735</v>
      </c>
      <c r="D199" s="26">
        <f ca="1"/>
        <v>7551.3405338343182</v>
      </c>
      <c r="E199" s="26">
        <f ca="1"/>
        <v>9314.4686048516924</v>
      </c>
      <c r="F199" s="26">
        <f ca="1"/>
        <v>14300.22725408642</v>
      </c>
      <c r="G199" s="26">
        <f ca="1"/>
        <v>21219.024336733222</v>
      </c>
      <c r="H199" s="26">
        <f ca="1"/>
        <v>29905.910723340497</v>
      </c>
      <c r="I199" s="26">
        <f ca="1"/>
        <v>42282.751053699132</v>
      </c>
      <c r="J199" s="26">
        <f ca="1"/>
        <v>58733.23180217122</v>
      </c>
      <c r="K199" s="26">
        <f ca="1"/>
        <v>80741.633463436898</v>
      </c>
      <c r="L199" s="26">
        <f ca="1"/>
        <v>109527.78930941227</v>
      </c>
      <c r="M199" s="6"/>
      <c r="N199" s="1" t="str">
        <f t="shared" si="17"/>
        <v>$M(2015)/million</v>
      </c>
      <c r="O199" s="6"/>
    </row>
    <row r="200" spans="1:17" x14ac:dyDescent="0.2">
      <c r="A200" t="str">
        <v>LA sea level</v>
      </c>
      <c r="C200" s="26">
        <f ca="1"/>
        <v>15058.3725337951</v>
      </c>
      <c r="D200" s="26">
        <f ca="1"/>
        <v>17749.458432668212</v>
      </c>
      <c r="E200" s="26">
        <f ca="1"/>
        <v>21128.120713524851</v>
      </c>
      <c r="F200" s="26">
        <f ca="1"/>
        <v>30323.846277612178</v>
      </c>
      <c r="G200" s="26">
        <f ca="1"/>
        <v>42363.862480108757</v>
      </c>
      <c r="H200" s="26">
        <f ca="1"/>
        <v>56046.995645304502</v>
      </c>
      <c r="I200" s="26">
        <f ca="1"/>
        <v>71916.438893503859</v>
      </c>
      <c r="J200" s="26">
        <f ca="1"/>
        <v>91110.748745316334</v>
      </c>
      <c r="K200" s="26">
        <f ca="1"/>
        <v>115178.10994756258</v>
      </c>
      <c r="L200" s="26">
        <f ca="1"/>
        <v>144668.6996343385</v>
      </c>
      <c r="M200" s="6"/>
      <c r="N200" s="1" t="str">
        <f t="shared" si="17"/>
        <v>$M(2015)/million</v>
      </c>
      <c r="O200" s="1"/>
    </row>
    <row r="201" spans="1:17" ht="14.25" x14ac:dyDescent="0.25">
      <c r="A201" s="2" t="s">
        <v>950</v>
      </c>
      <c r="C201" s="2" t="s">
        <v>714</v>
      </c>
      <c r="D201" s="6"/>
      <c r="E201" s="6"/>
      <c r="F201" s="6"/>
      <c r="G201" s="6"/>
      <c r="H201" s="6"/>
      <c r="I201" s="6"/>
      <c r="J201" s="6"/>
      <c r="K201" s="6"/>
      <c r="L201" s="6"/>
      <c r="M201" s="6"/>
      <c r="N201" s="1"/>
      <c r="O201" s="1"/>
    </row>
    <row r="202" spans="1:17" x14ac:dyDescent="0.2">
      <c r="A202" t="str">
        <f t="array" ref="A202:A209">R_CODE&amp;" "&amp;I_1_NAME</f>
        <v>EU Economic</v>
      </c>
      <c r="C202" s="221">
        <f t="array" ref="C202:L209" ca="1" xml:space="preserve"> (IF(ECON_IMPF = ECON_IMPF_BURKE_LAG1_CONSUM, 1, 0) + IF(ECON_IMPF = ECON_IMPF_BURKE_LAG2_CONSUM, 2, 0)) * ( IMPF_COEFF_LIN * (i_1_burke - RTL_ABS_0) + IMPF_COEFF_QUADR * ( (i_1_burke - TCAL_BURKE)^2 - (RTL_ABS_0 - TCAL_BURKE)^2 ) )</f>
        <v>2.2212581800600123E-3</v>
      </c>
      <c r="D202" s="221">
        <f ca="1"/>
        <v>2.8169496590689583E-3</v>
      </c>
      <c r="E202" s="221">
        <f ca="1"/>
        <v>3.2845342684787032E-3</v>
      </c>
      <c r="F202" s="221">
        <f ca="1"/>
        <v>4.1773007984671519E-3</v>
      </c>
      <c r="G202" s="221">
        <f ca="1"/>
        <v>4.3710498983376561E-3</v>
      </c>
      <c r="H202" s="221">
        <f ca="1"/>
        <v>4.3706550311544898E-3</v>
      </c>
      <c r="I202" s="221">
        <f ca="1"/>
        <v>4.3702658428206101E-3</v>
      </c>
      <c r="J202" s="221">
        <f ca="1"/>
        <v>4.3643103022092539E-3</v>
      </c>
      <c r="K202" s="221">
        <f ca="1"/>
        <v>4.3294296740138336E-3</v>
      </c>
      <c r="L202" s="221">
        <f ca="1"/>
        <v>4.2072081592453674E-3</v>
      </c>
      <c r="M202" s="6"/>
      <c r="N202" s="59" t="s">
        <v>703</v>
      </c>
      <c r="O202" s="1"/>
      <c r="Q202" s="124" t="s">
        <v>719</v>
      </c>
    </row>
    <row r="203" spans="1:17" x14ac:dyDescent="0.2">
      <c r="A203" t="str">
        <v>US Economic</v>
      </c>
      <c r="C203" s="222">
        <f ca="1"/>
        <v>-1.1510547010101721E-3</v>
      </c>
      <c r="D203" s="222">
        <f ca="1"/>
        <v>-2.0764068706543379E-3</v>
      </c>
      <c r="E203" s="222">
        <f ca="1"/>
        <v>-2.9604003890532377E-3</v>
      </c>
      <c r="F203" s="222">
        <f ca="1"/>
        <v>-6.0930101937183706E-3</v>
      </c>
      <c r="G203" s="222">
        <f ca="1"/>
        <v>-1.0707475582450617E-2</v>
      </c>
      <c r="H203" s="222">
        <f ca="1"/>
        <v>-1.2401595623730065E-2</v>
      </c>
      <c r="I203" s="222">
        <f ca="1"/>
        <v>-1.2757104564797499E-2</v>
      </c>
      <c r="J203" s="222">
        <f ca="1"/>
        <v>-1.1130601289008748E-2</v>
      </c>
      <c r="K203" s="222">
        <f ca="1"/>
        <v>-9.606866354631035E-3</v>
      </c>
      <c r="L203" s="222">
        <f ca="1"/>
        <v>-8.995253423476738E-3</v>
      </c>
      <c r="M203" s="6"/>
      <c r="N203" s="59" t="s">
        <v>703</v>
      </c>
      <c r="O203" s="1"/>
      <c r="Q203" s="124" t="s">
        <v>875</v>
      </c>
    </row>
    <row r="204" spans="1:17" x14ac:dyDescent="0.2">
      <c r="A204" t="str">
        <v>OT Economic</v>
      </c>
      <c r="C204" s="222">
        <f ca="1"/>
        <v>-2.918612910327769E-4</v>
      </c>
      <c r="D204" s="222">
        <f ca="1"/>
        <v>-5.5626439370025545E-4</v>
      </c>
      <c r="E204" s="222">
        <f ca="1"/>
        <v>-1.091160146934337E-3</v>
      </c>
      <c r="F204" s="222">
        <f ca="1"/>
        <v>-2.7561603883785174E-3</v>
      </c>
      <c r="G204" s="222">
        <f ca="1"/>
        <v>-5.5519215585736262E-3</v>
      </c>
      <c r="H204" s="222">
        <f ca="1"/>
        <v>-5.9825379138039661E-3</v>
      </c>
      <c r="I204" s="222">
        <f ca="1"/>
        <v>-7.6673119908477264E-3</v>
      </c>
      <c r="J204" s="222">
        <f ca="1"/>
        <v>-5.799387105713108E-3</v>
      </c>
      <c r="K204" s="222">
        <f ca="1"/>
        <v>-4.9123454327651903E-3</v>
      </c>
      <c r="L204" s="222">
        <f ca="1"/>
        <v>-4.3752063535331953E-3</v>
      </c>
      <c r="M204" s="6"/>
      <c r="N204" s="59" t="s">
        <v>703</v>
      </c>
      <c r="O204" s="1"/>
    </row>
    <row r="205" spans="1:17" x14ac:dyDescent="0.2">
      <c r="A205" t="str">
        <v>EE Economic</v>
      </c>
      <c r="C205" s="222">
        <f ca="1"/>
        <v>6.8146747005657544E-3</v>
      </c>
      <c r="D205" s="222">
        <f ca="1"/>
        <v>9.9887501986329306E-3</v>
      </c>
      <c r="E205" s="222">
        <f ca="1"/>
        <v>1.1016695410445036E-2</v>
      </c>
      <c r="F205" s="222">
        <f ca="1"/>
        <v>1.6601017441161312E-2</v>
      </c>
      <c r="G205" s="222">
        <f ca="1"/>
        <v>2.0154902423929574E-2</v>
      </c>
      <c r="H205" s="222">
        <f ca="1"/>
        <v>2.0653811833546067E-2</v>
      </c>
      <c r="I205" s="222">
        <f ca="1"/>
        <v>2.0461925898823861E-2</v>
      </c>
      <c r="J205" s="222">
        <f ca="1"/>
        <v>2.0022208211862041E-2</v>
      </c>
      <c r="K205" s="222">
        <f ca="1"/>
        <v>1.9005240913243494E-2</v>
      </c>
      <c r="L205" s="222">
        <f ca="1"/>
        <v>1.7131658065562612E-2</v>
      </c>
      <c r="M205" s="6"/>
      <c r="N205" s="59" t="s">
        <v>703</v>
      </c>
      <c r="O205" s="1"/>
    </row>
    <row r="206" spans="1:17" x14ac:dyDescent="0.2">
      <c r="A206" t="str">
        <v>CA Economic</v>
      </c>
      <c r="C206" s="222">
        <f ca="1"/>
        <v>-3.8573607319440087E-3</v>
      </c>
      <c r="D206" s="222">
        <f ca="1"/>
        <v>-5.8890614841474419E-3</v>
      </c>
      <c r="E206" s="222">
        <f ca="1"/>
        <v>-7.5377858047700162E-3</v>
      </c>
      <c r="F206" s="222">
        <f ca="1"/>
        <v>-1.2079708557964107E-2</v>
      </c>
      <c r="G206" s="222">
        <f ca="1"/>
        <v>-1.9729573459615606E-2</v>
      </c>
      <c r="H206" s="222">
        <f ca="1"/>
        <v>-1.9734804048398037E-2</v>
      </c>
      <c r="I206" s="222">
        <f ca="1"/>
        <v>-1.9013476789279286E-2</v>
      </c>
      <c r="J206" s="222">
        <f ca="1"/>
        <v>-1.833356901773581E-2</v>
      </c>
      <c r="K206" s="222">
        <f ca="1"/>
        <v>-1.6965790916267362E-2</v>
      </c>
      <c r="L206" s="222">
        <f ca="1"/>
        <v>-1.4918807834794483E-2</v>
      </c>
      <c r="M206" s="6"/>
      <c r="N206" s="59" t="s">
        <v>703</v>
      </c>
      <c r="O206" s="1"/>
    </row>
    <row r="207" spans="1:17" x14ac:dyDescent="0.2">
      <c r="A207" t="str">
        <v>IA Economic</v>
      </c>
      <c r="C207" s="222">
        <f ca="1"/>
        <v>-7.0921445434798912E-3</v>
      </c>
      <c r="D207" s="222">
        <f ca="1"/>
        <v>-1.2309287505642266E-2</v>
      </c>
      <c r="E207" s="222">
        <f ca="1"/>
        <v>-1.692932790760359E-2</v>
      </c>
      <c r="F207" s="222">
        <f ca="1"/>
        <v>-2.9421043205757811E-2</v>
      </c>
      <c r="G207" s="222">
        <f ca="1"/>
        <v>-4.8291320627885791E-2</v>
      </c>
      <c r="H207" s="222">
        <f ca="1"/>
        <v>-4.9560369140689731E-2</v>
      </c>
      <c r="I207" s="222">
        <f ca="1"/>
        <v>-5.1450108227200017E-2</v>
      </c>
      <c r="J207" s="222">
        <f ca="1"/>
        <v>-4.708163498134172E-2</v>
      </c>
      <c r="K207" s="222">
        <f ca="1"/>
        <v>-4.5171510785670048E-2</v>
      </c>
      <c r="L207" s="222">
        <f ca="1"/>
        <v>-4.0709947789614523E-2</v>
      </c>
      <c r="M207" s="6"/>
      <c r="N207" s="59" t="s">
        <v>703</v>
      </c>
      <c r="O207" s="1"/>
    </row>
    <row r="208" spans="1:17" x14ac:dyDescent="0.2">
      <c r="A208" t="str">
        <v>AF Economic</v>
      </c>
      <c r="C208" s="222">
        <f ca="1"/>
        <v>-2.9129927433579534E-3</v>
      </c>
      <c r="D208" s="222">
        <f ca="1"/>
        <v>-7.4866355489989055E-3</v>
      </c>
      <c r="E208" s="222">
        <f ca="1"/>
        <v>-1.2142492843370318E-2</v>
      </c>
      <c r="F208" s="222">
        <f ca="1"/>
        <v>-2.1898224476262596E-2</v>
      </c>
      <c r="G208" s="222">
        <f ca="1"/>
        <v>-3.7040590643909292E-2</v>
      </c>
      <c r="H208" s="222">
        <f ca="1"/>
        <v>-4.0651868752956462E-2</v>
      </c>
      <c r="I208" s="222">
        <f ca="1"/>
        <v>-4.0542657120021149E-2</v>
      </c>
      <c r="J208" s="222">
        <f ca="1"/>
        <v>-3.6029201541083793E-2</v>
      </c>
      <c r="K208" s="222">
        <f ca="1"/>
        <v>-3.3985758734106114E-2</v>
      </c>
      <c r="L208" s="222">
        <f ca="1"/>
        <v>-3.016024210870949E-2</v>
      </c>
      <c r="M208" s="6"/>
      <c r="N208" s="59" t="s">
        <v>703</v>
      </c>
      <c r="O208" s="6"/>
    </row>
    <row r="209" spans="1:17" x14ac:dyDescent="0.2">
      <c r="A209" t="str">
        <v>LA Economic</v>
      </c>
      <c r="C209" s="222">
        <f ca="1"/>
        <v>-5.834378718430849E-3</v>
      </c>
      <c r="D209" s="222">
        <f ca="1"/>
        <v>-9.7036832272417127E-3</v>
      </c>
      <c r="E209" s="222">
        <f ca="1"/>
        <v>-1.4356993391077769E-2</v>
      </c>
      <c r="F209" s="222">
        <f ca="1"/>
        <v>-2.3540988496189057E-2</v>
      </c>
      <c r="G209" s="222">
        <f ca="1"/>
        <v>-3.5980182336309209E-2</v>
      </c>
      <c r="H209" s="222">
        <f ca="1"/>
        <v>-3.8274549764940873E-2</v>
      </c>
      <c r="I209" s="222">
        <f ca="1"/>
        <v>-4.0436292883540843E-2</v>
      </c>
      <c r="J209" s="222">
        <f ca="1"/>
        <v>-3.5097915702035132E-2</v>
      </c>
      <c r="K209" s="222">
        <f ca="1"/>
        <v>-3.3295622065819999E-2</v>
      </c>
      <c r="L209" s="222">
        <f ca="1"/>
        <v>-3.0656862237342632E-2</v>
      </c>
      <c r="M209" s="6"/>
      <c r="N209" s="59" t="s">
        <v>703</v>
      </c>
      <c r="O209" s="1"/>
    </row>
    <row r="210" spans="1:17" ht="14.25" x14ac:dyDescent="0.25">
      <c r="A210" s="2" t="s">
        <v>704</v>
      </c>
      <c r="C210" s="2" t="s">
        <v>702</v>
      </c>
      <c r="D210" s="6"/>
      <c r="E210" s="6"/>
      <c r="F210" s="6"/>
      <c r="G210" s="6"/>
      <c r="H210" s="6"/>
      <c r="I210" s="6"/>
      <c r="J210" s="6"/>
      <c r="K210" s="6"/>
      <c r="L210" s="6"/>
      <c r="M210" s="6"/>
      <c r="N210" s="1"/>
      <c r="O210" s="1"/>
    </row>
    <row r="211" spans="1:17" x14ac:dyDescent="0.2">
      <c r="A211" t="str">
        <f t="array" ref="A211:A218">R_CODE&amp;" "&amp;I_1_NAME</f>
        <v>EU Economic</v>
      </c>
      <c r="C211" s="212">
        <f t="array" ref="C211:L218" ca="1">100 * WINCF_1 * (1 - EXP(i_1_log))</f>
        <v>-0.22237270016363109</v>
      </c>
      <c r="D211" s="212">
        <f ca="1"/>
        <v>-0.28209209898972798</v>
      </c>
      <c r="E211" s="212">
        <f ca="1"/>
        <v>-0.32899342616947713</v>
      </c>
      <c r="F211" s="212">
        <f ca="1"/>
        <v>-0.41860378810187893</v>
      </c>
      <c r="G211" s="212">
        <f ca="1"/>
        <v>-0.43806168711040261</v>
      </c>
      <c r="H211" s="212">
        <f ca="1"/>
        <v>-0.43802202742373453</v>
      </c>
      <c r="I211" s="212">
        <f ca="1"/>
        <v>-0.43798293812489231</v>
      </c>
      <c r="J211" s="212">
        <f ca="1"/>
        <v>-0.43738477741976922</v>
      </c>
      <c r="K211" s="212">
        <f ca="1"/>
        <v>-0.43388151944270259</v>
      </c>
      <c r="L211" s="212">
        <f ca="1"/>
        <v>-0.42160708842438055</v>
      </c>
      <c r="M211" s="6"/>
      <c r="N211" s="59" t="s">
        <v>132</v>
      </c>
      <c r="O211" s="1"/>
      <c r="Q211" s="124" t="s">
        <v>719</v>
      </c>
    </row>
    <row r="212" spans="1:17" x14ac:dyDescent="0.2">
      <c r="A212" t="str">
        <v>US Economic</v>
      </c>
      <c r="C212" s="213">
        <f ca="1"/>
        <v>0.11503924916519415</v>
      </c>
      <c r="D212" s="213">
        <f ca="1"/>
        <v>0.20742526291932517</v>
      </c>
      <c r="E212" s="213">
        <f ca="1"/>
        <v>0.29560227247666937</v>
      </c>
      <c r="F212" s="213">
        <f ca="1"/>
        <v>0.60744854500210943</v>
      </c>
      <c r="G212" s="213">
        <f ca="1"/>
        <v>1.0650354621326241</v>
      </c>
      <c r="H212" s="213">
        <f ca="1"/>
        <v>1.2325012746920105</v>
      </c>
      <c r="I212" s="213">
        <f ca="1"/>
        <v>1.2676077628707594</v>
      </c>
      <c r="J212" s="213">
        <f ca="1"/>
        <v>1.1068885337263357</v>
      </c>
      <c r="K212" s="213">
        <f ca="1"/>
        <v>0.95608678324540231</v>
      </c>
      <c r="L212" s="213">
        <f ca="1"/>
        <v>0.89549171669567329</v>
      </c>
      <c r="M212" s="6"/>
      <c r="N212" s="59" t="s">
        <v>132</v>
      </c>
      <c r="O212" s="1"/>
    </row>
    <row r="213" spans="1:17" x14ac:dyDescent="0.2">
      <c r="A213" t="str">
        <v>OT Economic</v>
      </c>
      <c r="C213" s="213">
        <f ca="1"/>
        <v>2.9181870366945528E-2</v>
      </c>
      <c r="D213" s="213">
        <f ca="1"/>
        <v>5.5610970734587539E-2</v>
      </c>
      <c r="E213" s="213">
        <f ca="1"/>
        <v>0.10905650481702889</v>
      </c>
      <c r="F213" s="213">
        <f ca="1"/>
        <v>0.27523656654242501</v>
      </c>
      <c r="G213" s="213">
        <f ca="1"/>
        <v>0.55365381244505407</v>
      </c>
      <c r="H213" s="213">
        <f ca="1"/>
        <v>0.59646781671449656</v>
      </c>
      <c r="I213" s="213">
        <f ca="1"/>
        <v>0.76379931343913965</v>
      </c>
      <c r="J213" s="213">
        <f ca="1"/>
        <v>0.57826031215935103</v>
      </c>
      <c r="K213" s="213">
        <f ca="1"/>
        <v>0.49002995964478879</v>
      </c>
      <c r="L213" s="213">
        <f ca="1"/>
        <v>0.43656490816411653</v>
      </c>
      <c r="M213" s="6"/>
      <c r="N213" s="59" t="s">
        <v>132</v>
      </c>
      <c r="O213" s="1"/>
      <c r="Q213" s="124" t="s">
        <v>707</v>
      </c>
    </row>
    <row r="214" spans="1:17" x14ac:dyDescent="0.2">
      <c r="A214" t="str">
        <v>EE Economic</v>
      </c>
      <c r="C214" s="213">
        <f ca="1"/>
        <v>-0.68379474315314326</v>
      </c>
      <c r="D214" s="213">
        <f ca="1"/>
        <v>-1.0038804284332237</v>
      </c>
      <c r="E214" s="213">
        <f ca="1"/>
        <v>-1.1077602659376184</v>
      </c>
      <c r="F214" s="213">
        <f ca="1"/>
        <v>-1.6739580029260681</v>
      </c>
      <c r="G214" s="213">
        <f ca="1"/>
        <v>-2.035938392759773</v>
      </c>
      <c r="H214" s="213">
        <f ca="1"/>
        <v>-2.0868577835683855</v>
      </c>
      <c r="I214" s="213">
        <f ca="1"/>
        <v>-2.0672706307493849</v>
      </c>
      <c r="J214" s="213">
        <f ca="1"/>
        <v>-2.0223997125842885</v>
      </c>
      <c r="K214" s="213">
        <f ca="1"/>
        <v>-1.9186990074004928</v>
      </c>
      <c r="L214" s="213">
        <f ca="1"/>
        <v>-1.7279246526681336</v>
      </c>
      <c r="M214" s="6"/>
      <c r="N214" s="59" t="s">
        <v>132</v>
      </c>
      <c r="O214" s="1"/>
    </row>
    <row r="215" spans="1:17" x14ac:dyDescent="0.2">
      <c r="A215" t="str">
        <v>CA Economic</v>
      </c>
      <c r="C215" s="213">
        <f ca="1"/>
        <v>0.38499306725791049</v>
      </c>
      <c r="D215" s="213">
        <f ca="1"/>
        <v>0.5871754951309982</v>
      </c>
      <c r="E215" s="213">
        <f ca="1"/>
        <v>0.75094479436291772</v>
      </c>
      <c r="F215" s="213">
        <f ca="1"/>
        <v>1.2007041770715987</v>
      </c>
      <c r="G215" s="213">
        <f ca="1"/>
        <v>1.953621911268566</v>
      </c>
      <c r="H215" s="213">
        <f ca="1"/>
        <v>1.9541347502127326</v>
      </c>
      <c r="I215" s="213">
        <f ca="1"/>
        <v>1.8833860815601788</v>
      </c>
      <c r="J215" s="213">
        <f ca="1"/>
        <v>1.816653149690739</v>
      </c>
      <c r="K215" s="213">
        <f ca="1"/>
        <v>1.6822682345187356</v>
      </c>
      <c r="L215" s="213">
        <f ca="1"/>
        <v>1.4808073778491693</v>
      </c>
      <c r="M215" s="6"/>
      <c r="N215" s="59" t="s">
        <v>132</v>
      </c>
      <c r="O215" s="1"/>
      <c r="Q215" s="3"/>
    </row>
    <row r="216" spans="1:17" x14ac:dyDescent="0.2">
      <c r="A216" t="str">
        <v>IA Economic</v>
      </c>
      <c r="C216" s="213">
        <f ca="1"/>
        <v>0.70670546351577768</v>
      </c>
      <c r="D216" s="213">
        <f ca="1"/>
        <v>1.2233838119550033</v>
      </c>
      <c r="E216" s="213">
        <f ca="1"/>
        <v>1.6786832088535597</v>
      </c>
      <c r="F216" s="213">
        <f ca="1"/>
        <v>2.8992457742720079</v>
      </c>
      <c r="G216" s="213">
        <f ca="1"/>
        <v>4.714384001459293</v>
      </c>
      <c r="H216" s="213">
        <f ca="1"/>
        <v>4.8352293751946496</v>
      </c>
      <c r="I216" s="213">
        <f ca="1"/>
        <v>5.014896146775194</v>
      </c>
      <c r="J216" s="213">
        <f ca="1"/>
        <v>4.5990486137467919</v>
      </c>
      <c r="K216" s="213">
        <f ca="1"/>
        <v>4.4166467986124776</v>
      </c>
      <c r="L216" s="213">
        <f ca="1"/>
        <v>3.9892429112214467</v>
      </c>
      <c r="M216" s="6"/>
      <c r="N216" s="59" t="s">
        <v>132</v>
      </c>
      <c r="O216" s="1"/>
    </row>
    <row r="217" spans="1:17" x14ac:dyDescent="0.2">
      <c r="A217" t="str">
        <v>AF Economic</v>
      </c>
      <c r="C217" s="213">
        <f ca="1"/>
        <v>0.2908754096711097</v>
      </c>
      <c r="D217" s="213">
        <f ca="1"/>
        <v>0.74586804996683576</v>
      </c>
      <c r="E217" s="213">
        <f ca="1"/>
        <v>1.2069070255357417</v>
      </c>
      <c r="F217" s="213">
        <f ca="1"/>
        <v>2.1660198969922773</v>
      </c>
      <c r="G217" s="213">
        <f ca="1"/>
        <v>3.6362980091934505</v>
      </c>
      <c r="H217" s="213">
        <f ca="1"/>
        <v>3.9836665370072577</v>
      </c>
      <c r="I217" s="213">
        <f ca="1"/>
        <v>3.9731798638183768</v>
      </c>
      <c r="J217" s="213">
        <f ca="1"/>
        <v>3.5387875088753296</v>
      </c>
      <c r="K217" s="213">
        <f ca="1"/>
        <v>3.3414730062672926</v>
      </c>
      <c r="L217" s="213">
        <f ca="1"/>
        <v>2.9709960231517063</v>
      </c>
      <c r="M217" s="6"/>
      <c r="N217" s="59" t="s">
        <v>132</v>
      </c>
      <c r="O217" s="6"/>
    </row>
    <row r="218" spans="1:17" x14ac:dyDescent="0.2">
      <c r="A218" t="str">
        <v>LA Economic</v>
      </c>
      <c r="C218" s="213">
        <f ca="1"/>
        <v>0.58173917830430799</v>
      </c>
      <c r="D218" s="213">
        <f ca="1"/>
        <v>0.965675440994751</v>
      </c>
      <c r="E218" s="213">
        <f ca="1"/>
        <v>1.425442321462822</v>
      </c>
      <c r="F218" s="213">
        <f ca="1"/>
        <v>2.3266061006987804</v>
      </c>
      <c r="G218" s="213">
        <f ca="1"/>
        <v>3.5340589410530532</v>
      </c>
      <c r="H218" s="213">
        <f ca="1"/>
        <v>3.7551335440265343</v>
      </c>
      <c r="I218" s="213">
        <f ca="1"/>
        <v>3.9629655012011544</v>
      </c>
      <c r="J218" s="213">
        <f ca="1"/>
        <v>3.4489127045942758</v>
      </c>
      <c r="K218" s="213">
        <f ca="1"/>
        <v>3.2747423885118754</v>
      </c>
      <c r="L218" s="213">
        <f ca="1"/>
        <v>3.0191706163613774</v>
      </c>
      <c r="M218" s="6"/>
      <c r="N218" s="59" t="s">
        <v>132</v>
      </c>
      <c r="O218" s="1"/>
    </row>
    <row r="219" spans="1:17" s="2" customFormat="1" ht="14.25" x14ac:dyDescent="0.25">
      <c r="A219" s="2" t="s">
        <v>705</v>
      </c>
      <c r="C219" s="2" t="s">
        <v>701</v>
      </c>
    </row>
    <row r="220" spans="1:17" x14ac:dyDescent="0.2">
      <c r="A220" t="str">
        <f t="array" ref="A220:A227">R_CODE&amp;" "&amp;I_1_NAME</f>
        <v>EU Economic</v>
      </c>
      <c r="C220" s="212">
        <f t="array" ref="C220:L227" xml:space="preserve"> IF(ECON_IMPF_SWITCH=0, WINCF_1*((W_1+IBEN_1*TCAL)*((i_1/TCAL)^POW_1)-i_1*IBEN_1), 0)</f>
        <v>0</v>
      </c>
      <c r="D220" s="212">
        <v>0</v>
      </c>
      <c r="E220" s="212">
        <v>0</v>
      </c>
      <c r="F220" s="212">
        <v>0</v>
      </c>
      <c r="G220" s="212">
        <v>0</v>
      </c>
      <c r="H220" s="212">
        <v>0</v>
      </c>
      <c r="I220" s="212">
        <v>0</v>
      </c>
      <c r="J220" s="212">
        <v>0</v>
      </c>
      <c r="K220" s="212">
        <v>0</v>
      </c>
      <c r="L220" s="212">
        <v>0</v>
      </c>
      <c r="M220" s="6"/>
      <c r="N220" s="59" t="s">
        <v>132</v>
      </c>
    </row>
    <row r="221" spans="1:17" x14ac:dyDescent="0.2">
      <c r="A221" t="str">
        <v>US Economic</v>
      </c>
      <c r="C221" s="213">
        <v>0</v>
      </c>
      <c r="D221" s="213">
        <v>0</v>
      </c>
      <c r="E221" s="213">
        <v>0</v>
      </c>
      <c r="F221" s="213">
        <v>0</v>
      </c>
      <c r="G221" s="213">
        <v>0</v>
      </c>
      <c r="H221" s="213">
        <v>0</v>
      </c>
      <c r="I221" s="213">
        <v>0</v>
      </c>
      <c r="J221" s="213">
        <v>0</v>
      </c>
      <c r="K221" s="213">
        <v>0</v>
      </c>
      <c r="L221" s="213">
        <v>0</v>
      </c>
      <c r="M221" s="6"/>
      <c r="N221" s="59" t="s">
        <v>132</v>
      </c>
    </row>
    <row r="222" spans="1:17" x14ac:dyDescent="0.2">
      <c r="A222" t="str">
        <v>OT Economic</v>
      </c>
      <c r="C222" s="213">
        <v>0</v>
      </c>
      <c r="D222" s="213">
        <v>0</v>
      </c>
      <c r="E222" s="213">
        <v>0</v>
      </c>
      <c r="F222" s="213">
        <v>0</v>
      </c>
      <c r="G222" s="213">
        <v>0</v>
      </c>
      <c r="H222" s="213">
        <v>0</v>
      </c>
      <c r="I222" s="213">
        <v>0</v>
      </c>
      <c r="J222" s="213">
        <v>0</v>
      </c>
      <c r="K222" s="213">
        <v>0</v>
      </c>
      <c r="L222" s="213">
        <v>0</v>
      </c>
      <c r="M222" s="6"/>
      <c r="N222" s="59" t="s">
        <v>132</v>
      </c>
    </row>
    <row r="223" spans="1:17" x14ac:dyDescent="0.2">
      <c r="A223" t="str">
        <v>EE Economic</v>
      </c>
      <c r="C223" s="213">
        <v>0</v>
      </c>
      <c r="D223" s="213">
        <v>0</v>
      </c>
      <c r="E223" s="213">
        <v>0</v>
      </c>
      <c r="F223" s="213">
        <v>0</v>
      </c>
      <c r="G223" s="213">
        <v>0</v>
      </c>
      <c r="H223" s="213">
        <v>0</v>
      </c>
      <c r="I223" s="213">
        <v>0</v>
      </c>
      <c r="J223" s="213">
        <v>0</v>
      </c>
      <c r="K223" s="213">
        <v>0</v>
      </c>
      <c r="L223" s="213">
        <v>0</v>
      </c>
      <c r="M223" s="6"/>
      <c r="N223" s="59" t="s">
        <v>132</v>
      </c>
    </row>
    <row r="224" spans="1:17" x14ac:dyDescent="0.2">
      <c r="A224" t="str">
        <v>CA Economic</v>
      </c>
      <c r="C224" s="213">
        <v>0</v>
      </c>
      <c r="D224" s="213">
        <v>0</v>
      </c>
      <c r="E224" s="213">
        <v>0</v>
      </c>
      <c r="F224" s="213">
        <v>0</v>
      </c>
      <c r="G224" s="213">
        <v>0</v>
      </c>
      <c r="H224" s="213">
        <v>0</v>
      </c>
      <c r="I224" s="213">
        <v>0</v>
      </c>
      <c r="J224" s="213">
        <v>0</v>
      </c>
      <c r="K224" s="213">
        <v>0</v>
      </c>
      <c r="L224" s="213">
        <v>0</v>
      </c>
      <c r="M224" s="6"/>
      <c r="N224" s="59" t="s">
        <v>132</v>
      </c>
    </row>
    <row r="225" spans="1:17" x14ac:dyDescent="0.2">
      <c r="A225" t="str">
        <v>IA Economic</v>
      </c>
      <c r="C225" s="213">
        <v>0</v>
      </c>
      <c r="D225" s="213">
        <v>0</v>
      </c>
      <c r="E225" s="213">
        <v>0</v>
      </c>
      <c r="F225" s="213">
        <v>0</v>
      </c>
      <c r="G225" s="213">
        <v>0</v>
      </c>
      <c r="H225" s="213">
        <v>0</v>
      </c>
      <c r="I225" s="213">
        <v>0</v>
      </c>
      <c r="J225" s="213">
        <v>0</v>
      </c>
      <c r="K225" s="213">
        <v>0</v>
      </c>
      <c r="L225" s="213">
        <v>0</v>
      </c>
      <c r="M225" s="6"/>
      <c r="N225" s="59" t="s">
        <v>132</v>
      </c>
    </row>
    <row r="226" spans="1:17" x14ac:dyDescent="0.2">
      <c r="A226" t="str">
        <v>AF Economic</v>
      </c>
      <c r="C226" s="213">
        <v>0</v>
      </c>
      <c r="D226" s="213">
        <v>0</v>
      </c>
      <c r="E226" s="213">
        <v>0</v>
      </c>
      <c r="F226" s="213">
        <v>0</v>
      </c>
      <c r="G226" s="213">
        <v>0</v>
      </c>
      <c r="H226" s="213">
        <v>0</v>
      </c>
      <c r="I226" s="213">
        <v>0</v>
      </c>
      <c r="J226" s="213">
        <v>0</v>
      </c>
      <c r="K226" s="213">
        <v>0</v>
      </c>
      <c r="L226" s="213">
        <v>0</v>
      </c>
      <c r="M226" s="6"/>
      <c r="N226" s="59" t="s">
        <v>132</v>
      </c>
    </row>
    <row r="227" spans="1:17" x14ac:dyDescent="0.2">
      <c r="A227" t="str">
        <v>LA Economic</v>
      </c>
      <c r="C227" s="213">
        <v>0</v>
      </c>
      <c r="D227" s="213">
        <v>0</v>
      </c>
      <c r="E227" s="213">
        <v>0</v>
      </c>
      <c r="F227" s="213">
        <v>0</v>
      </c>
      <c r="G227" s="213">
        <v>0</v>
      </c>
      <c r="H227" s="213">
        <v>0</v>
      </c>
      <c r="I227" s="213">
        <v>0</v>
      </c>
      <c r="J227" s="213">
        <v>0</v>
      </c>
      <c r="K227" s="213">
        <v>0</v>
      </c>
      <c r="L227" s="213">
        <v>0</v>
      </c>
      <c r="M227" s="6"/>
      <c r="N227" s="59" t="s">
        <v>132</v>
      </c>
    </row>
    <row r="228" spans="1:17" ht="14.25" x14ac:dyDescent="0.25">
      <c r="A228" s="2" t="s">
        <v>720</v>
      </c>
      <c r="C228" s="2" t="s">
        <v>721</v>
      </c>
      <c r="D228" s="6"/>
      <c r="E228" s="6"/>
      <c r="F228" s="6"/>
      <c r="G228" s="6"/>
      <c r="H228" s="6"/>
      <c r="I228" s="6"/>
      <c r="J228" s="6"/>
      <c r="K228" s="6"/>
      <c r="L228" s="6"/>
      <c r="M228" s="6"/>
      <c r="N228" s="59"/>
    </row>
    <row r="229" spans="1:17" x14ac:dyDescent="0.2">
      <c r="A229" t="str">
        <f t="array" ref="A229:A236">R_CODE&amp;" "&amp;I_1_NAME</f>
        <v>EU Economic</v>
      </c>
      <c r="C229" s="212">
        <f t="array" ref="C229:L236" ca="1" xml:space="preserve"> IF(ECON_IMPF_SWITCH = 0, iref_1_page, 0) + IF(ECON_IMPF_SWITCH = 1, iref_1_burke, 0)</f>
        <v>-0.22237270016363109</v>
      </c>
      <c r="D229" s="212">
        <f ca="1"/>
        <v>-0.28209209898972798</v>
      </c>
      <c r="E229" s="212">
        <f ca="1"/>
        <v>-0.32899342616947713</v>
      </c>
      <c r="F229" s="212">
        <f ca="1"/>
        <v>-0.41860378810187893</v>
      </c>
      <c r="G229" s="212">
        <f ca="1"/>
        <v>-0.43806168711040261</v>
      </c>
      <c r="H229" s="212">
        <f ca="1"/>
        <v>-0.43802202742373453</v>
      </c>
      <c r="I229" s="212">
        <f ca="1"/>
        <v>-0.43798293812489231</v>
      </c>
      <c r="J229" s="212">
        <f ca="1"/>
        <v>-0.43738477741976922</v>
      </c>
      <c r="K229" s="212">
        <f ca="1"/>
        <v>-0.43388151944270259</v>
      </c>
      <c r="L229" s="212">
        <f ca="1"/>
        <v>-0.42160708842438055</v>
      </c>
      <c r="M229" s="6"/>
      <c r="N229" s="59" t="s">
        <v>132</v>
      </c>
      <c r="P229" s="6"/>
    </row>
    <row r="230" spans="1:17" x14ac:dyDescent="0.2">
      <c r="A230" t="str">
        <v>US Economic</v>
      </c>
      <c r="C230" s="213">
        <f ca="1"/>
        <v>0.11503924916519415</v>
      </c>
      <c r="D230" s="213">
        <f ca="1"/>
        <v>0.20742526291932517</v>
      </c>
      <c r="E230" s="213">
        <f ca="1"/>
        <v>0.29560227247666937</v>
      </c>
      <c r="F230" s="213">
        <f ca="1"/>
        <v>0.60744854500210943</v>
      </c>
      <c r="G230" s="213">
        <f ca="1"/>
        <v>1.0650354621326241</v>
      </c>
      <c r="H230" s="213">
        <f ca="1"/>
        <v>1.2325012746920105</v>
      </c>
      <c r="I230" s="213">
        <f ca="1"/>
        <v>1.2676077628707594</v>
      </c>
      <c r="J230" s="213">
        <f ca="1"/>
        <v>1.1068885337263357</v>
      </c>
      <c r="K230" s="213">
        <f ca="1"/>
        <v>0.95608678324540231</v>
      </c>
      <c r="L230" s="213">
        <f ca="1"/>
        <v>0.89549171669567329</v>
      </c>
      <c r="M230" s="6"/>
      <c r="N230" s="59" t="s">
        <v>132</v>
      </c>
      <c r="P230" s="6"/>
    </row>
    <row r="231" spans="1:17" x14ac:dyDescent="0.2">
      <c r="A231" t="str">
        <v>OT Economic</v>
      </c>
      <c r="C231" s="213">
        <f ca="1"/>
        <v>2.9181870366945528E-2</v>
      </c>
      <c r="D231" s="213">
        <f ca="1"/>
        <v>5.5610970734587539E-2</v>
      </c>
      <c r="E231" s="213">
        <f ca="1"/>
        <v>0.10905650481702889</v>
      </c>
      <c r="F231" s="213">
        <f ca="1"/>
        <v>0.27523656654242501</v>
      </c>
      <c r="G231" s="213">
        <f ca="1"/>
        <v>0.55365381244505407</v>
      </c>
      <c r="H231" s="213">
        <f ca="1"/>
        <v>0.59646781671449656</v>
      </c>
      <c r="I231" s="213">
        <f ca="1"/>
        <v>0.76379931343913965</v>
      </c>
      <c r="J231" s="213">
        <f ca="1"/>
        <v>0.57826031215935103</v>
      </c>
      <c r="K231" s="213">
        <f ca="1"/>
        <v>0.49002995964478879</v>
      </c>
      <c r="L231" s="213">
        <f ca="1"/>
        <v>0.43656490816411653</v>
      </c>
      <c r="M231" s="6"/>
      <c r="N231" s="59" t="s">
        <v>132</v>
      </c>
      <c r="P231" s="6"/>
    </row>
    <row r="232" spans="1:17" x14ac:dyDescent="0.2">
      <c r="A232" t="str">
        <v>EE Economic</v>
      </c>
      <c r="C232" s="213">
        <f ca="1"/>
        <v>-0.68379474315314326</v>
      </c>
      <c r="D232" s="213">
        <f ca="1"/>
        <v>-1.0038804284332237</v>
      </c>
      <c r="E232" s="213">
        <f ca="1"/>
        <v>-1.1077602659376184</v>
      </c>
      <c r="F232" s="213">
        <f ca="1"/>
        <v>-1.6739580029260681</v>
      </c>
      <c r="G232" s="213">
        <f ca="1"/>
        <v>-2.035938392759773</v>
      </c>
      <c r="H232" s="213">
        <f ca="1"/>
        <v>-2.0868577835683855</v>
      </c>
      <c r="I232" s="213">
        <f ca="1"/>
        <v>-2.0672706307493849</v>
      </c>
      <c r="J232" s="213">
        <f ca="1"/>
        <v>-2.0223997125842885</v>
      </c>
      <c r="K232" s="213">
        <f ca="1"/>
        <v>-1.9186990074004928</v>
      </c>
      <c r="L232" s="213">
        <f ca="1"/>
        <v>-1.7279246526681336</v>
      </c>
      <c r="M232" s="6"/>
      <c r="N232" s="59" t="s">
        <v>132</v>
      </c>
      <c r="P232" s="6"/>
    </row>
    <row r="233" spans="1:17" x14ac:dyDescent="0.2">
      <c r="A233" t="str">
        <v>CA Economic</v>
      </c>
      <c r="C233" s="213">
        <f ca="1"/>
        <v>0.38499306725791049</v>
      </c>
      <c r="D233" s="213">
        <f ca="1"/>
        <v>0.5871754951309982</v>
      </c>
      <c r="E233" s="213">
        <f ca="1"/>
        <v>0.75094479436291772</v>
      </c>
      <c r="F233" s="213">
        <f ca="1"/>
        <v>1.2007041770715987</v>
      </c>
      <c r="G233" s="213">
        <f ca="1"/>
        <v>1.953621911268566</v>
      </c>
      <c r="H233" s="213">
        <f ca="1"/>
        <v>1.9541347502127326</v>
      </c>
      <c r="I233" s="213">
        <f ca="1"/>
        <v>1.8833860815601788</v>
      </c>
      <c r="J233" s="213">
        <f ca="1"/>
        <v>1.816653149690739</v>
      </c>
      <c r="K233" s="213">
        <f ca="1"/>
        <v>1.6822682345187356</v>
      </c>
      <c r="L233" s="213">
        <f ca="1"/>
        <v>1.4808073778491693</v>
      </c>
      <c r="M233" s="6"/>
      <c r="N233" s="59" t="s">
        <v>132</v>
      </c>
      <c r="P233" s="6"/>
    </row>
    <row r="234" spans="1:17" x14ac:dyDescent="0.2">
      <c r="A234" t="str">
        <v>IA Economic</v>
      </c>
      <c r="C234" s="213">
        <f ca="1"/>
        <v>0.70670546351577768</v>
      </c>
      <c r="D234" s="213">
        <f ca="1"/>
        <v>1.2233838119550033</v>
      </c>
      <c r="E234" s="213">
        <f ca="1"/>
        <v>1.6786832088535597</v>
      </c>
      <c r="F234" s="213">
        <f ca="1"/>
        <v>2.8992457742720079</v>
      </c>
      <c r="G234" s="213">
        <f ca="1"/>
        <v>4.714384001459293</v>
      </c>
      <c r="H234" s="213">
        <f ca="1"/>
        <v>4.8352293751946496</v>
      </c>
      <c r="I234" s="213">
        <f ca="1"/>
        <v>5.014896146775194</v>
      </c>
      <c r="J234" s="213">
        <f ca="1"/>
        <v>4.5990486137467919</v>
      </c>
      <c r="K234" s="213">
        <f ca="1"/>
        <v>4.4166467986124776</v>
      </c>
      <c r="L234" s="213">
        <f ca="1"/>
        <v>3.9892429112214467</v>
      </c>
      <c r="M234" s="6"/>
      <c r="N234" s="59" t="s">
        <v>132</v>
      </c>
      <c r="P234" s="6"/>
    </row>
    <row r="235" spans="1:17" x14ac:dyDescent="0.2">
      <c r="A235" t="str">
        <v>AF Economic</v>
      </c>
      <c r="C235" s="213">
        <f ca="1"/>
        <v>0.2908754096711097</v>
      </c>
      <c r="D235" s="213">
        <f ca="1"/>
        <v>0.74586804996683576</v>
      </c>
      <c r="E235" s="213">
        <f ca="1"/>
        <v>1.2069070255357417</v>
      </c>
      <c r="F235" s="213">
        <f ca="1"/>
        <v>2.1660198969922773</v>
      </c>
      <c r="G235" s="213">
        <f ca="1"/>
        <v>3.6362980091934505</v>
      </c>
      <c r="H235" s="213">
        <f ca="1"/>
        <v>3.9836665370072577</v>
      </c>
      <c r="I235" s="213">
        <f ca="1"/>
        <v>3.9731798638183768</v>
      </c>
      <c r="J235" s="213">
        <f ca="1"/>
        <v>3.5387875088753296</v>
      </c>
      <c r="K235" s="213">
        <f ca="1"/>
        <v>3.3414730062672926</v>
      </c>
      <c r="L235" s="213">
        <f ca="1"/>
        <v>2.9709960231517063</v>
      </c>
      <c r="M235" s="6"/>
      <c r="N235" s="59" t="s">
        <v>132</v>
      </c>
      <c r="O235" s="6"/>
      <c r="P235" s="6"/>
    </row>
    <row r="236" spans="1:17" x14ac:dyDescent="0.2">
      <c r="A236" t="str">
        <v>LA Economic</v>
      </c>
      <c r="C236" s="213">
        <f ca="1"/>
        <v>0.58173917830430799</v>
      </c>
      <c r="D236" s="213">
        <f ca="1"/>
        <v>0.965675440994751</v>
      </c>
      <c r="E236" s="213">
        <f ca="1"/>
        <v>1.425442321462822</v>
      </c>
      <c r="F236" s="213">
        <f ca="1"/>
        <v>2.3266061006987804</v>
      </c>
      <c r="G236" s="213">
        <f ca="1"/>
        <v>3.5340589410530532</v>
      </c>
      <c r="H236" s="213">
        <f ca="1"/>
        <v>3.7551335440265343</v>
      </c>
      <c r="I236" s="213">
        <f ca="1"/>
        <v>3.9629655012011544</v>
      </c>
      <c r="J236" s="213">
        <f ca="1"/>
        <v>3.4489127045942758</v>
      </c>
      <c r="K236" s="213">
        <f ca="1"/>
        <v>3.2747423885118754</v>
      </c>
      <c r="L236" s="213">
        <f ca="1"/>
        <v>3.0191706163613774</v>
      </c>
      <c r="M236" s="6"/>
      <c r="N236" s="59" t="s">
        <v>132</v>
      </c>
      <c r="P236" s="6"/>
    </row>
    <row r="237" spans="1:17" s="2" customFormat="1" ht="14.25" x14ac:dyDescent="0.25">
      <c r="A237" s="2" t="s">
        <v>219</v>
      </c>
      <c r="C237" s="2" t="s">
        <v>233</v>
      </c>
    </row>
    <row r="238" spans="1:17" x14ac:dyDescent="0.2">
      <c r="A238" t="str">
        <f t="array" ref="A238:A245">R_CODE&amp;" "&amp;I_1_NAME</f>
        <v>EU Economic</v>
      </c>
      <c r="C238" s="29">
        <f t="array" ref="C238:L245" ca="1" xml:space="preserve"> iref_1 * ((rgdp_s_per_cap/GDP_PER_CAP_FOCUS_0)^IPOW_1)</f>
        <v>-0.22237270016363109</v>
      </c>
      <c r="D238" s="29">
        <f ca="1"/>
        <v>-0.28209209898972798</v>
      </c>
      <c r="E238" s="29">
        <f ca="1"/>
        <v>-0.32899342616947713</v>
      </c>
      <c r="F238" s="29">
        <f ca="1"/>
        <v>-0.41860378810187893</v>
      </c>
      <c r="G238" s="29">
        <f ca="1"/>
        <v>-0.43806168711040261</v>
      </c>
      <c r="H238" s="29">
        <f ca="1"/>
        <v>-0.43802202742373453</v>
      </c>
      <c r="I238" s="29">
        <f ca="1"/>
        <v>-0.43798293812489231</v>
      </c>
      <c r="J238" s="29">
        <f ca="1"/>
        <v>-0.43738477741976922</v>
      </c>
      <c r="K238" s="29">
        <f ca="1"/>
        <v>-0.43388151944270259</v>
      </c>
      <c r="L238" s="29">
        <f ca="1"/>
        <v>-0.42160708842438055</v>
      </c>
      <c r="M238" s="6"/>
      <c r="N238" s="59" t="s">
        <v>132</v>
      </c>
      <c r="Q238" s="124" t="s">
        <v>715</v>
      </c>
    </row>
    <row r="239" spans="1:17" x14ac:dyDescent="0.2">
      <c r="A239" t="str">
        <v>US Economic</v>
      </c>
      <c r="C239" s="26">
        <f ca="1"/>
        <v>0.11503924916519415</v>
      </c>
      <c r="D239" s="26">
        <f ca="1"/>
        <v>0.20742526291932517</v>
      </c>
      <c r="E239" s="26">
        <f ca="1"/>
        <v>0.29560227247666937</v>
      </c>
      <c r="F239" s="26">
        <f ca="1"/>
        <v>0.60744854500210943</v>
      </c>
      <c r="G239" s="26">
        <f ca="1"/>
        <v>1.0650354621326241</v>
      </c>
      <c r="H239" s="26">
        <f ca="1"/>
        <v>1.2325012746920105</v>
      </c>
      <c r="I239" s="26">
        <f ca="1"/>
        <v>1.2676077628707594</v>
      </c>
      <c r="J239" s="26">
        <f ca="1"/>
        <v>1.1068885337263357</v>
      </c>
      <c r="K239" s="26">
        <f ca="1"/>
        <v>0.95608678324540231</v>
      </c>
      <c r="L239" s="26">
        <f ca="1"/>
        <v>0.89549171669567329</v>
      </c>
      <c r="M239" s="6"/>
      <c r="N239" s="59" t="s">
        <v>132</v>
      </c>
    </row>
    <row r="240" spans="1:17" x14ac:dyDescent="0.2">
      <c r="A240" t="str">
        <v>OT Economic</v>
      </c>
      <c r="C240" s="26">
        <f ca="1"/>
        <v>2.9181870366945528E-2</v>
      </c>
      <c r="D240" s="26">
        <f ca="1"/>
        <v>5.5610970734587539E-2</v>
      </c>
      <c r="E240" s="26">
        <f ca="1"/>
        <v>0.10905650481702889</v>
      </c>
      <c r="F240" s="26">
        <f ca="1"/>
        <v>0.27523656654242501</v>
      </c>
      <c r="G240" s="26">
        <f ca="1"/>
        <v>0.55365381244505407</v>
      </c>
      <c r="H240" s="26">
        <f ca="1"/>
        <v>0.59646781671449656</v>
      </c>
      <c r="I240" s="26">
        <f ca="1"/>
        <v>0.76379931343913965</v>
      </c>
      <c r="J240" s="26">
        <f ca="1"/>
        <v>0.57826031215935103</v>
      </c>
      <c r="K240" s="26">
        <f ca="1"/>
        <v>0.49002995964478879</v>
      </c>
      <c r="L240" s="26">
        <f ca="1"/>
        <v>0.43656490816411653</v>
      </c>
      <c r="M240" s="6"/>
      <c r="N240" s="59" t="s">
        <v>132</v>
      </c>
    </row>
    <row r="241" spans="1:27" x14ac:dyDescent="0.2">
      <c r="A241" t="str">
        <v>EE Economic</v>
      </c>
      <c r="C241" s="26">
        <f ca="1"/>
        <v>-0.68379474315314326</v>
      </c>
      <c r="D241" s="26">
        <f ca="1"/>
        <v>-1.0038804284332237</v>
      </c>
      <c r="E241" s="26">
        <f ca="1"/>
        <v>-1.1077602659376184</v>
      </c>
      <c r="F241" s="26">
        <f ca="1"/>
        <v>-1.6739580029260681</v>
      </c>
      <c r="G241" s="26">
        <f ca="1"/>
        <v>-2.035938392759773</v>
      </c>
      <c r="H241" s="26">
        <f ca="1"/>
        <v>-2.0868577835683855</v>
      </c>
      <c r="I241" s="26">
        <f ca="1"/>
        <v>-2.0672706307493849</v>
      </c>
      <c r="J241" s="26">
        <f ca="1"/>
        <v>-2.0223997125842885</v>
      </c>
      <c r="K241" s="26">
        <f ca="1"/>
        <v>-1.9186990074004928</v>
      </c>
      <c r="L241" s="26">
        <f ca="1"/>
        <v>-1.7279246526681336</v>
      </c>
      <c r="M241" s="6"/>
      <c r="N241" s="59" t="s">
        <v>132</v>
      </c>
    </row>
    <row r="242" spans="1:27" x14ac:dyDescent="0.2">
      <c r="A242" t="str">
        <v>CA Economic</v>
      </c>
      <c r="C242" s="26">
        <f ca="1"/>
        <v>0.38499306725791049</v>
      </c>
      <c r="D242" s="26">
        <f ca="1"/>
        <v>0.5871754951309982</v>
      </c>
      <c r="E242" s="26">
        <f ca="1"/>
        <v>0.75094479436291772</v>
      </c>
      <c r="F242" s="26">
        <f ca="1"/>
        <v>1.2007041770715987</v>
      </c>
      <c r="G242" s="26">
        <f ca="1"/>
        <v>1.953621911268566</v>
      </c>
      <c r="H242" s="26">
        <f ca="1"/>
        <v>1.9541347502127326</v>
      </c>
      <c r="I242" s="26">
        <f ca="1"/>
        <v>1.8833860815601788</v>
      </c>
      <c r="J242" s="26">
        <f ca="1"/>
        <v>1.816653149690739</v>
      </c>
      <c r="K242" s="26">
        <f ca="1"/>
        <v>1.6822682345187356</v>
      </c>
      <c r="L242" s="26">
        <f ca="1"/>
        <v>1.4808073778491693</v>
      </c>
      <c r="M242" s="6"/>
      <c r="N242" s="59" t="s">
        <v>132</v>
      </c>
    </row>
    <row r="243" spans="1:27" x14ac:dyDescent="0.2">
      <c r="A243" t="str">
        <v>IA Economic</v>
      </c>
      <c r="C243" s="26">
        <f ca="1"/>
        <v>0.70670546351577768</v>
      </c>
      <c r="D243" s="26">
        <f ca="1"/>
        <v>1.2233838119550033</v>
      </c>
      <c r="E243" s="26">
        <f ca="1"/>
        <v>1.6786832088535597</v>
      </c>
      <c r="F243" s="26">
        <f ca="1"/>
        <v>2.8992457742720079</v>
      </c>
      <c r="G243" s="26">
        <f ca="1"/>
        <v>4.714384001459293</v>
      </c>
      <c r="H243" s="26">
        <f ca="1"/>
        <v>4.8352293751946496</v>
      </c>
      <c r="I243" s="26">
        <f ca="1"/>
        <v>5.014896146775194</v>
      </c>
      <c r="J243" s="26">
        <f ca="1"/>
        <v>4.5990486137467919</v>
      </c>
      <c r="K243" s="26">
        <f ca="1"/>
        <v>4.4166467986124776</v>
      </c>
      <c r="L243" s="26">
        <f ca="1"/>
        <v>3.9892429112214467</v>
      </c>
      <c r="M243" s="6"/>
      <c r="N243" s="59" t="s">
        <v>132</v>
      </c>
    </row>
    <row r="244" spans="1:27" x14ac:dyDescent="0.2">
      <c r="A244" t="str">
        <v>AF Economic</v>
      </c>
      <c r="C244" s="26">
        <f ca="1"/>
        <v>0.2908754096711097</v>
      </c>
      <c r="D244" s="26">
        <f ca="1"/>
        <v>0.74586804996683576</v>
      </c>
      <c r="E244" s="26">
        <f ca="1"/>
        <v>1.2069070255357417</v>
      </c>
      <c r="F244" s="26">
        <f ca="1"/>
        <v>2.1660198969922773</v>
      </c>
      <c r="G244" s="26">
        <f ca="1"/>
        <v>3.6362980091934505</v>
      </c>
      <c r="H244" s="26">
        <f ca="1"/>
        <v>3.9836665370072577</v>
      </c>
      <c r="I244" s="26">
        <f ca="1"/>
        <v>3.9731798638183768</v>
      </c>
      <c r="J244" s="26">
        <f ca="1"/>
        <v>3.5387875088753296</v>
      </c>
      <c r="K244" s="26">
        <f ca="1"/>
        <v>3.3414730062672926</v>
      </c>
      <c r="L244" s="26">
        <f ca="1"/>
        <v>2.9709960231517063</v>
      </c>
      <c r="M244" s="6"/>
      <c r="N244" s="59" t="s">
        <v>132</v>
      </c>
      <c r="O244" s="6"/>
    </row>
    <row r="245" spans="1:27" x14ac:dyDescent="0.2">
      <c r="A245" t="str">
        <v>LA Economic</v>
      </c>
      <c r="C245" s="26">
        <f ca="1"/>
        <v>0.58173917830430799</v>
      </c>
      <c r="D245" s="26">
        <f ca="1"/>
        <v>0.965675440994751</v>
      </c>
      <c r="E245" s="26">
        <f ca="1"/>
        <v>1.425442321462822</v>
      </c>
      <c r="F245" s="26">
        <f ca="1"/>
        <v>2.3266061006987804</v>
      </c>
      <c r="G245" s="26">
        <f ca="1"/>
        <v>3.5340589410530532</v>
      </c>
      <c r="H245" s="26">
        <f ca="1"/>
        <v>3.7551335440265343</v>
      </c>
      <c r="I245" s="26">
        <f ca="1"/>
        <v>3.9629655012011544</v>
      </c>
      <c r="J245" s="26">
        <f ca="1"/>
        <v>3.4489127045942758</v>
      </c>
      <c r="K245" s="26">
        <f ca="1"/>
        <v>3.2747423885118754</v>
      </c>
      <c r="L245" s="26">
        <f ca="1"/>
        <v>3.0191706163613774</v>
      </c>
      <c r="M245" s="6"/>
      <c r="N245" s="59" t="s">
        <v>132</v>
      </c>
    </row>
    <row r="246" spans="1:27" s="2" customFormat="1" ht="14.25" x14ac:dyDescent="0.25">
      <c r="A246" s="2" t="s">
        <v>223</v>
      </c>
      <c r="C246" s="2" t="s">
        <v>234</v>
      </c>
    </row>
    <row r="247" spans="1:27" x14ac:dyDescent="0.2">
      <c r="A247" t="str">
        <f t="array" ref="A247:A254">R_CODE&amp;" "&amp;I_1_NAME</f>
        <v>EU Economic</v>
      </c>
      <c r="C247" s="29">
        <f t="array" ref="C247:L254" ca="1">IF(igdp_1&lt;ISATG,igdp_1,ISATG+(100-SAVE-ISATG)*((igdp_1-ISATG)/((100-SAVE-ISATG)+(igdp_1-ISATG))))</f>
        <v>-0.22237270016363109</v>
      </c>
      <c r="D247" s="29">
        <f ca="1"/>
        <v>-0.28209209898972798</v>
      </c>
      <c r="E247" s="29">
        <f ca="1"/>
        <v>-0.32899342616947713</v>
      </c>
      <c r="F247" s="29">
        <f ca="1"/>
        <v>-0.41860378810187893</v>
      </c>
      <c r="G247" s="29">
        <f ca="1"/>
        <v>-0.43806168711040261</v>
      </c>
      <c r="H247" s="29">
        <f ca="1"/>
        <v>-0.43802202742373453</v>
      </c>
      <c r="I247" s="29">
        <f ca="1"/>
        <v>-0.43798293812489231</v>
      </c>
      <c r="J247" s="29">
        <f ca="1"/>
        <v>-0.43738477741976922</v>
      </c>
      <c r="K247" s="29">
        <f ca="1"/>
        <v>-0.43388151944270259</v>
      </c>
      <c r="L247" s="29">
        <f ca="1"/>
        <v>-0.42160708842438055</v>
      </c>
      <c r="M247" s="6"/>
      <c r="N247" s="59" t="s">
        <v>132</v>
      </c>
      <c r="Q247" s="124" t="s">
        <v>711</v>
      </c>
    </row>
    <row r="248" spans="1:27" x14ac:dyDescent="0.2">
      <c r="A248" t="str">
        <v>US Economic</v>
      </c>
      <c r="C248" s="26">
        <f ca="1"/>
        <v>0.11503924916519415</v>
      </c>
      <c r="D248" s="26">
        <f ca="1"/>
        <v>0.20742526291932517</v>
      </c>
      <c r="E248" s="26">
        <f ca="1"/>
        <v>0.29560227247666937</v>
      </c>
      <c r="F248" s="26">
        <f ca="1"/>
        <v>0.60744854500210943</v>
      </c>
      <c r="G248" s="26">
        <f ca="1"/>
        <v>1.0650354621326241</v>
      </c>
      <c r="H248" s="26">
        <f ca="1"/>
        <v>1.2325012746920105</v>
      </c>
      <c r="I248" s="26">
        <f ca="1"/>
        <v>1.2676077628707594</v>
      </c>
      <c r="J248" s="26">
        <f ca="1"/>
        <v>1.1068885337263357</v>
      </c>
      <c r="K248" s="26">
        <f ca="1"/>
        <v>0.95608678324540231</v>
      </c>
      <c r="L248" s="26">
        <f ca="1"/>
        <v>0.89549171669567329</v>
      </c>
      <c r="M248" s="6"/>
      <c r="N248" s="59" t="s">
        <v>132</v>
      </c>
    </row>
    <row r="249" spans="1:27" x14ac:dyDescent="0.2">
      <c r="A249" t="str">
        <v>OT Economic</v>
      </c>
      <c r="C249" s="26">
        <f ca="1"/>
        <v>2.9181870366945528E-2</v>
      </c>
      <c r="D249" s="26">
        <f ca="1"/>
        <v>5.5610970734587539E-2</v>
      </c>
      <c r="E249" s="26">
        <f ca="1"/>
        <v>0.10905650481702889</v>
      </c>
      <c r="F249" s="26">
        <f ca="1"/>
        <v>0.27523656654242501</v>
      </c>
      <c r="G249" s="26">
        <f ca="1"/>
        <v>0.55365381244505407</v>
      </c>
      <c r="H249" s="26">
        <f ca="1"/>
        <v>0.59646781671449656</v>
      </c>
      <c r="I249" s="26">
        <f ca="1"/>
        <v>0.76379931343913965</v>
      </c>
      <c r="J249" s="26">
        <f ca="1"/>
        <v>0.57826031215935103</v>
      </c>
      <c r="K249" s="26">
        <f ca="1"/>
        <v>0.49002995964478879</v>
      </c>
      <c r="L249" s="26">
        <f ca="1"/>
        <v>0.43656490816411653</v>
      </c>
      <c r="M249" s="6"/>
      <c r="N249" s="59" t="s">
        <v>132</v>
      </c>
    </row>
    <row r="250" spans="1:27" x14ac:dyDescent="0.2">
      <c r="A250" t="str">
        <v>EE Economic</v>
      </c>
      <c r="C250" s="26">
        <f ca="1"/>
        <v>-0.68379474315314326</v>
      </c>
      <c r="D250" s="26">
        <f ca="1"/>
        <v>-1.0038804284332237</v>
      </c>
      <c r="E250" s="26">
        <f ca="1"/>
        <v>-1.1077602659376184</v>
      </c>
      <c r="F250" s="26">
        <f ca="1"/>
        <v>-1.6739580029260681</v>
      </c>
      <c r="G250" s="26">
        <f ca="1"/>
        <v>-2.035938392759773</v>
      </c>
      <c r="H250" s="26">
        <f ca="1"/>
        <v>-2.0868577835683855</v>
      </c>
      <c r="I250" s="26">
        <f ca="1"/>
        <v>-2.0672706307493849</v>
      </c>
      <c r="J250" s="26">
        <f ca="1"/>
        <v>-2.0223997125842885</v>
      </c>
      <c r="K250" s="26">
        <f ca="1"/>
        <v>-1.9186990074004928</v>
      </c>
      <c r="L250" s="26">
        <f ca="1"/>
        <v>-1.7279246526681336</v>
      </c>
      <c r="M250" s="6"/>
      <c r="N250" s="59" t="s">
        <v>132</v>
      </c>
    </row>
    <row r="251" spans="1:27" x14ac:dyDescent="0.2">
      <c r="A251" t="str">
        <v>CA Economic</v>
      </c>
      <c r="C251" s="26">
        <f ca="1"/>
        <v>0.38499306725791049</v>
      </c>
      <c r="D251" s="26">
        <f ca="1"/>
        <v>0.5871754951309982</v>
      </c>
      <c r="E251" s="26">
        <f ca="1"/>
        <v>0.75094479436291772</v>
      </c>
      <c r="F251" s="26">
        <f ca="1"/>
        <v>1.2007041770715987</v>
      </c>
      <c r="G251" s="26">
        <f ca="1"/>
        <v>1.953621911268566</v>
      </c>
      <c r="H251" s="26">
        <f ca="1"/>
        <v>1.9541347502127326</v>
      </c>
      <c r="I251" s="26">
        <f ca="1"/>
        <v>1.8833860815601788</v>
      </c>
      <c r="J251" s="26">
        <f ca="1"/>
        <v>1.816653149690739</v>
      </c>
      <c r="K251" s="26">
        <f ca="1"/>
        <v>1.6822682345187356</v>
      </c>
      <c r="L251" s="26">
        <f ca="1"/>
        <v>1.4808073778491693</v>
      </c>
      <c r="M251" s="6"/>
      <c r="N251" s="59" t="s">
        <v>132</v>
      </c>
    </row>
    <row r="252" spans="1:27" x14ac:dyDescent="0.2">
      <c r="A252" t="str">
        <v>IA Economic</v>
      </c>
      <c r="C252" s="26">
        <f ca="1"/>
        <v>0.70670546351577768</v>
      </c>
      <c r="D252" s="26">
        <f ca="1"/>
        <v>1.2233838119550033</v>
      </c>
      <c r="E252" s="26">
        <f ca="1"/>
        <v>1.6786832088535597</v>
      </c>
      <c r="F252" s="26">
        <f ca="1"/>
        <v>2.8992457742720079</v>
      </c>
      <c r="G252" s="26">
        <f ca="1"/>
        <v>4.714384001459293</v>
      </c>
      <c r="H252" s="26">
        <f ca="1"/>
        <v>4.8352293751946496</v>
      </c>
      <c r="I252" s="26">
        <f ca="1"/>
        <v>5.014896146775194</v>
      </c>
      <c r="J252" s="26">
        <f ca="1"/>
        <v>4.5990486137467919</v>
      </c>
      <c r="K252" s="26">
        <f ca="1"/>
        <v>4.4166467986124776</v>
      </c>
      <c r="L252" s="26">
        <f ca="1"/>
        <v>3.9892429112214467</v>
      </c>
      <c r="M252" s="6"/>
      <c r="N252" s="59" t="s">
        <v>132</v>
      </c>
    </row>
    <row r="253" spans="1:27" x14ac:dyDescent="0.2">
      <c r="A253" t="str">
        <v>AF Economic</v>
      </c>
      <c r="C253" s="26">
        <f ca="1"/>
        <v>0.2908754096711097</v>
      </c>
      <c r="D253" s="26">
        <f ca="1"/>
        <v>0.74586804996683576</v>
      </c>
      <c r="E253" s="26">
        <f ca="1"/>
        <v>1.2069070255357417</v>
      </c>
      <c r="F253" s="26">
        <f ca="1"/>
        <v>2.1660198969922773</v>
      </c>
      <c r="G253" s="26">
        <f ca="1"/>
        <v>3.6362980091934505</v>
      </c>
      <c r="H253" s="26">
        <f ca="1"/>
        <v>3.9836665370072577</v>
      </c>
      <c r="I253" s="26">
        <f ca="1"/>
        <v>3.9731798638183768</v>
      </c>
      <c r="J253" s="26">
        <f ca="1"/>
        <v>3.5387875088753296</v>
      </c>
      <c r="K253" s="26">
        <f ca="1"/>
        <v>3.3414730062672926</v>
      </c>
      <c r="L253" s="26">
        <f ca="1"/>
        <v>2.9709960231517063</v>
      </c>
      <c r="M253" s="6"/>
      <c r="N253" s="59" t="s">
        <v>132</v>
      </c>
      <c r="O253" s="6"/>
    </row>
    <row r="254" spans="1:27" x14ac:dyDescent="0.2">
      <c r="A254" t="str">
        <v>LA Economic</v>
      </c>
      <c r="C254" s="26">
        <f ca="1"/>
        <v>0.58173917830430799</v>
      </c>
      <c r="D254" s="26">
        <f ca="1"/>
        <v>0.965675440994751</v>
      </c>
      <c r="E254" s="26">
        <f ca="1"/>
        <v>1.425442321462822</v>
      </c>
      <c r="F254" s="26">
        <f ca="1"/>
        <v>2.3266061006987804</v>
      </c>
      <c r="G254" s="26">
        <f ca="1"/>
        <v>3.5340589410530532</v>
      </c>
      <c r="H254" s="26">
        <f ca="1"/>
        <v>3.7551335440265343</v>
      </c>
      <c r="I254" s="26">
        <f ca="1"/>
        <v>3.9629655012011544</v>
      </c>
      <c r="J254" s="26">
        <f ca="1"/>
        <v>3.4489127045942758</v>
      </c>
      <c r="K254" s="26">
        <f ca="1"/>
        <v>3.2747423885118754</v>
      </c>
      <c r="L254" s="26">
        <f ca="1"/>
        <v>3.0191706163613774</v>
      </c>
      <c r="M254" s="6"/>
      <c r="N254" s="59" t="s">
        <v>132</v>
      </c>
    </row>
    <row r="255" spans="1:27" ht="14.25" x14ac:dyDescent="0.25">
      <c r="A255" s="2" t="s">
        <v>708</v>
      </c>
      <c r="C255" s="2" t="s">
        <v>710</v>
      </c>
      <c r="D255" s="6"/>
      <c r="E255" s="6"/>
      <c r="F255" s="6"/>
      <c r="G255" s="6"/>
      <c r="H255" s="6"/>
      <c r="I255" s="6"/>
      <c r="J255" s="6"/>
      <c r="K255" s="6"/>
      <c r="L255" s="6"/>
      <c r="M255" s="6"/>
      <c r="N255" s="59"/>
      <c r="P255" s="2" t="s">
        <v>1121</v>
      </c>
      <c r="Q255" s="2">
        <v>3731.1295734726509</v>
      </c>
      <c r="R255" s="2">
        <v>2426.1527681994476</v>
      </c>
      <c r="S255" s="2">
        <v>3552.712571602302</v>
      </c>
      <c r="T255" s="2">
        <v>4514.9583109114074</v>
      </c>
      <c r="U255" s="2">
        <v>4315.3722470948551</v>
      </c>
      <c r="V255" s="2">
        <v>4118.4784203593954</v>
      </c>
      <c r="W255" s="2">
        <v>3890.9393108804293</v>
      </c>
      <c r="X255" s="2">
        <v>3637.6091360562946</v>
      </c>
      <c r="Y255" s="2">
        <v>3362.102877852833</v>
      </c>
      <c r="Z255" s="2">
        <v>1539.7101356993812</v>
      </c>
      <c r="AA255" s="2"/>
    </row>
    <row r="256" spans="1:27" x14ac:dyDescent="0.2">
      <c r="A256" t="str">
        <f t="array" ref="A256:A263">R_CODE&amp;" "&amp;I_1_NAME</f>
        <v>EU Economic</v>
      </c>
      <c r="C256" s="213">
        <f t="array" ref="C256:L263" ca="1" xml:space="preserve"> isat_1 * (1 - (imp_1/100)*IF(i_1&lt;impmax_1_a, 1, impmax_1_a/i_1))</f>
        <v>-0.22237270016363109</v>
      </c>
      <c r="D256" s="213">
        <f ca="1"/>
        <v>-0.28209209898972798</v>
      </c>
      <c r="E256" s="213">
        <f ca="1"/>
        <v>-0.32899342616947713</v>
      </c>
      <c r="F256" s="213">
        <f ca="1"/>
        <v>-0.41860378810187893</v>
      </c>
      <c r="G256" s="213">
        <f ca="1"/>
        <v>-0.43806168711040261</v>
      </c>
      <c r="H256" s="213">
        <f ca="1"/>
        <v>-0.43802202742373453</v>
      </c>
      <c r="I256" s="213">
        <f ca="1"/>
        <v>-0.43798293812489231</v>
      </c>
      <c r="J256" s="213">
        <f ca="1"/>
        <v>-0.43738477741976922</v>
      </c>
      <c r="K256" s="213">
        <f ca="1"/>
        <v>-0.43388151944270259</v>
      </c>
      <c r="L256" s="213">
        <f ca="1"/>
        <v>-0.42160708842438055</v>
      </c>
      <c r="M256" s="6"/>
      <c r="N256" s="59" t="s">
        <v>132</v>
      </c>
      <c r="Q256">
        <v>2469.2933029868564</v>
      </c>
      <c r="R256">
        <v>1655.0206779588766</v>
      </c>
      <c r="S256">
        <v>2495.0510744882445</v>
      </c>
      <c r="T256">
        <v>3338.0788676695838</v>
      </c>
      <c r="U256">
        <v>3337.1775681398367</v>
      </c>
      <c r="V256">
        <v>3336.3701725041342</v>
      </c>
      <c r="W256">
        <v>3311.5332044327552</v>
      </c>
      <c r="X256">
        <v>3249.3916266154547</v>
      </c>
      <c r="Y256">
        <v>3138.1458516589769</v>
      </c>
      <c r="Z256">
        <v>1490.0974668620906</v>
      </c>
    </row>
    <row r="257" spans="1:27" x14ac:dyDescent="0.2">
      <c r="A257" t="str">
        <v>US Economic</v>
      </c>
      <c r="C257" s="213">
        <f ca="1"/>
        <v>0.11503924916519415</v>
      </c>
      <c r="D257" s="213">
        <f ca="1"/>
        <v>0.20742526291932517</v>
      </c>
      <c r="E257" s="213">
        <f ca="1"/>
        <v>0.29560227247666937</v>
      </c>
      <c r="F257" s="213">
        <f ca="1"/>
        <v>0.60744854500210943</v>
      </c>
      <c r="G257" s="213">
        <f ca="1"/>
        <v>1.0650354621326241</v>
      </c>
      <c r="H257" s="213">
        <f ca="1"/>
        <v>1.2325012746920105</v>
      </c>
      <c r="I257" s="213">
        <f ca="1"/>
        <v>1.2676077628707594</v>
      </c>
      <c r="J257" s="213">
        <f ca="1"/>
        <v>1.1068885337263357</v>
      </c>
      <c r="K257" s="213">
        <f ca="1"/>
        <v>0.95608678324540231</v>
      </c>
      <c r="L257" s="213">
        <f ca="1"/>
        <v>0.89549171669567329</v>
      </c>
      <c r="M257" s="6"/>
      <c r="N257" s="59" t="s">
        <v>132</v>
      </c>
      <c r="Q257">
        <v>2239.1949630902322</v>
      </c>
      <c r="R257">
        <v>1458.611518686547</v>
      </c>
      <c r="S257">
        <v>2132.7627674158425</v>
      </c>
      <c r="T257">
        <v>2686.3510478224653</v>
      </c>
      <c r="U257">
        <v>2526.882548698853</v>
      </c>
      <c r="V257">
        <v>2364.3638056037162</v>
      </c>
      <c r="W257">
        <v>2180.9623948197591</v>
      </c>
      <c r="X257">
        <v>1984.7986693586015</v>
      </c>
      <c r="Y257">
        <v>1780.740276098659</v>
      </c>
      <c r="Z257">
        <v>789.37877466952784</v>
      </c>
    </row>
    <row r="258" spans="1:27" x14ac:dyDescent="0.2">
      <c r="A258" t="str">
        <v>OT Economic</v>
      </c>
      <c r="C258" s="213">
        <f ca="1"/>
        <v>2.9181870366945528E-2</v>
      </c>
      <c r="D258" s="213">
        <f ca="1"/>
        <v>5.5610970734587539E-2</v>
      </c>
      <c r="E258" s="213">
        <f ca="1"/>
        <v>0.10905650481702889</v>
      </c>
      <c r="F258" s="213">
        <f ca="1"/>
        <v>0.27523656654242501</v>
      </c>
      <c r="G258" s="213">
        <f ca="1"/>
        <v>0.55365381244505407</v>
      </c>
      <c r="H258" s="213">
        <f ca="1"/>
        <v>0.59646781671449656</v>
      </c>
      <c r="I258" s="213">
        <f ca="1"/>
        <v>0.76379931343913965</v>
      </c>
      <c r="J258" s="213">
        <f ca="1"/>
        <v>0.57826031215935103</v>
      </c>
      <c r="K258" s="213">
        <f ca="1"/>
        <v>0.49002995964478879</v>
      </c>
      <c r="L258" s="213">
        <f ca="1"/>
        <v>0.43656490816411653</v>
      </c>
      <c r="M258" s="6"/>
      <c r="N258" s="59" t="s">
        <v>132</v>
      </c>
      <c r="Q258">
        <v>1990.317156230715</v>
      </c>
      <c r="R258">
        <v>1255.0019685057825</v>
      </c>
      <c r="S258">
        <v>1776.3370011275188</v>
      </c>
      <c r="T258">
        <v>2107.5048846850432</v>
      </c>
      <c r="U258">
        <v>1853.4416966818851</v>
      </c>
      <c r="V258">
        <v>1607.9006187189816</v>
      </c>
      <c r="W258">
        <v>1375.7159618222977</v>
      </c>
      <c r="X258">
        <v>1154.6923183604661</v>
      </c>
      <c r="Y258">
        <v>953.15988237658837</v>
      </c>
      <c r="Z258">
        <v>388.4312004223346</v>
      </c>
    </row>
    <row r="259" spans="1:27" x14ac:dyDescent="0.2">
      <c r="A259" t="str">
        <v>EE Economic</v>
      </c>
      <c r="C259" s="213">
        <f ca="1"/>
        <v>-0.68379474315314326</v>
      </c>
      <c r="D259" s="213">
        <f ca="1"/>
        <v>-1.0038804284332237</v>
      </c>
      <c r="E259" s="213">
        <f ca="1"/>
        <v>-1.1077602659376184</v>
      </c>
      <c r="F259" s="213">
        <f ca="1"/>
        <v>-1.6739580029260681</v>
      </c>
      <c r="G259" s="213">
        <f ca="1"/>
        <v>-2.035938392759773</v>
      </c>
      <c r="H259" s="213">
        <f ca="1"/>
        <v>-2.0868577835683855</v>
      </c>
      <c r="I259" s="213">
        <f ca="1"/>
        <v>-2.0672706307493849</v>
      </c>
      <c r="J259" s="213">
        <f ca="1"/>
        <v>-2.0223997125842885</v>
      </c>
      <c r="K259" s="213">
        <f ca="1"/>
        <v>-1.9186990074004928</v>
      </c>
      <c r="L259" s="213">
        <f ca="1"/>
        <v>-1.7279246526681336</v>
      </c>
      <c r="M259" s="6"/>
      <c r="N259" s="59" t="s">
        <v>132</v>
      </c>
      <c r="Q259">
        <v>9826.6054363394578</v>
      </c>
      <c r="R259">
        <v>6223.010026983422</v>
      </c>
      <c r="S259">
        <v>8797.1859940073919</v>
      </c>
      <c r="T259">
        <v>10200.988114705027</v>
      </c>
      <c r="U259">
        <v>8622.3638162845327</v>
      </c>
      <c r="V259">
        <v>7109.1345337649564</v>
      </c>
      <c r="W259">
        <v>5744.3559674504895</v>
      </c>
      <c r="X259">
        <v>4571.4493052692469</v>
      </c>
      <c r="Y259">
        <v>3571.443654170133</v>
      </c>
      <c r="Z259">
        <v>1362.5965597765826</v>
      </c>
    </row>
    <row r="260" spans="1:27" x14ac:dyDescent="0.2">
      <c r="A260" t="str">
        <v>CA Economic</v>
      </c>
      <c r="C260" s="213">
        <f ca="1"/>
        <v>0.38499306725791049</v>
      </c>
      <c r="D260" s="213">
        <f ca="1"/>
        <v>0.5871754951309982</v>
      </c>
      <c r="E260" s="213">
        <f ca="1"/>
        <v>0.75094479436291772</v>
      </c>
      <c r="F260" s="213">
        <f ca="1"/>
        <v>1.2007041770715987</v>
      </c>
      <c r="G260" s="213">
        <f ca="1"/>
        <v>1.953621911268566</v>
      </c>
      <c r="H260" s="213">
        <f ca="1"/>
        <v>1.9541347502127326</v>
      </c>
      <c r="I260" s="213">
        <f ca="1"/>
        <v>1.8833860815601788</v>
      </c>
      <c r="J260" s="213">
        <f ca="1"/>
        <v>1.816653149690739</v>
      </c>
      <c r="K260" s="213">
        <f ca="1"/>
        <v>1.6822682345187356</v>
      </c>
      <c r="L260" s="213">
        <f ca="1"/>
        <v>1.4808073778491693</v>
      </c>
      <c r="M260" s="6"/>
      <c r="N260" s="59" t="s">
        <v>132</v>
      </c>
      <c r="Q260">
        <v>18213.058718904904</v>
      </c>
      <c r="R260">
        <v>11967.541445836696</v>
      </c>
      <c r="S260">
        <v>17536.514753006963</v>
      </c>
      <c r="T260">
        <v>21898.528817911159</v>
      </c>
      <c r="U260">
        <v>19957.806374893</v>
      </c>
      <c r="V260">
        <v>17722.134921825822</v>
      </c>
      <c r="W260">
        <v>15370.743074317586</v>
      </c>
      <c r="X260">
        <v>13033.203860891063</v>
      </c>
      <c r="Y260">
        <v>10816.33018475015</v>
      </c>
      <c r="Z260">
        <v>4405.1730338676207</v>
      </c>
    </row>
    <row r="261" spans="1:27" x14ac:dyDescent="0.2">
      <c r="A261" t="str">
        <v>IA Economic</v>
      </c>
      <c r="C261" s="213">
        <f ca="1"/>
        <v>0.70670546351577768</v>
      </c>
      <c r="D261" s="213">
        <f ca="1"/>
        <v>1.2233838119550033</v>
      </c>
      <c r="E261" s="213">
        <f ca="1"/>
        <v>1.6786832088535597</v>
      </c>
      <c r="F261" s="213">
        <f ca="1"/>
        <v>2.8992457742720079</v>
      </c>
      <c r="G261" s="213">
        <f ca="1"/>
        <v>4.714384001459293</v>
      </c>
      <c r="H261" s="213">
        <f ca="1"/>
        <v>4.8352293751946496</v>
      </c>
      <c r="I261" s="213">
        <f ca="1"/>
        <v>5.014896146775194</v>
      </c>
      <c r="J261" s="213">
        <f ca="1"/>
        <v>4.5990486137467919</v>
      </c>
      <c r="K261" s="213">
        <f ca="1"/>
        <v>4.4166467986124776</v>
      </c>
      <c r="L261" s="213">
        <f ca="1"/>
        <v>3.9892429112214467</v>
      </c>
      <c r="M261" s="6"/>
      <c r="N261" s="59" t="s">
        <v>132</v>
      </c>
      <c r="Q261">
        <v>10650.070101781928</v>
      </c>
      <c r="R261">
        <v>7291.2597514671843</v>
      </c>
      <c r="S261">
        <v>11105.082525010837</v>
      </c>
      <c r="T261">
        <v>14933.384950664169</v>
      </c>
      <c r="U261">
        <v>14551.211946454265</v>
      </c>
      <c r="V261">
        <v>13755.584441237686</v>
      </c>
      <c r="W261">
        <v>12707.401490362032</v>
      </c>
      <c r="X261">
        <v>11491.670418254376</v>
      </c>
      <c r="Y261">
        <v>10195.532723616994</v>
      </c>
      <c r="Z261">
        <v>4445.146968010511</v>
      </c>
    </row>
    <row r="262" spans="1:27" x14ac:dyDescent="0.2">
      <c r="A262" t="str">
        <v>AF Economic</v>
      </c>
      <c r="C262" s="213">
        <f ca="1"/>
        <v>0.2908754096711097</v>
      </c>
      <c r="D262" s="213">
        <f ca="1"/>
        <v>0.74586804996683576</v>
      </c>
      <c r="E262" s="213">
        <f ca="1"/>
        <v>1.2069070255357417</v>
      </c>
      <c r="F262" s="213">
        <f ca="1"/>
        <v>2.1660198969922773</v>
      </c>
      <c r="G262" s="213">
        <f ca="1"/>
        <v>3.6362980091934505</v>
      </c>
      <c r="H262" s="213">
        <f ca="1"/>
        <v>3.9836665370072577</v>
      </c>
      <c r="I262" s="213">
        <f ca="1"/>
        <v>3.9731798638183768</v>
      </c>
      <c r="J262" s="213">
        <f ca="1"/>
        <v>3.5387875088753296</v>
      </c>
      <c r="K262" s="213">
        <f ca="1"/>
        <v>3.3414730062672926</v>
      </c>
      <c r="L262" s="213">
        <f ca="1"/>
        <v>2.9709960231517063</v>
      </c>
      <c r="M262" s="6"/>
      <c r="N262" s="59" t="s">
        <v>132</v>
      </c>
      <c r="O262" s="6"/>
      <c r="Q262">
        <v>4501.7502722242107</v>
      </c>
      <c r="R262">
        <v>2916.6207490358252</v>
      </c>
      <c r="S262">
        <v>4215.9221401383056</v>
      </c>
      <c r="T262">
        <v>5122.2294028727401</v>
      </c>
      <c r="U262">
        <v>4547.7319500302301</v>
      </c>
      <c r="V262">
        <v>3945.426203751409</v>
      </c>
      <c r="W262">
        <v>3367.2888133269007</v>
      </c>
      <c r="X262">
        <v>2833.0082017673776</v>
      </c>
      <c r="Y262">
        <v>2338.562977083353</v>
      </c>
      <c r="Z262">
        <v>941.97398876251941</v>
      </c>
    </row>
    <row r="263" spans="1:27" x14ac:dyDescent="0.2">
      <c r="A263" t="str">
        <v>LA Economic</v>
      </c>
      <c r="C263" s="213">
        <f ca="1"/>
        <v>0.58173917830430799</v>
      </c>
      <c r="D263" s="213">
        <f ca="1"/>
        <v>0.965675440994751</v>
      </c>
      <c r="E263" s="213">
        <f ca="1"/>
        <v>1.425442321462822</v>
      </c>
      <c r="F263" s="213">
        <f ca="1"/>
        <v>2.3266061006987804</v>
      </c>
      <c r="G263" s="213">
        <f ca="1"/>
        <v>3.5340589410530532</v>
      </c>
      <c r="H263" s="213">
        <f ca="1"/>
        <v>3.7551335440265343</v>
      </c>
      <c r="I263" s="213">
        <f ca="1"/>
        <v>3.9629655012011544</v>
      </c>
      <c r="J263" s="213">
        <f ca="1"/>
        <v>3.4489127045942758</v>
      </c>
      <c r="K263" s="213">
        <f ca="1"/>
        <v>3.2747423885118754</v>
      </c>
      <c r="L263" s="213">
        <f ca="1"/>
        <v>3.0191706163613774</v>
      </c>
      <c r="M263" s="6"/>
      <c r="N263" s="59" t="s">
        <v>132</v>
      </c>
    </row>
    <row r="264" spans="1:27" s="2" customFormat="1" ht="14.25" x14ac:dyDescent="0.25">
      <c r="A264" s="2" t="s">
        <v>709</v>
      </c>
      <c r="C264" s="2" t="s">
        <v>716</v>
      </c>
    </row>
    <row r="265" spans="1:27" ht="14.25" x14ac:dyDescent="0.2">
      <c r="A265" t="str">
        <f t="array" ref="A265:A272">R_CODE&amp;" "&amp;I_1_NAME</f>
        <v>EU Economic</v>
      </c>
      <c r="C265" s="29">
        <f t="array" ref="C265:L272" ca="1">(isatad_1/100)*rgdp_s_per_cap</f>
        <v>-88.289303987350664</v>
      </c>
      <c r="D265" s="29">
        <f ca="1"/>
        <v>-125.24559509023457</v>
      </c>
      <c r="E265" s="29">
        <f ca="1"/>
        <v>-163.59244880326889</v>
      </c>
      <c r="F265" s="29">
        <f ca="1"/>
        <v>-259.15849812301565</v>
      </c>
      <c r="G265" s="29">
        <f ca="1"/>
        <v>-328.2341384612007</v>
      </c>
      <c r="H265" s="29">
        <f ca="1"/>
        <v>-390.38380371181859</v>
      </c>
      <c r="I265" s="29">
        <f ca="1"/>
        <v>-467.99659744736982</v>
      </c>
      <c r="J265" s="29">
        <f ca="1"/>
        <v>-558.23718834291219</v>
      </c>
      <c r="K265" s="29">
        <f ca="1"/>
        <v>-661.1914739676356</v>
      </c>
      <c r="L265" s="29">
        <f ca="1"/>
        <v>-769.239705172958</v>
      </c>
      <c r="M265" s="6"/>
      <c r="N265" s="1" t="str">
        <f t="shared" ref="N265:N272" si="18">CURRENCY_NAME&amp;"/"&amp;POP_UNIT_NAME</f>
        <v>$M(2015)/million</v>
      </c>
      <c r="O265" s="1"/>
      <c r="Q265">
        <f ca="1">C265*Q255</f>
        <v>-329418.83312852093</v>
      </c>
      <c r="R265">
        <f t="shared" ref="R265:R272" ca="1" si="19">D265*R255</f>
        <v>-303864.94723295973</v>
      </c>
      <c r="S265">
        <f t="shared" ref="S265:S272" ca="1" si="20">E265*S255</f>
        <v>-581196.94948257937</v>
      </c>
      <c r="T265">
        <f t="shared" ref="T265:T272" ca="1" si="21">F265*T255</f>
        <v>-1170089.8149438279</v>
      </c>
      <c r="U265">
        <f t="shared" ref="U265:U272" ca="1" si="22">G265*U255</f>
        <v>-1416452.4916645554</v>
      </c>
      <c r="V265">
        <f t="shared" ref="V265:V272" ca="1" si="23">H265*V255</f>
        <v>-1607787.2712449429</v>
      </c>
      <c r="W265">
        <f t="shared" ref="W265:W272" ca="1" si="24">I265*W255</f>
        <v>-1820946.3583662547</v>
      </c>
      <c r="X265">
        <f t="shared" ref="X265:X272" ca="1" si="25">J265*X255</f>
        <v>-2030648.6964025558</v>
      </c>
      <c r="Y265">
        <f t="shared" ref="Y265:Y272" ca="1" si="26">K265*Y255</f>
        <v>-2222993.7574383439</v>
      </c>
      <c r="Z265">
        <f t="shared" ref="Z265:Z272" ca="1" si="27">L265*Z255</f>
        <v>-1184406.1708372072</v>
      </c>
      <c r="AA265" s="330">
        <f ca="1">SUM(Q265:Z265)</f>
        <v>-12667805.290741747</v>
      </c>
    </row>
    <row r="266" spans="1:27" ht="14.25" x14ac:dyDescent="0.2">
      <c r="A266" t="str">
        <v>US Economic</v>
      </c>
      <c r="C266" s="26">
        <f ca="1"/>
        <v>64.92492206337316</v>
      </c>
      <c r="D266" s="26">
        <f ca="1"/>
        <v>127.07695392377663</v>
      </c>
      <c r="E266" s="26">
        <f ca="1"/>
        <v>196.65812609163419</v>
      </c>
      <c r="F266" s="26">
        <f ca="1"/>
        <v>476.78682993788601</v>
      </c>
      <c r="G266" s="26">
        <f ca="1"/>
        <v>968.8758716485512</v>
      </c>
      <c r="H266" s="26">
        <f ca="1"/>
        <v>1273.3638888302742</v>
      </c>
      <c r="I266" s="26">
        <f ca="1"/>
        <v>1509.5422328276356</v>
      </c>
      <c r="J266" s="26">
        <f ca="1"/>
        <v>1534.079127775527</v>
      </c>
      <c r="K266" s="26">
        <f ca="1"/>
        <v>1549.8835890240744</v>
      </c>
      <c r="L266" s="26">
        <f ca="1"/>
        <v>1706.038913494335</v>
      </c>
      <c r="M266" s="6"/>
      <c r="N266" s="1" t="str">
        <f t="shared" si="18"/>
        <v>$M(2015)/million</v>
      </c>
      <c r="O266" s="1"/>
      <c r="Q266">
        <f ca="1">C266*Q256</f>
        <v>160318.67524803092</v>
      </c>
      <c r="R266">
        <f t="shared" ca="1" si="19"/>
        <v>210314.98643587771</v>
      </c>
      <c r="S266">
        <f t="shared" ca="1" si="20"/>
        <v>490672.06881177652</v>
      </c>
      <c r="T266">
        <f t="shared" ca="1" si="21"/>
        <v>1591552.0413988288</v>
      </c>
      <c r="U266">
        <f t="shared" ca="1" si="22"/>
        <v>3233310.8251774767</v>
      </c>
      <c r="V266">
        <f t="shared" ca="1" si="23"/>
        <v>4248413.2974371966</v>
      </c>
      <c r="W266">
        <f t="shared" ca="1" si="24"/>
        <v>4998899.2275022762</v>
      </c>
      <c r="X266">
        <f t="shared" ca="1" si="25"/>
        <v>4984823.8723593373</v>
      </c>
      <c r="Y266">
        <f t="shared" ca="1" si="26"/>
        <v>4863760.7554502254</v>
      </c>
      <c r="Z266">
        <f t="shared" ca="1" si="27"/>
        <v>2542164.2633660622</v>
      </c>
      <c r="AA266" s="330">
        <f ca="1">SUM(Q266:Z266)</f>
        <v>27324230.013187092</v>
      </c>
    </row>
    <row r="267" spans="1:27" ht="14.25" x14ac:dyDescent="0.2">
      <c r="A267" t="str">
        <v>OT Economic</v>
      </c>
      <c r="C267" s="26">
        <f ca="1"/>
        <v>10.693779334797716</v>
      </c>
      <c r="D267" s="26">
        <f ca="1"/>
        <v>22.639013716613334</v>
      </c>
      <c r="E267" s="26">
        <f ca="1"/>
        <v>49.697016892407241</v>
      </c>
      <c r="F267" s="26">
        <f ca="1"/>
        <v>156.95937864926088</v>
      </c>
      <c r="G267" s="26">
        <f ca="1"/>
        <v>387.25025074157702</v>
      </c>
      <c r="H267" s="26">
        <f ca="1"/>
        <v>501.13343369307245</v>
      </c>
      <c r="I267" s="26">
        <f ca="1"/>
        <v>776.62211757492082</v>
      </c>
      <c r="J267" s="26">
        <f ca="1"/>
        <v>709.93396796586308</v>
      </c>
      <c r="K267" s="26">
        <f ca="1"/>
        <v>724.16031341295752</v>
      </c>
      <c r="L267" s="26">
        <f ca="1"/>
        <v>776.61898813312678</v>
      </c>
      <c r="M267" s="6"/>
      <c r="N267" s="1" t="str">
        <f t="shared" si="18"/>
        <v>$M(2015)/million</v>
      </c>
      <c r="O267" s="1"/>
      <c r="Q267">
        <f t="shared" ref="Q266:Q272" ca="1" si="28">C267*Q257</f>
        <v>23945.456822877459</v>
      </c>
      <c r="R267">
        <f t="shared" ca="1" si="19"/>
        <v>33021.526178754946</v>
      </c>
      <c r="S267">
        <f t="shared" ca="1" si="20"/>
        <v>105991.94727976235</v>
      </c>
      <c r="T267">
        <f t="shared" ca="1" si="21"/>
        <v>421647.99130000506</v>
      </c>
      <c r="U267">
        <f t="shared" ca="1" si="22"/>
        <v>978535.9005781461</v>
      </c>
      <c r="V267">
        <f t="shared" ca="1" si="23"/>
        <v>1184861.7524018104</v>
      </c>
      <c r="W267">
        <f t="shared" ca="1" si="24"/>
        <v>1693783.6334161919</v>
      </c>
      <c r="X267">
        <f t="shared" ca="1" si="25"/>
        <v>1409075.9949511171</v>
      </c>
      <c r="Y267">
        <f t="shared" ca="1" si="26"/>
        <v>1289541.4364466814</v>
      </c>
      <c r="Z267">
        <f t="shared" ca="1" si="27"/>
        <v>613046.54523761617</v>
      </c>
      <c r="AA267" s="331">
        <f t="shared" ref="AA267:AA273" ca="1" si="29">SUM(Q267:Z267)</f>
        <v>7753452.1846129633</v>
      </c>
    </row>
    <row r="268" spans="1:27" ht="14.25" x14ac:dyDescent="0.2">
      <c r="A268" t="str">
        <v>EE Economic</v>
      </c>
      <c r="C268" s="26">
        <f ca="1"/>
        <v>-127.14418438080062</v>
      </c>
      <c r="D268" s="26">
        <f ca="1"/>
        <v>-228.72509032666866</v>
      </c>
      <c r="E268" s="26">
        <f ca="1"/>
        <v>-307.8368664618157</v>
      </c>
      <c r="F268" s="26">
        <f ca="1"/>
        <v>-649.02296101401714</v>
      </c>
      <c r="G268" s="26">
        <f ca="1"/>
        <v>-1002.1058503379293</v>
      </c>
      <c r="H268" s="26">
        <f ca="1"/>
        <v>-1250.8660604362869</v>
      </c>
      <c r="I268" s="26">
        <f ca="1"/>
        <v>-1542.828715624632</v>
      </c>
      <c r="J268" s="26">
        <f ca="1"/>
        <v>-1849.5752958494081</v>
      </c>
      <c r="K268" s="26">
        <f ca="1"/>
        <v>-2164.3688528705466</v>
      </c>
      <c r="L268" s="26">
        <f ca="1"/>
        <v>-2401.3284116419309</v>
      </c>
      <c r="M268" s="6"/>
      <c r="N268" s="1" t="str">
        <f t="shared" si="18"/>
        <v>$M(2015)/million</v>
      </c>
      <c r="O268" s="1"/>
      <c r="Q268">
        <f t="shared" ca="1" si="28"/>
        <v>-253057.25148806878</v>
      </c>
      <c r="R268">
        <f t="shared" ca="1" si="19"/>
        <v>-287050.43860663212</v>
      </c>
      <c r="S268">
        <f t="shared" ca="1" si="20"/>
        <v>-546822.01620727417</v>
      </c>
      <c r="T268">
        <f t="shared" ca="1" si="21"/>
        <v>-1367819.0606097914</v>
      </c>
      <c r="U268">
        <f t="shared" ca="1" si="22"/>
        <v>-1857344.7675051747</v>
      </c>
      <c r="V268">
        <f t="shared" ca="1" si="23"/>
        <v>-2011268.3125100809</v>
      </c>
      <c r="W268">
        <f t="shared" ca="1" si="24"/>
        <v>-2122494.0904426007</v>
      </c>
      <c r="X268">
        <f t="shared" ca="1" si="25"/>
        <v>-2135690.3863465982</v>
      </c>
      <c r="Y268">
        <f t="shared" ca="1" si="26"/>
        <v>-2062989.5612216417</v>
      </c>
      <c r="Z268">
        <f t="shared" ca="1" si="27"/>
        <v>-932750.87754233321</v>
      </c>
      <c r="AA268" s="331">
        <f t="shared" ca="1" si="29"/>
        <v>-13577286.762480196</v>
      </c>
    </row>
    <row r="269" spans="1:27" ht="14.25" x14ac:dyDescent="0.2">
      <c r="A269" t="str">
        <v>CA Economic</v>
      </c>
      <c r="C269" s="26">
        <f ca="1"/>
        <v>75.147938081982232</v>
      </c>
      <c r="D269" s="26">
        <f ca="1"/>
        <v>157.33599375955509</v>
      </c>
      <c r="E269" s="26">
        <f ca="1"/>
        <v>263.09930456046129</v>
      </c>
      <c r="F269" s="26">
        <f ca="1"/>
        <v>624.95017176245574</v>
      </c>
      <c r="G269" s="26">
        <f ca="1"/>
        <v>1340.6728106988232</v>
      </c>
      <c r="H269" s="26">
        <f ca="1"/>
        <v>1635.9878439288705</v>
      </c>
      <c r="I269" s="26">
        <f ca="1"/>
        <v>1885.9657668868624</v>
      </c>
      <c r="J269" s="26">
        <f ca="1"/>
        <v>2147.3781934352205</v>
      </c>
      <c r="K269" s="26">
        <f ca="1"/>
        <v>2349.1932651679494</v>
      </c>
      <c r="L269" s="26">
        <f ca="1"/>
        <v>2440.961367636558</v>
      </c>
      <c r="M269" s="6"/>
      <c r="N269" s="1" t="str">
        <f t="shared" si="18"/>
        <v>$M(2015)/million</v>
      </c>
      <c r="O269" s="1"/>
      <c r="Q269">
        <f t="shared" ca="1" si="28"/>
        <v>738449.13688610762</v>
      </c>
      <c r="R269">
        <f t="shared" ca="1" si="19"/>
        <v>979103.46677111241</v>
      </c>
      <c r="S269">
        <f t="shared" ca="1" si="20"/>
        <v>2314533.5171123752</v>
      </c>
      <c r="T269">
        <f t="shared" ca="1" si="21"/>
        <v>6375109.2744316766</v>
      </c>
      <c r="U269">
        <f t="shared" ca="1" si="22"/>
        <v>11559768.732446017</v>
      </c>
      <c r="V269">
        <f t="shared" ca="1" si="23"/>
        <v>11630457.678094408</v>
      </c>
      <c r="W269">
        <f t="shared" ca="1" si="24"/>
        <v>10833658.707423886</v>
      </c>
      <c r="X269">
        <f t="shared" ca="1" si="25"/>
        <v>9816630.5505297687</v>
      </c>
      <c r="Y269">
        <f t="shared" ca="1" si="26"/>
        <v>8390011.3793032877</v>
      </c>
      <c r="Z269">
        <f t="shared" ca="1" si="27"/>
        <v>3326045.5620891158</v>
      </c>
      <c r="AA269" s="331">
        <f t="shared" ca="1" si="29"/>
        <v>65963768.005087763</v>
      </c>
    </row>
    <row r="270" spans="1:27" ht="14.25" x14ac:dyDescent="0.2">
      <c r="A270" t="str">
        <v>IA Economic</v>
      </c>
      <c r="C270" s="26">
        <f ca="1"/>
        <v>56.60694245669449</v>
      </c>
      <c r="D270" s="26">
        <f ca="1"/>
        <v>130.09619479634927</v>
      </c>
      <c r="E270" s="26">
        <f ca="1"/>
        <v>233.57474082317884</v>
      </c>
      <c r="F270" s="26">
        <f ca="1"/>
        <v>645.74217555807775</v>
      </c>
      <c r="G270" s="26">
        <f ca="1"/>
        <v>1544.9940724698954</v>
      </c>
      <c r="H270" s="26">
        <f ca="1"/>
        <v>2182.9996992951178</v>
      </c>
      <c r="I270" s="26">
        <f ca="1"/>
        <v>3019.6452240381686</v>
      </c>
      <c r="J270" s="26">
        <f ca="1"/>
        <v>3614.6698640522241</v>
      </c>
      <c r="K270" s="26">
        <f ca="1"/>
        <v>4491.84623486485</v>
      </c>
      <c r="L270" s="26">
        <f ca="1"/>
        <v>5189.5824114484221</v>
      </c>
      <c r="M270" s="6"/>
      <c r="N270" s="1" t="str">
        <f t="shared" si="18"/>
        <v>$M(2015)/million</v>
      </c>
      <c r="O270" s="1"/>
      <c r="Q270">
        <f t="shared" ca="1" si="28"/>
        <v>1030985.5668614478</v>
      </c>
      <c r="R270">
        <f t="shared" ca="1" si="19"/>
        <v>1556931.6031709542</v>
      </c>
      <c r="S270">
        <f t="shared" ca="1" si="20"/>
        <v>4096086.8883754537</v>
      </c>
      <c r="T270">
        <f t="shared" ca="1" si="21"/>
        <v>14140803.640399212</v>
      </c>
      <c r="U270">
        <f t="shared" ca="1" si="22"/>
        <v>30834692.548711576</v>
      </c>
      <c r="V270">
        <f t="shared" ca="1" si="23"/>
        <v>38687415.205213279</v>
      </c>
      <c r="W270">
        <f t="shared" ca="1" si="24"/>
        <v>46414190.914280854</v>
      </c>
      <c r="X270">
        <f t="shared" ca="1" si="25"/>
        <v>47110729.228012018</v>
      </c>
      <c r="Y270">
        <f t="shared" ca="1" si="26"/>
        <v>48585292.015424989</v>
      </c>
      <c r="Z270">
        <f t="shared" ca="1" si="27"/>
        <v>22861008.495946288</v>
      </c>
      <c r="AA270" s="331">
        <f t="shared" ca="1" si="29"/>
        <v>255318136.10639608</v>
      </c>
    </row>
    <row r="271" spans="1:27" ht="14.25" x14ac:dyDescent="0.2">
      <c r="A271" t="str">
        <v>AF Economic</v>
      </c>
      <c r="C271" s="26">
        <f ca="1"/>
        <v>18.202425050057965</v>
      </c>
      <c r="D271" s="26">
        <f ca="1"/>
        <v>56.323036386065276</v>
      </c>
      <c r="E271" s="26">
        <f ca="1"/>
        <v>112.41697598327606</v>
      </c>
      <c r="F271" s="26">
        <f ca="1"/>
        <v>309.74576763862422</v>
      </c>
      <c r="G271" s="26">
        <f ca="1"/>
        <v>771.58695952690391</v>
      </c>
      <c r="H271" s="26">
        <f ca="1"/>
        <v>1191.3517580729806</v>
      </c>
      <c r="I271" s="26">
        <f ca="1"/>
        <v>1679.9697507340265</v>
      </c>
      <c r="J271" s="26">
        <f ca="1"/>
        <v>2078.4442705740275</v>
      </c>
      <c r="K271" s="26">
        <f ca="1"/>
        <v>2697.9598870000232</v>
      </c>
      <c r="L271" s="26">
        <f ca="1"/>
        <v>3254.0662646286182</v>
      </c>
      <c r="M271" s="6"/>
      <c r="N271" s="1" t="str">
        <f t="shared" si="18"/>
        <v>$M(2015)/million</v>
      </c>
      <c r="O271" s="6"/>
      <c r="Q271">
        <f t="shared" ca="1" si="28"/>
        <v>193857.10280554875</v>
      </c>
      <c r="R271">
        <f t="shared" ca="1" si="19"/>
        <v>410665.88828213949</v>
      </c>
      <c r="S271">
        <f t="shared" ca="1" si="20"/>
        <v>1248399.795506442</v>
      </c>
      <c r="T271">
        <f t="shared" ca="1" si="21"/>
        <v>4625552.7849865519</v>
      </c>
      <c r="U271">
        <f t="shared" ca="1" si="22"/>
        <v>11227525.383196207</v>
      </c>
      <c r="V271">
        <f t="shared" ca="1" si="23"/>
        <v>16387739.707389856</v>
      </c>
      <c r="W271">
        <f t="shared" ca="1" si="24"/>
        <v>21348050.114240699</v>
      </c>
      <c r="X271">
        <f t="shared" ca="1" si="25"/>
        <v>23884796.540145848</v>
      </c>
      <c r="Y271">
        <f t="shared" ca="1" si="26"/>
        <v>27507138.314914744</v>
      </c>
      <c r="Z271">
        <f t="shared" ca="1" si="27"/>
        <v>14464802.789919192</v>
      </c>
      <c r="AA271" s="331">
        <f t="shared" ca="1" si="29"/>
        <v>121298528.42138724</v>
      </c>
    </row>
    <row r="272" spans="1:27" ht="14.25" x14ac:dyDescent="0.2">
      <c r="A272" t="str">
        <v>LA Economic</v>
      </c>
      <c r="C272" s="26">
        <f ca="1"/>
        <v>87.600452644101225</v>
      </c>
      <c r="D272" s="26">
        <f ca="1"/>
        <v>171.40216099384878</v>
      </c>
      <c r="E272" s="26">
        <f ca="1"/>
        <v>301.16917438033602</v>
      </c>
      <c r="F272" s="26">
        <f ca="1"/>
        <v>705.51645746144493</v>
      </c>
      <c r="G272" s="26">
        <f ca="1"/>
        <v>1497.1638697537032</v>
      </c>
      <c r="H272" s="26">
        <f ca="1"/>
        <v>2104.6395338959201</v>
      </c>
      <c r="I272" s="26">
        <f ca="1"/>
        <v>2850.0236630419672</v>
      </c>
      <c r="J272" s="26">
        <f ca="1"/>
        <v>3142.3301887281846</v>
      </c>
      <c r="K272" s="26">
        <f ca="1"/>
        <v>3771.7863887396447</v>
      </c>
      <c r="L272" s="26">
        <f ca="1"/>
        <v>4367.794870432047</v>
      </c>
      <c r="M272" s="6"/>
      <c r="N272" s="1" t="str">
        <f t="shared" si="18"/>
        <v>$M(2015)/million</v>
      </c>
      <c r="O272" s="1"/>
      <c r="Q272">
        <f t="shared" ca="1" si="28"/>
        <v>394355.36153754679</v>
      </c>
      <c r="R272">
        <f t="shared" ca="1" si="19"/>
        <v>499915.09918423835</v>
      </c>
      <c r="S272">
        <f t="shared" ca="1" si="20"/>
        <v>1269705.7901972327</v>
      </c>
      <c r="T272">
        <f t="shared" ca="1" si="21"/>
        <v>3613817.142619628</v>
      </c>
      <c r="U272">
        <f t="shared" ca="1" si="22"/>
        <v>6808699.9649098143</v>
      </c>
      <c r="V272">
        <f t="shared" ca="1" si="23"/>
        <v>8303699.9664841145</v>
      </c>
      <c r="W272">
        <f t="shared" ca="1" si="24"/>
        <v>9596852.7982781716</v>
      </c>
      <c r="X272">
        <f t="shared" ca="1" si="25"/>
        <v>8902247.1973281782</v>
      </c>
      <c r="Y272">
        <f t="shared" ca="1" si="26"/>
        <v>8820560.0061734524</v>
      </c>
      <c r="Z272">
        <f t="shared" ca="1" si="27"/>
        <v>4114349.1561973467</v>
      </c>
      <c r="AA272" s="331">
        <f t="shared" ca="1" si="29"/>
        <v>52324202.482909724</v>
      </c>
    </row>
    <row r="273" spans="1:27" s="2" customFormat="1" ht="14.25" x14ac:dyDescent="0.25">
      <c r="A273" s="2" t="s">
        <v>226</v>
      </c>
      <c r="C273" s="2" t="s">
        <v>236</v>
      </c>
      <c r="AA273" s="332">
        <f ca="1">_xll.RiskOutput("Ecomic")+SUM(AA265:AA272)</f>
        <v>503737225.16035897</v>
      </c>
    </row>
    <row r="274" spans="1:27" x14ac:dyDescent="0.2">
      <c r="A274" t="str">
        <f t="array" ref="A274:A281">R_CODE&amp;" "&amp;I_1_NAME</f>
        <v>EU Economic</v>
      </c>
      <c r="C274" s="29">
        <f t="array" ref="C274:L281" ca="1">rcons_s_per_cap-isatad_1_per_cap</f>
        <v>33836.095727179658</v>
      </c>
      <c r="D274" s="29">
        <f ca="1"/>
        <v>37864.25218476999</v>
      </c>
      <c r="E274" s="29">
        <f ca="1"/>
        <v>42429.963270190659</v>
      </c>
      <c r="F274" s="29">
        <f ca="1"/>
        <v>52882.839808658806</v>
      </c>
      <c r="G274" s="29">
        <f ca="1"/>
        <v>64017.670101781543</v>
      </c>
      <c r="H274" s="29">
        <f ca="1"/>
        <v>76145.987946889567</v>
      </c>
      <c r="I274" s="29">
        <f ca="1"/>
        <v>91292.792086816684</v>
      </c>
      <c r="J274" s="29">
        <f ca="1"/>
        <v>109044.31960087374</v>
      </c>
      <c r="K274" s="29">
        <f ca="1"/>
        <v>130192.57911969298</v>
      </c>
      <c r="L274" s="29">
        <f ca="1"/>
        <v>155855.28245663145</v>
      </c>
      <c r="M274" s="6"/>
      <c r="N274" s="1" t="str">
        <f t="shared" ref="N274:N281" si="30">CURRENCY_NAME&amp;"/"&amp;POP_UNIT_NAME</f>
        <v>$M(2015)/million</v>
      </c>
      <c r="O274" s="1"/>
    </row>
    <row r="275" spans="1:27" x14ac:dyDescent="0.2">
      <c r="A275" t="str">
        <v>US Economic</v>
      </c>
      <c r="C275" s="26">
        <f ca="1"/>
        <v>47906.688378907398</v>
      </c>
      <c r="D275" s="26">
        <f ca="1"/>
        <v>51947.298806766979</v>
      </c>
      <c r="E275" s="26">
        <f ca="1"/>
        <v>56352.097665723952</v>
      </c>
      <c r="F275" s="26">
        <f ca="1"/>
        <v>66239.778512365432</v>
      </c>
      <c r="G275" s="26">
        <f ca="1"/>
        <v>76356.670570927672</v>
      </c>
      <c r="H275" s="26">
        <f ca="1"/>
        <v>86544.744516469626</v>
      </c>
      <c r="I275" s="26">
        <f ca="1"/>
        <v>99713.48081001181</v>
      </c>
      <c r="J275" s="26">
        <f ca="1"/>
        <v>116270.66984901598</v>
      </c>
      <c r="K275" s="26">
        <f ca="1"/>
        <v>136241.06528264558</v>
      </c>
      <c r="L275" s="26">
        <f ca="1"/>
        <v>160231.03425353783</v>
      </c>
      <c r="M275" s="6"/>
      <c r="N275" s="1" t="str">
        <f t="shared" si="30"/>
        <v>$M(2015)/million</v>
      </c>
      <c r="O275" s="1"/>
    </row>
    <row r="276" spans="1:27" x14ac:dyDescent="0.2">
      <c r="A276" t="str">
        <v>OT Economic</v>
      </c>
      <c r="C276" s="26">
        <f ca="1"/>
        <v>31137.797802185036</v>
      </c>
      <c r="D276" s="26">
        <f ca="1"/>
        <v>34580.536231978105</v>
      </c>
      <c r="E276" s="26">
        <f ca="1"/>
        <v>38684.777766999716</v>
      </c>
      <c r="F276" s="26">
        <f ca="1"/>
        <v>48316.059133339433</v>
      </c>
      <c r="G276" s="26">
        <f ca="1"/>
        <v>59065.553239708031</v>
      </c>
      <c r="H276" s="26">
        <f ca="1"/>
        <v>70913.183768772506</v>
      </c>
      <c r="I276" s="26">
        <f ca="1"/>
        <v>85650.373602850334</v>
      </c>
      <c r="J276" s="26">
        <f ca="1"/>
        <v>103645.12206511924</v>
      </c>
      <c r="K276" s="26">
        <f ca="1"/>
        <v>124887.80570744048</v>
      </c>
      <c r="L276" s="26">
        <f ca="1"/>
        <v>150432.54317040631</v>
      </c>
      <c r="M276" s="6"/>
      <c r="N276" s="1" t="str">
        <f t="shared" si="30"/>
        <v>$M(2015)/million</v>
      </c>
      <c r="O276" s="1"/>
    </row>
    <row r="277" spans="1:27" x14ac:dyDescent="0.2">
      <c r="A277" t="str">
        <v>EE Economic</v>
      </c>
      <c r="C277" s="26">
        <f ca="1"/>
        <v>15931.968337507773</v>
      </c>
      <c r="D277" s="26">
        <f ca="1"/>
        <v>19595.207519025655</v>
      </c>
      <c r="E277" s="26">
        <f ca="1"/>
        <v>23928.591693867616</v>
      </c>
      <c r="F277" s="26">
        <f ca="1"/>
        <v>33605.01802765247</v>
      </c>
      <c r="G277" s="26">
        <f ca="1"/>
        <v>42839.814487121097</v>
      </c>
      <c r="H277" s="26">
        <f ca="1"/>
        <v>52200.008821510412</v>
      </c>
      <c r="I277" s="26">
        <f ca="1"/>
        <v>64979.341999110577</v>
      </c>
      <c r="J277" s="26">
        <f ca="1"/>
        <v>79585.889818118914</v>
      </c>
      <c r="K277" s="26">
        <f ca="1"/>
        <v>98047.752220669339</v>
      </c>
      <c r="L277" s="26">
        <f ca="1"/>
        <v>120527.37903218725</v>
      </c>
      <c r="M277" s="6"/>
      <c r="N277" s="1" t="str">
        <f t="shared" si="30"/>
        <v>$M(2015)/million</v>
      </c>
      <c r="O277" s="1"/>
    </row>
    <row r="278" spans="1:27" x14ac:dyDescent="0.2">
      <c r="A278" t="str">
        <v>CA Economic</v>
      </c>
      <c r="C278" s="26">
        <f ca="1"/>
        <v>16516.254038227871</v>
      </c>
      <c r="D278" s="26">
        <f ca="1"/>
        <v>22618.749828041568</v>
      </c>
      <c r="E278" s="26">
        <f ca="1"/>
        <v>29517.306732626039</v>
      </c>
      <c r="F278" s="26">
        <f ca="1"/>
        <v>43616.392212308478</v>
      </c>
      <c r="G278" s="26">
        <f ca="1"/>
        <v>56990.567360232169</v>
      </c>
      <c r="H278" s="26">
        <f ca="1"/>
        <v>69525.413241035014</v>
      </c>
      <c r="I278" s="26">
        <f ca="1"/>
        <v>83230.459248098094</v>
      </c>
      <c r="J278" s="26">
        <f ca="1"/>
        <v>98327.027982045518</v>
      </c>
      <c r="K278" s="26">
        <f ca="1"/>
        <v>116348.54080718746</v>
      </c>
      <c r="L278" s="26">
        <f ca="1"/>
        <v>137672.95172649503</v>
      </c>
      <c r="M278" s="6"/>
      <c r="N278" s="1" t="str">
        <f t="shared" si="30"/>
        <v>$M(2015)/million</v>
      </c>
      <c r="O278" s="1"/>
    </row>
    <row r="279" spans="1:27" x14ac:dyDescent="0.2">
      <c r="A279" t="str">
        <v>IA Economic</v>
      </c>
      <c r="C279" s="26">
        <f ca="1"/>
        <v>6751.873191377179</v>
      </c>
      <c r="D279" s="26">
        <f ca="1"/>
        <v>8908.9122092942653</v>
      </c>
      <c r="E279" s="26">
        <f ca="1"/>
        <v>11593.46496819327</v>
      </c>
      <c r="F279" s="26">
        <f ca="1"/>
        <v>18286.10741426114</v>
      </c>
      <c r="G279" s="26">
        <f ca="1"/>
        <v>26311.136467445998</v>
      </c>
      <c r="H279" s="26">
        <f ca="1"/>
        <v>36192.630501829561</v>
      </c>
      <c r="I279" s="26">
        <f ca="1"/>
        <v>48161.842194857767</v>
      </c>
      <c r="J279" s="26">
        <f ca="1"/>
        <v>63191.959995450074</v>
      </c>
      <c r="K279" s="26">
        <f ca="1"/>
        <v>81955.394708979657</v>
      </c>
      <c r="L279" s="26">
        <f ca="1"/>
        <v>105386.41278109631</v>
      </c>
      <c r="M279" s="6"/>
      <c r="N279" s="1" t="str">
        <f t="shared" si="30"/>
        <v>$M(2015)/million</v>
      </c>
      <c r="O279" s="1"/>
    </row>
    <row r="280" spans="1:27" x14ac:dyDescent="0.2">
      <c r="A280" t="str">
        <v>AF Economic</v>
      </c>
      <c r="C280" s="26">
        <f ca="1"/>
        <v>5300.934489975999</v>
      </c>
      <c r="D280" s="26">
        <f ca="1"/>
        <v>6362.3164173731047</v>
      </c>
      <c r="E280" s="26">
        <f ca="1"/>
        <v>7804.8813381406626</v>
      </c>
      <c r="F280" s="26">
        <f ca="1"/>
        <v>11845.447398334833</v>
      </c>
      <c r="G280" s="26">
        <f ca="1"/>
        <v>17264.583726696335</v>
      </c>
      <c r="H280" s="26">
        <f ca="1"/>
        <v>24228.672356766441</v>
      </c>
      <c r="I280" s="26">
        <f ca="1"/>
        <v>34260.368644910239</v>
      </c>
      <c r="J280" s="26">
        <f ca="1"/>
        <v>47844.802761271509</v>
      </c>
      <c r="K280" s="26">
        <f ca="1"/>
        <v>65932.428556921339</v>
      </c>
      <c r="L280" s="26">
        <f ca="1"/>
        <v>89844.554648371806</v>
      </c>
      <c r="M280" s="6"/>
      <c r="N280" s="1" t="str">
        <f t="shared" si="30"/>
        <v>$M(2015)/million</v>
      </c>
      <c r="O280" s="6"/>
    </row>
    <row r="281" spans="1:27" x14ac:dyDescent="0.2">
      <c r="A281" t="str">
        <v>LA Economic</v>
      </c>
      <c r="C281" s="26">
        <f ca="1"/>
        <v>12712.016201081733</v>
      </c>
      <c r="D281" s="26">
        <f ca="1"/>
        <v>14915.637506774132</v>
      </c>
      <c r="E281" s="26">
        <f ca="1"/>
        <v>17657.733432115787</v>
      </c>
      <c r="F281" s="26">
        <f ca="1"/>
        <v>25069.752878508905</v>
      </c>
      <c r="G281" s="26">
        <f ca="1"/>
        <v>34512.119238338739</v>
      </c>
      <c r="H281" s="26">
        <f ca="1"/>
        <v>45535.306764612906</v>
      </c>
      <c r="I281" s="26">
        <f ca="1"/>
        <v>58278.949396436306</v>
      </c>
      <c r="J281" s="26">
        <f ca="1"/>
        <v>74301.8062447907</v>
      </c>
      <c r="K281" s="26">
        <f ca="1"/>
        <v>94129.60706668855</v>
      </c>
      <c r="L281" s="26">
        <f ca="1"/>
        <v>118600.59981875568</v>
      </c>
      <c r="M281" s="6"/>
      <c r="N281" s="1" t="str">
        <f t="shared" si="30"/>
        <v>$M(2015)/million</v>
      </c>
      <c r="O281" s="1"/>
    </row>
    <row r="282" spans="1:27" s="2" customFormat="1" ht="14.25" x14ac:dyDescent="0.25">
      <c r="A282" s="2" t="s">
        <v>228</v>
      </c>
      <c r="C282" s="2" t="s">
        <v>235</v>
      </c>
    </row>
    <row r="283" spans="1:27" x14ac:dyDescent="0.2">
      <c r="A283" t="str">
        <f t="array" ref="A283:A290">R_CODE&amp;" "&amp;I_1_NAME</f>
        <v>EU Economic</v>
      </c>
      <c r="C283" s="29">
        <f t="array" ref="C283:L290" ca="1" xml:space="preserve"> rcons_1_per_cap/(1-SAVE/100)</f>
        <v>39807.171443740772</v>
      </c>
      <c r="D283" s="29">
        <f ca="1"/>
        <v>44546.179040905874</v>
      </c>
      <c r="E283" s="29">
        <f ca="1"/>
        <v>49917.603847283128</v>
      </c>
      <c r="F283" s="29">
        <f ca="1"/>
        <v>62215.105657245658</v>
      </c>
      <c r="G283" s="29">
        <f ca="1"/>
        <v>75314.90600209593</v>
      </c>
      <c r="H283" s="29">
        <f ca="1"/>
        <v>89583.515231634781</v>
      </c>
      <c r="I283" s="29">
        <f ca="1"/>
        <v>107403.28480801963</v>
      </c>
      <c r="J283" s="29">
        <f ca="1"/>
        <v>128287.43482455735</v>
      </c>
      <c r="K283" s="29">
        <f ca="1"/>
        <v>153167.74014081527</v>
      </c>
      <c r="L283" s="29">
        <f ca="1"/>
        <v>183359.15583133113</v>
      </c>
      <c r="M283" s="6"/>
      <c r="N283" s="1" t="str">
        <f t="shared" ref="N283:N290" si="31">CURRENCY_NAME&amp;"/"&amp;POP_UNIT_NAME</f>
        <v>$M(2015)/million</v>
      </c>
      <c r="O283" s="1"/>
    </row>
    <row r="284" spans="1:27" x14ac:dyDescent="0.2">
      <c r="A284" t="str">
        <v>US Economic</v>
      </c>
      <c r="C284" s="26">
        <f ca="1"/>
        <v>56360.809857538115</v>
      </c>
      <c r="D284" s="26">
        <f ca="1"/>
        <v>61114.469184431742</v>
      </c>
      <c r="E284" s="26">
        <f ca="1"/>
        <v>66296.585489087011</v>
      </c>
      <c r="F284" s="26">
        <f ca="1"/>
        <v>77929.151191018158</v>
      </c>
      <c r="G284" s="26">
        <f ca="1"/>
        <v>89831.377142267855</v>
      </c>
      <c r="H284" s="26">
        <f ca="1"/>
        <v>101817.34648996427</v>
      </c>
      <c r="I284" s="26">
        <f ca="1"/>
        <v>117309.97742354331</v>
      </c>
      <c r="J284" s="26">
        <f ca="1"/>
        <v>136789.02335178351</v>
      </c>
      <c r="K284" s="26">
        <f ca="1"/>
        <v>160283.60621487716</v>
      </c>
      <c r="L284" s="26">
        <f ca="1"/>
        <v>188507.09912180921</v>
      </c>
      <c r="M284" s="6"/>
      <c r="N284" s="1" t="str">
        <f t="shared" si="31"/>
        <v>$M(2015)/million</v>
      </c>
      <c r="O284" s="1"/>
    </row>
    <row r="285" spans="1:27" x14ac:dyDescent="0.2">
      <c r="A285" t="str">
        <v>OT Economic</v>
      </c>
      <c r="C285" s="26">
        <f ca="1"/>
        <v>36632.703296688276</v>
      </c>
      <c r="D285" s="26">
        <f ca="1"/>
        <v>40682.98380232718</v>
      </c>
      <c r="E285" s="26">
        <f ca="1"/>
        <v>45511.503255293785</v>
      </c>
      <c r="F285" s="26">
        <f ca="1"/>
        <v>56842.422509811098</v>
      </c>
      <c r="G285" s="26">
        <f ca="1"/>
        <v>69488.886164362397</v>
      </c>
      <c r="H285" s="26">
        <f ca="1"/>
        <v>83427.275022085305</v>
      </c>
      <c r="I285" s="26">
        <f ca="1"/>
        <v>100765.14541511804</v>
      </c>
      <c r="J285" s="26">
        <f ca="1"/>
        <v>121935.4377236697</v>
      </c>
      <c r="K285" s="26">
        <f ca="1"/>
        <v>146926.83024404763</v>
      </c>
      <c r="L285" s="26">
        <f ca="1"/>
        <v>176979.4625534192</v>
      </c>
      <c r="M285" s="6"/>
      <c r="N285" s="1" t="str">
        <f t="shared" si="31"/>
        <v>$M(2015)/million</v>
      </c>
      <c r="O285" s="1"/>
    </row>
    <row r="286" spans="1:27" x14ac:dyDescent="0.2">
      <c r="A286" t="str">
        <v>EE Economic</v>
      </c>
      <c r="C286" s="26">
        <f ca="1"/>
        <v>18743.492161773851</v>
      </c>
      <c r="D286" s="26">
        <f ca="1"/>
        <v>23053.185316500771</v>
      </c>
      <c r="E286" s="26">
        <f ca="1"/>
        <v>28151.28434572661</v>
      </c>
      <c r="F286" s="26">
        <f ca="1"/>
        <v>39535.315326649965</v>
      </c>
      <c r="G286" s="26">
        <f ca="1"/>
        <v>50399.781749554233</v>
      </c>
      <c r="H286" s="26">
        <f ca="1"/>
        <v>61411.775084129898</v>
      </c>
      <c r="I286" s="26">
        <f ca="1"/>
        <v>76446.284704835969</v>
      </c>
      <c r="J286" s="26">
        <f ca="1"/>
        <v>93630.458609551672</v>
      </c>
      <c r="K286" s="26">
        <f ca="1"/>
        <v>115350.29673019923</v>
      </c>
      <c r="L286" s="26">
        <f ca="1"/>
        <v>141796.91650845559</v>
      </c>
      <c r="M286" s="6"/>
      <c r="N286" s="1" t="str">
        <f t="shared" si="31"/>
        <v>$M(2015)/million</v>
      </c>
      <c r="O286" s="1"/>
    </row>
    <row r="287" spans="1:27" x14ac:dyDescent="0.2">
      <c r="A287" t="str">
        <v>CA Economic</v>
      </c>
      <c r="C287" s="26">
        <f ca="1"/>
        <v>19430.887103797497</v>
      </c>
      <c r="D287" s="26">
        <f ca="1"/>
        <v>26610.29391534302</v>
      </c>
      <c r="E287" s="26">
        <f ca="1"/>
        <v>34726.243214854163</v>
      </c>
      <c r="F287" s="26">
        <f ca="1"/>
        <v>51313.402602715854</v>
      </c>
      <c r="G287" s="26">
        <f ca="1"/>
        <v>67047.726306155499</v>
      </c>
      <c r="H287" s="26">
        <f ca="1"/>
        <v>81794.603812982372</v>
      </c>
      <c r="I287" s="26">
        <f ca="1"/>
        <v>97918.187350703636</v>
      </c>
      <c r="J287" s="26">
        <f ca="1"/>
        <v>115678.85644946533</v>
      </c>
      <c r="K287" s="26">
        <f ca="1"/>
        <v>136880.63624374996</v>
      </c>
      <c r="L287" s="26">
        <f ca="1"/>
        <v>161968.17850175887</v>
      </c>
      <c r="M287" s="6"/>
      <c r="N287" s="1" t="str">
        <f t="shared" si="31"/>
        <v>$M(2015)/million</v>
      </c>
      <c r="O287" s="1"/>
    </row>
    <row r="288" spans="1:27" x14ac:dyDescent="0.2">
      <c r="A288" t="str">
        <v>IA Economic</v>
      </c>
      <c r="C288" s="26">
        <f ca="1"/>
        <v>7943.3802251496227</v>
      </c>
      <c r="D288" s="26">
        <f ca="1"/>
        <v>10481.073187405018</v>
      </c>
      <c r="E288" s="26">
        <f ca="1"/>
        <v>13639.370550815611</v>
      </c>
      <c r="F288" s="26">
        <f ca="1"/>
        <v>21513.067546189577</v>
      </c>
      <c r="G288" s="26">
        <f ca="1"/>
        <v>30954.278196995292</v>
      </c>
      <c r="H288" s="26">
        <f ca="1"/>
        <v>42579.56529627007</v>
      </c>
      <c r="I288" s="26">
        <f ca="1"/>
        <v>56660.990817479724</v>
      </c>
      <c r="J288" s="26">
        <f ca="1"/>
        <v>74343.482347588317</v>
      </c>
      <c r="K288" s="26">
        <f ca="1"/>
        <v>96418.111422329006</v>
      </c>
      <c r="L288" s="26">
        <f ca="1"/>
        <v>123984.01503658389</v>
      </c>
      <c r="M288" s="6"/>
      <c r="N288" s="1" t="str">
        <f t="shared" si="31"/>
        <v>$M(2015)/million</v>
      </c>
      <c r="O288" s="1"/>
    </row>
    <row r="289" spans="1:15" x14ac:dyDescent="0.2">
      <c r="A289" t="str">
        <v>AF Economic</v>
      </c>
      <c r="C289" s="26">
        <f ca="1"/>
        <v>6236.3935176188224</v>
      </c>
      <c r="D289" s="26">
        <f ca="1"/>
        <v>7485.0781380860062</v>
      </c>
      <c r="E289" s="26">
        <f ca="1"/>
        <v>9182.213338989015</v>
      </c>
      <c r="F289" s="26">
        <f ca="1"/>
        <v>13935.820468629216</v>
      </c>
      <c r="G289" s="26">
        <f ca="1"/>
        <v>20311.274972583924</v>
      </c>
      <c r="H289" s="26">
        <f ca="1"/>
        <v>28504.320419725227</v>
      </c>
      <c r="I289" s="26">
        <f ca="1"/>
        <v>40306.316052835573</v>
      </c>
      <c r="J289" s="26">
        <f ca="1"/>
        <v>56288.00324855472</v>
      </c>
      <c r="K289" s="26">
        <f ca="1"/>
        <v>77567.563008142752</v>
      </c>
      <c r="L289" s="26">
        <f ca="1"/>
        <v>105699.47605690801</v>
      </c>
      <c r="M289" s="6"/>
      <c r="N289" s="1" t="str">
        <f t="shared" si="31"/>
        <v>$M(2015)/million</v>
      </c>
      <c r="O289" s="6"/>
    </row>
    <row r="290" spans="1:15" x14ac:dyDescent="0.2">
      <c r="A290" t="str">
        <v>LA Economic</v>
      </c>
      <c r="C290" s="26">
        <f ca="1"/>
        <v>14955.313177743215</v>
      </c>
      <c r="D290" s="26">
        <f ca="1"/>
        <v>17547.80883149898</v>
      </c>
      <c r="E290" s="26">
        <f ca="1"/>
        <v>20773.80403778328</v>
      </c>
      <c r="F290" s="26">
        <f ca="1"/>
        <v>29493.826915892831</v>
      </c>
      <c r="G290" s="26">
        <f ca="1"/>
        <v>40602.493221574987</v>
      </c>
      <c r="H290" s="26">
        <f ca="1"/>
        <v>53570.949134838716</v>
      </c>
      <c r="I290" s="26">
        <f ca="1"/>
        <v>68563.469878160366</v>
      </c>
      <c r="J290" s="26">
        <f ca="1"/>
        <v>87413.889699753767</v>
      </c>
      <c r="K290" s="26">
        <f ca="1"/>
        <v>110740.71419610418</v>
      </c>
      <c r="L290" s="26">
        <f ca="1"/>
        <v>139530.11743383022</v>
      </c>
      <c r="M290" s="6"/>
      <c r="N290" s="1" t="str">
        <f t="shared" si="31"/>
        <v>$M(2015)/million</v>
      </c>
      <c r="O290" s="1"/>
    </row>
    <row r="291" spans="1:15" s="2" customFormat="1" ht="14.25" x14ac:dyDescent="0.25">
      <c r="A291" s="2" t="s">
        <v>220</v>
      </c>
      <c r="C291" s="2" t="s">
        <v>237</v>
      </c>
    </row>
    <row r="292" spans="1:15" x14ac:dyDescent="0.2">
      <c r="A292" t="str">
        <f t="array" ref="A292:A299">R_CODE&amp;" "&amp;I_2_NAME</f>
        <v>EU Non-econ</v>
      </c>
      <c r="C292" s="29">
        <f t="array" ref="C292:L299" ca="1">WINCF_2*((W_2+IBEN_2*TCAL)*(i_2/TCAL)^POW_2-i_2*IBEN_2)</f>
        <v>0.20576475355288526</v>
      </c>
      <c r="D292" s="29">
        <f ca="1"/>
        <v>0.28126415837836433</v>
      </c>
      <c r="E292" s="29">
        <f ca="1"/>
        <v>0.36171957812685845</v>
      </c>
      <c r="F292" s="29">
        <f ca="1"/>
        <v>0.65753067559844824</v>
      </c>
      <c r="G292" s="29">
        <f ca="1"/>
        <v>0.94175430154532003</v>
      </c>
      <c r="H292" s="29">
        <f ca="1"/>
        <v>0.9482214136887448</v>
      </c>
      <c r="I292" s="29">
        <f ca="1"/>
        <v>0.95282157881199026</v>
      </c>
      <c r="J292" s="29">
        <f ca="1"/>
        <v>0.87518914482114674</v>
      </c>
      <c r="K292" s="29">
        <f ca="1"/>
        <v>0.79779873373677024</v>
      </c>
      <c r="L292" s="29">
        <f ca="1"/>
        <v>0.67768321405158893</v>
      </c>
      <c r="M292" s="6"/>
      <c r="N292" s="59" t="s">
        <v>132</v>
      </c>
    </row>
    <row r="293" spans="1:15" x14ac:dyDescent="0.2">
      <c r="A293" t="str">
        <v>US Non-econ</v>
      </c>
      <c r="C293" s="26">
        <f ca="1"/>
        <v>0.16103474129536946</v>
      </c>
      <c r="D293" s="26">
        <f ca="1"/>
        <v>0.24303515539995355</v>
      </c>
      <c r="E293" s="26">
        <f ca="1"/>
        <v>0.32436927568135521</v>
      </c>
      <c r="F293" s="26">
        <f ca="1"/>
        <v>0.62815838903456989</v>
      </c>
      <c r="G293" s="26">
        <f ca="1"/>
        <v>1.1032123588153555</v>
      </c>
      <c r="H293" s="26">
        <f ca="1"/>
        <v>1.2832257667568261</v>
      </c>
      <c r="I293" s="26">
        <f ca="1"/>
        <v>1.3213119300724943</v>
      </c>
      <c r="J293" s="26">
        <f ca="1"/>
        <v>1.1479334522755289</v>
      </c>
      <c r="K293" s="26">
        <f ca="1"/>
        <v>0.98769433709500509</v>
      </c>
      <c r="L293" s="26">
        <f ca="1"/>
        <v>0.92403908124513856</v>
      </c>
      <c r="M293" s="6"/>
      <c r="N293" s="59" t="s">
        <v>132</v>
      </c>
    </row>
    <row r="294" spans="1:15" x14ac:dyDescent="0.2">
      <c r="A294" t="str">
        <v>OT Non-econ</v>
      </c>
      <c r="C294" s="26">
        <f ca="1"/>
        <v>0.22377756325757309</v>
      </c>
      <c r="D294" s="26">
        <f ca="1"/>
        <v>0.29420015317903703</v>
      </c>
      <c r="E294" s="26">
        <f ca="1"/>
        <v>0.41534288674615294</v>
      </c>
      <c r="F294" s="26">
        <f ca="1"/>
        <v>0.73455169397158704</v>
      </c>
      <c r="G294" s="26">
        <f ca="1"/>
        <v>1.2105165148090604</v>
      </c>
      <c r="H294" s="26">
        <f ca="1"/>
        <v>1.2808856525565555</v>
      </c>
      <c r="I294" s="26">
        <f ca="1"/>
        <v>1.5518102634709772</v>
      </c>
      <c r="J294" s="26">
        <f ca="1"/>
        <v>1.2510218623733258</v>
      </c>
      <c r="K294" s="26">
        <f ca="1"/>
        <v>1.1049116057189665</v>
      </c>
      <c r="L294" s="26">
        <f ca="1"/>
        <v>1.0150253401115319</v>
      </c>
      <c r="M294" s="6"/>
      <c r="N294" s="59" t="s">
        <v>132</v>
      </c>
    </row>
    <row r="295" spans="1:15" x14ac:dyDescent="0.2">
      <c r="A295" t="str">
        <v>EE Non-econ</v>
      </c>
      <c r="C295" s="26">
        <f ca="1"/>
        <v>0.41011661390618304</v>
      </c>
      <c r="D295" s="26">
        <f ca="1"/>
        <v>0.60526008829616817</v>
      </c>
      <c r="E295" s="26">
        <f ca="1"/>
        <v>0.68194636350431204</v>
      </c>
      <c r="F295" s="26">
        <f ca="1"/>
        <v>1.2706092866196099</v>
      </c>
      <c r="G295" s="26">
        <f ca="1"/>
        <v>1.9143161198375322</v>
      </c>
      <c r="H295" s="26">
        <f ca="1"/>
        <v>2.0372456847197071</v>
      </c>
      <c r="I295" s="26">
        <f ca="1"/>
        <v>1.9886017018060449</v>
      </c>
      <c r="J295" s="26">
        <f ca="1"/>
        <v>1.8834625407871453</v>
      </c>
      <c r="K295" s="26">
        <f ca="1"/>
        <v>1.6684575905582668</v>
      </c>
      <c r="L295" s="26">
        <f ca="1"/>
        <v>1.3479416215477695</v>
      </c>
      <c r="M295" s="6"/>
      <c r="N295" s="59" t="s">
        <v>132</v>
      </c>
    </row>
    <row r="296" spans="1:15" x14ac:dyDescent="0.2">
      <c r="A296" t="str">
        <v>CA Non-econ</v>
      </c>
      <c r="C296" s="26">
        <f ca="1"/>
        <v>0.17304879939127182</v>
      </c>
      <c r="D296" s="26">
        <f ca="1"/>
        <v>0.2670362771842083</v>
      </c>
      <c r="E296" s="26">
        <f ca="1"/>
        <v>0.35115315314548906</v>
      </c>
      <c r="F296" s="26">
        <f ca="1"/>
        <v>0.61176598342698096</v>
      </c>
      <c r="G296" s="26">
        <f ca="1"/>
        <v>1.1214202569454998</v>
      </c>
      <c r="H296" s="26">
        <f ca="1"/>
        <v>1.1217927020391607</v>
      </c>
      <c r="I296" s="26">
        <f ca="1"/>
        <v>1.0707051102042713</v>
      </c>
      <c r="J296" s="26">
        <f ca="1"/>
        <v>1.0230686605541726</v>
      </c>
      <c r="K296" s="26">
        <f ca="1"/>
        <v>0.92882805373315303</v>
      </c>
      <c r="L296" s="26">
        <f ca="1"/>
        <v>0.79204021628409227</v>
      </c>
      <c r="M296" s="6"/>
      <c r="N296" s="59" t="s">
        <v>132</v>
      </c>
    </row>
    <row r="297" spans="1:15" x14ac:dyDescent="0.2">
      <c r="A297" t="str">
        <v>IA Non-econ</v>
      </c>
      <c r="C297" s="26">
        <f ca="1"/>
        <v>5.0151011268081275E-2</v>
      </c>
      <c r="D297" s="26">
        <f ca="1"/>
        <v>8.9773085179586487E-2</v>
      </c>
      <c r="E297" s="26">
        <f ca="1"/>
        <v>0.13167995104960836</v>
      </c>
      <c r="F297" s="26">
        <f ca="1"/>
        <v>0.27599643617267328</v>
      </c>
      <c r="G297" s="26">
        <f ca="1"/>
        <v>0.57508322368182863</v>
      </c>
      <c r="H297" s="26">
        <f ca="1"/>
        <v>0.59851695640699343</v>
      </c>
      <c r="I297" s="26">
        <f ca="1"/>
        <v>0.63416000688883001</v>
      </c>
      <c r="J297" s="26">
        <f ca="1"/>
        <v>0.55312401349125651</v>
      </c>
      <c r="K297" s="26">
        <f ca="1"/>
        <v>0.51920718374795027</v>
      </c>
      <c r="L297" s="26">
        <f ca="1"/>
        <v>0.44364369493499772</v>
      </c>
      <c r="M297" s="6"/>
      <c r="N297" s="59" t="s">
        <v>132</v>
      </c>
    </row>
    <row r="298" spans="1:15" x14ac:dyDescent="0.2">
      <c r="A298" t="str">
        <v>AF Non-econ</v>
      </c>
      <c r="C298" s="26">
        <f ca="1"/>
        <v>6.7135416872622616E-2</v>
      </c>
      <c r="D298" s="26">
        <f ca="1"/>
        <v>0.11815389684428587</v>
      </c>
      <c r="E298" s="26">
        <f ca="1"/>
        <v>0.18081803643770766</v>
      </c>
      <c r="F298" s="26">
        <f ca="1"/>
        <v>0.34520102320585644</v>
      </c>
      <c r="G298" s="26">
        <f ca="1"/>
        <v>0.68139177685947838</v>
      </c>
      <c r="H298" s="26">
        <f ca="1"/>
        <v>0.77493660828988731</v>
      </c>
      <c r="I298" s="26">
        <f ca="1"/>
        <v>0.77203613992770315</v>
      </c>
      <c r="J298" s="26">
        <f ca="1"/>
        <v>0.65607851469140754</v>
      </c>
      <c r="K298" s="26">
        <f ca="1"/>
        <v>0.60613944808905718</v>
      </c>
      <c r="L298" s="26">
        <f ca="1"/>
        <v>0.51706876031346249</v>
      </c>
      <c r="M298" s="6"/>
      <c r="N298" s="59" t="s">
        <v>132</v>
      </c>
      <c r="O298" s="6"/>
    </row>
    <row r="299" spans="1:15" x14ac:dyDescent="0.2">
      <c r="A299" t="str">
        <v>LA Non-econ</v>
      </c>
      <c r="C299" s="26">
        <f ca="1"/>
        <v>6.4931660297215088E-2</v>
      </c>
      <c r="D299" s="26">
        <f ca="1"/>
        <v>0.11020480240959474</v>
      </c>
      <c r="E299" s="26">
        <f ca="1"/>
        <v>0.17592446831409009</v>
      </c>
      <c r="F299" s="26">
        <f ca="1"/>
        <v>0.33948236052432479</v>
      </c>
      <c r="G299" s="26">
        <f ca="1"/>
        <v>0.62625439333452926</v>
      </c>
      <c r="H299" s="26">
        <f ca="1"/>
        <v>0.6866936739453775</v>
      </c>
      <c r="I299" s="26">
        <f ca="1"/>
        <v>0.74567098962943801</v>
      </c>
      <c r="J299" s="26">
        <f ca="1"/>
        <v>0.60361480174129611</v>
      </c>
      <c r="K299" s="26">
        <f ca="1"/>
        <v>0.55842223114790102</v>
      </c>
      <c r="L299" s="26">
        <f ca="1"/>
        <v>0.49485783874692996</v>
      </c>
      <c r="M299" s="6"/>
      <c r="N299" s="59" t="s">
        <v>132</v>
      </c>
    </row>
    <row r="300" spans="1:15" s="2" customFormat="1" ht="14.25" x14ac:dyDescent="0.25">
      <c r="A300" s="2" t="s">
        <v>219</v>
      </c>
      <c r="C300" s="2" t="s">
        <v>238</v>
      </c>
    </row>
    <row r="301" spans="1:15" x14ac:dyDescent="0.2">
      <c r="A301" t="str">
        <f t="array" ref="A301:A308">R_CODE&amp;" "&amp;I_2_NAME</f>
        <v>EU Non-econ</v>
      </c>
      <c r="C301" s="29">
        <f t="array" ref="C301:L308" ca="1">iref_2*(rgdp_1_per_cap/GDP_PER_CAP_FOCUS_0)^IPOW_2</f>
        <v>0.20576475355288526</v>
      </c>
      <c r="D301" s="29">
        <f ca="1"/>
        <v>0.28126415837836433</v>
      </c>
      <c r="E301" s="29">
        <f ca="1"/>
        <v>0.36171957812685845</v>
      </c>
      <c r="F301" s="29">
        <f ca="1"/>
        <v>0.65753067559844824</v>
      </c>
      <c r="G301" s="29">
        <f ca="1"/>
        <v>0.94175430154532003</v>
      </c>
      <c r="H301" s="29">
        <f ca="1"/>
        <v>0.9482214136887448</v>
      </c>
      <c r="I301" s="29">
        <f ca="1"/>
        <v>0.95282157881199026</v>
      </c>
      <c r="J301" s="29">
        <f ca="1"/>
        <v>0.87518914482114674</v>
      </c>
      <c r="K301" s="29">
        <f ca="1"/>
        <v>0.79779873373677024</v>
      </c>
      <c r="L301" s="29">
        <f ca="1"/>
        <v>0.67768321405158893</v>
      </c>
      <c r="M301" s="6"/>
      <c r="N301" s="59" t="s">
        <v>132</v>
      </c>
    </row>
    <row r="302" spans="1:15" x14ac:dyDescent="0.2">
      <c r="A302" t="str">
        <v>US Non-econ</v>
      </c>
      <c r="C302" s="26">
        <f ca="1"/>
        <v>0.16103474129536946</v>
      </c>
      <c r="D302" s="26">
        <f ca="1"/>
        <v>0.24303515539995355</v>
      </c>
      <c r="E302" s="26">
        <f ca="1"/>
        <v>0.32436927568135521</v>
      </c>
      <c r="F302" s="26">
        <f ca="1"/>
        <v>0.62815838903456989</v>
      </c>
      <c r="G302" s="26">
        <f ca="1"/>
        <v>1.1032123588153555</v>
      </c>
      <c r="H302" s="26">
        <f ca="1"/>
        <v>1.2832257667568261</v>
      </c>
      <c r="I302" s="26">
        <f ca="1"/>
        <v>1.3213119300724943</v>
      </c>
      <c r="J302" s="26">
        <f ca="1"/>
        <v>1.1479334522755289</v>
      </c>
      <c r="K302" s="26">
        <f ca="1"/>
        <v>0.98769433709500509</v>
      </c>
      <c r="L302" s="26">
        <f ca="1"/>
        <v>0.92403908124513856</v>
      </c>
      <c r="M302" s="6"/>
      <c r="N302" s="59" t="s">
        <v>132</v>
      </c>
    </row>
    <row r="303" spans="1:15" x14ac:dyDescent="0.2">
      <c r="A303" t="str">
        <v>OT Non-econ</v>
      </c>
      <c r="C303" s="26">
        <f ca="1"/>
        <v>0.22377756325757309</v>
      </c>
      <c r="D303" s="26">
        <f ca="1"/>
        <v>0.29420015317903703</v>
      </c>
      <c r="E303" s="26">
        <f ca="1"/>
        <v>0.41534288674615294</v>
      </c>
      <c r="F303" s="26">
        <f ca="1"/>
        <v>0.73455169397158704</v>
      </c>
      <c r="G303" s="26">
        <f ca="1"/>
        <v>1.2105165148090604</v>
      </c>
      <c r="H303" s="26">
        <f ca="1"/>
        <v>1.2808856525565555</v>
      </c>
      <c r="I303" s="26">
        <f ca="1"/>
        <v>1.5518102634709772</v>
      </c>
      <c r="J303" s="26">
        <f ca="1"/>
        <v>1.2510218623733258</v>
      </c>
      <c r="K303" s="26">
        <f ca="1"/>
        <v>1.1049116057189665</v>
      </c>
      <c r="L303" s="26">
        <f ca="1"/>
        <v>1.0150253401115319</v>
      </c>
      <c r="M303" s="6"/>
      <c r="N303" s="59" t="s">
        <v>132</v>
      </c>
    </row>
    <row r="304" spans="1:15" x14ac:dyDescent="0.2">
      <c r="A304" t="str">
        <v>EE Non-econ</v>
      </c>
      <c r="C304" s="26">
        <f ca="1"/>
        <v>0.41011661390618304</v>
      </c>
      <c r="D304" s="26">
        <f ca="1"/>
        <v>0.60526008829616817</v>
      </c>
      <c r="E304" s="26">
        <f ca="1"/>
        <v>0.68194636350431204</v>
      </c>
      <c r="F304" s="26">
        <f ca="1"/>
        <v>1.2706092866196099</v>
      </c>
      <c r="G304" s="26">
        <f ca="1"/>
        <v>1.9143161198375322</v>
      </c>
      <c r="H304" s="26">
        <f ca="1"/>
        <v>2.0372456847197071</v>
      </c>
      <c r="I304" s="26">
        <f ca="1"/>
        <v>1.9886017018060449</v>
      </c>
      <c r="J304" s="26">
        <f ca="1"/>
        <v>1.8834625407871453</v>
      </c>
      <c r="K304" s="26">
        <f ca="1"/>
        <v>1.6684575905582668</v>
      </c>
      <c r="L304" s="26">
        <f ca="1"/>
        <v>1.3479416215477695</v>
      </c>
      <c r="M304" s="6"/>
      <c r="N304" s="59" t="s">
        <v>132</v>
      </c>
    </row>
    <row r="305" spans="1:27" x14ac:dyDescent="0.2">
      <c r="A305" t="str">
        <v>CA Non-econ</v>
      </c>
      <c r="C305" s="26">
        <f ca="1"/>
        <v>0.17304879939127182</v>
      </c>
      <c r="D305" s="26">
        <f ca="1"/>
        <v>0.2670362771842083</v>
      </c>
      <c r="E305" s="26">
        <f ca="1"/>
        <v>0.35115315314548906</v>
      </c>
      <c r="F305" s="26">
        <f ca="1"/>
        <v>0.61176598342698096</v>
      </c>
      <c r="G305" s="26">
        <f ca="1"/>
        <v>1.1214202569454998</v>
      </c>
      <c r="H305" s="26">
        <f ca="1"/>
        <v>1.1217927020391607</v>
      </c>
      <c r="I305" s="26">
        <f ca="1"/>
        <v>1.0707051102042713</v>
      </c>
      <c r="J305" s="26">
        <f ca="1"/>
        <v>1.0230686605541726</v>
      </c>
      <c r="K305" s="26">
        <f ca="1"/>
        <v>0.92882805373315303</v>
      </c>
      <c r="L305" s="26">
        <f ca="1"/>
        <v>0.79204021628409227</v>
      </c>
      <c r="M305" s="6"/>
      <c r="N305" s="59" t="s">
        <v>132</v>
      </c>
    </row>
    <row r="306" spans="1:27" x14ac:dyDescent="0.2">
      <c r="A306" t="str">
        <v>IA Non-econ</v>
      </c>
      <c r="C306" s="26">
        <f ca="1"/>
        <v>5.0151011268081275E-2</v>
      </c>
      <c r="D306" s="26">
        <f ca="1"/>
        <v>8.9773085179586487E-2</v>
      </c>
      <c r="E306" s="26">
        <f ca="1"/>
        <v>0.13167995104960836</v>
      </c>
      <c r="F306" s="26">
        <f ca="1"/>
        <v>0.27599643617267328</v>
      </c>
      <c r="G306" s="26">
        <f ca="1"/>
        <v>0.57508322368182863</v>
      </c>
      <c r="H306" s="26">
        <f ca="1"/>
        <v>0.59851695640699343</v>
      </c>
      <c r="I306" s="26">
        <f ca="1"/>
        <v>0.63416000688883001</v>
      </c>
      <c r="J306" s="26">
        <f ca="1"/>
        <v>0.55312401349125651</v>
      </c>
      <c r="K306" s="26">
        <f ca="1"/>
        <v>0.51920718374795027</v>
      </c>
      <c r="L306" s="26">
        <f ca="1"/>
        <v>0.44364369493499772</v>
      </c>
      <c r="M306" s="6"/>
      <c r="N306" s="59" t="s">
        <v>132</v>
      </c>
    </row>
    <row r="307" spans="1:27" x14ac:dyDescent="0.2">
      <c r="A307" t="str">
        <v>AF Non-econ</v>
      </c>
      <c r="C307" s="26">
        <f ca="1"/>
        <v>6.7135416872622616E-2</v>
      </c>
      <c r="D307" s="26">
        <f ca="1"/>
        <v>0.11815389684428587</v>
      </c>
      <c r="E307" s="26">
        <f ca="1"/>
        <v>0.18081803643770766</v>
      </c>
      <c r="F307" s="26">
        <f ca="1"/>
        <v>0.34520102320585644</v>
      </c>
      <c r="G307" s="26">
        <f ca="1"/>
        <v>0.68139177685947838</v>
      </c>
      <c r="H307" s="26">
        <f ca="1"/>
        <v>0.77493660828988731</v>
      </c>
      <c r="I307" s="26">
        <f ca="1"/>
        <v>0.77203613992770315</v>
      </c>
      <c r="J307" s="26">
        <f ca="1"/>
        <v>0.65607851469140754</v>
      </c>
      <c r="K307" s="26">
        <f ca="1"/>
        <v>0.60613944808905718</v>
      </c>
      <c r="L307" s="26">
        <f ca="1"/>
        <v>0.51706876031346249</v>
      </c>
      <c r="M307" s="6"/>
      <c r="N307" s="59" t="s">
        <v>132</v>
      </c>
      <c r="O307" s="6"/>
    </row>
    <row r="308" spans="1:27" x14ac:dyDescent="0.2">
      <c r="A308" t="str">
        <v>LA Non-econ</v>
      </c>
      <c r="C308" s="26">
        <f ca="1"/>
        <v>6.4931660297215088E-2</v>
      </c>
      <c r="D308" s="26">
        <f ca="1"/>
        <v>0.11020480240959474</v>
      </c>
      <c r="E308" s="26">
        <f ca="1"/>
        <v>0.17592446831409009</v>
      </c>
      <c r="F308" s="26">
        <f ca="1"/>
        <v>0.33948236052432479</v>
      </c>
      <c r="G308" s="26">
        <f ca="1"/>
        <v>0.62625439333452926</v>
      </c>
      <c r="H308" s="26">
        <f ca="1"/>
        <v>0.6866936739453775</v>
      </c>
      <c r="I308" s="26">
        <f ca="1"/>
        <v>0.74567098962943801</v>
      </c>
      <c r="J308" s="26">
        <f ca="1"/>
        <v>0.60361480174129611</v>
      </c>
      <c r="K308" s="26">
        <f ca="1"/>
        <v>0.55842223114790102</v>
      </c>
      <c r="L308" s="26">
        <f ca="1"/>
        <v>0.49485783874692996</v>
      </c>
      <c r="M308" s="6"/>
      <c r="N308" s="59" t="s">
        <v>132</v>
      </c>
    </row>
    <row r="309" spans="1:27" s="2" customFormat="1" ht="14.25" x14ac:dyDescent="0.25">
      <c r="A309" s="2" t="s">
        <v>223</v>
      </c>
      <c r="C309" s="2" t="s">
        <v>239</v>
      </c>
      <c r="P309" s="2" t="s">
        <v>1121</v>
      </c>
      <c r="Q309" s="2">
        <v>3731.1295734726509</v>
      </c>
      <c r="R309" s="2">
        <v>2426.1527681994476</v>
      </c>
      <c r="S309" s="2">
        <v>3552.712571602302</v>
      </c>
      <c r="T309" s="2">
        <v>4514.9583109114074</v>
      </c>
      <c r="U309" s="2">
        <v>4315.3722470948551</v>
      </c>
      <c r="V309" s="2">
        <v>4118.4784203593954</v>
      </c>
      <c r="W309" s="2">
        <v>3890.9393108804293</v>
      </c>
      <c r="X309" s="2">
        <v>3637.6091360562946</v>
      </c>
      <c r="Y309" s="2">
        <v>3362.102877852833</v>
      </c>
      <c r="Z309" s="2">
        <v>1539.7101356993812</v>
      </c>
    </row>
    <row r="310" spans="1:27" x14ac:dyDescent="0.2">
      <c r="A310" t="str">
        <f t="array" ref="A310:A317">R_CODE&amp;" "&amp;I_2_NAME</f>
        <v>EU Non-econ</v>
      </c>
      <c r="C310" s="29">
        <f t="array" ref="C310:L317" ca="1">IF(igdp_2&lt;ISATG,igdp_2,ISATG+(100-SAVE-ISATG)*((igdp_2-ISATG)/((100-SAVE-ISATG)+(igdp_2-ISATG))))*(1-imp_2/100*IF(i_2&lt;impmax_2_a,1,impmax_2_a/i_2))</f>
        <v>0.20576475355288526</v>
      </c>
      <c r="D310" s="29">
        <f ca="1"/>
        <v>0.28126415837836433</v>
      </c>
      <c r="E310" s="29">
        <f ca="1"/>
        <v>0.36171957812685845</v>
      </c>
      <c r="F310" s="29">
        <f ca="1"/>
        <v>0.65753067559844824</v>
      </c>
      <c r="G310" s="29">
        <f ca="1"/>
        <v>0.94175430154532003</v>
      </c>
      <c r="H310" s="29">
        <f ca="1"/>
        <v>0.9482214136887448</v>
      </c>
      <c r="I310" s="29">
        <f ca="1"/>
        <v>0.95282157881199026</v>
      </c>
      <c r="J310" s="29">
        <f ca="1"/>
        <v>0.87518914482114674</v>
      </c>
      <c r="K310" s="29">
        <f ca="1"/>
        <v>0.79779873373677024</v>
      </c>
      <c r="L310" s="29">
        <f ca="1"/>
        <v>0.67768321405158893</v>
      </c>
      <c r="M310" s="6"/>
      <c r="N310" s="59" t="s">
        <v>132</v>
      </c>
      <c r="Q310">
        <v>2469.2933029868564</v>
      </c>
      <c r="R310">
        <v>1655.0206779588766</v>
      </c>
      <c r="S310">
        <v>2495.0510744882445</v>
      </c>
      <c r="T310">
        <v>3338.0788676695838</v>
      </c>
      <c r="U310">
        <v>3337.1775681398367</v>
      </c>
      <c r="V310">
        <v>3336.3701725041342</v>
      </c>
      <c r="W310">
        <v>3311.5332044327552</v>
      </c>
      <c r="X310">
        <v>3249.3916266154547</v>
      </c>
      <c r="Y310">
        <v>3138.1458516589769</v>
      </c>
      <c r="Z310">
        <v>1490.0974668620906</v>
      </c>
    </row>
    <row r="311" spans="1:27" x14ac:dyDescent="0.2">
      <c r="A311" t="str">
        <v>US Non-econ</v>
      </c>
      <c r="C311" s="26">
        <f ca="1"/>
        <v>0.16103474129536946</v>
      </c>
      <c r="D311" s="26">
        <f ca="1"/>
        <v>0.24303515539995355</v>
      </c>
      <c r="E311" s="26">
        <f ca="1"/>
        <v>0.32436927568135521</v>
      </c>
      <c r="F311" s="26">
        <f ca="1"/>
        <v>0.62815838903456989</v>
      </c>
      <c r="G311" s="26">
        <f ca="1"/>
        <v>1.1032123588153555</v>
      </c>
      <c r="H311" s="26">
        <f ca="1"/>
        <v>1.2832257667568261</v>
      </c>
      <c r="I311" s="26">
        <f ca="1"/>
        <v>1.3213119300724943</v>
      </c>
      <c r="J311" s="26">
        <f ca="1"/>
        <v>1.1479334522755289</v>
      </c>
      <c r="K311" s="26">
        <f ca="1"/>
        <v>0.98769433709500509</v>
      </c>
      <c r="L311" s="26">
        <f ca="1"/>
        <v>0.92403908124513856</v>
      </c>
      <c r="M311" s="6"/>
      <c r="N311" s="59" t="s">
        <v>132</v>
      </c>
      <c r="Q311">
        <v>2239.1949630902322</v>
      </c>
      <c r="R311">
        <v>1458.611518686547</v>
      </c>
      <c r="S311">
        <v>2132.7627674158425</v>
      </c>
      <c r="T311">
        <v>2686.3510478224653</v>
      </c>
      <c r="U311">
        <v>2526.882548698853</v>
      </c>
      <c r="V311">
        <v>2364.3638056037162</v>
      </c>
      <c r="W311">
        <v>2180.9623948197591</v>
      </c>
      <c r="X311">
        <v>1984.7986693586015</v>
      </c>
      <c r="Y311">
        <v>1780.740276098659</v>
      </c>
      <c r="Z311">
        <v>789.37877466952784</v>
      </c>
    </row>
    <row r="312" spans="1:27" x14ac:dyDescent="0.2">
      <c r="A312" t="str">
        <v>OT Non-econ</v>
      </c>
      <c r="C312" s="26">
        <f ca="1"/>
        <v>0.22377756325757309</v>
      </c>
      <c r="D312" s="26">
        <f ca="1"/>
        <v>0.29420015317903703</v>
      </c>
      <c r="E312" s="26">
        <f ca="1"/>
        <v>0.41534288674615294</v>
      </c>
      <c r="F312" s="26">
        <f ca="1"/>
        <v>0.73455169397158704</v>
      </c>
      <c r="G312" s="26">
        <f ca="1"/>
        <v>1.2105165148090604</v>
      </c>
      <c r="H312" s="26">
        <f ca="1"/>
        <v>1.2808856525565555</v>
      </c>
      <c r="I312" s="26">
        <f ca="1"/>
        <v>1.5518102634709772</v>
      </c>
      <c r="J312" s="26">
        <f ca="1"/>
        <v>1.2510218623733258</v>
      </c>
      <c r="K312" s="26">
        <f ca="1"/>
        <v>1.1049116057189665</v>
      </c>
      <c r="L312" s="26">
        <f ca="1"/>
        <v>1.0150253401115319</v>
      </c>
      <c r="M312" s="6"/>
      <c r="N312" s="59" t="s">
        <v>132</v>
      </c>
      <c r="Q312">
        <v>1990.317156230715</v>
      </c>
      <c r="R312">
        <v>1255.0019685057825</v>
      </c>
      <c r="S312">
        <v>1776.3370011275188</v>
      </c>
      <c r="T312">
        <v>2107.5048846850432</v>
      </c>
      <c r="U312">
        <v>1853.4416966818851</v>
      </c>
      <c r="V312">
        <v>1607.9006187189816</v>
      </c>
      <c r="W312">
        <v>1375.7159618222977</v>
      </c>
      <c r="X312">
        <v>1154.6923183604661</v>
      </c>
      <c r="Y312">
        <v>953.15988237658837</v>
      </c>
      <c r="Z312">
        <v>388.4312004223346</v>
      </c>
    </row>
    <row r="313" spans="1:27" x14ac:dyDescent="0.2">
      <c r="A313" t="str">
        <v>EE Non-econ</v>
      </c>
      <c r="C313" s="26">
        <f ca="1"/>
        <v>0.41011661390618304</v>
      </c>
      <c r="D313" s="26">
        <f ca="1"/>
        <v>0.60526008829616817</v>
      </c>
      <c r="E313" s="26">
        <f ca="1"/>
        <v>0.68194636350431204</v>
      </c>
      <c r="F313" s="26">
        <f ca="1"/>
        <v>1.2706092866196099</v>
      </c>
      <c r="G313" s="26">
        <f ca="1"/>
        <v>1.9143161198375322</v>
      </c>
      <c r="H313" s="26">
        <f ca="1"/>
        <v>2.0372456847197071</v>
      </c>
      <c r="I313" s="26">
        <f ca="1"/>
        <v>1.9886017018060449</v>
      </c>
      <c r="J313" s="26">
        <f ca="1"/>
        <v>1.8834625407871453</v>
      </c>
      <c r="K313" s="26">
        <f ca="1"/>
        <v>1.6684575905582668</v>
      </c>
      <c r="L313" s="26">
        <f ca="1"/>
        <v>1.3479416215477695</v>
      </c>
      <c r="M313" s="6"/>
      <c r="N313" s="59" t="s">
        <v>132</v>
      </c>
      <c r="Q313">
        <v>9826.6054363394578</v>
      </c>
      <c r="R313">
        <v>6223.010026983422</v>
      </c>
      <c r="S313">
        <v>8797.1859940073919</v>
      </c>
      <c r="T313">
        <v>10200.988114705027</v>
      </c>
      <c r="U313">
        <v>8622.3638162845327</v>
      </c>
      <c r="V313">
        <v>7109.1345337649564</v>
      </c>
      <c r="W313">
        <v>5744.3559674504895</v>
      </c>
      <c r="X313">
        <v>4571.4493052692469</v>
      </c>
      <c r="Y313">
        <v>3571.443654170133</v>
      </c>
      <c r="Z313">
        <v>1362.5965597765826</v>
      </c>
    </row>
    <row r="314" spans="1:27" x14ac:dyDescent="0.2">
      <c r="A314" t="str">
        <v>CA Non-econ</v>
      </c>
      <c r="C314" s="26">
        <f ca="1"/>
        <v>0.17304879939127182</v>
      </c>
      <c r="D314" s="26">
        <f ca="1"/>
        <v>0.2670362771842083</v>
      </c>
      <c r="E314" s="26">
        <f ca="1"/>
        <v>0.35115315314548906</v>
      </c>
      <c r="F314" s="26">
        <f ca="1"/>
        <v>0.61176598342698096</v>
      </c>
      <c r="G314" s="26">
        <f ca="1"/>
        <v>1.1214202569454998</v>
      </c>
      <c r="H314" s="26">
        <f ca="1"/>
        <v>1.1217927020391607</v>
      </c>
      <c r="I314" s="26">
        <f ca="1"/>
        <v>1.0707051102042713</v>
      </c>
      <c r="J314" s="26">
        <f ca="1"/>
        <v>1.0230686605541726</v>
      </c>
      <c r="K314" s="26">
        <f ca="1"/>
        <v>0.92882805373315303</v>
      </c>
      <c r="L314" s="26">
        <f ca="1"/>
        <v>0.79204021628409227</v>
      </c>
      <c r="M314" s="6"/>
      <c r="N314" s="59" t="s">
        <v>132</v>
      </c>
      <c r="Q314">
        <v>18213.058718904904</v>
      </c>
      <c r="R314">
        <v>11967.541445836696</v>
      </c>
      <c r="S314">
        <v>17536.514753006963</v>
      </c>
      <c r="T314">
        <v>21898.528817911159</v>
      </c>
      <c r="U314">
        <v>19957.806374893</v>
      </c>
      <c r="V314">
        <v>17722.134921825822</v>
      </c>
      <c r="W314">
        <v>15370.743074317586</v>
      </c>
      <c r="X314">
        <v>13033.203860891063</v>
      </c>
      <c r="Y314">
        <v>10816.33018475015</v>
      </c>
      <c r="Z314">
        <v>4405.1730338676207</v>
      </c>
    </row>
    <row r="315" spans="1:27" x14ac:dyDescent="0.2">
      <c r="A315" t="str">
        <v>IA Non-econ</v>
      </c>
      <c r="C315" s="26">
        <f ca="1"/>
        <v>5.0151011268081275E-2</v>
      </c>
      <c r="D315" s="26">
        <f ca="1"/>
        <v>8.9773085179586487E-2</v>
      </c>
      <c r="E315" s="26">
        <f ca="1"/>
        <v>0.13167995104960836</v>
      </c>
      <c r="F315" s="26">
        <f ca="1"/>
        <v>0.27599643617267328</v>
      </c>
      <c r="G315" s="26">
        <f ca="1"/>
        <v>0.57508322368182863</v>
      </c>
      <c r="H315" s="26">
        <f ca="1"/>
        <v>0.59851695640699343</v>
      </c>
      <c r="I315" s="26">
        <f ca="1"/>
        <v>0.63416000688883001</v>
      </c>
      <c r="J315" s="26">
        <f ca="1"/>
        <v>0.55312401349125651</v>
      </c>
      <c r="K315" s="26">
        <f ca="1"/>
        <v>0.51920718374795027</v>
      </c>
      <c r="L315" s="26">
        <f ca="1"/>
        <v>0.44364369493499772</v>
      </c>
      <c r="M315" s="6"/>
      <c r="N315" s="59" t="s">
        <v>132</v>
      </c>
      <c r="Q315">
        <v>10650.070101781928</v>
      </c>
      <c r="R315">
        <v>7291.2597514671843</v>
      </c>
      <c r="S315">
        <v>11105.082525010837</v>
      </c>
      <c r="T315">
        <v>14933.384950664169</v>
      </c>
      <c r="U315">
        <v>14551.211946454265</v>
      </c>
      <c r="V315">
        <v>13755.584441237686</v>
      </c>
      <c r="W315">
        <v>12707.401490362032</v>
      </c>
      <c r="X315">
        <v>11491.670418254376</v>
      </c>
      <c r="Y315">
        <v>10195.532723616994</v>
      </c>
      <c r="Z315">
        <v>4445.146968010511</v>
      </c>
    </row>
    <row r="316" spans="1:27" x14ac:dyDescent="0.2">
      <c r="A316" t="str">
        <v>AF Non-econ</v>
      </c>
      <c r="C316" s="26">
        <f ca="1"/>
        <v>6.7135416872622616E-2</v>
      </c>
      <c r="D316" s="26">
        <f ca="1"/>
        <v>0.11815389684428587</v>
      </c>
      <c r="E316" s="26">
        <f ca="1"/>
        <v>0.18081803643770766</v>
      </c>
      <c r="F316" s="26">
        <f ca="1"/>
        <v>0.34520102320585644</v>
      </c>
      <c r="G316" s="26">
        <f ca="1"/>
        <v>0.68139177685947838</v>
      </c>
      <c r="H316" s="26">
        <f ca="1"/>
        <v>0.77493660828988731</v>
      </c>
      <c r="I316" s="26">
        <f ca="1"/>
        <v>0.77203613992770315</v>
      </c>
      <c r="J316" s="26">
        <f ca="1"/>
        <v>0.65607851469140754</v>
      </c>
      <c r="K316" s="26">
        <f ca="1"/>
        <v>0.60613944808905718</v>
      </c>
      <c r="L316" s="26">
        <f ca="1"/>
        <v>0.51706876031346249</v>
      </c>
      <c r="M316" s="6"/>
      <c r="N316" s="59" t="s">
        <v>132</v>
      </c>
      <c r="O316" s="6"/>
      <c r="Q316">
        <v>4501.7502722242107</v>
      </c>
      <c r="R316">
        <v>2916.6207490358252</v>
      </c>
      <c r="S316">
        <v>4215.9221401383056</v>
      </c>
      <c r="T316">
        <v>5122.2294028727401</v>
      </c>
      <c r="U316">
        <v>4547.7319500302301</v>
      </c>
      <c r="V316">
        <v>3945.426203751409</v>
      </c>
      <c r="W316">
        <v>3367.2888133269007</v>
      </c>
      <c r="X316">
        <v>2833.0082017673776</v>
      </c>
      <c r="Y316">
        <v>2338.562977083353</v>
      </c>
      <c r="Z316">
        <v>941.97398876251941</v>
      </c>
    </row>
    <row r="317" spans="1:27" x14ac:dyDescent="0.2">
      <c r="A317" t="str">
        <v>LA Non-econ</v>
      </c>
      <c r="C317" s="26">
        <f ca="1"/>
        <v>6.4931660297215088E-2</v>
      </c>
      <c r="D317" s="26">
        <f ca="1"/>
        <v>0.11020480240959474</v>
      </c>
      <c r="E317" s="26">
        <f ca="1"/>
        <v>0.17592446831409009</v>
      </c>
      <c r="F317" s="26">
        <f ca="1"/>
        <v>0.33948236052432479</v>
      </c>
      <c r="G317" s="26">
        <f ca="1"/>
        <v>0.62625439333452926</v>
      </c>
      <c r="H317" s="26">
        <f ca="1"/>
        <v>0.6866936739453775</v>
      </c>
      <c r="I317" s="26">
        <f ca="1"/>
        <v>0.74567098962943801</v>
      </c>
      <c r="J317" s="26">
        <f ca="1"/>
        <v>0.60361480174129611</v>
      </c>
      <c r="K317" s="26">
        <f ca="1"/>
        <v>0.55842223114790102</v>
      </c>
      <c r="L317" s="26">
        <f ca="1"/>
        <v>0.49485783874692996</v>
      </c>
      <c r="M317" s="6"/>
      <c r="N317" s="59" t="s">
        <v>132</v>
      </c>
    </row>
    <row r="318" spans="1:27" s="2" customFormat="1" ht="14.25" x14ac:dyDescent="0.25">
      <c r="A318" s="2" t="s">
        <v>224</v>
      </c>
      <c r="C318" s="2" t="s">
        <v>240</v>
      </c>
    </row>
    <row r="319" spans="1:27" ht="14.25" x14ac:dyDescent="0.2">
      <c r="A319" t="str">
        <f t="array" ref="A319:A326">R_CODE&amp;" "&amp;I_2_NAME</f>
        <v>EU Non-econ</v>
      </c>
      <c r="C319" s="29">
        <f t="array" ref="C319:L326" ca="1">(isat_2/100)*rgdp_1_per_cap</f>
        <v>81.909128217587721</v>
      </c>
      <c r="D319" s="29">
        <f ca="1"/>
        <v>125.29243556912323</v>
      </c>
      <c r="E319" s="29">
        <f ca="1"/>
        <v>180.56174604742901</v>
      </c>
      <c r="F319" s="29">
        <f ca="1"/>
        <v>409.08340455237578</v>
      </c>
      <c r="G319" s="29">
        <f ca="1"/>
        <v>709.28136697955279</v>
      </c>
      <c r="H319" s="29">
        <f ca="1"/>
        <v>849.45007456147937</v>
      </c>
      <c r="I319" s="29">
        <f ca="1"/>
        <v>1023.3616740037111</v>
      </c>
      <c r="J319" s="29">
        <f ca="1"/>
        <v>1122.7577037540295</v>
      </c>
      <c r="K319" s="29">
        <f ca="1"/>
        <v>1221.9702913366509</v>
      </c>
      <c r="L319" s="29">
        <f ca="1"/>
        <v>1242.5942204956264</v>
      </c>
      <c r="M319" s="6"/>
      <c r="N319" s="1" t="str">
        <f t="shared" ref="N319:N326" si="32">CURRENCY_NAME&amp;"/"&amp;POP_UNIT_NAME</f>
        <v>$M(2015)/million</v>
      </c>
      <c r="O319" s="1"/>
      <c r="Q319">
        <f ca="1">C319*Q309</f>
        <v>305613.57063000475</v>
      </c>
      <c r="R319">
        <f t="shared" ref="R319:R326" ca="1" si="33">D319*R309</f>
        <v>303978.58939047926</v>
      </c>
      <c r="S319">
        <f t="shared" ref="S319:S326" ca="1" si="34">E319*S309</f>
        <v>641483.98513316328</v>
      </c>
      <c r="T319">
        <f t="shared" ref="T319:T326" ca="1" si="35">F319*T309</f>
        <v>1846994.5172396824</v>
      </c>
      <c r="U319">
        <f t="shared" ref="U319:U326" ca="1" si="36">G319*U309</f>
        <v>3060813.1264450634</v>
      </c>
      <c r="V319">
        <f t="shared" ref="V319:V326" ca="1" si="37">H319*V309</f>
        <v>3498441.8012541323</v>
      </c>
      <c r="W319">
        <f t="shared" ref="W319:W326" ca="1" si="38">I319*W309</f>
        <v>3981838.166629442</v>
      </c>
      <c r="X319">
        <f t="shared" ref="X319:X326" ca="1" si="39">J319*X309</f>
        <v>4084153.6807532446</v>
      </c>
      <c r="Y319">
        <f t="shared" ref="Y319:Y326" ca="1" si="40">K319*Y309</f>
        <v>4108389.833153619</v>
      </c>
      <c r="Z319">
        <f t="shared" ref="Z319:Z326" ca="1" si="41">L319*Z309</f>
        <v>1913234.9158585877</v>
      </c>
      <c r="AA319" s="330">
        <f ca="1">SUM(Q319:Z319)</f>
        <v>23744942.186487421</v>
      </c>
    </row>
    <row r="320" spans="1:27" ht="14.25" x14ac:dyDescent="0.2">
      <c r="A320" t="str">
        <v>US Non-econ</v>
      </c>
      <c r="C320" s="26">
        <f ca="1"/>
        <v>90.760484346061588</v>
      </c>
      <c r="D320" s="26">
        <f ca="1"/>
        <v>148.5296451542404</v>
      </c>
      <c r="E320" s="26">
        <f ca="1"/>
        <v>215.04575415242198</v>
      </c>
      <c r="F320" s="26">
        <f ca="1"/>
        <v>489.51850070981396</v>
      </c>
      <c r="G320" s="26">
        <f ca="1"/>
        <v>991.03085472753128</v>
      </c>
      <c r="H320" s="26">
        <f ca="1"/>
        <v>1306.5464251872984</v>
      </c>
      <c r="I320" s="26">
        <f ca="1"/>
        <v>1550.0307268626275</v>
      </c>
      <c r="J320" s="26">
        <f ca="1"/>
        <v>1570.2469580961081</v>
      </c>
      <c r="K320" s="26">
        <f ca="1"/>
        <v>1583.1121018759993</v>
      </c>
      <c r="L320" s="26">
        <f ca="1"/>
        <v>1741.8792668070284</v>
      </c>
      <c r="M320" s="6"/>
      <c r="N320" s="1" t="str">
        <f t="shared" si="32"/>
        <v>$M(2015)/million</v>
      </c>
      <c r="O320" s="1"/>
      <c r="Q320">
        <f ca="1">C320*Q310</f>
        <v>224114.2561715733</v>
      </c>
      <c r="R320">
        <f t="shared" ca="1" si="33"/>
        <v>245819.63402016231</v>
      </c>
      <c r="S320">
        <f t="shared" ca="1" si="34"/>
        <v>536550.13996213535</v>
      </c>
      <c r="T320">
        <f t="shared" ca="1" si="35"/>
        <v>1634051.3625527283</v>
      </c>
      <c r="U320">
        <f t="shared" ca="1" si="36"/>
        <v>3307245.9377311668</v>
      </c>
      <c r="V320">
        <f t="shared" ca="1" si="37"/>
        <v>4359122.5219868068</v>
      </c>
      <c r="W320">
        <f t="shared" ca="1" si="38"/>
        <v>5132978.2198966295</v>
      </c>
      <c r="X320">
        <f t="shared" ca="1" si="39"/>
        <v>5102347.3173558824</v>
      </c>
      <c r="Y320">
        <f t="shared" ca="1" si="40"/>
        <v>4968036.6752132904</v>
      </c>
      <c r="Z320">
        <f t="shared" ca="1" si="41"/>
        <v>2595569.8830487486</v>
      </c>
      <c r="AA320" s="330">
        <f ca="1">SUM(Q320:Z320)</f>
        <v>28105835.947939128</v>
      </c>
    </row>
    <row r="321" spans="1:27" ht="14.25" x14ac:dyDescent="0.2">
      <c r="A321" t="str">
        <v>OT Non-econ</v>
      </c>
      <c r="C321" s="26">
        <f ca="1"/>
        <v>81.975770792705674</v>
      </c>
      <c r="D321" s="26">
        <f ca="1"/>
        <v>119.68940066424938</v>
      </c>
      <c r="E321" s="26">
        <f ca="1"/>
        <v>189.02879142210656</v>
      </c>
      <c r="F321" s="26">
        <f ca="1"/>
        <v>417.5369774403041</v>
      </c>
      <c r="G321" s="26">
        <f ca="1"/>
        <v>841.17444297647501</v>
      </c>
      <c r="H321" s="26">
        <f ca="1"/>
        <v>1068.6079960767895</v>
      </c>
      <c r="I321" s="26">
        <f ca="1"/>
        <v>1563.6838685532564</v>
      </c>
      <c r="J321" s="26">
        <f ca="1"/>
        <v>1525.4389839037196</v>
      </c>
      <c r="K321" s="26">
        <f ca="1"/>
        <v>1623.4115992814868</v>
      </c>
      <c r="L321" s="26">
        <f ca="1"/>
        <v>1796.3863917104045</v>
      </c>
      <c r="M321" s="6"/>
      <c r="N321" s="1" t="str">
        <f t="shared" si="32"/>
        <v>$M(2015)/million</v>
      </c>
      <c r="O321" s="1"/>
      <c r="Q321">
        <f t="shared" ref="Q321:Q326" ca="1" si="42">C321*Q311</f>
        <v>183559.73305446593</v>
      </c>
      <c r="R321">
        <f t="shared" ca="1" si="33"/>
        <v>174580.3384735634</v>
      </c>
      <c r="S321">
        <f t="shared" ca="1" si="34"/>
        <v>403153.56831468409</v>
      </c>
      <c r="T321">
        <f t="shared" ca="1" si="35"/>
        <v>1121650.8968513859</v>
      </c>
      <c r="U321">
        <f t="shared" ca="1" si="36"/>
        <v>2125549.020368733</v>
      </c>
      <c r="V321">
        <f t="shared" ca="1" si="37"/>
        <v>2526578.0683026789</v>
      </c>
      <c r="W321">
        <f t="shared" ca="1" si="38"/>
        <v>3410335.7147009354</v>
      </c>
      <c r="X321">
        <f t="shared" ca="1" si="39"/>
        <v>3027689.26543984</v>
      </c>
      <c r="Y321">
        <f t="shared" ca="1" si="40"/>
        <v>2890874.4195262804</v>
      </c>
      <c r="Z321">
        <f t="shared" ca="1" si="41"/>
        <v>1418029.2887213735</v>
      </c>
      <c r="AA321" s="331">
        <f t="shared" ref="AA321:AA327" ca="1" si="43">SUM(Q321:Z321)</f>
        <v>17282000.313753944</v>
      </c>
    </row>
    <row r="322" spans="1:27" ht="14.25" x14ac:dyDescent="0.2">
      <c r="A322" t="str">
        <v>EE Non-econ</v>
      </c>
      <c r="C322" s="26">
        <f ca="1"/>
        <v>76.87017538163775</v>
      </c>
      <c r="D322" s="26">
        <f ca="1"/>
        <v>139.53172980173184</v>
      </c>
      <c r="E322" s="26">
        <f ca="1"/>
        <v>191.97665987544127</v>
      </c>
      <c r="F322" s="26">
        <f ca="1"/>
        <v>502.33938803476042</v>
      </c>
      <c r="G322" s="26">
        <f ca="1"/>
        <v>964.81114639465125</v>
      </c>
      <c r="H322" s="26">
        <f ca="1"/>
        <v>1251.1087378112086</v>
      </c>
      <c r="I322" s="26">
        <f ca="1"/>
        <v>1520.2121186078623</v>
      </c>
      <c r="J322" s="26">
        <f ca="1"/>
        <v>1763.4946146781183</v>
      </c>
      <c r="K322" s="26">
        <f ca="1"/>
        <v>1924.5707815264934</v>
      </c>
      <c r="L322" s="26">
        <f ca="1"/>
        <v>1911.3396556888131</v>
      </c>
      <c r="M322" s="6"/>
      <c r="N322" s="1" t="str">
        <f t="shared" si="32"/>
        <v>$M(2015)/million</v>
      </c>
      <c r="O322" s="1"/>
      <c r="Q322">
        <f t="shared" ca="1" si="42"/>
        <v>152996.02886453757</v>
      </c>
      <c r="R322">
        <f t="shared" ca="1" si="33"/>
        <v>175112.59557019043</v>
      </c>
      <c r="S322">
        <f t="shared" ca="1" si="34"/>
        <v>341015.24428961903</v>
      </c>
      <c r="T322">
        <f t="shared" ca="1" si="35"/>
        <v>1058682.7140529528</v>
      </c>
      <c r="U322">
        <f t="shared" ca="1" si="36"/>
        <v>1788221.2081512969</v>
      </c>
      <c r="V322">
        <f t="shared" ca="1" si="37"/>
        <v>2011658.5136113665</v>
      </c>
      <c r="W322">
        <f t="shared" ca="1" si="38"/>
        <v>2091380.0769245282</v>
      </c>
      <c r="X322">
        <f t="shared" ca="1" si="39"/>
        <v>2036293.6850388732</v>
      </c>
      <c r="Y322">
        <f t="shared" ca="1" si="40"/>
        <v>1834423.6597452112</v>
      </c>
      <c r="Z322">
        <f t="shared" ca="1" si="41"/>
        <v>742423.95687401737</v>
      </c>
      <c r="AA322" s="331">
        <f t="shared" ca="1" si="43"/>
        <v>12232207.683122592</v>
      </c>
    </row>
    <row r="323" spans="1:27" ht="14.25" x14ac:dyDescent="0.2">
      <c r="A323" t="str">
        <v>CA Non-econ</v>
      </c>
      <c r="C323" s="26">
        <f ca="1"/>
        <v>33.624916844195035</v>
      </c>
      <c r="D323" s="26">
        <f ca="1"/>
        <v>71.059138219307911</v>
      </c>
      <c r="E323" s="26">
        <f ca="1"/>
        <v>121.94229801793185</v>
      </c>
      <c r="F323" s="26">
        <f ca="1"/>
        <v>313.91794206235068</v>
      </c>
      <c r="G323" s="26">
        <f ca="1"/>
        <v>751.88678461860445</v>
      </c>
      <c r="H323" s="26">
        <f ca="1"/>
        <v>917.56589623588138</v>
      </c>
      <c r="I323" s="26">
        <f ca="1"/>
        <v>1048.4150357833762</v>
      </c>
      <c r="J323" s="26">
        <f ca="1"/>
        <v>1183.4741272219289</v>
      </c>
      <c r="K323" s="26">
        <f ca="1"/>
        <v>1271.3857495603795</v>
      </c>
      <c r="L323" s="26">
        <f ca="1"/>
        <v>1282.8531113167357</v>
      </c>
      <c r="M323" s="6"/>
      <c r="N323" s="1" t="str">
        <f t="shared" si="32"/>
        <v>$M(2015)/million</v>
      </c>
      <c r="O323" s="1"/>
      <c r="Q323">
        <f t="shared" ca="1" si="42"/>
        <v>330418.79065762914</v>
      </c>
      <c r="R323">
        <f t="shared" ca="1" si="33"/>
        <v>442201.72964755405</v>
      </c>
      <c r="S323">
        <f t="shared" ca="1" si="34"/>
        <v>1072749.0762004254</v>
      </c>
      <c r="T323">
        <f t="shared" ca="1" si="35"/>
        <v>3202273.1959707006</v>
      </c>
      <c r="U323">
        <f t="shared" ca="1" si="36"/>
        <v>6483041.4056379767</v>
      </c>
      <c r="V323">
        <f t="shared" ca="1" si="37"/>
        <v>6523099.399935497</v>
      </c>
      <c r="W323">
        <f t="shared" ca="1" si="38"/>
        <v>6022469.1671670554</v>
      </c>
      <c r="X323">
        <f t="shared" ca="1" si="39"/>
        <v>5410191.9766928153</v>
      </c>
      <c r="Y323">
        <f t="shared" ca="1" si="40"/>
        <v>4540682.5672697555</v>
      </c>
      <c r="Z323">
        <f t="shared" ca="1" si="41"/>
        <v>1748011.2361788694</v>
      </c>
      <c r="AA323" s="331">
        <f t="shared" ca="1" si="43"/>
        <v>35775138.545358278</v>
      </c>
    </row>
    <row r="324" spans="1:27" ht="14.25" x14ac:dyDescent="0.2">
      <c r="A324" t="str">
        <v>IA Non-econ</v>
      </c>
      <c r="C324" s="26">
        <f ca="1"/>
        <v>3.983685511781327</v>
      </c>
      <c r="D324" s="26">
        <f ca="1"/>
        <v>9.4091827602639064</v>
      </c>
      <c r="E324" s="26">
        <f ca="1"/>
        <v>17.960316464788693</v>
      </c>
      <c r="F324" s="26">
        <f ca="1"/>
        <v>59.375299738903209</v>
      </c>
      <c r="G324" s="26">
        <f ca="1"/>
        <v>178.01286092272196</v>
      </c>
      <c r="H324" s="26">
        <f ca="1"/>
        <v>254.84591826256403</v>
      </c>
      <c r="I324" s="26">
        <f ca="1"/>
        <v>359.32134327140875</v>
      </c>
      <c r="J324" s="26">
        <f ca="1"/>
        <v>411.21165333014432</v>
      </c>
      <c r="K324" s="26">
        <f ca="1"/>
        <v>500.60976093883522</v>
      </c>
      <c r="L324" s="26">
        <f ca="1"/>
        <v>550.04726543706397</v>
      </c>
      <c r="M324" s="6"/>
      <c r="N324" s="1" t="str">
        <f t="shared" si="32"/>
        <v>$M(2015)/million</v>
      </c>
      <c r="O324" s="1"/>
      <c r="Q324">
        <f t="shared" ca="1" si="42"/>
        <v>72555.098143724041</v>
      </c>
      <c r="R324">
        <f t="shared" ca="1" si="33"/>
        <v>112604.78465491043</v>
      </c>
      <c r="S324">
        <f t="shared" ca="1" si="34"/>
        <v>314961.35465344077</v>
      </c>
      <c r="T324">
        <f t="shared" ca="1" si="35"/>
        <v>1300231.7124044849</v>
      </c>
      <c r="U324">
        <f t="shared" ca="1" si="36"/>
        <v>3552746.2105364413</v>
      </c>
      <c r="V324">
        <f t="shared" ca="1" si="37"/>
        <v>4516413.747725755</v>
      </c>
      <c r="W324">
        <f t="shared" ca="1" si="38"/>
        <v>5523036.0485434979</v>
      </c>
      <c r="X324">
        <f t="shared" ca="1" si="39"/>
        <v>5359405.3078258345</v>
      </c>
      <c r="Y324">
        <f t="shared" ca="1" si="40"/>
        <v>5414760.4680232797</v>
      </c>
      <c r="Z324">
        <f t="shared" ca="1" si="41"/>
        <v>2423053.3810559795</v>
      </c>
      <c r="AA324" s="331">
        <f t="shared" ca="1" si="43"/>
        <v>28589768.113567352</v>
      </c>
    </row>
    <row r="325" spans="1:27" ht="14.25" x14ac:dyDescent="0.2">
      <c r="A325" t="str">
        <v>AF Non-econ</v>
      </c>
      <c r="C325" s="26">
        <f ca="1"/>
        <v>4.1868287858706097</v>
      </c>
      <c r="D325" s="26">
        <f ca="1"/>
        <v>8.8439115019883339</v>
      </c>
      <c r="E325" s="26">
        <f ca="1"/>
        <v>16.60309786108121</v>
      </c>
      <c r="F325" s="26">
        <f ca="1"/>
        <v>48.106594849839233</v>
      </c>
      <c r="G325" s="26">
        <f ca="1"/>
        <v>138.39935743850413</v>
      </c>
      <c r="H325" s="26">
        <f ca="1"/>
        <v>220.89041387670045</v>
      </c>
      <c r="I325" s="26">
        <f ca="1"/>
        <v>311.17932660137194</v>
      </c>
      <c r="J325" s="26">
        <f ca="1"/>
        <v>369.293495662569</v>
      </c>
      <c r="K325" s="26">
        <f ca="1"/>
        <v>470.16759831368813</v>
      </c>
      <c r="L325" s="26">
        <f ca="1"/>
        <v>546.53897050527939</v>
      </c>
      <c r="M325" s="6"/>
      <c r="N325" s="1" t="str">
        <f t="shared" si="32"/>
        <v>$M(2015)/million</v>
      </c>
      <c r="O325" s="6"/>
      <c r="Q325">
        <f t="shared" ca="1" si="42"/>
        <v>44590.020073680513</v>
      </c>
      <c r="R325">
        <f t="shared" ca="1" si="33"/>
        <v>64483.255979985232</v>
      </c>
      <c r="S325">
        <f t="shared" ca="1" si="34"/>
        <v>184378.77191813776</v>
      </c>
      <c r="T325">
        <f t="shared" ca="1" si="35"/>
        <v>718394.2995582876</v>
      </c>
      <c r="U325">
        <f t="shared" ca="1" si="36"/>
        <v>2013878.3833407552</v>
      </c>
      <c r="V325">
        <f t="shared" ca="1" si="37"/>
        <v>3038476.7403408936</v>
      </c>
      <c r="W325">
        <f t="shared" ca="1" si="38"/>
        <v>3954280.638624127</v>
      </c>
      <c r="X325">
        <f t="shared" ca="1" si="39"/>
        <v>4243799.1397592947</v>
      </c>
      <c r="Y325">
        <f t="shared" ca="1" si="40"/>
        <v>4793609.1341916174</v>
      </c>
      <c r="Z325">
        <f t="shared" ca="1" si="41"/>
        <v>2429446.0476411288</v>
      </c>
      <c r="AA325" s="331">
        <f t="shared" ca="1" si="43"/>
        <v>21485336.431427907</v>
      </c>
    </row>
    <row r="326" spans="1:27" ht="14.25" x14ac:dyDescent="0.2">
      <c r="A326" t="str">
        <v>LA Non-econ</v>
      </c>
      <c r="C326" s="26">
        <f ca="1"/>
        <v>9.7107331489568676</v>
      </c>
      <c r="D326" s="26">
        <f ca="1"/>
        <v>19.338528049966868</v>
      </c>
      <c r="E326" s="26">
        <f ca="1"/>
        <v>36.546204302081215</v>
      </c>
      <c r="F326" s="26">
        <f ca="1"/>
        <v>100.12633982303164</v>
      </c>
      <c r="G326" s="26">
        <f ca="1"/>
        <v>254.27489760346779</v>
      </c>
      <c r="H326" s="26">
        <f ca="1"/>
        <v>367.8683187814334</v>
      </c>
      <c r="I326" s="26">
        <f ca="1"/>
        <v>511.25790436476007</v>
      </c>
      <c r="J326" s="26">
        <f ca="1"/>
        <v>527.64317700552397</v>
      </c>
      <c r="K326" s="26">
        <f ca="1"/>
        <v>618.40076700300529</v>
      </c>
      <c r="L326" s="26">
        <f ca="1"/>
        <v>690.47572353410555</v>
      </c>
      <c r="M326" s="6"/>
      <c r="N326" s="1" t="str">
        <f t="shared" si="32"/>
        <v>$M(2015)/million</v>
      </c>
      <c r="O326" s="1"/>
      <c r="Q326">
        <f t="shared" ca="1" si="42"/>
        <v>43715.295596813245</v>
      </c>
      <c r="R326">
        <f t="shared" ca="1" si="33"/>
        <v>56403.152166344684</v>
      </c>
      <c r="S326">
        <f t="shared" ca="1" si="34"/>
        <v>154075.95185516198</v>
      </c>
      <c r="T326">
        <f t="shared" ca="1" si="35"/>
        <v>512870.08184356045</v>
      </c>
      <c r="U326">
        <f t="shared" ca="1" si="36"/>
        <v>1156374.0759219558</v>
      </c>
      <c r="V326">
        <f t="shared" ca="1" si="37"/>
        <v>1451397.3044502439</v>
      </c>
      <c r="W326">
        <f t="shared" ca="1" si="38"/>
        <v>1721553.0220924111</v>
      </c>
      <c r="X326">
        <f t="shared" ca="1" si="39"/>
        <v>1494817.4480632455</v>
      </c>
      <c r="Y326">
        <f t="shared" ca="1" si="40"/>
        <v>1446169.1387131768</v>
      </c>
      <c r="Z326">
        <f t="shared" ca="1" si="41"/>
        <v>650410.17144110799</v>
      </c>
      <c r="AA326" s="331">
        <f t="shared" ca="1" si="43"/>
        <v>8687785.6421440225</v>
      </c>
    </row>
    <row r="327" spans="1:27" s="2" customFormat="1" ht="14.25" x14ac:dyDescent="0.25">
      <c r="A327" s="2" t="s">
        <v>226</v>
      </c>
      <c r="C327" s="2" t="s">
        <v>242</v>
      </c>
      <c r="AA327" s="332">
        <f ca="1">_xll.RiskOutput("NonEcomic")+SUM(AA319:AA326)</f>
        <v>175903014.86380064</v>
      </c>
    </row>
    <row r="328" spans="1:27" x14ac:dyDescent="0.2">
      <c r="A328" t="str">
        <f t="array" ref="A328:A335">R_CODE&amp;" "&amp;I_2_NAME</f>
        <v>EU Non-econ</v>
      </c>
      <c r="C328" s="29">
        <f t="array" ref="C328:L335" ca="1">rcons_1_per_cap-isat_2_per_cap</f>
        <v>33754.186598962071</v>
      </c>
      <c r="D328" s="29">
        <f ca="1"/>
        <v>37738.959749200869</v>
      </c>
      <c r="E328" s="29">
        <f ca="1"/>
        <v>42249.401524143228</v>
      </c>
      <c r="F328" s="29">
        <f ca="1"/>
        <v>52473.756404106432</v>
      </c>
      <c r="G328" s="29">
        <f ca="1"/>
        <v>63308.388734801993</v>
      </c>
      <c r="H328" s="29">
        <f ca="1"/>
        <v>75296.537872328088</v>
      </c>
      <c r="I328" s="29">
        <f ca="1"/>
        <v>90269.430412812973</v>
      </c>
      <c r="J328" s="29">
        <f ca="1"/>
        <v>107921.56189711971</v>
      </c>
      <c r="K328" s="29">
        <f ca="1"/>
        <v>128970.60882835633</v>
      </c>
      <c r="L328" s="29">
        <f ca="1"/>
        <v>154612.68823613581</v>
      </c>
      <c r="M328" s="6"/>
      <c r="N328" s="1" t="str">
        <f t="shared" ref="N328:N335" si="44">CURRENCY_NAME&amp;"/"&amp;POP_UNIT_NAME</f>
        <v>$M(2015)/million</v>
      </c>
      <c r="O328" s="1"/>
    </row>
    <row r="329" spans="1:27" x14ac:dyDescent="0.2">
      <c r="A329" t="str">
        <v>US Non-econ</v>
      </c>
      <c r="C329" s="26">
        <f ca="1"/>
        <v>47815.927894561333</v>
      </c>
      <c r="D329" s="26">
        <f ca="1"/>
        <v>51798.769161612741</v>
      </c>
      <c r="E329" s="26">
        <f ca="1"/>
        <v>56137.051911571529</v>
      </c>
      <c r="F329" s="26">
        <f ca="1"/>
        <v>65750.260011655613</v>
      </c>
      <c r="G329" s="26">
        <f ca="1"/>
        <v>75365.639716200138</v>
      </c>
      <c r="H329" s="26">
        <f ca="1"/>
        <v>85238.19809128232</v>
      </c>
      <c r="I329" s="26">
        <f ca="1"/>
        <v>98163.45008314919</v>
      </c>
      <c r="J329" s="26">
        <f ca="1"/>
        <v>114700.42289091987</v>
      </c>
      <c r="K329" s="26">
        <f ca="1"/>
        <v>134657.95318076957</v>
      </c>
      <c r="L329" s="26">
        <f ca="1"/>
        <v>158489.15498673081</v>
      </c>
      <c r="M329" s="6"/>
      <c r="N329" s="1" t="str">
        <f t="shared" si="44"/>
        <v>$M(2015)/million</v>
      </c>
      <c r="O329" s="1"/>
    </row>
    <row r="330" spans="1:27" x14ac:dyDescent="0.2">
      <c r="A330" t="str">
        <v>OT Non-econ</v>
      </c>
      <c r="C330" s="26">
        <f ca="1"/>
        <v>31055.82203139233</v>
      </c>
      <c r="D330" s="26">
        <f ca="1"/>
        <v>34460.846831313858</v>
      </c>
      <c r="E330" s="26">
        <f ca="1"/>
        <v>38495.748975577611</v>
      </c>
      <c r="F330" s="26">
        <f ca="1"/>
        <v>47898.522155899132</v>
      </c>
      <c r="G330" s="26">
        <f ca="1"/>
        <v>58224.378796731558</v>
      </c>
      <c r="H330" s="26">
        <f ca="1"/>
        <v>69844.575772695709</v>
      </c>
      <c r="I330" s="26">
        <f ca="1"/>
        <v>84086.689734297077</v>
      </c>
      <c r="J330" s="26">
        <f ca="1"/>
        <v>102119.68308121552</v>
      </c>
      <c r="K330" s="26">
        <f ca="1"/>
        <v>123264.39410815899</v>
      </c>
      <c r="L330" s="26">
        <f ca="1"/>
        <v>148636.15677869591</v>
      </c>
      <c r="M330" s="6"/>
      <c r="N330" s="1" t="str">
        <f t="shared" si="44"/>
        <v>$M(2015)/million</v>
      </c>
      <c r="O330" s="1"/>
    </row>
    <row r="331" spans="1:27" x14ac:dyDescent="0.2">
      <c r="A331" t="str">
        <v>EE Non-econ</v>
      </c>
      <c r="C331" s="26">
        <f ca="1"/>
        <v>15855.098162126134</v>
      </c>
      <c r="D331" s="26">
        <f ca="1"/>
        <v>19455.675789223922</v>
      </c>
      <c r="E331" s="26">
        <f ca="1"/>
        <v>23736.615033992177</v>
      </c>
      <c r="F331" s="26">
        <f ca="1"/>
        <v>33102.678639617712</v>
      </c>
      <c r="G331" s="26">
        <f ca="1"/>
        <v>41875.003340726449</v>
      </c>
      <c r="H331" s="26">
        <f ca="1"/>
        <v>50948.900083699205</v>
      </c>
      <c r="I331" s="26">
        <f ca="1"/>
        <v>63459.129880502711</v>
      </c>
      <c r="J331" s="26">
        <f ca="1"/>
        <v>77822.395203440799</v>
      </c>
      <c r="K331" s="26">
        <f ca="1"/>
        <v>96123.181439142849</v>
      </c>
      <c r="L331" s="26">
        <f ca="1"/>
        <v>118616.03937649843</v>
      </c>
      <c r="M331" s="6"/>
      <c r="N331" s="1" t="str">
        <f t="shared" si="44"/>
        <v>$M(2015)/million</v>
      </c>
      <c r="O331" s="1"/>
    </row>
    <row r="332" spans="1:27" x14ac:dyDescent="0.2">
      <c r="A332" t="str">
        <v>CA Non-econ</v>
      </c>
      <c r="C332" s="26">
        <f ca="1"/>
        <v>16482.629121383678</v>
      </c>
      <c r="D332" s="26">
        <f ca="1"/>
        <v>22547.690689822259</v>
      </c>
      <c r="E332" s="26">
        <f ca="1"/>
        <v>29395.364434608106</v>
      </c>
      <c r="F332" s="26">
        <f ca="1"/>
        <v>43302.47427024613</v>
      </c>
      <c r="G332" s="26">
        <f ca="1"/>
        <v>56238.680575613565</v>
      </c>
      <c r="H332" s="26">
        <f ca="1"/>
        <v>68607.847344799127</v>
      </c>
      <c r="I332" s="26">
        <f ca="1"/>
        <v>82182.044212314722</v>
      </c>
      <c r="J332" s="26">
        <f ca="1"/>
        <v>97143.553854823593</v>
      </c>
      <c r="K332" s="26">
        <f ca="1"/>
        <v>115077.15505762708</v>
      </c>
      <c r="L332" s="26">
        <f ca="1"/>
        <v>136390.09861517829</v>
      </c>
      <c r="M332" s="6"/>
      <c r="N332" s="1" t="str">
        <f t="shared" si="44"/>
        <v>$M(2015)/million</v>
      </c>
      <c r="O332" s="1"/>
    </row>
    <row r="333" spans="1:27" x14ac:dyDescent="0.2">
      <c r="A333" t="str">
        <v>IA Non-econ</v>
      </c>
      <c r="C333" s="26">
        <f ca="1"/>
        <v>6747.889505865398</v>
      </c>
      <c r="D333" s="26">
        <f ca="1"/>
        <v>8899.503026534001</v>
      </c>
      <c r="E333" s="26">
        <f ca="1"/>
        <v>11575.504651728481</v>
      </c>
      <c r="F333" s="26">
        <f ca="1"/>
        <v>18226.732114522238</v>
      </c>
      <c r="G333" s="26">
        <f ca="1"/>
        <v>26133.123606523277</v>
      </c>
      <c r="H333" s="26">
        <f ca="1"/>
        <v>35937.784583566994</v>
      </c>
      <c r="I333" s="26">
        <f ca="1"/>
        <v>47802.520851586356</v>
      </c>
      <c r="J333" s="26">
        <f ca="1"/>
        <v>62780.748342119929</v>
      </c>
      <c r="K333" s="26">
        <f ca="1"/>
        <v>81454.784948040819</v>
      </c>
      <c r="L333" s="26">
        <f ca="1"/>
        <v>104836.36551565924</v>
      </c>
      <c r="M333" s="6"/>
      <c r="N333" s="1" t="str">
        <f t="shared" si="44"/>
        <v>$M(2015)/million</v>
      </c>
      <c r="O333" s="1"/>
    </row>
    <row r="334" spans="1:27" x14ac:dyDescent="0.2">
      <c r="A334" t="str">
        <v>AF Non-econ</v>
      </c>
      <c r="C334" s="26">
        <f ca="1"/>
        <v>5296.7476611901284</v>
      </c>
      <c r="D334" s="26">
        <f ca="1"/>
        <v>6353.4725058711165</v>
      </c>
      <c r="E334" s="26">
        <f ca="1"/>
        <v>7788.278240279581</v>
      </c>
      <c r="F334" s="26">
        <f ca="1"/>
        <v>11797.340803484993</v>
      </c>
      <c r="G334" s="26">
        <f ca="1"/>
        <v>17126.18436925783</v>
      </c>
      <c r="H334" s="26">
        <f ca="1"/>
        <v>24007.781942889742</v>
      </c>
      <c r="I334" s="26">
        <f ca="1"/>
        <v>33949.189318308869</v>
      </c>
      <c r="J334" s="26">
        <f ca="1"/>
        <v>47475.50926560894</v>
      </c>
      <c r="K334" s="26">
        <f ca="1"/>
        <v>65462.260958607651</v>
      </c>
      <c r="L334" s="26">
        <f ca="1"/>
        <v>89298.015677866526</v>
      </c>
      <c r="M334" s="6"/>
      <c r="N334" s="1" t="str">
        <f t="shared" si="44"/>
        <v>$M(2015)/million</v>
      </c>
      <c r="O334" s="6"/>
    </row>
    <row r="335" spans="1:27" x14ac:dyDescent="0.2">
      <c r="A335" t="str">
        <v>LA Non-econ</v>
      </c>
      <c r="C335" s="26">
        <f ca="1"/>
        <v>12702.305467932776</v>
      </c>
      <c r="D335" s="26">
        <f ca="1"/>
        <v>14896.298978724166</v>
      </c>
      <c r="E335" s="26">
        <f ca="1"/>
        <v>17621.187227813705</v>
      </c>
      <c r="F335" s="26">
        <f ca="1"/>
        <v>24969.626538685872</v>
      </c>
      <c r="G335" s="26">
        <f ca="1"/>
        <v>34257.844340735268</v>
      </c>
      <c r="H335" s="26">
        <f ca="1"/>
        <v>45167.438445831474</v>
      </c>
      <c r="I335" s="26">
        <f ca="1"/>
        <v>57767.69149207155</v>
      </c>
      <c r="J335" s="26">
        <f ca="1"/>
        <v>73774.163067785179</v>
      </c>
      <c r="K335" s="26">
        <f ca="1"/>
        <v>93511.206299685538</v>
      </c>
      <c r="L335" s="26">
        <f ca="1"/>
        <v>117910.12409522157</v>
      </c>
      <c r="M335" s="6"/>
      <c r="N335" s="1" t="str">
        <f t="shared" si="44"/>
        <v>$M(2015)/million</v>
      </c>
      <c r="O335" s="1"/>
    </row>
    <row r="336" spans="1:27" s="2" customFormat="1" ht="14.25" x14ac:dyDescent="0.25">
      <c r="A336" s="2" t="s">
        <v>228</v>
      </c>
      <c r="C336" s="2" t="s">
        <v>241</v>
      </c>
    </row>
    <row r="337" spans="1:17" x14ac:dyDescent="0.2">
      <c r="A337" t="str">
        <f t="array" ref="A337:A344">R_CODE&amp;" "&amp;I_2_NAME</f>
        <v>EU Non-econ</v>
      </c>
      <c r="C337" s="29">
        <f t="array" ref="C337:L344" ca="1" xml:space="preserve"> rcons_2_per_cap/(1-SAVE/100)</f>
        <v>39710.807763484787</v>
      </c>
      <c r="D337" s="29">
        <f ca="1"/>
        <v>44398.776175530438</v>
      </c>
      <c r="E337" s="29">
        <f ca="1"/>
        <v>49705.178263697919</v>
      </c>
      <c r="F337" s="29">
        <f ca="1"/>
        <v>61733.83106365463</v>
      </c>
      <c r="G337" s="29">
        <f ca="1"/>
        <v>74480.457335061175</v>
      </c>
      <c r="H337" s="29">
        <f ca="1"/>
        <v>88584.162202738924</v>
      </c>
      <c r="I337" s="29">
        <f ca="1"/>
        <v>106199.32989742703</v>
      </c>
      <c r="J337" s="29">
        <f ca="1"/>
        <v>126966.54340837614</v>
      </c>
      <c r="K337" s="29">
        <f ca="1"/>
        <v>151730.12803336038</v>
      </c>
      <c r="L337" s="29">
        <f ca="1"/>
        <v>181897.28027780686</v>
      </c>
      <c r="M337" s="6"/>
      <c r="N337" s="1" t="str">
        <f t="shared" ref="N337:N344" si="45">CURRENCY_NAME&amp;"/"&amp;POP_UNIT_NAME</f>
        <v>$M(2015)/million</v>
      </c>
      <c r="O337" s="1"/>
    </row>
    <row r="338" spans="1:17" x14ac:dyDescent="0.2">
      <c r="A338" t="str">
        <v>US Non-econ</v>
      </c>
      <c r="C338" s="26">
        <f ca="1"/>
        <v>56254.032817130981</v>
      </c>
      <c r="D338" s="26">
        <f ca="1"/>
        <v>60939.728425426758</v>
      </c>
      <c r="E338" s="26">
        <f ca="1"/>
        <v>66043.590484201806</v>
      </c>
      <c r="F338" s="26">
        <f ca="1"/>
        <v>77353.247072536018</v>
      </c>
      <c r="G338" s="26">
        <f ca="1"/>
        <v>88665.458489647222</v>
      </c>
      <c r="H338" s="26">
        <f ca="1"/>
        <v>100280.23304856743</v>
      </c>
      <c r="I338" s="26">
        <f ca="1"/>
        <v>115486.41186252846</v>
      </c>
      <c r="J338" s="26">
        <f ca="1"/>
        <v>134941.6739893175</v>
      </c>
      <c r="K338" s="26">
        <f ca="1"/>
        <v>158421.12138914067</v>
      </c>
      <c r="L338" s="26">
        <f ca="1"/>
        <v>186457.82939615389</v>
      </c>
      <c r="M338" s="6"/>
      <c r="N338" s="1" t="str">
        <f t="shared" si="45"/>
        <v>$M(2015)/million</v>
      </c>
      <c r="O338" s="1"/>
    </row>
    <row r="339" spans="1:17" x14ac:dyDescent="0.2">
      <c r="A339" t="str">
        <v>OT Non-econ</v>
      </c>
      <c r="C339" s="26">
        <f ca="1"/>
        <v>36536.261213402744</v>
      </c>
      <c r="D339" s="26">
        <f ca="1"/>
        <v>40542.172742722185</v>
      </c>
      <c r="E339" s="26">
        <f ca="1"/>
        <v>45289.116441856015</v>
      </c>
      <c r="F339" s="26">
        <f ca="1"/>
        <v>56351.202536351921</v>
      </c>
      <c r="G339" s="26">
        <f ca="1"/>
        <v>68499.269172625369</v>
      </c>
      <c r="H339" s="26">
        <f ca="1"/>
        <v>82170.08914434789</v>
      </c>
      <c r="I339" s="26">
        <f ca="1"/>
        <v>98925.517334467149</v>
      </c>
      <c r="J339" s="26">
        <f ca="1"/>
        <v>120140.80362495944</v>
      </c>
      <c r="K339" s="26">
        <f ca="1"/>
        <v>145016.93424489294</v>
      </c>
      <c r="L339" s="26">
        <f ca="1"/>
        <v>174866.06679846576</v>
      </c>
      <c r="M339" s="6"/>
      <c r="N339" s="1" t="str">
        <f t="shared" si="45"/>
        <v>$M(2015)/million</v>
      </c>
      <c r="O339" s="1"/>
    </row>
    <row r="340" spans="1:17" x14ac:dyDescent="0.2">
      <c r="A340" t="str">
        <v>EE Non-econ</v>
      </c>
      <c r="C340" s="26">
        <f ca="1"/>
        <v>18653.056661324863</v>
      </c>
      <c r="D340" s="26">
        <f ca="1"/>
        <v>22889.030340263438</v>
      </c>
      <c r="E340" s="26">
        <f ca="1"/>
        <v>27925.429451755503</v>
      </c>
      <c r="F340" s="26">
        <f ca="1"/>
        <v>38944.327811314957</v>
      </c>
      <c r="G340" s="26">
        <f ca="1"/>
        <v>49264.709812619352</v>
      </c>
      <c r="H340" s="26">
        <f ca="1"/>
        <v>59939.882451410835</v>
      </c>
      <c r="I340" s="26">
        <f ca="1"/>
        <v>74657.799859414954</v>
      </c>
      <c r="J340" s="26">
        <f ca="1"/>
        <v>91555.759062871526</v>
      </c>
      <c r="K340" s="26">
        <f ca="1"/>
        <v>113086.09581075629</v>
      </c>
      <c r="L340" s="26">
        <f ca="1"/>
        <v>139548.28161940991</v>
      </c>
      <c r="M340" s="6"/>
      <c r="N340" s="1" t="str">
        <f t="shared" si="45"/>
        <v>$M(2015)/million</v>
      </c>
      <c r="O340" s="1"/>
    </row>
    <row r="341" spans="1:17" x14ac:dyDescent="0.2">
      <c r="A341" t="str">
        <v>CA Non-econ</v>
      </c>
      <c r="C341" s="26">
        <f ca="1"/>
        <v>19391.328378098446</v>
      </c>
      <c r="D341" s="26">
        <f ca="1"/>
        <v>26526.694929202658</v>
      </c>
      <c r="E341" s="26">
        <f ca="1"/>
        <v>34582.781687774244</v>
      </c>
      <c r="F341" s="26">
        <f ca="1"/>
        <v>50944.087376760152</v>
      </c>
      <c r="G341" s="26">
        <f ca="1"/>
        <v>66163.153618368902</v>
      </c>
      <c r="H341" s="26">
        <f ca="1"/>
        <v>80715.114523293087</v>
      </c>
      <c r="I341" s="26">
        <f ca="1"/>
        <v>96684.757896840849</v>
      </c>
      <c r="J341" s="26">
        <f ca="1"/>
        <v>114286.53394685128</v>
      </c>
      <c r="K341" s="26">
        <f ca="1"/>
        <v>135384.8883030907</v>
      </c>
      <c r="L341" s="26">
        <f ca="1"/>
        <v>160458.93954726859</v>
      </c>
      <c r="M341" s="6"/>
      <c r="N341" s="1" t="str">
        <f t="shared" si="45"/>
        <v>$M(2015)/million</v>
      </c>
      <c r="O341" s="1"/>
    </row>
    <row r="342" spans="1:17" x14ac:dyDescent="0.2">
      <c r="A342" t="str">
        <v>IA Non-econ</v>
      </c>
      <c r="C342" s="26">
        <f ca="1"/>
        <v>7938.6935363122329</v>
      </c>
      <c r="D342" s="26">
        <f ca="1"/>
        <v>10470.003560628236</v>
      </c>
      <c r="E342" s="26">
        <f ca="1"/>
        <v>13618.240766739389</v>
      </c>
      <c r="F342" s="26">
        <f ca="1"/>
        <v>21443.214252379104</v>
      </c>
      <c r="G342" s="26">
        <f ca="1"/>
        <v>30744.851301792092</v>
      </c>
      <c r="H342" s="26">
        <f ca="1"/>
        <v>42279.746568902345</v>
      </c>
      <c r="I342" s="26">
        <f ca="1"/>
        <v>56238.259825395711</v>
      </c>
      <c r="J342" s="26">
        <f ca="1"/>
        <v>73859.703931905795</v>
      </c>
      <c r="K342" s="26">
        <f ca="1"/>
        <v>95829.15876240097</v>
      </c>
      <c r="L342" s="26">
        <f ca="1"/>
        <v>123336.90060665793</v>
      </c>
      <c r="M342" s="6"/>
      <c r="N342" s="1" t="str">
        <f t="shared" si="45"/>
        <v>$M(2015)/million</v>
      </c>
      <c r="O342" s="1"/>
      <c r="Q342" s="6"/>
    </row>
    <row r="343" spans="1:17" x14ac:dyDescent="0.2">
      <c r="A343" t="str">
        <v>AF Non-econ</v>
      </c>
      <c r="C343" s="26">
        <f ca="1"/>
        <v>6231.467836694269</v>
      </c>
      <c r="D343" s="26">
        <f ca="1"/>
        <v>7474.6735363189609</v>
      </c>
      <c r="E343" s="26">
        <f ca="1"/>
        <v>9162.6802826818603</v>
      </c>
      <c r="F343" s="26">
        <f ca="1"/>
        <v>13879.224474688226</v>
      </c>
      <c r="G343" s="26">
        <f ca="1"/>
        <v>20148.452199126859</v>
      </c>
      <c r="H343" s="26">
        <f ca="1"/>
        <v>28244.449344576169</v>
      </c>
      <c r="I343" s="26">
        <f ca="1"/>
        <v>39940.222727422202</v>
      </c>
      <c r="J343" s="26">
        <f ca="1"/>
        <v>55853.540312481106</v>
      </c>
      <c r="K343" s="26">
        <f ca="1"/>
        <v>77014.424657185475</v>
      </c>
      <c r="L343" s="26">
        <f ca="1"/>
        <v>105056.48903278416</v>
      </c>
      <c r="M343" s="6"/>
      <c r="N343" s="1" t="str">
        <f t="shared" si="45"/>
        <v>$M(2015)/million</v>
      </c>
      <c r="O343" s="6"/>
      <c r="Q343" s="6"/>
    </row>
    <row r="344" spans="1:17" x14ac:dyDescent="0.2">
      <c r="A344" t="str">
        <v>LA Non-econ</v>
      </c>
      <c r="C344" s="26">
        <f ca="1"/>
        <v>14943.888785803267</v>
      </c>
      <c r="D344" s="26">
        <f ca="1"/>
        <v>17525.057622028431</v>
      </c>
      <c r="E344" s="26">
        <f ca="1"/>
        <v>20730.808503310243</v>
      </c>
      <c r="F344" s="26">
        <f ca="1"/>
        <v>29376.03122198338</v>
      </c>
      <c r="G344" s="26">
        <f ca="1"/>
        <v>40303.346283217965</v>
      </c>
      <c r="H344" s="26">
        <f ca="1"/>
        <v>53138.162877448798</v>
      </c>
      <c r="I344" s="26">
        <f ca="1"/>
        <v>67961.989990672417</v>
      </c>
      <c r="J344" s="26">
        <f ca="1"/>
        <v>86793.133020923749</v>
      </c>
      <c r="K344" s="26">
        <f ca="1"/>
        <v>110013.18388198299</v>
      </c>
      <c r="L344" s="26">
        <f ca="1"/>
        <v>138717.79305320187</v>
      </c>
      <c r="M344" s="6"/>
      <c r="N344" s="1" t="str">
        <f t="shared" si="45"/>
        <v>$M(2015)/million</v>
      </c>
      <c r="O344" s="1"/>
    </row>
    <row r="345" spans="1:17" s="2" customFormat="1" ht="14.25" x14ac:dyDescent="0.25">
      <c r="A345" s="2" t="s">
        <v>243</v>
      </c>
      <c r="C345" s="2" t="s">
        <v>244</v>
      </c>
    </row>
    <row r="346" spans="1:17" x14ac:dyDescent="0.2">
      <c r="A346" t="str">
        <f t="array" ref="A346:A353">R_CODE&amp;" discontinuity"</f>
        <v>EU discontinuity</v>
      </c>
      <c r="C346" s="29">
        <f t="array" aca="1" ref="C346:L353" ca="1">WINCF_S*WDIS</f>
        <v>3</v>
      </c>
      <c r="D346" s="29">
        <f ca="1"/>
        <v>3</v>
      </c>
      <c r="E346" s="29">
        <f ca="1"/>
        <v>3</v>
      </c>
      <c r="F346" s="29">
        <f ca="1"/>
        <v>3</v>
      </c>
      <c r="G346" s="29">
        <f ca="1"/>
        <v>3</v>
      </c>
      <c r="H346" s="29">
        <f ca="1"/>
        <v>3</v>
      </c>
      <c r="I346" s="29">
        <f ca="1"/>
        <v>3</v>
      </c>
      <c r="J346" s="29">
        <f ca="1"/>
        <v>3</v>
      </c>
      <c r="K346" s="29">
        <f ca="1"/>
        <v>3</v>
      </c>
      <c r="L346" s="29">
        <f ca="1"/>
        <v>3</v>
      </c>
      <c r="M346" s="6"/>
      <c r="N346" s="59" t="s">
        <v>132</v>
      </c>
    </row>
    <row r="347" spans="1:17" x14ac:dyDescent="0.2">
      <c r="A347" t="str">
        <v>US discontinuity</v>
      </c>
      <c r="C347" s="26">
        <f ca="1"/>
        <v>2.4</v>
      </c>
      <c r="D347" s="26">
        <f ca="1"/>
        <v>2.4</v>
      </c>
      <c r="E347" s="26">
        <f ca="1"/>
        <v>2.4</v>
      </c>
      <c r="F347" s="26">
        <f ca="1"/>
        <v>2.4</v>
      </c>
      <c r="G347" s="26">
        <f ca="1"/>
        <v>2.4</v>
      </c>
      <c r="H347" s="26">
        <f ca="1"/>
        <v>2.4</v>
      </c>
      <c r="I347" s="26">
        <f ca="1"/>
        <v>2.4</v>
      </c>
      <c r="J347" s="26">
        <f ca="1"/>
        <v>2.4</v>
      </c>
      <c r="K347" s="26">
        <f ca="1"/>
        <v>2.4</v>
      </c>
      <c r="L347" s="26">
        <f ca="1"/>
        <v>2.4</v>
      </c>
      <c r="M347" s="6"/>
      <c r="N347" s="59" t="s">
        <v>132</v>
      </c>
    </row>
    <row r="348" spans="1:17" x14ac:dyDescent="0.2">
      <c r="A348" t="str">
        <v>OT discontinuity</v>
      </c>
      <c r="C348" s="26">
        <f ca="1"/>
        <v>2.4000000000000004</v>
      </c>
      <c r="D348" s="26">
        <f ca="1"/>
        <v>2.4000000000000004</v>
      </c>
      <c r="E348" s="26">
        <f ca="1"/>
        <v>2.4000000000000004</v>
      </c>
      <c r="F348" s="26">
        <f ca="1"/>
        <v>2.4000000000000004</v>
      </c>
      <c r="G348" s="26">
        <f ca="1"/>
        <v>2.4000000000000004</v>
      </c>
      <c r="H348" s="26">
        <f ca="1"/>
        <v>2.4000000000000004</v>
      </c>
      <c r="I348" s="26">
        <f ca="1"/>
        <v>2.4000000000000004</v>
      </c>
      <c r="J348" s="26">
        <f ca="1"/>
        <v>2.4000000000000004</v>
      </c>
      <c r="K348" s="26">
        <f ca="1"/>
        <v>2.4000000000000004</v>
      </c>
      <c r="L348" s="26">
        <f ca="1"/>
        <v>2.4000000000000004</v>
      </c>
      <c r="M348" s="6"/>
      <c r="N348" s="59" t="s">
        <v>132</v>
      </c>
    </row>
    <row r="349" spans="1:17" x14ac:dyDescent="0.2">
      <c r="A349" t="str">
        <v>EE discontinuity</v>
      </c>
      <c r="C349" s="26">
        <f ca="1"/>
        <v>1.2000000000000002</v>
      </c>
      <c r="D349" s="26">
        <f ca="1"/>
        <v>1.2000000000000002</v>
      </c>
      <c r="E349" s="26">
        <f ca="1"/>
        <v>1.2000000000000002</v>
      </c>
      <c r="F349" s="26">
        <f ca="1"/>
        <v>1.2000000000000002</v>
      </c>
      <c r="G349" s="26">
        <f ca="1"/>
        <v>1.2000000000000002</v>
      </c>
      <c r="H349" s="26">
        <f ca="1"/>
        <v>1.2000000000000002</v>
      </c>
      <c r="I349" s="26">
        <f ca="1"/>
        <v>1.2000000000000002</v>
      </c>
      <c r="J349" s="26">
        <f ca="1"/>
        <v>1.2000000000000002</v>
      </c>
      <c r="K349" s="26">
        <f ca="1"/>
        <v>1.2000000000000002</v>
      </c>
      <c r="L349" s="26">
        <f ca="1"/>
        <v>1.2000000000000002</v>
      </c>
      <c r="M349" s="6"/>
      <c r="N349" s="59" t="s">
        <v>132</v>
      </c>
    </row>
    <row r="350" spans="1:17" x14ac:dyDescent="0.2">
      <c r="A350" t="str">
        <v>CA discontinuity</v>
      </c>
      <c r="C350" s="26">
        <f ca="1"/>
        <v>2.4000000000000004</v>
      </c>
      <c r="D350" s="26">
        <f ca="1"/>
        <v>2.4000000000000004</v>
      </c>
      <c r="E350" s="26">
        <f ca="1"/>
        <v>2.4000000000000004</v>
      </c>
      <c r="F350" s="26">
        <f ca="1"/>
        <v>2.4000000000000004</v>
      </c>
      <c r="G350" s="26">
        <f ca="1"/>
        <v>2.4000000000000004</v>
      </c>
      <c r="H350" s="26">
        <f ca="1"/>
        <v>2.4000000000000004</v>
      </c>
      <c r="I350" s="26">
        <f ca="1"/>
        <v>2.4000000000000004</v>
      </c>
      <c r="J350" s="26">
        <f ca="1"/>
        <v>2.4000000000000004</v>
      </c>
      <c r="K350" s="26">
        <f ca="1"/>
        <v>2.4000000000000004</v>
      </c>
      <c r="L350" s="26">
        <f ca="1"/>
        <v>2.4000000000000004</v>
      </c>
      <c r="M350" s="6"/>
      <c r="N350" s="59" t="s">
        <v>132</v>
      </c>
    </row>
    <row r="351" spans="1:17" x14ac:dyDescent="0.2">
      <c r="A351" t="str">
        <v>IA discontinuity</v>
      </c>
      <c r="C351" s="26">
        <f ca="1"/>
        <v>2.4000000000000004</v>
      </c>
      <c r="D351" s="26">
        <f ca="1"/>
        <v>2.4000000000000004</v>
      </c>
      <c r="E351" s="26">
        <f ca="1"/>
        <v>2.4000000000000004</v>
      </c>
      <c r="F351" s="26">
        <f ca="1"/>
        <v>2.4000000000000004</v>
      </c>
      <c r="G351" s="26">
        <f ca="1"/>
        <v>2.4000000000000004</v>
      </c>
      <c r="H351" s="26">
        <f ca="1"/>
        <v>2.4000000000000004</v>
      </c>
      <c r="I351" s="26">
        <f ca="1"/>
        <v>2.4000000000000004</v>
      </c>
      <c r="J351" s="26">
        <f ca="1"/>
        <v>2.4000000000000004</v>
      </c>
      <c r="K351" s="26">
        <f ca="1"/>
        <v>2.4000000000000004</v>
      </c>
      <c r="L351" s="26">
        <f ca="1"/>
        <v>2.4000000000000004</v>
      </c>
      <c r="M351" s="6"/>
      <c r="N351" s="59" t="s">
        <v>132</v>
      </c>
      <c r="Q351" s="6"/>
    </row>
    <row r="352" spans="1:17" x14ac:dyDescent="0.2">
      <c r="A352" t="str">
        <v>AF discontinuity</v>
      </c>
      <c r="C352" s="26">
        <f ca="1"/>
        <v>1.7999999999999998</v>
      </c>
      <c r="D352" s="26">
        <f ca="1"/>
        <v>1.7999999999999998</v>
      </c>
      <c r="E352" s="26">
        <f ca="1"/>
        <v>1.7999999999999998</v>
      </c>
      <c r="F352" s="26">
        <f ca="1"/>
        <v>1.7999999999999998</v>
      </c>
      <c r="G352" s="26">
        <f ca="1"/>
        <v>1.7999999999999998</v>
      </c>
      <c r="H352" s="26">
        <f ca="1"/>
        <v>1.7999999999999998</v>
      </c>
      <c r="I352" s="26">
        <f ca="1"/>
        <v>1.7999999999999998</v>
      </c>
      <c r="J352" s="26">
        <f ca="1"/>
        <v>1.7999999999999998</v>
      </c>
      <c r="K352" s="26">
        <f ca="1"/>
        <v>1.7999999999999998</v>
      </c>
      <c r="L352" s="26">
        <f ca="1"/>
        <v>1.7999999999999998</v>
      </c>
      <c r="M352" s="6"/>
      <c r="N352" s="59" t="s">
        <v>132</v>
      </c>
      <c r="O352" s="6"/>
      <c r="Q352" s="6"/>
    </row>
    <row r="353" spans="1:17" x14ac:dyDescent="0.2">
      <c r="A353" t="str">
        <v>LA discontinuity</v>
      </c>
      <c r="C353" s="26">
        <f ca="1"/>
        <v>1.7999999999999998</v>
      </c>
      <c r="D353" s="26">
        <f ca="1"/>
        <v>1.7999999999999998</v>
      </c>
      <c r="E353" s="26">
        <f ca="1"/>
        <v>1.7999999999999998</v>
      </c>
      <c r="F353" s="26">
        <f ca="1"/>
        <v>1.7999999999999998</v>
      </c>
      <c r="G353" s="26">
        <f ca="1"/>
        <v>1.7999999999999998</v>
      </c>
      <c r="H353" s="26">
        <f ca="1"/>
        <v>1.7999999999999998</v>
      </c>
      <c r="I353" s="26">
        <f ca="1"/>
        <v>1.7999999999999998</v>
      </c>
      <c r="J353" s="26">
        <f ca="1"/>
        <v>1.7999999999999998</v>
      </c>
      <c r="K353" s="26">
        <f ca="1"/>
        <v>1.7999999999999998</v>
      </c>
      <c r="L353" s="26">
        <f ca="1"/>
        <v>1.7999999999999998</v>
      </c>
      <c r="M353" s="6"/>
      <c r="N353" s="59" t="s">
        <v>132</v>
      </c>
    </row>
    <row r="354" spans="1:17" s="2" customFormat="1" ht="14.25" x14ac:dyDescent="0.25">
      <c r="A354" s="2" t="s">
        <v>245</v>
      </c>
      <c r="C354" s="2" t="s">
        <v>246</v>
      </c>
    </row>
    <row r="355" spans="1:17" x14ac:dyDescent="0.2">
      <c r="A355" t="str">
        <f t="array" ref="A355:A362">R_CODE&amp;" discontinuity"</f>
        <v>EU discontinuity</v>
      </c>
      <c r="C355" s="29">
        <f t="array" ref="C355:L362" ca="1">IREFEQDIS*(rgdp_2_per_cap/GDP_PER_CAP_FOCUS_0)^IPOWDIS</f>
        <v>2.9614488889155521</v>
      </c>
      <c r="D355" s="29">
        <f ca="1"/>
        <v>2.9177132294934638</v>
      </c>
      <c r="E355" s="29">
        <f ca="1"/>
        <v>2.8741219163374723</v>
      </c>
      <c r="F355" s="29">
        <f ca="1"/>
        <v>2.7922586216111638</v>
      </c>
      <c r="G355" s="29">
        <f ca="1"/>
        <v>2.7232431914747579</v>
      </c>
      <c r="H355" s="29">
        <f ca="1"/>
        <v>2.6609982780246373</v>
      </c>
      <c r="I355" s="29">
        <f ca="1"/>
        <v>2.5974219179499283</v>
      </c>
      <c r="J355" s="29">
        <f ca="1"/>
        <v>2.5362973325626852</v>
      </c>
      <c r="K355" s="29">
        <f ca="1"/>
        <v>2.4767518414340892</v>
      </c>
      <c r="L355" s="29">
        <f ca="1"/>
        <v>2.4175858794393257</v>
      </c>
      <c r="M355" s="6"/>
      <c r="N355" s="59" t="s">
        <v>132</v>
      </c>
    </row>
    <row r="356" spans="1:17" x14ac:dyDescent="0.2">
      <c r="A356" t="str">
        <v>US discontinuity</v>
      </c>
      <c r="C356" s="26">
        <f ca="1"/>
        <v>2.2616647878294995</v>
      </c>
      <c r="D356" s="26">
        <f ca="1"/>
        <v>2.2376663080161672</v>
      </c>
      <c r="E356" s="26">
        <f ca="1"/>
        <v>2.2137978840583972</v>
      </c>
      <c r="F356" s="26">
        <f ca="1"/>
        <v>2.1676288283391925</v>
      </c>
      <c r="G356" s="26">
        <f ca="1"/>
        <v>2.1285382696630117</v>
      </c>
      <c r="H356" s="26">
        <f ca="1"/>
        <v>2.0938875123827949</v>
      </c>
      <c r="I356" s="26">
        <f ca="1"/>
        <v>2.0548396616620748</v>
      </c>
      <c r="J356" s="26">
        <f ca="1"/>
        <v>2.0126236838150326</v>
      </c>
      <c r="K356" s="26">
        <f ca="1"/>
        <v>1.9700336620654</v>
      </c>
      <c r="L356" s="26">
        <f ca="1"/>
        <v>1.927693464171677</v>
      </c>
      <c r="M356" s="6"/>
      <c r="N356" s="59" t="s">
        <v>132</v>
      </c>
    </row>
    <row r="357" spans="1:17" x14ac:dyDescent="0.2">
      <c r="A357" t="str">
        <v>OT discontinuity</v>
      </c>
      <c r="C357" s="26">
        <f ca="1"/>
        <v>2.3956250425503143</v>
      </c>
      <c r="D357" s="26">
        <f ca="1"/>
        <v>2.3626231523585797</v>
      </c>
      <c r="E357" s="26">
        <f ca="1"/>
        <v>2.3279994768827836</v>
      </c>
      <c r="F357" s="26">
        <f ca="1"/>
        <v>2.2611444091744839</v>
      </c>
      <c r="G357" s="26">
        <f ca="1"/>
        <v>2.2030478650553991</v>
      </c>
      <c r="H357" s="26">
        <f ca="1"/>
        <v>2.1502397711429944</v>
      </c>
      <c r="I357" s="26">
        <f ca="1"/>
        <v>2.0976882591234562</v>
      </c>
      <c r="J357" s="26">
        <f ca="1"/>
        <v>2.0440428089387197</v>
      </c>
      <c r="K357" s="26">
        <f ca="1"/>
        <v>1.9933928469131545</v>
      </c>
      <c r="L357" s="26">
        <f ca="1"/>
        <v>1.9442613931883299</v>
      </c>
      <c r="M357" s="6"/>
      <c r="N357" s="59" t="s">
        <v>132</v>
      </c>
    </row>
    <row r="358" spans="1:17" x14ac:dyDescent="0.2">
      <c r="A358" t="str">
        <v>EE discontinuity</v>
      </c>
      <c r="C358" s="26">
        <f ca="1"/>
        <v>1.3101430816793775</v>
      </c>
      <c r="D358" s="26">
        <f ca="1"/>
        <v>1.2748773631500112</v>
      </c>
      <c r="E358" s="26">
        <f ca="1"/>
        <v>1.2415153143539821</v>
      </c>
      <c r="F358" s="26">
        <f ca="1"/>
        <v>1.1876619261527137</v>
      </c>
      <c r="G358" s="26">
        <f ca="1"/>
        <v>1.1510139978604514</v>
      </c>
      <c r="H358" s="26">
        <f ca="1"/>
        <v>1.1213037576437201</v>
      </c>
      <c r="I358" s="26">
        <f ca="1"/>
        <v>1.0889519179525018</v>
      </c>
      <c r="J358" s="26">
        <f ca="1"/>
        <v>1.0597269363141446</v>
      </c>
      <c r="K358" s="26">
        <f ca="1"/>
        <v>1.0303011099486319</v>
      </c>
      <c r="L358" s="26">
        <f ca="1"/>
        <v>1.0018179219956929</v>
      </c>
      <c r="M358" s="6"/>
      <c r="N358" s="59" t="s">
        <v>132</v>
      </c>
    </row>
    <row r="359" spans="1:17" x14ac:dyDescent="0.2">
      <c r="A359" t="str">
        <v>CA discontinuity</v>
      </c>
      <c r="C359" s="26">
        <f ca="1"/>
        <v>2.6067600105365791</v>
      </c>
      <c r="D359" s="26">
        <f ca="1"/>
        <v>2.5001014908500041</v>
      </c>
      <c r="E359" s="26">
        <f ca="1"/>
        <v>2.4132412214094421</v>
      </c>
      <c r="F359" s="26">
        <f ca="1"/>
        <v>2.291762206770962</v>
      </c>
      <c r="G359" s="26">
        <f ca="1"/>
        <v>2.2132640600123126</v>
      </c>
      <c r="H359" s="26">
        <f ca="1"/>
        <v>2.1553678927891293</v>
      </c>
      <c r="I359" s="26">
        <f ca="1"/>
        <v>2.1041062008654836</v>
      </c>
      <c r="J359" s="26">
        <f ca="1"/>
        <v>2.0577031222572115</v>
      </c>
      <c r="K359" s="26">
        <f ca="1"/>
        <v>2.0117439286604122</v>
      </c>
      <c r="L359" s="26">
        <f ca="1"/>
        <v>1.9666792504612607</v>
      </c>
      <c r="M359" s="6"/>
      <c r="N359" s="59" t="s">
        <v>132</v>
      </c>
    </row>
    <row r="360" spans="1:17" x14ac:dyDescent="0.2">
      <c r="A360" t="str">
        <v>IA discontinuity</v>
      </c>
      <c r="C360" s="26">
        <f ca="1"/>
        <v>2.9364020586488402</v>
      </c>
      <c r="D360" s="26">
        <f ca="1"/>
        <v>2.8300176723938404</v>
      </c>
      <c r="E360" s="26">
        <f ca="1"/>
        <v>2.7325361975723572</v>
      </c>
      <c r="F360" s="26">
        <f ca="1"/>
        <v>2.5720342064302804</v>
      </c>
      <c r="G360" s="26">
        <f ca="1"/>
        <v>2.4513899721160111</v>
      </c>
      <c r="H360" s="26">
        <f ca="1"/>
        <v>2.3494402682047899</v>
      </c>
      <c r="I360" s="26">
        <f ca="1"/>
        <v>2.2617493539482467</v>
      </c>
      <c r="J360" s="26">
        <f ca="1"/>
        <v>2.1810270393728013</v>
      </c>
      <c r="K360" s="26">
        <f ca="1"/>
        <v>2.1066013978453557</v>
      </c>
      <c r="L360" s="26">
        <f ca="1"/>
        <v>2.036899746072061</v>
      </c>
      <c r="M360" s="6"/>
      <c r="N360" s="59" t="s">
        <v>132</v>
      </c>
      <c r="Q360" s="6"/>
    </row>
    <row r="361" spans="1:17" x14ac:dyDescent="0.2">
      <c r="A361" t="str">
        <v>AF discontinuity</v>
      </c>
      <c r="C361" s="26">
        <f ca="1"/>
        <v>2.2745628440090688</v>
      </c>
      <c r="D361" s="26">
        <f ca="1"/>
        <v>2.2200581885678248</v>
      </c>
      <c r="E361" s="26">
        <f ca="1"/>
        <v>2.1605964116457574</v>
      </c>
      <c r="F361" s="26">
        <f ca="1"/>
        <v>2.0442215465332372</v>
      </c>
      <c r="G361" s="26">
        <f ca="1"/>
        <v>1.9451111778927594</v>
      </c>
      <c r="H361" s="26">
        <f ca="1"/>
        <v>1.8594545744636235</v>
      </c>
      <c r="I361" s="26">
        <f ca="1"/>
        <v>1.77550509895367</v>
      </c>
      <c r="J361" s="26">
        <f ca="1"/>
        <v>1.6978652795659936</v>
      </c>
      <c r="K361" s="26">
        <f ca="1"/>
        <v>1.6266734492974197</v>
      </c>
      <c r="L361" s="26">
        <f ca="1"/>
        <v>1.560703019078838</v>
      </c>
      <c r="M361" s="6"/>
      <c r="N361" s="59" t="s">
        <v>132</v>
      </c>
      <c r="O361" s="6"/>
      <c r="Q361" s="6"/>
    </row>
    <row r="362" spans="1:17" x14ac:dyDescent="0.2">
      <c r="A362" t="str">
        <v>LA discontinuity</v>
      </c>
      <c r="C362" s="26">
        <f ca="1"/>
        <v>2.0241755339437191</v>
      </c>
      <c r="D362" s="26">
        <f ca="1"/>
        <v>1.9816276841899358</v>
      </c>
      <c r="E362" s="26">
        <f ca="1"/>
        <v>1.9377354721397786</v>
      </c>
      <c r="F362" s="26">
        <f ca="1"/>
        <v>1.8497409252357524</v>
      </c>
      <c r="G362" s="26">
        <f ca="1"/>
        <v>1.7733638074624531</v>
      </c>
      <c r="H362" s="26">
        <f ca="1"/>
        <v>1.7091851732177292</v>
      </c>
      <c r="I362" s="26">
        <f ca="1"/>
        <v>1.6540215994242249</v>
      </c>
      <c r="J362" s="26">
        <f ca="1"/>
        <v>1.6009530877205218</v>
      </c>
      <c r="K362" s="26">
        <f ca="1"/>
        <v>1.5511389034944212</v>
      </c>
      <c r="L362" s="26">
        <f ca="1"/>
        <v>1.5039233378211563</v>
      </c>
      <c r="M362" s="6"/>
      <c r="N362" s="59" t="s">
        <v>132</v>
      </c>
    </row>
    <row r="363" spans="1:17" s="2" customFormat="1" ht="14.25" x14ac:dyDescent="0.25">
      <c r="A363" s="2" t="s">
        <v>219</v>
      </c>
      <c r="C363" s="2" t="s">
        <v>247</v>
      </c>
    </row>
    <row r="364" spans="1:17" x14ac:dyDescent="0.2">
      <c r="A364" t="str">
        <f t="array" ref="A364:A371">R_CODE&amp;" discontinuity"</f>
        <v>EU discontinuity</v>
      </c>
      <c r="C364" s="29">
        <f t="array" aca="1" ref="C364:C371" ca="1">occur_dis_1*(1-EXPFDIS_1)*igdpeqdis_1</f>
        <v>0</v>
      </c>
      <c r="D364" s="29">
        <f t="array" ref="D364:L371" ca="1">igdpdis+occur_dis_not_1*(1-EXPFDIS_NOT_1)*(igdpeqdis_not_1-igdpdis)</f>
        <v>0</v>
      </c>
      <c r="E364" s="29">
        <f ca="1"/>
        <v>0</v>
      </c>
      <c r="F364" s="29">
        <f ca="1"/>
        <v>0</v>
      </c>
      <c r="G364" s="29">
        <f ca="1"/>
        <v>0</v>
      </c>
      <c r="H364" s="29">
        <f ca="1"/>
        <v>0</v>
      </c>
      <c r="I364" s="29">
        <f ca="1"/>
        <v>0</v>
      </c>
      <c r="J364" s="29">
        <f ca="1"/>
        <v>0</v>
      </c>
      <c r="K364" s="29">
        <f ca="1"/>
        <v>0</v>
      </c>
      <c r="L364" s="29">
        <f ca="1"/>
        <v>0</v>
      </c>
      <c r="M364" s="6"/>
      <c r="N364" s="59" t="s">
        <v>132</v>
      </c>
    </row>
    <row r="365" spans="1:17" x14ac:dyDescent="0.2">
      <c r="A365" t="str">
        <v>US discontinuity</v>
      </c>
      <c r="C365" s="26">
        <f ca="1"/>
        <v>0</v>
      </c>
      <c r="D365" s="26">
        <f ca="1"/>
        <v>0</v>
      </c>
      <c r="E365" s="26">
        <f ca="1"/>
        <v>0</v>
      </c>
      <c r="F365" s="26">
        <f ca="1"/>
        <v>0</v>
      </c>
      <c r="G365" s="26">
        <f ca="1"/>
        <v>0</v>
      </c>
      <c r="H365" s="26">
        <f ca="1"/>
        <v>0</v>
      </c>
      <c r="I365" s="26">
        <f ca="1"/>
        <v>0</v>
      </c>
      <c r="J365" s="26">
        <f ca="1"/>
        <v>0</v>
      </c>
      <c r="K365" s="26">
        <f ca="1"/>
        <v>0</v>
      </c>
      <c r="L365" s="26">
        <f ca="1"/>
        <v>0</v>
      </c>
      <c r="M365" s="6"/>
      <c r="N365" s="59" t="s">
        <v>132</v>
      </c>
    </row>
    <row r="366" spans="1:17" x14ac:dyDescent="0.2">
      <c r="A366" t="str">
        <v>OT discontinuity</v>
      </c>
      <c r="C366" s="26">
        <f ca="1"/>
        <v>0</v>
      </c>
      <c r="D366" s="26">
        <f ca="1"/>
        <v>0</v>
      </c>
      <c r="E366" s="26">
        <f ca="1"/>
        <v>0</v>
      </c>
      <c r="F366" s="26">
        <f ca="1"/>
        <v>0</v>
      </c>
      <c r="G366" s="26">
        <f ca="1"/>
        <v>0</v>
      </c>
      <c r="H366" s="26">
        <f ca="1"/>
        <v>0</v>
      </c>
      <c r="I366" s="26">
        <f ca="1"/>
        <v>0</v>
      </c>
      <c r="J366" s="26">
        <f ca="1"/>
        <v>0</v>
      </c>
      <c r="K366" s="26">
        <f ca="1"/>
        <v>0</v>
      </c>
      <c r="L366" s="26">
        <f ca="1"/>
        <v>0</v>
      </c>
      <c r="M366" s="6"/>
      <c r="N366" s="59" t="s">
        <v>132</v>
      </c>
    </row>
    <row r="367" spans="1:17" x14ac:dyDescent="0.2">
      <c r="A367" t="str">
        <v>EE discontinuity</v>
      </c>
      <c r="C367" s="26">
        <f ca="1"/>
        <v>0</v>
      </c>
      <c r="D367" s="26">
        <f ca="1"/>
        <v>0</v>
      </c>
      <c r="E367" s="26">
        <f ca="1"/>
        <v>0</v>
      </c>
      <c r="F367" s="26">
        <f ca="1"/>
        <v>0</v>
      </c>
      <c r="G367" s="26">
        <f ca="1"/>
        <v>0</v>
      </c>
      <c r="H367" s="26">
        <f ca="1"/>
        <v>0</v>
      </c>
      <c r="I367" s="26">
        <f ca="1"/>
        <v>0</v>
      </c>
      <c r="J367" s="26">
        <f ca="1"/>
        <v>0</v>
      </c>
      <c r="K367" s="26">
        <f ca="1"/>
        <v>0</v>
      </c>
      <c r="L367" s="26">
        <f ca="1"/>
        <v>0</v>
      </c>
      <c r="M367" s="6"/>
      <c r="N367" s="59" t="s">
        <v>132</v>
      </c>
    </row>
    <row r="368" spans="1:17" x14ac:dyDescent="0.2">
      <c r="A368" t="str">
        <v>CA discontinuity</v>
      </c>
      <c r="C368" s="26">
        <f ca="1"/>
        <v>0</v>
      </c>
      <c r="D368" s="26">
        <f ca="1"/>
        <v>0</v>
      </c>
      <c r="E368" s="26">
        <f ca="1"/>
        <v>0</v>
      </c>
      <c r="F368" s="26">
        <f ca="1"/>
        <v>0</v>
      </c>
      <c r="G368" s="26">
        <f ca="1"/>
        <v>0</v>
      </c>
      <c r="H368" s="26">
        <f ca="1"/>
        <v>0</v>
      </c>
      <c r="I368" s="26">
        <f ca="1"/>
        <v>0</v>
      </c>
      <c r="J368" s="26">
        <f ca="1"/>
        <v>0</v>
      </c>
      <c r="K368" s="26">
        <f ca="1"/>
        <v>0</v>
      </c>
      <c r="L368" s="26">
        <f ca="1"/>
        <v>0</v>
      </c>
      <c r="M368" s="6"/>
      <c r="N368" s="59" t="s">
        <v>132</v>
      </c>
    </row>
    <row r="369" spans="1:27" x14ac:dyDescent="0.2">
      <c r="A369" t="str">
        <v>IA discontinuity</v>
      </c>
      <c r="C369" s="26">
        <f ca="1"/>
        <v>0</v>
      </c>
      <c r="D369" s="26">
        <f ca="1"/>
        <v>0</v>
      </c>
      <c r="E369" s="26">
        <f ca="1"/>
        <v>0</v>
      </c>
      <c r="F369" s="26">
        <f ca="1"/>
        <v>0</v>
      </c>
      <c r="G369" s="26">
        <f ca="1"/>
        <v>0</v>
      </c>
      <c r="H369" s="26">
        <f ca="1"/>
        <v>0</v>
      </c>
      <c r="I369" s="26">
        <f ca="1"/>
        <v>0</v>
      </c>
      <c r="J369" s="26">
        <f ca="1"/>
        <v>0</v>
      </c>
      <c r="K369" s="26">
        <f ca="1"/>
        <v>0</v>
      </c>
      <c r="L369" s="26">
        <f ca="1"/>
        <v>0</v>
      </c>
      <c r="M369" s="6"/>
      <c r="N369" s="59" t="s">
        <v>132</v>
      </c>
      <c r="O369" s="6"/>
      <c r="Q369" s="6"/>
    </row>
    <row r="370" spans="1:27" x14ac:dyDescent="0.2">
      <c r="A370" t="str">
        <v>AF discontinuity</v>
      </c>
      <c r="C370" s="26">
        <f ca="1"/>
        <v>0</v>
      </c>
      <c r="D370" s="26">
        <f ca="1"/>
        <v>0</v>
      </c>
      <c r="E370" s="26">
        <f ca="1"/>
        <v>0</v>
      </c>
      <c r="F370" s="26">
        <f ca="1"/>
        <v>0</v>
      </c>
      <c r="G370" s="26">
        <f ca="1"/>
        <v>0</v>
      </c>
      <c r="H370" s="26">
        <f ca="1"/>
        <v>0</v>
      </c>
      <c r="I370" s="26">
        <f ca="1"/>
        <v>0</v>
      </c>
      <c r="J370" s="26">
        <f ca="1"/>
        <v>0</v>
      </c>
      <c r="K370" s="26">
        <f ca="1"/>
        <v>0</v>
      </c>
      <c r="L370" s="26">
        <f ca="1"/>
        <v>0</v>
      </c>
      <c r="M370" s="6"/>
      <c r="N370" s="59" t="s">
        <v>132</v>
      </c>
      <c r="O370" s="6"/>
      <c r="Q370" s="6"/>
    </row>
    <row r="371" spans="1:27" x14ac:dyDescent="0.2">
      <c r="A371" t="str">
        <v>LA discontinuity</v>
      </c>
      <c r="C371" s="26">
        <f ca="1"/>
        <v>0</v>
      </c>
      <c r="D371" s="26">
        <f ca="1"/>
        <v>0</v>
      </c>
      <c r="E371" s="26">
        <f ca="1"/>
        <v>0</v>
      </c>
      <c r="F371" s="26">
        <f ca="1"/>
        <v>0</v>
      </c>
      <c r="G371" s="26">
        <f ca="1"/>
        <v>0</v>
      </c>
      <c r="H371" s="26">
        <f ca="1"/>
        <v>0</v>
      </c>
      <c r="I371" s="26">
        <f ca="1"/>
        <v>0</v>
      </c>
      <c r="J371" s="26">
        <f ca="1"/>
        <v>0</v>
      </c>
      <c r="K371" s="26">
        <f ca="1"/>
        <v>0</v>
      </c>
      <c r="L371" s="26">
        <f ca="1"/>
        <v>0</v>
      </c>
      <c r="M371" s="6"/>
      <c r="N371" s="59" t="s">
        <v>132</v>
      </c>
    </row>
    <row r="372" spans="1:27" s="2" customFormat="1" ht="14.25" x14ac:dyDescent="0.25">
      <c r="A372" s="2" t="s">
        <v>223</v>
      </c>
      <c r="C372" s="2" t="s">
        <v>249</v>
      </c>
      <c r="P372" s="2" t="s">
        <v>1121</v>
      </c>
      <c r="Q372" s="2">
        <v>3731.1295734726509</v>
      </c>
      <c r="R372" s="2">
        <v>2426.1527681994476</v>
      </c>
      <c r="S372" s="2">
        <v>3552.712571602302</v>
      </c>
      <c r="T372" s="2">
        <v>4514.9583109114074</v>
      </c>
      <c r="U372" s="2">
        <v>4315.3722470948551</v>
      </c>
      <c r="V372" s="2">
        <v>4118.4784203593954</v>
      </c>
      <c r="W372" s="2">
        <v>3890.9393108804293</v>
      </c>
      <c r="X372" s="2">
        <v>3637.6091360562946</v>
      </c>
      <c r="Y372" s="2">
        <v>3362.102877852833</v>
      </c>
      <c r="Z372" s="2">
        <v>1539.7101356993812</v>
      </c>
    </row>
    <row r="373" spans="1:27" x14ac:dyDescent="0.2">
      <c r="A373" t="str">
        <f t="array" ref="A373:A380">R_CODE&amp;" discontinuity"</f>
        <v>EU discontinuity</v>
      </c>
      <c r="C373" s="29">
        <f t="array" ref="C373:L380" ca="1">IF(igdpdis&lt;ISATG,igdpdis,ISATG+(100-SAVE-ISATG)*((igdpdis-ISATG)/((100-SAVE-ISATG)+(igdpdis-ISATG))))</f>
        <v>0</v>
      </c>
      <c r="D373" s="29">
        <f ca="1"/>
        <v>0</v>
      </c>
      <c r="E373" s="29">
        <f ca="1"/>
        <v>0</v>
      </c>
      <c r="F373" s="29">
        <f ca="1"/>
        <v>0</v>
      </c>
      <c r="G373" s="29">
        <f ca="1"/>
        <v>0</v>
      </c>
      <c r="H373" s="29">
        <f ca="1"/>
        <v>0</v>
      </c>
      <c r="I373" s="29">
        <f ca="1"/>
        <v>0</v>
      </c>
      <c r="J373" s="29">
        <f ca="1"/>
        <v>0</v>
      </c>
      <c r="K373" s="29">
        <f ca="1"/>
        <v>0</v>
      </c>
      <c r="L373" s="29">
        <f ca="1"/>
        <v>0</v>
      </c>
      <c r="M373" s="6"/>
      <c r="N373" s="59" t="s">
        <v>132</v>
      </c>
      <c r="Q373">
        <v>2469.2933029868564</v>
      </c>
      <c r="R373">
        <v>1655.0206779588766</v>
      </c>
      <c r="S373">
        <v>2495.0510744882445</v>
      </c>
      <c r="T373">
        <v>3338.0788676695838</v>
      </c>
      <c r="U373">
        <v>3337.1775681398367</v>
      </c>
      <c r="V373">
        <v>3336.3701725041342</v>
      </c>
      <c r="W373">
        <v>3311.5332044327552</v>
      </c>
      <c r="X373">
        <v>3249.3916266154547</v>
      </c>
      <c r="Y373">
        <v>3138.1458516589769</v>
      </c>
      <c r="Z373">
        <v>1490.0974668620906</v>
      </c>
    </row>
    <row r="374" spans="1:27" x14ac:dyDescent="0.2">
      <c r="A374" t="str">
        <v>US discontinuity</v>
      </c>
      <c r="C374" s="26">
        <f ca="1"/>
        <v>0</v>
      </c>
      <c r="D374" s="26">
        <f ca="1"/>
        <v>0</v>
      </c>
      <c r="E374" s="26">
        <f ca="1"/>
        <v>0</v>
      </c>
      <c r="F374" s="26">
        <f ca="1"/>
        <v>0</v>
      </c>
      <c r="G374" s="26">
        <f ca="1"/>
        <v>0</v>
      </c>
      <c r="H374" s="26">
        <f ca="1"/>
        <v>0</v>
      </c>
      <c r="I374" s="26">
        <f ca="1"/>
        <v>0</v>
      </c>
      <c r="J374" s="26">
        <f ca="1"/>
        <v>0</v>
      </c>
      <c r="K374" s="26">
        <f ca="1"/>
        <v>0</v>
      </c>
      <c r="L374" s="26">
        <f ca="1"/>
        <v>0</v>
      </c>
      <c r="M374" s="6"/>
      <c r="N374" s="59" t="s">
        <v>132</v>
      </c>
      <c r="Q374">
        <v>2239.1949630902322</v>
      </c>
      <c r="R374">
        <v>1458.611518686547</v>
      </c>
      <c r="S374">
        <v>2132.7627674158425</v>
      </c>
      <c r="T374">
        <v>2686.3510478224653</v>
      </c>
      <c r="U374">
        <v>2526.882548698853</v>
      </c>
      <c r="V374">
        <v>2364.3638056037162</v>
      </c>
      <c r="W374">
        <v>2180.9623948197591</v>
      </c>
      <c r="X374">
        <v>1984.7986693586015</v>
      </c>
      <c r="Y374">
        <v>1780.740276098659</v>
      </c>
      <c r="Z374">
        <v>789.37877466952784</v>
      </c>
    </row>
    <row r="375" spans="1:27" x14ac:dyDescent="0.2">
      <c r="A375" t="str">
        <v>OT discontinuity</v>
      </c>
      <c r="C375" s="26">
        <f ca="1"/>
        <v>0</v>
      </c>
      <c r="D375" s="26">
        <f ca="1"/>
        <v>0</v>
      </c>
      <c r="E375" s="26">
        <f ca="1"/>
        <v>0</v>
      </c>
      <c r="F375" s="26">
        <f ca="1"/>
        <v>0</v>
      </c>
      <c r="G375" s="26">
        <f ca="1"/>
        <v>0</v>
      </c>
      <c r="H375" s="26">
        <f ca="1"/>
        <v>0</v>
      </c>
      <c r="I375" s="26">
        <f ca="1"/>
        <v>0</v>
      </c>
      <c r="J375" s="26">
        <f ca="1"/>
        <v>0</v>
      </c>
      <c r="K375" s="26">
        <f ca="1"/>
        <v>0</v>
      </c>
      <c r="L375" s="26">
        <f ca="1"/>
        <v>0</v>
      </c>
      <c r="M375" s="6"/>
      <c r="N375" s="59" t="s">
        <v>132</v>
      </c>
      <c r="Q375">
        <v>1990.317156230715</v>
      </c>
      <c r="R375">
        <v>1255.0019685057825</v>
      </c>
      <c r="S375">
        <v>1776.3370011275188</v>
      </c>
      <c r="T375">
        <v>2107.5048846850432</v>
      </c>
      <c r="U375">
        <v>1853.4416966818851</v>
      </c>
      <c r="V375">
        <v>1607.9006187189816</v>
      </c>
      <c r="W375">
        <v>1375.7159618222977</v>
      </c>
      <c r="X375">
        <v>1154.6923183604661</v>
      </c>
      <c r="Y375">
        <v>953.15988237658837</v>
      </c>
      <c r="Z375">
        <v>388.4312004223346</v>
      </c>
    </row>
    <row r="376" spans="1:27" x14ac:dyDescent="0.2">
      <c r="A376" t="str">
        <v>EE discontinuity</v>
      </c>
      <c r="C376" s="26">
        <f ca="1"/>
        <v>0</v>
      </c>
      <c r="D376" s="26">
        <f ca="1"/>
        <v>0</v>
      </c>
      <c r="E376" s="26">
        <f ca="1"/>
        <v>0</v>
      </c>
      <c r="F376" s="26">
        <f ca="1"/>
        <v>0</v>
      </c>
      <c r="G376" s="26">
        <f ca="1"/>
        <v>0</v>
      </c>
      <c r="H376" s="26">
        <f ca="1"/>
        <v>0</v>
      </c>
      <c r="I376" s="26">
        <f ca="1"/>
        <v>0</v>
      </c>
      <c r="J376" s="26">
        <f ca="1"/>
        <v>0</v>
      </c>
      <c r="K376" s="26">
        <f ca="1"/>
        <v>0</v>
      </c>
      <c r="L376" s="26">
        <f ca="1"/>
        <v>0</v>
      </c>
      <c r="M376" s="6"/>
      <c r="N376" s="59" t="s">
        <v>132</v>
      </c>
      <c r="Q376">
        <v>9826.6054363394578</v>
      </c>
      <c r="R376">
        <v>6223.010026983422</v>
      </c>
      <c r="S376">
        <v>8797.1859940073919</v>
      </c>
      <c r="T376">
        <v>10200.988114705027</v>
      </c>
      <c r="U376">
        <v>8622.3638162845327</v>
      </c>
      <c r="V376">
        <v>7109.1345337649564</v>
      </c>
      <c r="W376">
        <v>5744.3559674504895</v>
      </c>
      <c r="X376">
        <v>4571.4493052692469</v>
      </c>
      <c r="Y376">
        <v>3571.443654170133</v>
      </c>
      <c r="Z376">
        <v>1362.5965597765826</v>
      </c>
    </row>
    <row r="377" spans="1:27" x14ac:dyDescent="0.2">
      <c r="A377" t="str">
        <v>CA discontinuity</v>
      </c>
      <c r="C377" s="26">
        <f ca="1"/>
        <v>0</v>
      </c>
      <c r="D377" s="26">
        <f ca="1"/>
        <v>0</v>
      </c>
      <c r="E377" s="26">
        <f ca="1"/>
        <v>0</v>
      </c>
      <c r="F377" s="26">
        <f ca="1"/>
        <v>0</v>
      </c>
      <c r="G377" s="26">
        <f ca="1"/>
        <v>0</v>
      </c>
      <c r="H377" s="26">
        <f ca="1"/>
        <v>0</v>
      </c>
      <c r="I377" s="26">
        <f ca="1"/>
        <v>0</v>
      </c>
      <c r="J377" s="26">
        <f ca="1"/>
        <v>0</v>
      </c>
      <c r="K377" s="26">
        <f ca="1"/>
        <v>0</v>
      </c>
      <c r="L377" s="26">
        <f ca="1"/>
        <v>0</v>
      </c>
      <c r="M377" s="6"/>
      <c r="N377" s="59" t="s">
        <v>132</v>
      </c>
      <c r="Q377">
        <v>18213.058718904904</v>
      </c>
      <c r="R377">
        <v>11967.541445836696</v>
      </c>
      <c r="S377">
        <v>17536.514753006963</v>
      </c>
      <c r="T377">
        <v>21898.528817911159</v>
      </c>
      <c r="U377">
        <v>19957.806374893</v>
      </c>
      <c r="V377">
        <v>17722.134921825822</v>
      </c>
      <c r="W377">
        <v>15370.743074317586</v>
      </c>
      <c r="X377">
        <v>13033.203860891063</v>
      </c>
      <c r="Y377">
        <v>10816.33018475015</v>
      </c>
      <c r="Z377">
        <v>4405.1730338676207</v>
      </c>
    </row>
    <row r="378" spans="1:27" x14ac:dyDescent="0.2">
      <c r="A378" t="str">
        <v>IA discontinuity</v>
      </c>
      <c r="C378" s="26">
        <f ca="1"/>
        <v>0</v>
      </c>
      <c r="D378" s="26">
        <f ca="1"/>
        <v>0</v>
      </c>
      <c r="E378" s="26">
        <f ca="1"/>
        <v>0</v>
      </c>
      <c r="F378" s="26">
        <f ca="1"/>
        <v>0</v>
      </c>
      <c r="G378" s="26">
        <f ca="1"/>
        <v>0</v>
      </c>
      <c r="H378" s="26">
        <f ca="1"/>
        <v>0</v>
      </c>
      <c r="I378" s="26">
        <f ca="1"/>
        <v>0</v>
      </c>
      <c r="J378" s="26">
        <f ca="1"/>
        <v>0</v>
      </c>
      <c r="K378" s="26">
        <f ca="1"/>
        <v>0</v>
      </c>
      <c r="L378" s="26">
        <f ca="1"/>
        <v>0</v>
      </c>
      <c r="M378" s="6"/>
      <c r="N378" s="59" t="s">
        <v>132</v>
      </c>
      <c r="Q378">
        <v>10650.070101781928</v>
      </c>
      <c r="R378">
        <v>7291.2597514671843</v>
      </c>
      <c r="S378">
        <v>11105.082525010837</v>
      </c>
      <c r="T378">
        <v>14933.384950664169</v>
      </c>
      <c r="U378">
        <v>14551.211946454265</v>
      </c>
      <c r="V378">
        <v>13755.584441237686</v>
      </c>
      <c r="W378">
        <v>12707.401490362032</v>
      </c>
      <c r="X378">
        <v>11491.670418254376</v>
      </c>
      <c r="Y378">
        <v>10195.532723616994</v>
      </c>
      <c r="Z378">
        <v>4445.146968010511</v>
      </c>
    </row>
    <row r="379" spans="1:27" x14ac:dyDescent="0.2">
      <c r="A379" t="str">
        <v>AF discontinuity</v>
      </c>
      <c r="C379" s="26">
        <f ca="1"/>
        <v>0</v>
      </c>
      <c r="D379" s="26">
        <f ca="1"/>
        <v>0</v>
      </c>
      <c r="E379" s="26">
        <f ca="1"/>
        <v>0</v>
      </c>
      <c r="F379" s="26">
        <f ca="1"/>
        <v>0</v>
      </c>
      <c r="G379" s="26">
        <f ca="1"/>
        <v>0</v>
      </c>
      <c r="H379" s="26">
        <f ca="1"/>
        <v>0</v>
      </c>
      <c r="I379" s="26">
        <f ca="1"/>
        <v>0</v>
      </c>
      <c r="J379" s="26">
        <f ca="1"/>
        <v>0</v>
      </c>
      <c r="K379" s="26">
        <f ca="1"/>
        <v>0</v>
      </c>
      <c r="L379" s="26">
        <f ca="1"/>
        <v>0</v>
      </c>
      <c r="M379" s="6"/>
      <c r="N379" s="59" t="s">
        <v>132</v>
      </c>
      <c r="Q379">
        <v>4501.7502722242107</v>
      </c>
      <c r="R379">
        <v>2916.6207490358252</v>
      </c>
      <c r="S379">
        <v>4215.9221401383056</v>
      </c>
      <c r="T379">
        <v>5122.2294028727401</v>
      </c>
      <c r="U379">
        <v>4547.7319500302301</v>
      </c>
      <c r="V379">
        <v>3945.426203751409</v>
      </c>
      <c r="W379">
        <v>3367.2888133269007</v>
      </c>
      <c r="X379">
        <v>2833.0082017673776</v>
      </c>
      <c r="Y379">
        <v>2338.562977083353</v>
      </c>
      <c r="Z379">
        <v>941.97398876251941</v>
      </c>
    </row>
    <row r="380" spans="1:27" x14ac:dyDescent="0.2">
      <c r="A380" t="str">
        <v>LA discontinuity</v>
      </c>
      <c r="C380" s="26">
        <f ca="1"/>
        <v>0</v>
      </c>
      <c r="D380" s="26">
        <f ca="1"/>
        <v>0</v>
      </c>
      <c r="E380" s="26">
        <f ca="1"/>
        <v>0</v>
      </c>
      <c r="F380" s="26">
        <f ca="1"/>
        <v>0</v>
      </c>
      <c r="G380" s="26">
        <f ca="1"/>
        <v>0</v>
      </c>
      <c r="H380" s="26">
        <f ca="1"/>
        <v>0</v>
      </c>
      <c r="I380" s="26">
        <f ca="1"/>
        <v>0</v>
      </c>
      <c r="J380" s="26">
        <f ca="1"/>
        <v>0</v>
      </c>
      <c r="K380" s="26">
        <f ca="1"/>
        <v>0</v>
      </c>
      <c r="L380" s="26">
        <f ca="1"/>
        <v>0</v>
      </c>
      <c r="M380" s="6"/>
      <c r="N380" s="59" t="s">
        <v>132</v>
      </c>
    </row>
    <row r="381" spans="1:27" s="2" customFormat="1" ht="14.25" x14ac:dyDescent="0.25">
      <c r="A381" s="2" t="s">
        <v>224</v>
      </c>
      <c r="C381" s="2" t="s">
        <v>250</v>
      </c>
    </row>
    <row r="382" spans="1:27" ht="14.25" x14ac:dyDescent="0.2">
      <c r="A382" t="str">
        <f t="array" ref="A382:A389">R_CODE&amp;" discontinuity"</f>
        <v>EU discontinuity</v>
      </c>
      <c r="C382" s="29">
        <f t="array" ref="C382:L389" ca="1">(isatdis/100)*rgdp_2_per_cap</f>
        <v>0</v>
      </c>
      <c r="D382" s="29">
        <f ca="1"/>
        <v>0</v>
      </c>
      <c r="E382" s="29">
        <f ca="1"/>
        <v>0</v>
      </c>
      <c r="F382" s="29">
        <f ca="1"/>
        <v>0</v>
      </c>
      <c r="G382" s="29">
        <f ca="1"/>
        <v>0</v>
      </c>
      <c r="H382" s="29">
        <f ca="1"/>
        <v>0</v>
      </c>
      <c r="I382" s="29">
        <f ca="1"/>
        <v>0</v>
      </c>
      <c r="J382" s="29">
        <f ca="1"/>
        <v>0</v>
      </c>
      <c r="K382" s="29">
        <f ca="1"/>
        <v>0</v>
      </c>
      <c r="L382" s="29">
        <f ca="1"/>
        <v>0</v>
      </c>
      <c r="M382" s="6"/>
      <c r="N382" s="1" t="str">
        <f t="shared" ref="N382:N389" si="46">CURRENCY_NAME&amp;"/"&amp;POP_UNIT_NAME</f>
        <v>$M(2015)/million</v>
      </c>
      <c r="O382" s="1"/>
      <c r="Q382">
        <f ca="1">C382*Q372</f>
        <v>0</v>
      </c>
      <c r="R382">
        <f t="shared" ref="R382:R389" ca="1" si="47">D382*R372</f>
        <v>0</v>
      </c>
      <c r="S382">
        <f t="shared" ref="S382:S389" ca="1" si="48">E382*S372</f>
        <v>0</v>
      </c>
      <c r="T382">
        <f t="shared" ref="T382:T389" ca="1" si="49">F382*T372</f>
        <v>0</v>
      </c>
      <c r="U382">
        <f t="shared" ref="U382:U389" ca="1" si="50">G382*U372</f>
        <v>0</v>
      </c>
      <c r="V382">
        <f t="shared" ref="V382:V389" ca="1" si="51">H382*V372</f>
        <v>0</v>
      </c>
      <c r="W382">
        <f t="shared" ref="W382:W389" ca="1" si="52">I382*W372</f>
        <v>0</v>
      </c>
      <c r="X382">
        <f t="shared" ref="X382:X389" ca="1" si="53">J382*X372</f>
        <v>0</v>
      </c>
      <c r="Y382">
        <f t="shared" ref="Y382:Y389" ca="1" si="54">K382*Y372</f>
        <v>0</v>
      </c>
      <c r="Z382">
        <f t="shared" ref="Z382:Z389" ca="1" si="55">L382*Z372</f>
        <v>0</v>
      </c>
      <c r="AA382" s="330">
        <f ca="1">SUM(Q382:Z382)</f>
        <v>0</v>
      </c>
    </row>
    <row r="383" spans="1:27" ht="14.25" x14ac:dyDescent="0.2">
      <c r="A383" t="str">
        <v>US discontinuity</v>
      </c>
      <c r="C383" s="26">
        <f ca="1"/>
        <v>0</v>
      </c>
      <c r="D383" s="26">
        <f ca="1"/>
        <v>0</v>
      </c>
      <c r="E383" s="26">
        <f ca="1"/>
        <v>0</v>
      </c>
      <c r="F383" s="26">
        <f ca="1"/>
        <v>0</v>
      </c>
      <c r="G383" s="26">
        <f ca="1"/>
        <v>0</v>
      </c>
      <c r="H383" s="26">
        <f ca="1"/>
        <v>0</v>
      </c>
      <c r="I383" s="26">
        <f ca="1"/>
        <v>0</v>
      </c>
      <c r="J383" s="26">
        <f ca="1"/>
        <v>0</v>
      </c>
      <c r="K383" s="26">
        <f ca="1"/>
        <v>0</v>
      </c>
      <c r="L383" s="26">
        <f ca="1"/>
        <v>0</v>
      </c>
      <c r="M383" s="6"/>
      <c r="N383" s="1" t="str">
        <f t="shared" si="46"/>
        <v>$M(2015)/million</v>
      </c>
      <c r="O383" s="1"/>
      <c r="Q383">
        <f ca="1">C383*Q373</f>
        <v>0</v>
      </c>
      <c r="R383">
        <f t="shared" ca="1" si="47"/>
        <v>0</v>
      </c>
      <c r="S383">
        <f t="shared" ca="1" si="48"/>
        <v>0</v>
      </c>
      <c r="T383">
        <f t="shared" ca="1" si="49"/>
        <v>0</v>
      </c>
      <c r="U383">
        <f t="shared" ca="1" si="50"/>
        <v>0</v>
      </c>
      <c r="V383">
        <f t="shared" ca="1" si="51"/>
        <v>0</v>
      </c>
      <c r="W383">
        <f t="shared" ca="1" si="52"/>
        <v>0</v>
      </c>
      <c r="X383">
        <f t="shared" ca="1" si="53"/>
        <v>0</v>
      </c>
      <c r="Y383">
        <f t="shared" ca="1" si="54"/>
        <v>0</v>
      </c>
      <c r="Z383">
        <f t="shared" ca="1" si="55"/>
        <v>0</v>
      </c>
      <c r="AA383" s="330">
        <f ca="1">SUM(Q383:Z383)</f>
        <v>0</v>
      </c>
    </row>
    <row r="384" spans="1:27" ht="14.25" x14ac:dyDescent="0.2">
      <c r="A384" t="str">
        <v>OT discontinuity</v>
      </c>
      <c r="C384" s="26">
        <f ca="1"/>
        <v>0</v>
      </c>
      <c r="D384" s="26">
        <f ca="1"/>
        <v>0</v>
      </c>
      <c r="E384" s="26">
        <f ca="1"/>
        <v>0</v>
      </c>
      <c r="F384" s="26">
        <f ca="1"/>
        <v>0</v>
      </c>
      <c r="G384" s="26">
        <f ca="1"/>
        <v>0</v>
      </c>
      <c r="H384" s="26">
        <f ca="1"/>
        <v>0</v>
      </c>
      <c r="I384" s="26">
        <f ca="1"/>
        <v>0</v>
      </c>
      <c r="J384" s="26">
        <f ca="1"/>
        <v>0</v>
      </c>
      <c r="K384" s="26">
        <f ca="1"/>
        <v>0</v>
      </c>
      <c r="L384" s="26">
        <f ca="1"/>
        <v>0</v>
      </c>
      <c r="M384" s="6"/>
      <c r="N384" s="1" t="str">
        <f t="shared" si="46"/>
        <v>$M(2015)/million</v>
      </c>
      <c r="O384" s="1"/>
      <c r="Q384">
        <f t="shared" ref="Q384:Q389" ca="1" si="56">C384*Q374</f>
        <v>0</v>
      </c>
      <c r="R384">
        <f t="shared" ca="1" si="47"/>
        <v>0</v>
      </c>
      <c r="S384">
        <f t="shared" ca="1" si="48"/>
        <v>0</v>
      </c>
      <c r="T384">
        <f t="shared" ca="1" si="49"/>
        <v>0</v>
      </c>
      <c r="U384">
        <f t="shared" ca="1" si="50"/>
        <v>0</v>
      </c>
      <c r="V384">
        <f t="shared" ca="1" si="51"/>
        <v>0</v>
      </c>
      <c r="W384">
        <f t="shared" ca="1" si="52"/>
        <v>0</v>
      </c>
      <c r="X384">
        <f t="shared" ca="1" si="53"/>
        <v>0</v>
      </c>
      <c r="Y384">
        <f t="shared" ca="1" si="54"/>
        <v>0</v>
      </c>
      <c r="Z384">
        <f t="shared" ca="1" si="55"/>
        <v>0</v>
      </c>
      <c r="AA384" s="331">
        <f t="shared" ref="AA384:AA390" ca="1" si="57">SUM(Q384:Z384)</f>
        <v>0</v>
      </c>
    </row>
    <row r="385" spans="1:27" ht="14.25" x14ac:dyDescent="0.2">
      <c r="A385" t="str">
        <v>EE discontinuity</v>
      </c>
      <c r="C385" s="26">
        <f ca="1"/>
        <v>0</v>
      </c>
      <c r="D385" s="26">
        <f ca="1"/>
        <v>0</v>
      </c>
      <c r="E385" s="26">
        <f ca="1"/>
        <v>0</v>
      </c>
      <c r="F385" s="26">
        <f ca="1"/>
        <v>0</v>
      </c>
      <c r="G385" s="26">
        <f ca="1"/>
        <v>0</v>
      </c>
      <c r="H385" s="26">
        <f ca="1"/>
        <v>0</v>
      </c>
      <c r="I385" s="26">
        <f ca="1"/>
        <v>0</v>
      </c>
      <c r="J385" s="26">
        <f ca="1"/>
        <v>0</v>
      </c>
      <c r="K385" s="26">
        <f ca="1"/>
        <v>0</v>
      </c>
      <c r="L385" s="26">
        <f ca="1"/>
        <v>0</v>
      </c>
      <c r="M385" s="6"/>
      <c r="N385" s="1" t="str">
        <f t="shared" si="46"/>
        <v>$M(2015)/million</v>
      </c>
      <c r="O385" s="1"/>
      <c r="Q385">
        <f t="shared" ca="1" si="56"/>
        <v>0</v>
      </c>
      <c r="R385">
        <f t="shared" ca="1" si="47"/>
        <v>0</v>
      </c>
      <c r="S385">
        <f t="shared" ca="1" si="48"/>
        <v>0</v>
      </c>
      <c r="T385">
        <f t="shared" ca="1" si="49"/>
        <v>0</v>
      </c>
      <c r="U385">
        <f t="shared" ca="1" si="50"/>
        <v>0</v>
      </c>
      <c r="V385">
        <f t="shared" ca="1" si="51"/>
        <v>0</v>
      </c>
      <c r="W385">
        <f t="shared" ca="1" si="52"/>
        <v>0</v>
      </c>
      <c r="X385">
        <f t="shared" ca="1" si="53"/>
        <v>0</v>
      </c>
      <c r="Y385">
        <f t="shared" ca="1" si="54"/>
        <v>0</v>
      </c>
      <c r="Z385">
        <f t="shared" ca="1" si="55"/>
        <v>0</v>
      </c>
      <c r="AA385" s="331">
        <f t="shared" ca="1" si="57"/>
        <v>0</v>
      </c>
    </row>
    <row r="386" spans="1:27" ht="14.25" x14ac:dyDescent="0.2">
      <c r="A386" t="str">
        <v>CA discontinuity</v>
      </c>
      <c r="C386" s="26">
        <f ca="1"/>
        <v>0</v>
      </c>
      <c r="D386" s="26">
        <f ca="1"/>
        <v>0</v>
      </c>
      <c r="E386" s="26">
        <f ca="1"/>
        <v>0</v>
      </c>
      <c r="F386" s="26">
        <f ca="1"/>
        <v>0</v>
      </c>
      <c r="G386" s="26">
        <f ca="1"/>
        <v>0</v>
      </c>
      <c r="H386" s="26">
        <f ca="1"/>
        <v>0</v>
      </c>
      <c r="I386" s="26">
        <f ca="1"/>
        <v>0</v>
      </c>
      <c r="J386" s="26">
        <f ca="1"/>
        <v>0</v>
      </c>
      <c r="K386" s="26">
        <f ca="1"/>
        <v>0</v>
      </c>
      <c r="L386" s="26">
        <f ca="1"/>
        <v>0</v>
      </c>
      <c r="M386" s="6"/>
      <c r="N386" s="1" t="str">
        <f t="shared" si="46"/>
        <v>$M(2015)/million</v>
      </c>
      <c r="O386" s="1"/>
      <c r="Q386">
        <f t="shared" ca="1" si="56"/>
        <v>0</v>
      </c>
      <c r="R386">
        <f t="shared" ca="1" si="47"/>
        <v>0</v>
      </c>
      <c r="S386">
        <f t="shared" ca="1" si="48"/>
        <v>0</v>
      </c>
      <c r="T386">
        <f t="shared" ca="1" si="49"/>
        <v>0</v>
      </c>
      <c r="U386">
        <f t="shared" ca="1" si="50"/>
        <v>0</v>
      </c>
      <c r="V386">
        <f t="shared" ca="1" si="51"/>
        <v>0</v>
      </c>
      <c r="W386">
        <f t="shared" ca="1" si="52"/>
        <v>0</v>
      </c>
      <c r="X386">
        <f t="shared" ca="1" si="53"/>
        <v>0</v>
      </c>
      <c r="Y386">
        <f t="shared" ca="1" si="54"/>
        <v>0</v>
      </c>
      <c r="Z386">
        <f t="shared" ca="1" si="55"/>
        <v>0</v>
      </c>
      <c r="AA386" s="331">
        <f t="shared" ca="1" si="57"/>
        <v>0</v>
      </c>
    </row>
    <row r="387" spans="1:27" ht="14.25" x14ac:dyDescent="0.2">
      <c r="A387" t="str">
        <v>IA discontinuity</v>
      </c>
      <c r="C387" s="26">
        <f ca="1"/>
        <v>0</v>
      </c>
      <c r="D387" s="26">
        <f ca="1"/>
        <v>0</v>
      </c>
      <c r="E387" s="26">
        <f ca="1"/>
        <v>0</v>
      </c>
      <c r="F387" s="26">
        <f ca="1"/>
        <v>0</v>
      </c>
      <c r="G387" s="26">
        <f ca="1"/>
        <v>0</v>
      </c>
      <c r="H387" s="26">
        <f ca="1"/>
        <v>0</v>
      </c>
      <c r="I387" s="26">
        <f ca="1"/>
        <v>0</v>
      </c>
      <c r="J387" s="26">
        <f ca="1"/>
        <v>0</v>
      </c>
      <c r="K387" s="26">
        <f ca="1"/>
        <v>0</v>
      </c>
      <c r="L387" s="26">
        <f ca="1"/>
        <v>0</v>
      </c>
      <c r="M387" s="6"/>
      <c r="N387" s="1" t="str">
        <f t="shared" si="46"/>
        <v>$M(2015)/million</v>
      </c>
      <c r="O387" s="1"/>
      <c r="Q387">
        <f t="shared" ca="1" si="56"/>
        <v>0</v>
      </c>
      <c r="R387">
        <f t="shared" ca="1" si="47"/>
        <v>0</v>
      </c>
      <c r="S387">
        <f t="shared" ca="1" si="48"/>
        <v>0</v>
      </c>
      <c r="T387">
        <f t="shared" ca="1" si="49"/>
        <v>0</v>
      </c>
      <c r="U387">
        <f t="shared" ca="1" si="50"/>
        <v>0</v>
      </c>
      <c r="V387">
        <f t="shared" ca="1" si="51"/>
        <v>0</v>
      </c>
      <c r="W387">
        <f t="shared" ca="1" si="52"/>
        <v>0</v>
      </c>
      <c r="X387">
        <f t="shared" ca="1" si="53"/>
        <v>0</v>
      </c>
      <c r="Y387">
        <f t="shared" ca="1" si="54"/>
        <v>0</v>
      </c>
      <c r="Z387">
        <f t="shared" ca="1" si="55"/>
        <v>0</v>
      </c>
      <c r="AA387" s="331">
        <f t="shared" ca="1" si="57"/>
        <v>0</v>
      </c>
    </row>
    <row r="388" spans="1:27" ht="14.25" x14ac:dyDescent="0.2">
      <c r="A388" t="str">
        <v>AF discontinuity</v>
      </c>
      <c r="C388" s="26">
        <f ca="1"/>
        <v>0</v>
      </c>
      <c r="D388" s="26">
        <f ca="1"/>
        <v>0</v>
      </c>
      <c r="E388" s="26">
        <f ca="1"/>
        <v>0</v>
      </c>
      <c r="F388" s="26">
        <f ca="1"/>
        <v>0</v>
      </c>
      <c r="G388" s="26">
        <f ca="1"/>
        <v>0</v>
      </c>
      <c r="H388" s="26">
        <f ca="1"/>
        <v>0</v>
      </c>
      <c r="I388" s="26">
        <f ca="1"/>
        <v>0</v>
      </c>
      <c r="J388" s="26">
        <f ca="1"/>
        <v>0</v>
      </c>
      <c r="K388" s="26">
        <f ca="1"/>
        <v>0</v>
      </c>
      <c r="L388" s="26">
        <f ca="1"/>
        <v>0</v>
      </c>
      <c r="M388" s="6"/>
      <c r="N388" s="1" t="str">
        <f t="shared" si="46"/>
        <v>$M(2015)/million</v>
      </c>
      <c r="O388" s="1"/>
      <c r="Q388">
        <f t="shared" ca="1" si="56"/>
        <v>0</v>
      </c>
      <c r="R388">
        <f t="shared" ca="1" si="47"/>
        <v>0</v>
      </c>
      <c r="S388">
        <f t="shared" ca="1" si="48"/>
        <v>0</v>
      </c>
      <c r="T388">
        <f t="shared" ca="1" si="49"/>
        <v>0</v>
      </c>
      <c r="U388">
        <f t="shared" ca="1" si="50"/>
        <v>0</v>
      </c>
      <c r="V388">
        <f t="shared" ca="1" si="51"/>
        <v>0</v>
      </c>
      <c r="W388">
        <f t="shared" ca="1" si="52"/>
        <v>0</v>
      </c>
      <c r="X388">
        <f t="shared" ca="1" si="53"/>
        <v>0</v>
      </c>
      <c r="Y388">
        <f t="shared" ca="1" si="54"/>
        <v>0</v>
      </c>
      <c r="Z388">
        <f t="shared" ca="1" si="55"/>
        <v>0</v>
      </c>
      <c r="AA388" s="331">
        <f t="shared" ca="1" si="57"/>
        <v>0</v>
      </c>
    </row>
    <row r="389" spans="1:27" ht="14.25" x14ac:dyDescent="0.2">
      <c r="A389" t="str">
        <v>LA discontinuity</v>
      </c>
      <c r="C389" s="26">
        <f ca="1"/>
        <v>0</v>
      </c>
      <c r="D389" s="26">
        <f ca="1"/>
        <v>0</v>
      </c>
      <c r="E389" s="26">
        <f ca="1"/>
        <v>0</v>
      </c>
      <c r="F389" s="26">
        <f ca="1"/>
        <v>0</v>
      </c>
      <c r="G389" s="26">
        <f ca="1"/>
        <v>0</v>
      </c>
      <c r="H389" s="26">
        <f ca="1"/>
        <v>0</v>
      </c>
      <c r="I389" s="26">
        <f ca="1"/>
        <v>0</v>
      </c>
      <c r="J389" s="26">
        <f ca="1"/>
        <v>0</v>
      </c>
      <c r="K389" s="26">
        <f ca="1"/>
        <v>0</v>
      </c>
      <c r="L389" s="26">
        <f ca="1"/>
        <v>0</v>
      </c>
      <c r="M389" s="6"/>
      <c r="N389" s="1" t="str">
        <f t="shared" si="46"/>
        <v>$M(2015)/million</v>
      </c>
      <c r="O389" s="1"/>
      <c r="Q389">
        <f t="shared" ca="1" si="56"/>
        <v>0</v>
      </c>
      <c r="R389">
        <f t="shared" ca="1" si="47"/>
        <v>0</v>
      </c>
      <c r="S389">
        <f t="shared" ca="1" si="48"/>
        <v>0</v>
      </c>
      <c r="T389">
        <f t="shared" ca="1" si="49"/>
        <v>0</v>
      </c>
      <c r="U389">
        <f t="shared" ca="1" si="50"/>
        <v>0</v>
      </c>
      <c r="V389">
        <f t="shared" ca="1" si="51"/>
        <v>0</v>
      </c>
      <c r="W389">
        <f t="shared" ca="1" si="52"/>
        <v>0</v>
      </c>
      <c r="X389">
        <f t="shared" ca="1" si="53"/>
        <v>0</v>
      </c>
      <c r="Y389">
        <f t="shared" ca="1" si="54"/>
        <v>0</v>
      </c>
      <c r="Z389">
        <f t="shared" ca="1" si="55"/>
        <v>0</v>
      </c>
      <c r="AA389" s="331">
        <f t="shared" ca="1" si="57"/>
        <v>0</v>
      </c>
    </row>
    <row r="390" spans="1:27" s="2" customFormat="1" ht="14.25" x14ac:dyDescent="0.25">
      <c r="A390" s="2" t="s">
        <v>226</v>
      </c>
      <c r="C390" s="2" t="s">
        <v>252</v>
      </c>
      <c r="AA390" s="332">
        <f ca="1">_xll.RiskOutput("Discon")+SUM(AA382:AA389)</f>
        <v>0</v>
      </c>
    </row>
    <row r="391" spans="1:27" x14ac:dyDescent="0.2">
      <c r="A391" t="str">
        <f t="array" ref="A391:A398">R_CODE&amp;" discontinuity"</f>
        <v>EU discontinuity</v>
      </c>
      <c r="C391" s="29">
        <f t="array" ref="C391:L398" ca="1">rcons_2_per_cap-isatdis_per_cap</f>
        <v>33754.186598962071</v>
      </c>
      <c r="D391" s="29">
        <f ca="1"/>
        <v>37738.959749200869</v>
      </c>
      <c r="E391" s="29">
        <f ca="1"/>
        <v>42249.401524143228</v>
      </c>
      <c r="F391" s="29">
        <f ca="1"/>
        <v>52473.756404106432</v>
      </c>
      <c r="G391" s="29">
        <f ca="1"/>
        <v>63308.388734801993</v>
      </c>
      <c r="H391" s="29">
        <f ca="1"/>
        <v>75296.537872328088</v>
      </c>
      <c r="I391" s="29">
        <f ca="1"/>
        <v>90269.430412812973</v>
      </c>
      <c r="J391" s="29">
        <f ca="1"/>
        <v>107921.56189711971</v>
      </c>
      <c r="K391" s="29">
        <f ca="1"/>
        <v>128970.60882835633</v>
      </c>
      <c r="L391" s="29">
        <f ca="1"/>
        <v>154612.68823613581</v>
      </c>
      <c r="M391" s="6"/>
      <c r="N391" s="1" t="str">
        <f t="shared" ref="N391:N398" si="58">CURRENCY_NAME&amp;"/"&amp;POP_UNIT_NAME</f>
        <v>$M(2015)/million</v>
      </c>
      <c r="O391" s="1"/>
    </row>
    <row r="392" spans="1:27" x14ac:dyDescent="0.2">
      <c r="A392" t="str">
        <v>US discontinuity</v>
      </c>
      <c r="C392" s="26">
        <f ca="1"/>
        <v>47815.927894561333</v>
      </c>
      <c r="D392" s="26">
        <f ca="1"/>
        <v>51798.769161612741</v>
      </c>
      <c r="E392" s="26">
        <f ca="1"/>
        <v>56137.051911571529</v>
      </c>
      <c r="F392" s="26">
        <f ca="1"/>
        <v>65750.260011655613</v>
      </c>
      <c r="G392" s="26">
        <f ca="1"/>
        <v>75365.639716200138</v>
      </c>
      <c r="H392" s="26">
        <f ca="1"/>
        <v>85238.19809128232</v>
      </c>
      <c r="I392" s="26">
        <f ca="1"/>
        <v>98163.45008314919</v>
      </c>
      <c r="J392" s="26">
        <f ca="1"/>
        <v>114700.42289091987</v>
      </c>
      <c r="K392" s="26">
        <f ca="1"/>
        <v>134657.95318076957</v>
      </c>
      <c r="L392" s="26">
        <f ca="1"/>
        <v>158489.15498673081</v>
      </c>
      <c r="M392" s="6"/>
      <c r="N392" s="1" t="str">
        <f t="shared" si="58"/>
        <v>$M(2015)/million</v>
      </c>
      <c r="O392" s="1"/>
    </row>
    <row r="393" spans="1:27" x14ac:dyDescent="0.2">
      <c r="A393" t="str">
        <v>OT discontinuity</v>
      </c>
      <c r="C393" s="26">
        <f ca="1"/>
        <v>31055.82203139233</v>
      </c>
      <c r="D393" s="26">
        <f ca="1"/>
        <v>34460.846831313858</v>
      </c>
      <c r="E393" s="26">
        <f ca="1"/>
        <v>38495.748975577611</v>
      </c>
      <c r="F393" s="26">
        <f ca="1"/>
        <v>47898.522155899132</v>
      </c>
      <c r="G393" s="26">
        <f ca="1"/>
        <v>58224.378796731558</v>
      </c>
      <c r="H393" s="26">
        <f ca="1"/>
        <v>69844.575772695709</v>
      </c>
      <c r="I393" s="26">
        <f ca="1"/>
        <v>84086.689734297077</v>
      </c>
      <c r="J393" s="26">
        <f ca="1"/>
        <v>102119.68308121552</v>
      </c>
      <c r="K393" s="26">
        <f ca="1"/>
        <v>123264.39410815899</v>
      </c>
      <c r="L393" s="26">
        <f ca="1"/>
        <v>148636.15677869591</v>
      </c>
      <c r="M393" s="6"/>
      <c r="N393" s="1" t="str">
        <f t="shared" si="58"/>
        <v>$M(2015)/million</v>
      </c>
      <c r="O393" s="1"/>
    </row>
    <row r="394" spans="1:27" x14ac:dyDescent="0.2">
      <c r="A394" t="str">
        <v>EE discontinuity</v>
      </c>
      <c r="C394" s="26">
        <f ca="1"/>
        <v>15855.098162126134</v>
      </c>
      <c r="D394" s="26">
        <f ca="1"/>
        <v>19455.675789223922</v>
      </c>
      <c r="E394" s="26">
        <f ca="1"/>
        <v>23736.615033992177</v>
      </c>
      <c r="F394" s="26">
        <f ca="1"/>
        <v>33102.678639617712</v>
      </c>
      <c r="G394" s="26">
        <f ca="1"/>
        <v>41875.003340726449</v>
      </c>
      <c r="H394" s="26">
        <f ca="1"/>
        <v>50948.900083699205</v>
      </c>
      <c r="I394" s="26">
        <f ca="1"/>
        <v>63459.129880502711</v>
      </c>
      <c r="J394" s="26">
        <f ca="1"/>
        <v>77822.395203440799</v>
      </c>
      <c r="K394" s="26">
        <f ca="1"/>
        <v>96123.181439142849</v>
      </c>
      <c r="L394" s="26">
        <f ca="1"/>
        <v>118616.03937649843</v>
      </c>
      <c r="M394" s="6"/>
      <c r="N394" s="1" t="str">
        <f t="shared" si="58"/>
        <v>$M(2015)/million</v>
      </c>
      <c r="O394" s="1"/>
    </row>
    <row r="395" spans="1:27" x14ac:dyDescent="0.2">
      <c r="A395" t="str">
        <v>CA discontinuity</v>
      </c>
      <c r="C395" s="26">
        <f ca="1"/>
        <v>16482.629121383678</v>
      </c>
      <c r="D395" s="26">
        <f ca="1"/>
        <v>22547.690689822259</v>
      </c>
      <c r="E395" s="26">
        <f ca="1"/>
        <v>29395.364434608106</v>
      </c>
      <c r="F395" s="26">
        <f ca="1"/>
        <v>43302.47427024613</v>
      </c>
      <c r="G395" s="26">
        <f ca="1"/>
        <v>56238.680575613565</v>
      </c>
      <c r="H395" s="26">
        <f ca="1"/>
        <v>68607.847344799127</v>
      </c>
      <c r="I395" s="26">
        <f ca="1"/>
        <v>82182.044212314722</v>
      </c>
      <c r="J395" s="26">
        <f ca="1"/>
        <v>97143.553854823593</v>
      </c>
      <c r="K395" s="26">
        <f ca="1"/>
        <v>115077.15505762708</v>
      </c>
      <c r="L395" s="26">
        <f ca="1"/>
        <v>136390.09861517829</v>
      </c>
      <c r="M395" s="6"/>
      <c r="N395" s="1" t="str">
        <f t="shared" si="58"/>
        <v>$M(2015)/million</v>
      </c>
      <c r="O395" s="1"/>
    </row>
    <row r="396" spans="1:27" x14ac:dyDescent="0.2">
      <c r="A396" t="str">
        <v>IA discontinuity</v>
      </c>
      <c r="C396" s="26">
        <f ca="1"/>
        <v>6747.889505865398</v>
      </c>
      <c r="D396" s="26">
        <f ca="1"/>
        <v>8899.503026534001</v>
      </c>
      <c r="E396" s="26">
        <f ca="1"/>
        <v>11575.504651728481</v>
      </c>
      <c r="F396" s="26">
        <f ca="1"/>
        <v>18226.732114522238</v>
      </c>
      <c r="G396" s="26">
        <f ca="1"/>
        <v>26133.123606523277</v>
      </c>
      <c r="H396" s="26">
        <f ca="1"/>
        <v>35937.784583566994</v>
      </c>
      <c r="I396" s="26">
        <f ca="1"/>
        <v>47802.520851586356</v>
      </c>
      <c r="J396" s="26">
        <f ca="1"/>
        <v>62780.748342119929</v>
      </c>
      <c r="K396" s="26">
        <f ca="1"/>
        <v>81454.784948040819</v>
      </c>
      <c r="L396" s="26">
        <f ca="1"/>
        <v>104836.36551565924</v>
      </c>
      <c r="M396" s="6"/>
      <c r="N396" s="1" t="str">
        <f t="shared" si="58"/>
        <v>$M(2015)/million</v>
      </c>
      <c r="O396" s="1"/>
      <c r="Q396" s="6"/>
    </row>
    <row r="397" spans="1:27" x14ac:dyDescent="0.2">
      <c r="A397" t="str">
        <v>AF discontinuity</v>
      </c>
      <c r="C397" s="26">
        <f ca="1"/>
        <v>5296.7476611901284</v>
      </c>
      <c r="D397" s="26">
        <f ca="1"/>
        <v>6353.4725058711165</v>
      </c>
      <c r="E397" s="26">
        <f ca="1"/>
        <v>7788.278240279581</v>
      </c>
      <c r="F397" s="26">
        <f ca="1"/>
        <v>11797.340803484993</v>
      </c>
      <c r="G397" s="26">
        <f ca="1"/>
        <v>17126.18436925783</v>
      </c>
      <c r="H397" s="26">
        <f ca="1"/>
        <v>24007.781942889742</v>
      </c>
      <c r="I397" s="26">
        <f ca="1"/>
        <v>33949.189318308869</v>
      </c>
      <c r="J397" s="26">
        <f ca="1"/>
        <v>47475.50926560894</v>
      </c>
      <c r="K397" s="26">
        <f ca="1"/>
        <v>65462.260958607651</v>
      </c>
      <c r="L397" s="26">
        <f ca="1"/>
        <v>89298.015677866526</v>
      </c>
      <c r="M397" s="6"/>
      <c r="N397" s="1" t="str">
        <f t="shared" si="58"/>
        <v>$M(2015)/million</v>
      </c>
      <c r="O397" s="1"/>
      <c r="Q397" s="6"/>
    </row>
    <row r="398" spans="1:27" x14ac:dyDescent="0.2">
      <c r="A398" t="str">
        <v>LA discontinuity</v>
      </c>
      <c r="C398" s="26">
        <f ca="1"/>
        <v>12702.305467932776</v>
      </c>
      <c r="D398" s="26">
        <f ca="1"/>
        <v>14896.298978724166</v>
      </c>
      <c r="E398" s="26">
        <f ca="1"/>
        <v>17621.187227813705</v>
      </c>
      <c r="F398" s="26">
        <f ca="1"/>
        <v>24969.626538685872</v>
      </c>
      <c r="G398" s="26">
        <f ca="1"/>
        <v>34257.844340735268</v>
      </c>
      <c r="H398" s="26">
        <f ca="1"/>
        <v>45167.438445831474</v>
      </c>
      <c r="I398" s="26">
        <f ca="1"/>
        <v>57767.69149207155</v>
      </c>
      <c r="J398" s="26">
        <f ca="1"/>
        <v>73774.163067785179</v>
      </c>
      <c r="K398" s="26">
        <f ca="1"/>
        <v>93511.206299685538</v>
      </c>
      <c r="L398" s="26">
        <f ca="1"/>
        <v>117910.12409522157</v>
      </c>
      <c r="M398" s="6"/>
      <c r="N398" s="1" t="str">
        <f t="shared" si="58"/>
        <v>$M(2015)/million</v>
      </c>
      <c r="O398" s="1"/>
    </row>
    <row r="399" spans="1:27" s="2" customFormat="1" ht="14.25" x14ac:dyDescent="0.25">
      <c r="A399" s="2" t="s">
        <v>228</v>
      </c>
      <c r="C399" s="2" t="s">
        <v>251</v>
      </c>
    </row>
    <row r="400" spans="1:27" x14ac:dyDescent="0.2">
      <c r="A400" t="str">
        <f t="array" ref="A400:A407">R_CODE&amp;" discontinuity"</f>
        <v>EU discontinuity</v>
      </c>
      <c r="C400" s="29">
        <f t="array" ref="C400:L407" ca="1" xml:space="preserve"> rconsdis_per_cap/(1-SAVE/100)</f>
        <v>39710.807763484787</v>
      </c>
      <c r="D400" s="29">
        <f ca="1"/>
        <v>44398.776175530438</v>
      </c>
      <c r="E400" s="29">
        <f ca="1"/>
        <v>49705.178263697919</v>
      </c>
      <c r="F400" s="29">
        <f ca="1"/>
        <v>61733.83106365463</v>
      </c>
      <c r="G400" s="29">
        <f ca="1"/>
        <v>74480.457335061175</v>
      </c>
      <c r="H400" s="29">
        <f ca="1"/>
        <v>88584.162202738924</v>
      </c>
      <c r="I400" s="29">
        <f ca="1"/>
        <v>106199.32989742703</v>
      </c>
      <c r="J400" s="29">
        <f ca="1"/>
        <v>126966.54340837614</v>
      </c>
      <c r="K400" s="29">
        <f ca="1"/>
        <v>151730.12803336038</v>
      </c>
      <c r="L400" s="29">
        <f ca="1"/>
        <v>181897.28027780686</v>
      </c>
      <c r="M400" s="6"/>
      <c r="N400" s="1" t="str">
        <f t="shared" ref="N400:N407" si="59">CURRENCY_NAME&amp;"/"&amp;POP_UNIT_NAME</f>
        <v>$M(2015)/million</v>
      </c>
      <c r="O400" s="1"/>
      <c r="Q400" s="6"/>
    </row>
    <row r="401" spans="1:26" x14ac:dyDescent="0.2">
      <c r="A401" t="str">
        <v>US discontinuity</v>
      </c>
      <c r="C401" s="26">
        <f ca="1"/>
        <v>56254.032817130981</v>
      </c>
      <c r="D401" s="26">
        <f ca="1"/>
        <v>60939.728425426758</v>
      </c>
      <c r="E401" s="26">
        <f ca="1"/>
        <v>66043.590484201806</v>
      </c>
      <c r="F401" s="26">
        <f ca="1"/>
        <v>77353.247072536018</v>
      </c>
      <c r="G401" s="26">
        <f ca="1"/>
        <v>88665.458489647222</v>
      </c>
      <c r="H401" s="26">
        <f ca="1"/>
        <v>100280.23304856743</v>
      </c>
      <c r="I401" s="26">
        <f ca="1"/>
        <v>115486.41186252846</v>
      </c>
      <c r="J401" s="26">
        <f ca="1"/>
        <v>134941.6739893175</v>
      </c>
      <c r="K401" s="26">
        <f ca="1"/>
        <v>158421.12138914067</v>
      </c>
      <c r="L401" s="26">
        <f ca="1"/>
        <v>186457.82939615389</v>
      </c>
      <c r="M401" s="6"/>
      <c r="N401" s="1" t="str">
        <f t="shared" si="59"/>
        <v>$M(2015)/million</v>
      </c>
      <c r="O401" s="1"/>
      <c r="Q401" s="6"/>
    </row>
    <row r="402" spans="1:26" x14ac:dyDescent="0.2">
      <c r="A402" t="str">
        <v>OT discontinuity</v>
      </c>
      <c r="C402" s="26">
        <f ca="1"/>
        <v>36536.261213402744</v>
      </c>
      <c r="D402" s="26">
        <f ca="1"/>
        <v>40542.172742722185</v>
      </c>
      <c r="E402" s="26">
        <f ca="1"/>
        <v>45289.116441856015</v>
      </c>
      <c r="F402" s="26">
        <f ca="1"/>
        <v>56351.202536351921</v>
      </c>
      <c r="G402" s="26">
        <f ca="1"/>
        <v>68499.269172625369</v>
      </c>
      <c r="H402" s="26">
        <f ca="1"/>
        <v>82170.08914434789</v>
      </c>
      <c r="I402" s="26">
        <f ca="1"/>
        <v>98925.517334467149</v>
      </c>
      <c r="J402" s="26">
        <f ca="1"/>
        <v>120140.80362495944</v>
      </c>
      <c r="K402" s="26">
        <f ca="1"/>
        <v>145016.93424489294</v>
      </c>
      <c r="L402" s="26">
        <f ca="1"/>
        <v>174866.06679846576</v>
      </c>
      <c r="M402" s="6"/>
      <c r="N402" s="1" t="str">
        <f t="shared" si="59"/>
        <v>$M(2015)/million</v>
      </c>
      <c r="O402" s="1"/>
      <c r="Q402" s="6"/>
    </row>
    <row r="403" spans="1:26" x14ac:dyDescent="0.2">
      <c r="A403" t="str">
        <v>EE discontinuity</v>
      </c>
      <c r="C403" s="26">
        <f ca="1"/>
        <v>18653.056661324863</v>
      </c>
      <c r="D403" s="26">
        <f ca="1"/>
        <v>22889.030340263438</v>
      </c>
      <c r="E403" s="26">
        <f ca="1"/>
        <v>27925.429451755503</v>
      </c>
      <c r="F403" s="26">
        <f ca="1"/>
        <v>38944.327811314957</v>
      </c>
      <c r="G403" s="26">
        <f ca="1"/>
        <v>49264.709812619352</v>
      </c>
      <c r="H403" s="26">
        <f ca="1"/>
        <v>59939.882451410835</v>
      </c>
      <c r="I403" s="26">
        <f ca="1"/>
        <v>74657.799859414954</v>
      </c>
      <c r="J403" s="26">
        <f ca="1"/>
        <v>91555.759062871526</v>
      </c>
      <c r="K403" s="26">
        <f ca="1"/>
        <v>113086.09581075629</v>
      </c>
      <c r="L403" s="26">
        <f ca="1"/>
        <v>139548.28161940991</v>
      </c>
      <c r="M403" s="6"/>
      <c r="N403" s="1" t="str">
        <f t="shared" si="59"/>
        <v>$M(2015)/million</v>
      </c>
      <c r="O403" s="1"/>
      <c r="Q403" s="6"/>
    </row>
    <row r="404" spans="1:26" x14ac:dyDescent="0.2">
      <c r="A404" t="str">
        <v>CA discontinuity</v>
      </c>
      <c r="C404" s="26">
        <f ca="1"/>
        <v>19391.328378098446</v>
      </c>
      <c r="D404" s="26">
        <f ca="1"/>
        <v>26526.694929202658</v>
      </c>
      <c r="E404" s="26">
        <f ca="1"/>
        <v>34582.781687774244</v>
      </c>
      <c r="F404" s="26">
        <f ca="1"/>
        <v>50944.087376760152</v>
      </c>
      <c r="G404" s="26">
        <f ca="1"/>
        <v>66163.153618368902</v>
      </c>
      <c r="H404" s="26">
        <f ca="1"/>
        <v>80715.114523293087</v>
      </c>
      <c r="I404" s="26">
        <f ca="1"/>
        <v>96684.757896840849</v>
      </c>
      <c r="J404" s="26">
        <f ca="1"/>
        <v>114286.53394685128</v>
      </c>
      <c r="K404" s="26">
        <f ca="1"/>
        <v>135384.8883030907</v>
      </c>
      <c r="L404" s="26">
        <f ca="1"/>
        <v>160458.93954726859</v>
      </c>
      <c r="M404" s="6"/>
      <c r="N404" s="1" t="str">
        <f t="shared" si="59"/>
        <v>$M(2015)/million</v>
      </c>
      <c r="O404" s="1"/>
      <c r="Q404" s="6"/>
    </row>
    <row r="405" spans="1:26" x14ac:dyDescent="0.2">
      <c r="A405" t="str">
        <v>IA discontinuity</v>
      </c>
      <c r="C405" s="26">
        <f ca="1"/>
        <v>7938.6935363122329</v>
      </c>
      <c r="D405" s="26">
        <f ca="1"/>
        <v>10470.003560628236</v>
      </c>
      <c r="E405" s="26">
        <f ca="1"/>
        <v>13618.240766739389</v>
      </c>
      <c r="F405" s="26">
        <f ca="1"/>
        <v>21443.214252379104</v>
      </c>
      <c r="G405" s="26">
        <f ca="1"/>
        <v>30744.851301792092</v>
      </c>
      <c r="H405" s="26">
        <f ca="1"/>
        <v>42279.746568902345</v>
      </c>
      <c r="I405" s="26">
        <f ca="1"/>
        <v>56238.259825395711</v>
      </c>
      <c r="J405" s="26">
        <f ca="1"/>
        <v>73859.703931905795</v>
      </c>
      <c r="K405" s="26">
        <f ca="1"/>
        <v>95829.15876240097</v>
      </c>
      <c r="L405" s="26">
        <f ca="1"/>
        <v>123336.90060665793</v>
      </c>
      <c r="M405" s="6"/>
      <c r="N405" s="1" t="str">
        <f t="shared" si="59"/>
        <v>$M(2015)/million</v>
      </c>
      <c r="O405" s="1"/>
      <c r="Q405" s="6"/>
    </row>
    <row r="406" spans="1:26" x14ac:dyDescent="0.2">
      <c r="A406" t="str">
        <v>AF discontinuity</v>
      </c>
      <c r="C406" s="26">
        <f ca="1"/>
        <v>6231.467836694269</v>
      </c>
      <c r="D406" s="26">
        <f ca="1"/>
        <v>7474.6735363189609</v>
      </c>
      <c r="E406" s="26">
        <f ca="1"/>
        <v>9162.6802826818603</v>
      </c>
      <c r="F406" s="26">
        <f ca="1"/>
        <v>13879.224474688226</v>
      </c>
      <c r="G406" s="26">
        <f ca="1"/>
        <v>20148.452199126859</v>
      </c>
      <c r="H406" s="26">
        <f ca="1"/>
        <v>28244.449344576169</v>
      </c>
      <c r="I406" s="26">
        <f ca="1"/>
        <v>39940.222727422202</v>
      </c>
      <c r="J406" s="26">
        <f ca="1"/>
        <v>55853.540312481106</v>
      </c>
      <c r="K406" s="26">
        <f ca="1"/>
        <v>77014.424657185475</v>
      </c>
      <c r="L406" s="26">
        <f ca="1"/>
        <v>105056.48903278416</v>
      </c>
      <c r="M406" s="6"/>
      <c r="N406" s="1" t="str">
        <f t="shared" si="59"/>
        <v>$M(2015)/million</v>
      </c>
      <c r="O406" s="1"/>
      <c r="Q406" s="6"/>
    </row>
    <row r="407" spans="1:26" x14ac:dyDescent="0.2">
      <c r="A407" t="str">
        <v>LA discontinuity</v>
      </c>
      <c r="C407" s="26">
        <f ca="1"/>
        <v>14943.888785803267</v>
      </c>
      <c r="D407" s="26">
        <f ca="1"/>
        <v>17525.057622028431</v>
      </c>
      <c r="E407" s="26">
        <f ca="1"/>
        <v>20730.808503310243</v>
      </c>
      <c r="F407" s="26">
        <f ca="1"/>
        <v>29376.03122198338</v>
      </c>
      <c r="G407" s="26">
        <f ca="1"/>
        <v>40303.346283217965</v>
      </c>
      <c r="H407" s="26">
        <f ca="1"/>
        <v>53138.162877448798</v>
      </c>
      <c r="I407" s="26">
        <f ca="1"/>
        <v>67961.989990672417</v>
      </c>
      <c r="J407" s="26">
        <f ca="1"/>
        <v>86793.133020923749</v>
      </c>
      <c r="K407" s="26">
        <f ca="1"/>
        <v>110013.18388198299</v>
      </c>
      <c r="L407" s="26">
        <f ca="1"/>
        <v>138717.79305320187</v>
      </c>
      <c r="M407" s="6"/>
      <c r="N407" s="1" t="str">
        <f t="shared" si="59"/>
        <v>$M(2015)/million</v>
      </c>
      <c r="O407" s="1"/>
      <c r="Q407" s="6"/>
    </row>
    <row r="408" spans="1:26" ht="14.25" x14ac:dyDescent="0.25">
      <c r="A408" s="2" t="s">
        <v>115</v>
      </c>
      <c r="B408" s="2"/>
      <c r="C408" s="53" t="s">
        <v>253</v>
      </c>
      <c r="D408" s="1"/>
      <c r="E408" s="1"/>
      <c r="F408" s="1"/>
      <c r="G408" s="1"/>
      <c r="H408" s="1"/>
      <c r="I408" s="1"/>
      <c r="J408" s="1"/>
      <c r="K408" s="1"/>
      <c r="L408" s="1"/>
      <c r="M408" s="1"/>
      <c r="N408" s="1"/>
      <c r="P408">
        <f t="array" ref="P408:Y408">Y</f>
        <v>2020</v>
      </c>
      <c r="Q408">
        <v>2025</v>
      </c>
      <c r="R408">
        <v>2030</v>
      </c>
      <c r="S408">
        <v>2040</v>
      </c>
      <c r="T408">
        <v>2050</v>
      </c>
      <c r="U408">
        <v>2060</v>
      </c>
      <c r="V408">
        <v>2070</v>
      </c>
      <c r="W408">
        <v>2080</v>
      </c>
      <c r="X408">
        <v>2090</v>
      </c>
      <c r="Y408">
        <v>2100</v>
      </c>
    </row>
    <row r="409" spans="1:26" x14ac:dyDescent="0.2">
      <c r="A409" s="1" t="str">
        <f t="array" ref="A409:A416">R_CODE&amp;" total"</f>
        <v>EU total</v>
      </c>
      <c r="C409" s="222">
        <f t="array" ref="C409:L416" ca="1">IF(EQUITY_SWITCH=0, (cons_per_cap_after_costs - rconsdis_per_cap), (((CONS_PER_CAP_FOCUS_0)^EMUC)/(1-EMUC))*( (cons_per_cap_after_costs)^(1-EMUC) - (rconsdis_per_cap) ^(1-EMUC))) * POP</f>
        <v>63620.092611175183</v>
      </c>
      <c r="D409" s="222">
        <f ca="1"/>
        <v>67546.615842507483</v>
      </c>
      <c r="E409" s="222">
        <f ca="1"/>
        <v>75123.656431171185</v>
      </c>
      <c r="F409" s="222">
        <f ca="1"/>
        <v>119048.80850880437</v>
      </c>
      <c r="G409" s="222">
        <f ca="1"/>
        <v>176750.84587195996</v>
      </c>
      <c r="H409" s="222">
        <f ca="1"/>
        <v>187508.53923236209</v>
      </c>
      <c r="I409" s="222">
        <f ca="1"/>
        <v>187838.89124026205</v>
      </c>
      <c r="J409" s="222">
        <f ca="1"/>
        <v>180373.33130329874</v>
      </c>
      <c r="K409" s="222">
        <f ca="1"/>
        <v>169411.11411073132</v>
      </c>
      <c r="L409" s="222">
        <f ca="1"/>
        <v>148263.57916387077</v>
      </c>
      <c r="M409" s="1"/>
      <c r="N409" s="1" t="str">
        <f t="array" ref="N409:N417">CURRENCY_NAME</f>
        <v>$M(2015)</v>
      </c>
      <c r="P409" s="321">
        <f ca="1">_xll.RiskOutput(,"Impacts A",1)+C409</f>
        <v>63620.092611175183</v>
      </c>
      <c r="Q409" s="321">
        <f ca="1">_xll.RiskOutput(,"Impacts A",1)+D409</f>
        <v>67546.615842507483</v>
      </c>
      <c r="R409" s="321">
        <f ca="1">_xll.RiskOutput(,"Impacts A",1)+E409</f>
        <v>75123.656431171185</v>
      </c>
      <c r="S409" s="321">
        <f ca="1">_xll.RiskOutput(,"Impacts A",1)+F409</f>
        <v>119048.80850880437</v>
      </c>
      <c r="T409" s="321">
        <f ca="1">_xll.RiskOutput(,"Impacts A",1)+G409</f>
        <v>176750.84587195996</v>
      </c>
      <c r="U409" s="321">
        <f ca="1">_xll.RiskOutput(,"Impacts A",1)+H409</f>
        <v>187508.53923236209</v>
      </c>
      <c r="V409" s="321">
        <f ca="1">_xll.RiskOutput(,"Impacts A",1)+I409</f>
        <v>187838.89124026205</v>
      </c>
      <c r="W409" s="321">
        <f ca="1">_xll.RiskOutput(,"Impacts A",1)+J409</f>
        <v>180373.33130329874</v>
      </c>
      <c r="X409" s="321">
        <f ca="1">_xll.RiskOutput(,"Impacts A",1)+K409</f>
        <v>169411.11411073132</v>
      </c>
      <c r="Y409" s="321">
        <f ca="1">_xll.RiskOutput(,"Impacts A",1)+L409</f>
        <v>148263.57916387077</v>
      </c>
      <c r="Z409" s="329">
        <v>442578.2</v>
      </c>
    </row>
    <row r="410" spans="1:26" x14ac:dyDescent="0.2">
      <c r="A410" s="1" t="str">
        <v>US total</v>
      </c>
      <c r="C410" s="222">
        <f ca="1"/>
        <v>61959.182228959908</v>
      </c>
      <c r="D410" s="222">
        <f ca="1"/>
        <v>86317.406220409932</v>
      </c>
      <c r="E410" s="222">
        <f ca="1"/>
        <v>112173.56504227527</v>
      </c>
      <c r="F410" s="222">
        <f ca="1"/>
        <v>207982.9620022098</v>
      </c>
      <c r="G410" s="222">
        <f ca="1"/>
        <v>366002.30149811873</v>
      </c>
      <c r="H410" s="222">
        <f ca="1"/>
        <v>457142.24473610951</v>
      </c>
      <c r="I410" s="222">
        <f ca="1"/>
        <v>502258.61190444347</v>
      </c>
      <c r="J410" s="222">
        <f ca="1"/>
        <v>476043.54290632781</v>
      </c>
      <c r="K410" s="222">
        <f ca="1"/>
        <v>440531.12647859094</v>
      </c>
      <c r="L410" s="222">
        <f ca="1"/>
        <v>429800.84926376503</v>
      </c>
      <c r="M410" s="1"/>
      <c r="N410" s="1" t="str">
        <v>$M(2015)</v>
      </c>
      <c r="P410" s="321">
        <f ca="1">_xll.RiskOutput(,"Impacts A",1)+C410</f>
        <v>61959.182228959908</v>
      </c>
      <c r="Q410" s="321">
        <f ca="1">_xll.RiskOutput(,"Impacts A",1)+D410</f>
        <v>86317.406220409932</v>
      </c>
      <c r="R410" s="321">
        <f ca="1">_xll.RiskOutput(,"Impacts A",1)+E410</f>
        <v>112173.56504227527</v>
      </c>
      <c r="S410" s="321">
        <f ca="1">_xll.RiskOutput(,"Impacts A",1)+F410</f>
        <v>207982.9620022098</v>
      </c>
      <c r="T410" s="321">
        <f ca="1">_xll.RiskOutput(,"Impacts A",1)+G410</f>
        <v>366002.30149811873</v>
      </c>
      <c r="U410" s="321">
        <f ca="1">_xll.RiskOutput(,"Impacts A",1)+H410</f>
        <v>457142.24473610951</v>
      </c>
      <c r="V410" s="321">
        <f ca="1">_xll.RiskOutput(,"Impacts A",1)+I410</f>
        <v>502258.61190444347</v>
      </c>
      <c r="W410" s="321">
        <f ca="1">_xll.RiskOutput(,"Impacts A",1)+J410</f>
        <v>476043.54290632781</v>
      </c>
      <c r="X410" s="321">
        <f ca="1">_xll.RiskOutput(,"Impacts A",1)+K410</f>
        <v>440531.12647859094</v>
      </c>
      <c r="Y410" s="321">
        <f ca="1">_xll.RiskOutput(,"Impacts A",1)+L410</f>
        <v>429800.84926376503</v>
      </c>
      <c r="Z410" s="329">
        <v>682003.19</v>
      </c>
    </row>
    <row r="411" spans="1:26" x14ac:dyDescent="0.2">
      <c r="A411" s="1" t="str">
        <v>OT total</v>
      </c>
      <c r="C411" s="222">
        <f ca="1"/>
        <v>61808.816135933295</v>
      </c>
      <c r="D411" s="222">
        <f ca="1"/>
        <v>73831.128834832969</v>
      </c>
      <c r="E411" s="222">
        <f ca="1"/>
        <v>94807.238493150668</v>
      </c>
      <c r="F411" s="222">
        <f ca="1"/>
        <v>153455.27872309842</v>
      </c>
      <c r="G411" s="222">
        <f ca="1"/>
        <v>244531.33860122741</v>
      </c>
      <c r="H411" s="222">
        <f ca="1"/>
        <v>261494.30011723729</v>
      </c>
      <c r="I411" s="222">
        <f ca="1"/>
        <v>309108.66659611842</v>
      </c>
      <c r="J411" s="222">
        <f ca="1"/>
        <v>249077.25878535857</v>
      </c>
      <c r="K411" s="222">
        <f ca="1"/>
        <v>216293.54983744069</v>
      </c>
      <c r="L411" s="222">
        <f ca="1"/>
        <v>192273.68059772553</v>
      </c>
      <c r="M411" s="1"/>
      <c r="N411" s="1" t="str">
        <v>$M(2015)</v>
      </c>
      <c r="P411" s="321">
        <f ca="1">_xll.RiskOutput(,"Impacts A",1)+C411</f>
        <v>61808.816135933295</v>
      </c>
      <c r="Q411" s="321">
        <f ca="1">_xll.RiskOutput(,"Impacts A",1)+D411</f>
        <v>73831.128834832969</v>
      </c>
      <c r="R411" s="321">
        <f ca="1">_xll.RiskOutput(,"Impacts A",1)+E411</f>
        <v>94807.238493150668</v>
      </c>
      <c r="S411" s="321">
        <f ca="1">_xll.RiskOutput(,"Impacts A",1)+F411</f>
        <v>153455.27872309842</v>
      </c>
      <c r="T411" s="321">
        <f ca="1">_xll.RiskOutput(,"Impacts A",1)+G411</f>
        <v>244531.33860122741</v>
      </c>
      <c r="U411" s="321">
        <f ca="1">_xll.RiskOutput(,"Impacts A",1)+H411</f>
        <v>261494.30011723729</v>
      </c>
      <c r="V411" s="321">
        <f ca="1">_xll.RiskOutput(,"Impacts A",1)+I411</f>
        <v>309108.66659611842</v>
      </c>
      <c r="W411" s="321">
        <f ca="1">_xll.RiskOutput(,"Impacts A",1)+J411</f>
        <v>249077.25878535857</v>
      </c>
      <c r="X411" s="321">
        <f ca="1">_xll.RiskOutput(,"Impacts A",1)+K411</f>
        <v>216293.54983744069</v>
      </c>
      <c r="Y411" s="321">
        <f ca="1">_xll.RiskOutput(,"Impacts A",1)+L411</f>
        <v>192273.68059772553</v>
      </c>
      <c r="Z411" s="329">
        <v>336578.89</v>
      </c>
    </row>
    <row r="412" spans="1:26" x14ac:dyDescent="0.2">
      <c r="A412" s="1" t="str">
        <v>EE total</v>
      </c>
      <c r="C412" s="222">
        <f ca="1"/>
        <v>-10097.940895614693</v>
      </c>
      <c r="D412" s="222">
        <f ca="1"/>
        <v>-23179.708833970024</v>
      </c>
      <c r="E412" s="222">
        <f ca="1"/>
        <v>-25220.281340266261</v>
      </c>
      <c r="F412" s="222">
        <f ca="1"/>
        <v>-19795.782875251065</v>
      </c>
      <c r="G412" s="222">
        <f ca="1"/>
        <v>9013.7713300616633</v>
      </c>
      <c r="H412" s="222">
        <f ca="1"/>
        <v>15574.506126932583</v>
      </c>
      <c r="I412" s="222">
        <f ca="1"/>
        <v>11101.643201440149</v>
      </c>
      <c r="J412" s="222">
        <f ca="1"/>
        <v>6581.4734470191834</v>
      </c>
      <c r="K412" s="222">
        <f ca="1"/>
        <v>-849.64683978689811</v>
      </c>
      <c r="L412" s="222">
        <f ca="1"/>
        <v>-7901.8769158537707</v>
      </c>
      <c r="M412" s="1"/>
      <c r="N412" s="1" t="str">
        <v>$M(2015)</v>
      </c>
      <c r="P412" s="321">
        <f ca="1">_xll.RiskOutput(,"Impacts A",1)+C412</f>
        <v>-10097.940895614693</v>
      </c>
      <c r="Q412" s="321">
        <f ca="1">_xll.RiskOutput(,"Impacts A",1)+D412</f>
        <v>-23179.708833970024</v>
      </c>
      <c r="R412" s="321">
        <f ca="1">_xll.RiskOutput(,"Impacts A",1)+E412</f>
        <v>-25220.281340266261</v>
      </c>
      <c r="S412" s="321">
        <f ca="1">_xll.RiskOutput(,"Impacts A",1)+F412</f>
        <v>-19795.782875251065</v>
      </c>
      <c r="T412" s="321">
        <f ca="1">_xll.RiskOutput(,"Impacts A",1)+G412</f>
        <v>9013.7713300616633</v>
      </c>
      <c r="U412" s="321">
        <f ca="1">_xll.RiskOutput(,"Impacts A",1)+H412</f>
        <v>15574.506126932583</v>
      </c>
      <c r="V412" s="321">
        <f ca="1">_xll.RiskOutput(,"Impacts A",1)+I412</f>
        <v>11101.643201440149</v>
      </c>
      <c r="W412" s="321">
        <f ca="1">_xll.RiskOutput(,"Impacts A",1)+J412</f>
        <v>6581.4734470191834</v>
      </c>
      <c r="X412" s="321">
        <f ca="1">_xll.RiskOutput(,"Impacts A",1)+K412</f>
        <v>-849.64683978689811</v>
      </c>
      <c r="Y412" s="321">
        <f ca="1">_xll.RiskOutput(,"Impacts A",1)+L412</f>
        <v>-7901.8769158537707</v>
      </c>
      <c r="Z412" s="329">
        <v>52259.1</v>
      </c>
    </row>
    <row r="413" spans="1:26" x14ac:dyDescent="0.2">
      <c r="A413" s="1" t="str">
        <v>CA total</v>
      </c>
      <c r="C413" s="222">
        <f ca="1"/>
        <v>553387.60787931154</v>
      </c>
      <c r="D413" s="222">
        <f ca="1"/>
        <v>680352.81801975856</v>
      </c>
      <c r="E413" s="222">
        <f ca="1"/>
        <v>771560.13708144624</v>
      </c>
      <c r="F413" s="222">
        <f ca="1"/>
        <v>1030651.8740965527</v>
      </c>
      <c r="G413" s="222">
        <f ca="1"/>
        <v>1453340.5374364732</v>
      </c>
      <c r="H413" s="222">
        <f ca="1"/>
        <v>1297142.25374964</v>
      </c>
      <c r="I413" s="222">
        <f ca="1"/>
        <v>1095821.3776787634</v>
      </c>
      <c r="J413" s="222">
        <f ca="1"/>
        <v>913173.36037501926</v>
      </c>
      <c r="K413" s="222">
        <f ca="1"/>
        <v>718821.09743534541</v>
      </c>
      <c r="L413" s="222">
        <f ca="1"/>
        <v>529863.44603187731</v>
      </c>
      <c r="M413" s="1"/>
      <c r="N413" s="1" t="str">
        <v>$M(2015)</v>
      </c>
      <c r="P413" s="321">
        <f ca="1">_xll.RiskOutput(,"Impacts A",1)+C413</f>
        <v>553387.60787931154</v>
      </c>
      <c r="Q413" s="321">
        <f ca="1">_xll.RiskOutput(,"Impacts A",1)+D413</f>
        <v>680352.81801975856</v>
      </c>
      <c r="R413" s="321">
        <f ca="1">_xll.RiskOutput(,"Impacts A",1)+E413</f>
        <v>771560.13708144624</v>
      </c>
      <c r="S413" s="321">
        <f ca="1">_xll.RiskOutput(,"Impacts A",1)+F413</f>
        <v>1030651.8740965527</v>
      </c>
      <c r="T413" s="321">
        <f ca="1">_xll.RiskOutput(,"Impacts A",1)+G413</f>
        <v>1453340.5374364732</v>
      </c>
      <c r="U413" s="321">
        <f ca="1">_xll.RiskOutput(,"Impacts A",1)+H413</f>
        <v>1297142.25374964</v>
      </c>
      <c r="V413" s="321">
        <f ca="1">_xll.RiskOutput(,"Impacts A",1)+I413</f>
        <v>1095821.3776787634</v>
      </c>
      <c r="W413" s="321">
        <f ca="1">_xll.RiskOutput(,"Impacts A",1)+J413</f>
        <v>913173.36037501926</v>
      </c>
      <c r="X413" s="321">
        <f ca="1">_xll.RiskOutput(,"Impacts A",1)+K413</f>
        <v>718821.09743534541</v>
      </c>
      <c r="Y413" s="321">
        <f ca="1">_xll.RiskOutput(,"Impacts A",1)+L413</f>
        <v>529863.44603187731</v>
      </c>
      <c r="Z413" s="329">
        <v>776706.42</v>
      </c>
    </row>
    <row r="414" spans="1:26" x14ac:dyDescent="0.2">
      <c r="A414" s="1" t="str">
        <v>IA total</v>
      </c>
      <c r="C414" s="222">
        <f ca="1"/>
        <v>1589498.9143516265</v>
      </c>
      <c r="D414" s="222">
        <f ca="1"/>
        <v>2239574.9037690009</v>
      </c>
      <c r="E414" s="222">
        <f ca="1"/>
        <v>2792699.9357418586</v>
      </c>
      <c r="F414" s="222">
        <f ca="1"/>
        <v>4261389.6026513623</v>
      </c>
      <c r="G414" s="222">
        <f ca="1"/>
        <v>6391862.1523601161</v>
      </c>
      <c r="H414" s="222">
        <f ca="1"/>
        <v>6130605.8923079697</v>
      </c>
      <c r="I414" s="222">
        <f ca="1"/>
        <v>5825643.4626325443</v>
      </c>
      <c r="J414" s="222">
        <f ca="1"/>
        <v>4809320.2033067709</v>
      </c>
      <c r="K414" s="222">
        <f ca="1"/>
        <v>4068405.6825160645</v>
      </c>
      <c r="L414" s="222">
        <f ca="1"/>
        <v>3195262.3658631453</v>
      </c>
      <c r="M414" s="1"/>
      <c r="N414" s="1" t="str">
        <v>$M(2015)</v>
      </c>
      <c r="P414" s="321">
        <f ca="1">_xll.RiskOutput(,"Impacts A",1)+C414</f>
        <v>1589498.9143516265</v>
      </c>
      <c r="Q414" s="321">
        <f ca="1">_xll.RiskOutput(,"Impacts A",1)+D414</f>
        <v>2239574.9037690009</v>
      </c>
      <c r="R414" s="321">
        <f ca="1">_xll.RiskOutput(,"Impacts A",1)+E414</f>
        <v>2792699.9357418586</v>
      </c>
      <c r="S414" s="321">
        <f ca="1">_xll.RiskOutput(,"Impacts A",1)+F414</f>
        <v>4261389.6026513623</v>
      </c>
      <c r="T414" s="321">
        <f ca="1">_xll.RiskOutput(,"Impacts A",1)+G414</f>
        <v>6391862.1523601161</v>
      </c>
      <c r="U414" s="321">
        <f ca="1">_xll.RiskOutput(,"Impacts A",1)+H414</f>
        <v>6130605.8923079697</v>
      </c>
      <c r="V414" s="321">
        <f ca="1">_xll.RiskOutput(,"Impacts A",1)+I414</f>
        <v>5825643.4626325443</v>
      </c>
      <c r="W414" s="321">
        <f ca="1">_xll.RiskOutput(,"Impacts A",1)+J414</f>
        <v>4809320.2033067709</v>
      </c>
      <c r="X414" s="321">
        <f ca="1">_xll.RiskOutput(,"Impacts A",1)+K414</f>
        <v>4068405.6825160645</v>
      </c>
      <c r="Y414" s="321">
        <f ca="1">_xll.RiskOutput(,"Impacts A",1)+L414</f>
        <v>3195262.3658631453</v>
      </c>
      <c r="Z414" s="329">
        <v>4009794.82</v>
      </c>
    </row>
    <row r="415" spans="1:26" x14ac:dyDescent="0.2">
      <c r="A415" s="1" t="str">
        <v>AF total</v>
      </c>
      <c r="C415" s="222">
        <f ca="1"/>
        <v>597882.786600083</v>
      </c>
      <c r="D415" s="222">
        <f ca="1"/>
        <v>1025152.8007576317</v>
      </c>
      <c r="E415" s="222">
        <f ca="1"/>
        <v>1482440.4068418522</v>
      </c>
      <c r="F415" s="222">
        <f ca="1"/>
        <v>2496495.1380351633</v>
      </c>
      <c r="G415" s="222">
        <f ca="1"/>
        <v>4082068.8922049892</v>
      </c>
      <c r="H415" s="222">
        <f ca="1"/>
        <v>4423657.3700808333</v>
      </c>
      <c r="I415" s="222">
        <f ca="1"/>
        <v>4259026.9360343209</v>
      </c>
      <c r="J415" s="222">
        <f ca="1"/>
        <v>3602084.4206671873</v>
      </c>
      <c r="K415" s="222">
        <f ca="1"/>
        <v>3167608.7116694893</v>
      </c>
      <c r="L415" s="222">
        <f ca="1"/>
        <v>2595533.4521669308</v>
      </c>
      <c r="M415" s="1"/>
      <c r="N415" s="1" t="str">
        <v>$M(2015)</v>
      </c>
      <c r="P415" s="321">
        <f ca="1">_xll.RiskOutput(,"Impacts A",1)+C415</f>
        <v>597882.786600083</v>
      </c>
      <c r="Q415" s="321">
        <f ca="1">_xll.RiskOutput(,"Impacts A",1)+D415</f>
        <v>1025152.8007576317</v>
      </c>
      <c r="R415" s="321">
        <f ca="1">_xll.RiskOutput(,"Impacts A",1)+E415</f>
        <v>1482440.4068418522</v>
      </c>
      <c r="S415" s="321">
        <f ca="1">_xll.RiskOutput(,"Impacts A",1)+F415</f>
        <v>2496495.1380351633</v>
      </c>
      <c r="T415" s="321">
        <f ca="1">_xll.RiskOutput(,"Impacts A",1)+G415</f>
        <v>4082068.8922049892</v>
      </c>
      <c r="U415" s="321">
        <f ca="1">_xll.RiskOutput(,"Impacts A",1)+H415</f>
        <v>4423657.3700808333</v>
      </c>
      <c r="V415" s="321">
        <f ca="1">_xll.RiskOutput(,"Impacts A",1)+I415</f>
        <v>4259026.9360343209</v>
      </c>
      <c r="W415" s="321">
        <f ca="1">_xll.RiskOutput(,"Impacts A",1)+J415</f>
        <v>3602084.4206671873</v>
      </c>
      <c r="X415" s="321">
        <f ca="1">_xll.RiskOutput(,"Impacts A",1)+K415</f>
        <v>3167608.7116694893</v>
      </c>
      <c r="Y415" s="321">
        <f ca="1">_xll.RiskOutput(,"Impacts A",1)+L415</f>
        <v>2595533.4521669308</v>
      </c>
      <c r="Z415" s="329">
        <v>3240495.52</v>
      </c>
    </row>
    <row r="416" spans="1:26" x14ac:dyDescent="0.2">
      <c r="A416" s="1" t="str">
        <v>LA total</v>
      </c>
      <c r="C416" s="222">
        <f ca="1"/>
        <v>266118.84195264359</v>
      </c>
      <c r="D416" s="222">
        <f ca="1"/>
        <v>382903.00256000581</v>
      </c>
      <c r="E416" s="222">
        <f ca="1"/>
        <v>518967.73793938442</v>
      </c>
      <c r="F416" s="222">
        <f ca="1"/>
        <v>768553.011203364</v>
      </c>
      <c r="G416" s="222">
        <f ca="1"/>
        <v>1075793.4034012801</v>
      </c>
      <c r="H416" s="222">
        <f ca="1"/>
        <v>1052789.5649154633</v>
      </c>
      <c r="I416" s="222">
        <f ca="1"/>
        <v>1010137.8863580883</v>
      </c>
      <c r="J416" s="222">
        <f ca="1"/>
        <v>788633.86253257538</v>
      </c>
      <c r="K416" s="222">
        <f ca="1"/>
        <v>658997.30618424085</v>
      </c>
      <c r="L416" s="222">
        <f ca="1"/>
        <v>523365.63198604377</v>
      </c>
      <c r="M416" s="1"/>
      <c r="N416" s="1" t="str">
        <v>$M(2015)</v>
      </c>
      <c r="P416" s="321">
        <f ca="1">_xll.RiskOutput(,"Impacts A",1)+C416</f>
        <v>266118.84195264359</v>
      </c>
      <c r="Q416" s="321">
        <f ca="1">_xll.RiskOutput(,"Impacts A",1)+D416</f>
        <v>382903.00256000581</v>
      </c>
      <c r="R416" s="321">
        <f ca="1">_xll.RiskOutput(,"Impacts A",1)+E416</f>
        <v>518967.73793938442</v>
      </c>
      <c r="S416" s="321">
        <f ca="1">_xll.RiskOutput(,"Impacts A",1)+F416</f>
        <v>768553.011203364</v>
      </c>
      <c r="T416" s="321">
        <f ca="1">_xll.RiskOutput(,"Impacts A",1)+G416</f>
        <v>1075793.4034012801</v>
      </c>
      <c r="U416" s="321">
        <f ca="1">_xll.RiskOutput(,"Impacts A",1)+H416</f>
        <v>1052789.5649154633</v>
      </c>
      <c r="V416" s="321">
        <f ca="1">_xll.RiskOutput(,"Impacts A",1)+I416</f>
        <v>1010137.8863580883</v>
      </c>
      <c r="W416" s="321">
        <f ca="1">_xll.RiskOutput(,"Impacts A",1)+J416</f>
        <v>788633.86253257538</v>
      </c>
      <c r="X416" s="321">
        <f ca="1">_xll.RiskOutput(,"Impacts A",1)+K416</f>
        <v>658997.30618424085</v>
      </c>
      <c r="Y416" s="321">
        <f ca="1">_xll.RiskOutput(,"Impacts A",1)+L416</f>
        <v>523365.63198604377</v>
      </c>
      <c r="Z416" s="329">
        <v>666308.01</v>
      </c>
    </row>
    <row r="417" spans="1:26" x14ac:dyDescent="0.2">
      <c r="A417" s="2" t="s">
        <v>255</v>
      </c>
      <c r="B417" s="2"/>
      <c r="C417" s="40">
        <f ca="1">_xll.RiskOutput(,A417,1)+SUM(C409:C416)</f>
        <v>3184178.3008641182</v>
      </c>
      <c r="D417" s="40">
        <f ca="1">_xll.RiskOutput(,A417,2)+SUM(D409:D416)</f>
        <v>4532498.967170177</v>
      </c>
      <c r="E417" s="40">
        <f ca="1">_xll.RiskOutput(,A417,3)+SUM(E409:E416)</f>
        <v>5822552.3962308727</v>
      </c>
      <c r="F417" s="40">
        <f ca="1">_xll.RiskOutput(,A417,4)+SUM(F409:F416)</f>
        <v>9017780.8923453037</v>
      </c>
      <c r="G417" s="40">
        <f ca="1">_xll.RiskOutput(,A417,5)+SUM(G409:G416)</f>
        <v>13799363.242704226</v>
      </c>
      <c r="H417" s="40">
        <f ca="1">_xll.RiskOutput(,A417,6)+SUM(H409:H416)</f>
        <v>13825914.671266548</v>
      </c>
      <c r="I417" s="40">
        <f ca="1">_xll.RiskOutput(,A417,7)+SUM(I409:I416)</f>
        <v>13200937.47564598</v>
      </c>
      <c r="J417" s="40">
        <f ca="1">_xll.RiskOutput(,A417,8)+SUM(J409:J416)</f>
        <v>11025287.453323558</v>
      </c>
      <c r="K417" s="40">
        <f ca="1">_xll.RiskOutput(,A417,9)+SUM(K409:K416)</f>
        <v>9439218.9413921162</v>
      </c>
      <c r="L417" s="40">
        <f ca="1">_xll.RiskOutput(,A417,10)+SUM(L409:L416)</f>
        <v>7606461.1281575039</v>
      </c>
      <c r="M417" s="1"/>
      <c r="N417" s="1" t="str">
        <v>$M(2015)</v>
      </c>
      <c r="Z417" s="329">
        <v>10203977.15</v>
      </c>
    </row>
    <row r="418" spans="1:26" ht="14.25" x14ac:dyDescent="0.25">
      <c r="A418" s="2" t="s">
        <v>85</v>
      </c>
      <c r="B418" s="2"/>
      <c r="C418" s="53" t="s">
        <v>254</v>
      </c>
      <c r="D418" s="1"/>
      <c r="E418" s="1"/>
      <c r="F418" s="1"/>
      <c r="G418" s="1"/>
      <c r="H418" s="1"/>
      <c r="I418" s="1"/>
      <c r="J418" s="1"/>
      <c r="K418" s="1"/>
      <c r="L418" s="1"/>
      <c r="M418" s="1"/>
      <c r="N418" s="1"/>
    </row>
    <row r="419" spans="1:26" x14ac:dyDescent="0.2">
      <c r="A419" s="1" t="str">
        <f t="array" ref="A419:A426">R_CODE&amp;" total"</f>
        <v>EU total</v>
      </c>
      <c r="C419" s="222">
        <f t="array" ref="C419:L426" ca="1">IF(EQUITY_SWITCH=0,wit*DFC,wit*DF)</f>
        <v>60432.545643284022</v>
      </c>
      <c r="D419" s="222">
        <f ca="1"/>
        <v>60947.623885691995</v>
      </c>
      <c r="E419" s="222">
        <f ca="1"/>
        <v>64388.230946936506</v>
      </c>
      <c r="F419" s="222">
        <f ca="1"/>
        <v>92067.852222375295</v>
      </c>
      <c r="G419" s="222">
        <f ca="1"/>
        <v>123338.21055117995</v>
      </c>
      <c r="H419" s="222">
        <f ca="1"/>
        <v>118062.06533532024</v>
      </c>
      <c r="I419" s="222">
        <f ca="1"/>
        <v>106715.62823619593</v>
      </c>
      <c r="J419" s="222">
        <f ca="1"/>
        <v>92463.008303110808</v>
      </c>
      <c r="K419" s="222">
        <f ca="1"/>
        <v>78359.341003378082</v>
      </c>
      <c r="L419" s="222">
        <f ca="1"/>
        <v>61878.03872713061</v>
      </c>
      <c r="M419" s="1"/>
      <c r="N419" s="1" t="str">
        <f t="array" ref="N419:N427">CURRENCY_NAME</f>
        <v>$M(2015)</v>
      </c>
      <c r="P419" s="124" t="s">
        <v>1022</v>
      </c>
    </row>
    <row r="420" spans="1:26" x14ac:dyDescent="0.2">
      <c r="A420" s="1" t="str">
        <v>US total</v>
      </c>
      <c r="C420" s="222">
        <f ca="1"/>
        <v>58854.851578987771</v>
      </c>
      <c r="D420" s="222">
        <f ca="1"/>
        <v>77884.594860774014</v>
      </c>
      <c r="E420" s="222">
        <f ca="1"/>
        <v>96143.581864930558</v>
      </c>
      <c r="F420" s="222">
        <f ca="1"/>
        <v>160846.16763699232</v>
      </c>
      <c r="G420" s="222">
        <f ca="1"/>
        <v>255399.45057514898</v>
      </c>
      <c r="H420" s="222">
        <f ca="1"/>
        <v>287833.06502477743</v>
      </c>
      <c r="I420" s="222">
        <f ca="1"/>
        <v>285344.75982327259</v>
      </c>
      <c r="J420" s="222">
        <f ca="1"/>
        <v>244029.5233355547</v>
      </c>
      <c r="K420" s="222">
        <f ca="1"/>
        <v>203763.07034835525</v>
      </c>
      <c r="L420" s="222">
        <f ca="1"/>
        <v>179378.06267513652</v>
      </c>
      <c r="M420" s="1"/>
      <c r="N420" s="1" t="str">
        <v>$M(2015)</v>
      </c>
    </row>
    <row r="421" spans="1:26" x14ac:dyDescent="0.2">
      <c r="A421" s="1" t="str">
        <v>OT total</v>
      </c>
      <c r="C421" s="222">
        <f ca="1"/>
        <v>58712.019253427199</v>
      </c>
      <c r="D421" s="222">
        <f ca="1"/>
        <v>66618.169025274809</v>
      </c>
      <c r="E421" s="222">
        <f ca="1"/>
        <v>81258.962323422471</v>
      </c>
      <c r="F421" s="222">
        <f ca="1"/>
        <v>118676.51681013477</v>
      </c>
      <c r="G421" s="222">
        <f ca="1"/>
        <v>170636.00220962055</v>
      </c>
      <c r="H421" s="222">
        <f ca="1"/>
        <v>164646.13969925704</v>
      </c>
      <c r="I421" s="222">
        <f ca="1"/>
        <v>175611.79866029319</v>
      </c>
      <c r="J421" s="222">
        <f ca="1"/>
        <v>127682.02749696346</v>
      </c>
      <c r="K421" s="222">
        <f ca="1"/>
        <v>100044.32187055405</v>
      </c>
      <c r="L421" s="222">
        <f ca="1"/>
        <v>80245.724009428319</v>
      </c>
      <c r="M421" s="1"/>
      <c r="N421" s="1" t="str">
        <v>$M(2015)</v>
      </c>
    </row>
    <row r="422" spans="1:26" x14ac:dyDescent="0.2">
      <c r="A422" s="1" t="str">
        <v>EE total</v>
      </c>
      <c r="C422" s="222">
        <f ca="1"/>
        <v>-9592.0054346199868</v>
      </c>
      <c r="D422" s="222">
        <f ca="1"/>
        <v>-20915.158489755257</v>
      </c>
      <c r="E422" s="222">
        <f ca="1"/>
        <v>-21616.217535572116</v>
      </c>
      <c r="F422" s="222">
        <f ca="1"/>
        <v>-15309.310821452309</v>
      </c>
      <c r="G422" s="222">
        <f ca="1"/>
        <v>6289.8846151643984</v>
      </c>
      <c r="H422" s="222">
        <f ca="1"/>
        <v>9806.2646504042987</v>
      </c>
      <c r="I422" s="222">
        <f ca="1"/>
        <v>6307.1008398384438</v>
      </c>
      <c r="J422" s="222">
        <f ca="1"/>
        <v>3373.7960572185143</v>
      </c>
      <c r="K422" s="222">
        <f ca="1"/>
        <v>-392.99526952987986</v>
      </c>
      <c r="L422" s="222">
        <f ca="1"/>
        <v>-3297.860800161825</v>
      </c>
      <c r="M422" s="1"/>
      <c r="N422" s="1" t="str">
        <v>$M(2015)</v>
      </c>
    </row>
    <row r="423" spans="1:26" x14ac:dyDescent="0.2">
      <c r="A423" s="1" t="str">
        <v>CA total</v>
      </c>
      <c r="C423" s="222">
        <f ca="1"/>
        <v>525661.32017418498</v>
      </c>
      <c r="D423" s="222">
        <f ca="1"/>
        <v>613885.49441057513</v>
      </c>
      <c r="E423" s="222">
        <f ca="1"/>
        <v>661301.57470924966</v>
      </c>
      <c r="F423" s="222">
        <f ca="1"/>
        <v>797067.23339459451</v>
      </c>
      <c r="G423" s="222">
        <f ca="1"/>
        <v>1014153.1166349096</v>
      </c>
      <c r="H423" s="222">
        <f ca="1"/>
        <v>816727.0362104316</v>
      </c>
      <c r="I423" s="222">
        <f ca="1"/>
        <v>622561.52589862258</v>
      </c>
      <c r="J423" s="222">
        <f ca="1"/>
        <v>468111.08600393654</v>
      </c>
      <c r="K423" s="222">
        <f ca="1"/>
        <v>332483.18913446489</v>
      </c>
      <c r="L423" s="222">
        <f ca="1"/>
        <v>221139.34533721936</v>
      </c>
      <c r="M423" s="1"/>
      <c r="N423" s="1" t="str">
        <v>$M(2015)</v>
      </c>
    </row>
    <row r="424" spans="1:26" x14ac:dyDescent="0.2">
      <c r="A424" s="1" t="str">
        <v>IA total</v>
      </c>
      <c r="C424" s="222">
        <f ca="1"/>
        <v>1509860.5133849194</v>
      </c>
      <c r="D424" s="222">
        <f ca="1"/>
        <v>2020778.793966606</v>
      </c>
      <c r="E424" s="222">
        <f ca="1"/>
        <v>2393613.6361093009</v>
      </c>
      <c r="F424" s="222">
        <f ca="1"/>
        <v>3295597.7729912056</v>
      </c>
      <c r="G424" s="222">
        <f ca="1"/>
        <v>4460294.5806155093</v>
      </c>
      <c r="H424" s="222">
        <f ca="1"/>
        <v>3860048.168290799</v>
      </c>
      <c r="I424" s="222">
        <f ca="1"/>
        <v>3309683.0900674798</v>
      </c>
      <c r="J424" s="222">
        <f ca="1"/>
        <v>2465354.5547868917</v>
      </c>
      <c r="K424" s="222">
        <f ca="1"/>
        <v>1881798.546038623</v>
      </c>
      <c r="L424" s="222">
        <f ca="1"/>
        <v>1333547.7905851251</v>
      </c>
      <c r="M424" s="1"/>
      <c r="N424" s="1" t="str">
        <v>$M(2015)</v>
      </c>
    </row>
    <row r="425" spans="1:26" x14ac:dyDescent="0.2">
      <c r="A425" s="1" t="str">
        <v>AF total</v>
      </c>
      <c r="C425" s="222">
        <f ca="1"/>
        <v>567927.16432161664</v>
      </c>
      <c r="D425" s="222">
        <f ca="1"/>
        <v>925000.11357520078</v>
      </c>
      <c r="E425" s="222">
        <f ca="1"/>
        <v>1270594.641093611</v>
      </c>
      <c r="F425" s="222">
        <f ca="1"/>
        <v>1930695.0512276758</v>
      </c>
      <c r="G425" s="222">
        <f ca="1"/>
        <v>2848501.6296664462</v>
      </c>
      <c r="H425" s="222">
        <f ca="1"/>
        <v>2785292.4863350242</v>
      </c>
      <c r="I425" s="222">
        <f ca="1"/>
        <v>2419651.9269932904</v>
      </c>
      <c r="J425" s="222">
        <f ca="1"/>
        <v>1846501.1389993944</v>
      </c>
      <c r="K425" s="222">
        <f ca="1"/>
        <v>1465144.31774968</v>
      </c>
      <c r="L425" s="222">
        <f ca="1"/>
        <v>1083249.9820689971</v>
      </c>
      <c r="M425" s="1"/>
      <c r="N425" s="1" t="str">
        <v>$M(2015)</v>
      </c>
    </row>
    <row r="426" spans="1:26" x14ac:dyDescent="0.2">
      <c r="A426" s="1" t="str">
        <v>LA total</v>
      </c>
      <c r="C426" s="222">
        <f ca="1"/>
        <v>252785.53366984721</v>
      </c>
      <c r="D426" s="222">
        <f ca="1"/>
        <v>345495.15018105856</v>
      </c>
      <c r="E426" s="222">
        <f ca="1"/>
        <v>444805.48673859803</v>
      </c>
      <c r="F426" s="222">
        <f ca="1"/>
        <v>594369.87187738053</v>
      </c>
      <c r="G426" s="222">
        <f ca="1"/>
        <v>750697.58587971283</v>
      </c>
      <c r="H426" s="222">
        <f ca="1"/>
        <v>662873.86647157453</v>
      </c>
      <c r="I426" s="222">
        <f ca="1"/>
        <v>573882.74832821626</v>
      </c>
      <c r="J426" s="222">
        <f ca="1"/>
        <v>404269.6270705862</v>
      </c>
      <c r="K426" s="222">
        <f ca="1"/>
        <v>304812.31946710538</v>
      </c>
      <c r="L426" s="222">
        <f ca="1"/>
        <v>218427.47239150165</v>
      </c>
      <c r="M426" s="1"/>
      <c r="N426" s="1" t="str">
        <v>$M(2015)</v>
      </c>
    </row>
    <row r="427" spans="1:26" x14ac:dyDescent="0.2">
      <c r="A427" s="2" t="s">
        <v>255</v>
      </c>
      <c r="B427" s="2"/>
      <c r="C427" s="40">
        <f t="shared" ref="C427:L427" ca="1" si="60">SUM(C419:C426)</f>
        <v>3024641.9425916472</v>
      </c>
      <c r="D427" s="40">
        <f t="shared" ca="1" si="60"/>
        <v>4089694.7814154262</v>
      </c>
      <c r="E427" s="40">
        <f t="shared" ca="1" si="60"/>
        <v>4990489.8962504771</v>
      </c>
      <c r="F427" s="40">
        <f t="shared" ca="1" si="60"/>
        <v>6974011.1553389067</v>
      </c>
      <c r="G427" s="40">
        <f t="shared" ca="1" si="60"/>
        <v>9629310.4607476927</v>
      </c>
      <c r="H427" s="40">
        <f t="shared" ca="1" si="60"/>
        <v>8705289.0920175873</v>
      </c>
      <c r="I427" s="40">
        <f t="shared" ca="1" si="60"/>
        <v>7499758.578847209</v>
      </c>
      <c r="J427" s="40">
        <f t="shared" ca="1" si="60"/>
        <v>5651784.7620536564</v>
      </c>
      <c r="K427" s="40">
        <f t="shared" ca="1" si="60"/>
        <v>4366012.1103426302</v>
      </c>
      <c r="L427" s="40">
        <f t="shared" ca="1" si="60"/>
        <v>3174568.5549943768</v>
      </c>
      <c r="M427" s="1"/>
      <c r="N427" s="1" t="str">
        <v>$M(2015)</v>
      </c>
    </row>
    <row r="428" spans="1:26" ht="14.25" x14ac:dyDescent="0.25">
      <c r="A428" s="2" t="s">
        <v>84</v>
      </c>
      <c r="B428" s="2"/>
      <c r="C428" s="2" t="s">
        <v>256</v>
      </c>
      <c r="D428" s="1"/>
      <c r="E428" s="1"/>
      <c r="F428" s="1"/>
      <c r="G428" s="1"/>
      <c r="H428" s="1"/>
      <c r="I428" s="1"/>
      <c r="J428" s="1"/>
      <c r="K428" s="1"/>
      <c r="L428" s="1"/>
      <c r="M428" s="1"/>
      <c r="N428" s="1"/>
    </row>
    <row r="429" spans="1:26" x14ac:dyDescent="0.2">
      <c r="A429" s="1" t="str">
        <f t="array" ref="A429:A436">R_CODE&amp;" total"</f>
        <v>EU total</v>
      </c>
      <c r="B429" s="3"/>
      <c r="C429" s="28">
        <f t="array" ref="C429:L436" ca="1">widt*YAGG</f>
        <v>453244.09232463018</v>
      </c>
      <c r="D429" s="28">
        <f ca="1"/>
        <v>304738.11942845996</v>
      </c>
      <c r="E429" s="28">
        <f ca="1"/>
        <v>482911.73210202379</v>
      </c>
      <c r="F429" s="28">
        <f ca="1"/>
        <v>920678.52222375292</v>
      </c>
      <c r="G429" s="28">
        <f ca="1"/>
        <v>1233382.1055117995</v>
      </c>
      <c r="H429" s="28">
        <f ca="1"/>
        <v>1180620.6533532024</v>
      </c>
      <c r="I429" s="28">
        <f ca="1"/>
        <v>1067156.2823619593</v>
      </c>
      <c r="J429" s="28">
        <f ca="1"/>
        <v>924630.08303110814</v>
      </c>
      <c r="K429" s="28">
        <f ca="1"/>
        <v>783593.41003378085</v>
      </c>
      <c r="L429" s="28">
        <f ca="1"/>
        <v>309390.19363565306</v>
      </c>
      <c r="M429" s="40">
        <f ca="1">_xll.RiskOutput(,"EU total",1)+SUM(C429:L429)</f>
        <v>7660345.1940063694</v>
      </c>
      <c r="N429" s="1" t="str">
        <f t="array" ref="N429:N437">CURRENCY_NAME</f>
        <v>$M(2015)</v>
      </c>
      <c r="O429" s="329">
        <v>15297838.67</v>
      </c>
      <c r="P429" s="321"/>
      <c r="Q429" s="321"/>
      <c r="R429" s="321"/>
      <c r="S429" s="321"/>
      <c r="T429" s="321"/>
      <c r="U429" s="321"/>
      <c r="V429" s="321"/>
      <c r="W429" s="321"/>
      <c r="X429" s="321"/>
      <c r="Y429" s="321"/>
    </row>
    <row r="430" spans="1:26" x14ac:dyDescent="0.2">
      <c r="A430" s="1" t="str">
        <v>US total</v>
      </c>
      <c r="B430" s="3"/>
      <c r="C430" s="28">
        <f ca="1"/>
        <v>441411.38684240828</v>
      </c>
      <c r="D430" s="28">
        <f ca="1"/>
        <v>389422.97430387005</v>
      </c>
      <c r="E430" s="28">
        <f ca="1"/>
        <v>721076.86398697924</v>
      </c>
      <c r="F430" s="28">
        <f ca="1"/>
        <v>1608461.6763699232</v>
      </c>
      <c r="G430" s="28">
        <f ca="1"/>
        <v>2553994.5057514897</v>
      </c>
      <c r="H430" s="28">
        <f ca="1"/>
        <v>2878330.6502477741</v>
      </c>
      <c r="I430" s="28">
        <f ca="1"/>
        <v>2853447.5982327256</v>
      </c>
      <c r="J430" s="28">
        <f ca="1"/>
        <v>2440295.2333555468</v>
      </c>
      <c r="K430" s="28">
        <f ca="1"/>
        <v>2037630.7034835524</v>
      </c>
      <c r="L430" s="28">
        <f ca="1"/>
        <v>896890.31337568257</v>
      </c>
      <c r="M430" s="40">
        <f ca="1">_xll.RiskOutput(,"EU total",2)+SUM(C430:L430)</f>
        <v>16820961.90594995</v>
      </c>
      <c r="N430" s="1" t="str">
        <v>$M(2015)</v>
      </c>
      <c r="O430" s="329">
        <v>22669591.75</v>
      </c>
      <c r="P430" s="321"/>
      <c r="Q430" s="321"/>
      <c r="R430" s="321"/>
      <c r="S430" s="321"/>
      <c r="T430" s="321"/>
      <c r="U430" s="321"/>
      <c r="V430" s="321"/>
      <c r="W430" s="321"/>
      <c r="X430" s="321"/>
      <c r="Y430" s="321"/>
    </row>
    <row r="431" spans="1:26" x14ac:dyDescent="0.2">
      <c r="A431" s="1" t="str">
        <v>OT total</v>
      </c>
      <c r="B431" s="3"/>
      <c r="C431" s="28">
        <f ca="1"/>
        <v>440340.14440070401</v>
      </c>
      <c r="D431" s="28">
        <f ca="1"/>
        <v>333090.84512637404</v>
      </c>
      <c r="E431" s="28">
        <f ca="1"/>
        <v>609442.2174256685</v>
      </c>
      <c r="F431" s="28">
        <f ca="1"/>
        <v>1186765.1681013478</v>
      </c>
      <c r="G431" s="28">
        <f ca="1"/>
        <v>1706360.0220962055</v>
      </c>
      <c r="H431" s="28">
        <f ca="1"/>
        <v>1646461.3969925703</v>
      </c>
      <c r="I431" s="28">
        <f ca="1"/>
        <v>1756117.986602932</v>
      </c>
      <c r="J431" s="28">
        <f ca="1"/>
        <v>1276820.2749696346</v>
      </c>
      <c r="K431" s="28">
        <f ca="1"/>
        <v>1000443.2187055405</v>
      </c>
      <c r="L431" s="28">
        <f ca="1"/>
        <v>401228.62004714157</v>
      </c>
      <c r="M431" s="40">
        <f ca="1">_xll.RiskOutput(,"EU total",3)+SUM(C431:L431)</f>
        <v>10357069.894468119</v>
      </c>
      <c r="N431" s="1" t="str">
        <v>$M(2015)</v>
      </c>
      <c r="O431" s="329">
        <v>14336315.82</v>
      </c>
      <c r="P431" s="321"/>
      <c r="Q431" s="321"/>
      <c r="R431" s="321"/>
      <c r="S431" s="321"/>
      <c r="T431" s="321"/>
      <c r="U431" s="321"/>
      <c r="V431" s="321"/>
      <c r="W431" s="321"/>
      <c r="X431" s="321"/>
      <c r="Y431" s="321"/>
    </row>
    <row r="432" spans="1:26" x14ac:dyDescent="0.2">
      <c r="A432" s="1" t="str">
        <v>EE total</v>
      </c>
      <c r="B432" s="3"/>
      <c r="C432" s="28">
        <f ca="1"/>
        <v>-71940.040759649899</v>
      </c>
      <c r="D432" s="28">
        <f ca="1"/>
        <v>-104575.79244877628</v>
      </c>
      <c r="E432" s="28">
        <f ca="1"/>
        <v>-162121.63151679086</v>
      </c>
      <c r="F432" s="28">
        <f ca="1"/>
        <v>-153093.10821452309</v>
      </c>
      <c r="G432" s="28">
        <f ca="1"/>
        <v>62898.846151643986</v>
      </c>
      <c r="H432" s="28">
        <f ca="1"/>
        <v>98062.64650404299</v>
      </c>
      <c r="I432" s="28">
        <f ca="1"/>
        <v>63071.008398384438</v>
      </c>
      <c r="J432" s="28">
        <f ca="1"/>
        <v>33737.96057218514</v>
      </c>
      <c r="K432" s="28">
        <f ca="1"/>
        <v>-3929.9526952987985</v>
      </c>
      <c r="L432" s="28">
        <f ca="1"/>
        <v>-16489.304000809127</v>
      </c>
      <c r="M432" s="40">
        <f ca="1">_xll.RiskOutput(,"EU total",4)+SUM(C432:L432)</f>
        <v>-254379.36800959145</v>
      </c>
      <c r="N432" s="1" t="str">
        <v>$M(2015)</v>
      </c>
      <c r="O432" s="329">
        <v>2806440.09</v>
      </c>
      <c r="P432" s="321"/>
      <c r="Q432" s="321"/>
      <c r="R432" s="321"/>
      <c r="S432" s="321"/>
      <c r="T432" s="321"/>
      <c r="U432" s="321"/>
      <c r="V432" s="321"/>
      <c r="W432" s="321"/>
      <c r="X432" s="321"/>
      <c r="Y432" s="321"/>
    </row>
    <row r="433" spans="1:25" x14ac:dyDescent="0.2">
      <c r="A433" s="1" t="str">
        <v>CA total</v>
      </c>
      <c r="B433" s="3"/>
      <c r="C433" s="28">
        <f ca="1"/>
        <v>3942459.9013063875</v>
      </c>
      <c r="D433" s="28">
        <f ca="1"/>
        <v>3069427.4720528759</v>
      </c>
      <c r="E433" s="28">
        <f ca="1"/>
        <v>4959761.8103193725</v>
      </c>
      <c r="F433" s="28">
        <f ca="1"/>
        <v>7970672.3339459449</v>
      </c>
      <c r="G433" s="28">
        <f ca="1"/>
        <v>10141531.166349096</v>
      </c>
      <c r="H433" s="28">
        <f ca="1"/>
        <v>8167270.3621043162</v>
      </c>
      <c r="I433" s="28">
        <f ca="1"/>
        <v>6225615.2589862254</v>
      </c>
      <c r="J433" s="28">
        <f ca="1"/>
        <v>4681110.8600393655</v>
      </c>
      <c r="K433" s="28">
        <f ca="1"/>
        <v>3324831.8913446488</v>
      </c>
      <c r="L433" s="28">
        <f ca="1"/>
        <v>1105696.7266860968</v>
      </c>
      <c r="M433" s="40">
        <f ca="1">_xll.RiskOutput(,"EU total",5)+SUM(C433:L433)</f>
        <v>53588377.783134341</v>
      </c>
      <c r="N433" s="1" t="str">
        <v>$M(2015)</v>
      </c>
      <c r="O433" s="329">
        <v>64369685.189999998</v>
      </c>
      <c r="P433" s="321"/>
      <c r="Q433" s="321"/>
      <c r="R433" s="321"/>
      <c r="S433" s="321"/>
      <c r="T433" s="321"/>
      <c r="U433" s="321"/>
      <c r="V433" s="321"/>
      <c r="W433" s="321"/>
      <c r="X433" s="321"/>
      <c r="Y433" s="321"/>
    </row>
    <row r="434" spans="1:25" x14ac:dyDescent="0.2">
      <c r="A434" s="1" t="str">
        <v>IA total</v>
      </c>
      <c r="B434" s="3"/>
      <c r="C434" s="28">
        <f ca="1"/>
        <v>11323953.850386895</v>
      </c>
      <c r="D434" s="28">
        <f ca="1"/>
        <v>10103893.969833029</v>
      </c>
      <c r="E434" s="28">
        <f ca="1"/>
        <v>17952102.270819757</v>
      </c>
      <c r="F434" s="28">
        <f ca="1"/>
        <v>32955977.729912058</v>
      </c>
      <c r="G434" s="28">
        <f ca="1"/>
        <v>44602945.806155093</v>
      </c>
      <c r="H434" s="28">
        <f ca="1"/>
        <v>38600481.682907991</v>
      </c>
      <c r="I434" s="28">
        <f ca="1"/>
        <v>33096830.900674798</v>
      </c>
      <c r="J434" s="28">
        <f ca="1"/>
        <v>24653545.547868915</v>
      </c>
      <c r="K434" s="28">
        <f ca="1"/>
        <v>18817985.460386232</v>
      </c>
      <c r="L434" s="28">
        <f ca="1"/>
        <v>6667738.9529256253</v>
      </c>
      <c r="M434" s="40">
        <f ca="1">_xll.RiskOutput(,"EU total",6)+SUM(C434:L434)</f>
        <v>238775456.17187041</v>
      </c>
      <c r="N434" s="1" t="str">
        <v>$M(2015)</v>
      </c>
      <c r="O434" s="329">
        <v>271618083.93000001</v>
      </c>
      <c r="P434" s="321"/>
      <c r="Q434" s="321"/>
      <c r="R434" s="321"/>
      <c r="S434" s="321"/>
      <c r="T434" s="321"/>
      <c r="U434" s="321"/>
      <c r="V434" s="321"/>
      <c r="W434" s="321"/>
      <c r="X434" s="321"/>
      <c r="Y434" s="321"/>
    </row>
    <row r="435" spans="1:25" x14ac:dyDescent="0.2">
      <c r="A435" s="1" t="str">
        <v>AF total</v>
      </c>
      <c r="B435" s="3"/>
      <c r="C435" s="28">
        <f ca="1"/>
        <v>4259453.732412125</v>
      </c>
      <c r="D435" s="28">
        <f ca="1"/>
        <v>4625000.5678760037</v>
      </c>
      <c r="E435" s="28">
        <f ca="1"/>
        <v>9529459.8082020823</v>
      </c>
      <c r="F435" s="28">
        <f ca="1"/>
        <v>19306950.512276758</v>
      </c>
      <c r="G435" s="28">
        <f ca="1"/>
        <v>28485016.296664461</v>
      </c>
      <c r="H435" s="28">
        <f ca="1"/>
        <v>27852924.863350242</v>
      </c>
      <c r="I435" s="28">
        <f ca="1"/>
        <v>24196519.269932903</v>
      </c>
      <c r="J435" s="28">
        <f ca="1"/>
        <v>18465011.389993943</v>
      </c>
      <c r="K435" s="28">
        <f ca="1"/>
        <v>14651443.1774968</v>
      </c>
      <c r="L435" s="28">
        <f ca="1"/>
        <v>5416249.9103449853</v>
      </c>
      <c r="M435" s="40">
        <f ca="1">_xll.RiskOutput(,"EU total",7)+SUM(C435:L435)</f>
        <v>156788029.5285503</v>
      </c>
      <c r="N435" s="1" t="str">
        <v>$M(2015)</v>
      </c>
      <c r="O435" s="329">
        <v>180542119.58000001</v>
      </c>
      <c r="P435" s="321"/>
      <c r="Q435" s="321"/>
      <c r="R435" s="321"/>
      <c r="S435" s="321"/>
      <c r="T435" s="321"/>
      <c r="U435" s="321"/>
      <c r="V435" s="321"/>
      <c r="W435" s="321"/>
      <c r="X435" s="321"/>
      <c r="Y435" s="321"/>
    </row>
    <row r="436" spans="1:25" x14ac:dyDescent="0.2">
      <c r="A436" s="1" t="str">
        <v>LA total</v>
      </c>
      <c r="B436" s="3"/>
      <c r="C436" s="28">
        <f ca="1"/>
        <v>1895891.5025238541</v>
      </c>
      <c r="D436" s="28">
        <f ca="1"/>
        <v>1727475.7509052928</v>
      </c>
      <c r="E436" s="28">
        <f ca="1"/>
        <v>3336041.1505394853</v>
      </c>
      <c r="F436" s="28">
        <f ca="1"/>
        <v>5943698.7187738055</v>
      </c>
      <c r="G436" s="28">
        <f ca="1"/>
        <v>7506975.8587971283</v>
      </c>
      <c r="H436" s="28">
        <f ca="1"/>
        <v>6628738.6647157455</v>
      </c>
      <c r="I436" s="28">
        <f ca="1"/>
        <v>5738827.4832821628</v>
      </c>
      <c r="J436" s="28">
        <f ca="1"/>
        <v>4042696.270705862</v>
      </c>
      <c r="K436" s="28">
        <f ca="1"/>
        <v>3048123.1946710539</v>
      </c>
      <c r="L436" s="28">
        <f ca="1"/>
        <v>1092137.3619575081</v>
      </c>
      <c r="M436" s="40">
        <f ca="1">_xll.RiskOutput(,"EU total",8)+SUM(C436:L436)</f>
        <v>40960605.956871897</v>
      </c>
      <c r="N436" s="1" t="str">
        <v>$M(2015)</v>
      </c>
      <c r="O436" s="329">
        <v>46578572.689999998</v>
      </c>
      <c r="P436" s="321"/>
      <c r="Q436" s="321"/>
      <c r="R436" s="321"/>
      <c r="S436" s="321"/>
      <c r="T436" s="321"/>
      <c r="U436" s="321"/>
      <c r="V436" s="321"/>
      <c r="W436" s="321"/>
      <c r="X436" s="321"/>
      <c r="Y436" s="321"/>
    </row>
    <row r="437" spans="1:25" x14ac:dyDescent="0.2">
      <c r="A437" s="2" t="s">
        <v>255</v>
      </c>
      <c r="B437" s="2"/>
      <c r="C437" s="40">
        <f ca="1">_xll.RiskOutput(,A437,1)+SUM(C429:C436)</f>
        <v>22684814.569437355</v>
      </c>
      <c r="D437" s="40">
        <f ca="1">_xll.RiskOutput(,A437,2)+SUM(D429:D436)</f>
        <v>20448473.90707713</v>
      </c>
      <c r="E437" s="40">
        <f ca="1">_xll.RiskOutput(,A437,3)+SUM(E429:E436)</f>
        <v>37428674.221878581</v>
      </c>
      <c r="F437" s="40">
        <f ca="1">_xll.RiskOutput(,A437,4)+SUM(F429:F436)</f>
        <v>69740111.553389072</v>
      </c>
      <c r="G437" s="40">
        <f ca="1">_xll.RiskOutput(,A437,5)+SUM(G429:G436)</f>
        <v>96293104.60747692</v>
      </c>
      <c r="H437" s="40">
        <f ca="1">_xll.RiskOutput(,A437,6)+SUM(H429:H436)</f>
        <v>87052890.920175895</v>
      </c>
      <c r="I437" s="40">
        <f ca="1">_xll.RiskOutput(,A437,7)+SUM(I429:I436)</f>
        <v>74997585.788472101</v>
      </c>
      <c r="J437" s="40">
        <f ca="1">_xll.RiskOutput(,A437,8)+SUM(J429:J436)</f>
        <v>56517847.620536558</v>
      </c>
      <c r="K437" s="40">
        <f ca="1">_xll.RiskOutput(,A437,9)+SUM(K429:K436)</f>
        <v>43660121.103426315</v>
      </c>
      <c r="L437" s="40">
        <f ca="1">_xll.RiskOutput(,A437,10)+SUM(L429:L436)</f>
        <v>15872842.774971884</v>
      </c>
      <c r="M437" s="40">
        <f ca="1">_xll.RiskOutput(,"EU total",9)+SUM(M429:M436)</f>
        <v>524696467.06684172</v>
      </c>
      <c r="N437" s="1" t="str">
        <v>$M(2015)</v>
      </c>
      <c r="O437" s="329">
        <v>618485043.19000006</v>
      </c>
    </row>
    <row r="438" spans="1:25" ht="13.5" thickBot="1" x14ac:dyDescent="0.25">
      <c r="A438" s="2" t="s">
        <v>87</v>
      </c>
      <c r="B438" s="2"/>
      <c r="M438" s="42">
        <f ca="1">MIN(addt_gt,CIV_VALUE)</f>
        <v>524696467.06684172</v>
      </c>
      <c r="N438" s="1" t="str">
        <f>CURRENCY_NAME</f>
        <v>$M(2015)</v>
      </c>
    </row>
    <row r="439" spans="1:25" ht="13.5" thickTop="1" x14ac:dyDescent="0.2"/>
    <row r="440" spans="1:25" x14ac:dyDescent="0.2">
      <c r="A440" s="2" t="s">
        <v>588</v>
      </c>
      <c r="B440" s="7"/>
      <c r="C440" s="37">
        <f t="array" aca="1" ref="C440:L440" ca="1">DF*((CONS_PER_CAP_FOCUS/CONS_PER_CAP_FOCUS_0)^-EMUC)*OCCUR_SCC</f>
        <v>0.84425149205787831</v>
      </c>
      <c r="D440" s="37">
        <f ca="1"/>
        <v>0</v>
      </c>
      <c r="E440" s="37">
        <f ca="1"/>
        <v>0</v>
      </c>
      <c r="F440" s="37">
        <f ca="1"/>
        <v>0</v>
      </c>
      <c r="G440" s="37">
        <f ca="1"/>
        <v>0</v>
      </c>
      <c r="H440" s="37">
        <f ca="1"/>
        <v>0</v>
      </c>
      <c r="I440" s="37">
        <f ca="1"/>
        <v>0</v>
      </c>
      <c r="J440" s="37">
        <f ca="1"/>
        <v>0</v>
      </c>
      <c r="K440" s="37">
        <f ca="1"/>
        <v>0</v>
      </c>
      <c r="L440" s="37">
        <f ca="1"/>
        <v>0</v>
      </c>
      <c r="M440" s="85">
        <f ca="1">SUM(C440:L440)</f>
        <v>0.84425149205787831</v>
      </c>
    </row>
    <row r="442" spans="1:25" ht="13.5" thickBot="1" x14ac:dyDescent="0.25">
      <c r="A442" s="2" t="s">
        <v>413</v>
      </c>
      <c r="M442" s="42">
        <f ca="1">td/UDFT</f>
        <v>621493088.25961864</v>
      </c>
      <c r="N442" s="1" t="str">
        <f>CURRENCY_NAME</f>
        <v>$M(2015)</v>
      </c>
    </row>
    <row r="443" spans="1:25" ht="14.25" thickTop="1" thickBot="1" x14ac:dyDescent="0.25">
      <c r="A443" s="2" t="s">
        <v>415</v>
      </c>
      <c r="M443" s="42">
        <f>IF(DROP = 0, 0, tdu/DROP)</f>
        <v>0</v>
      </c>
      <c r="N443" s="1" t="str">
        <f>CURRENCY_NAME</f>
        <v>$M(2015)</v>
      </c>
      <c r="O443" t="s">
        <v>414</v>
      </c>
    </row>
    <row r="444" spans="1:25" ht="13.5" thickTop="1" x14ac:dyDescent="0.2">
      <c r="A444" s="2"/>
      <c r="M444" s="1"/>
      <c r="N444" s="1"/>
    </row>
  </sheetData>
  <phoneticPr fontId="0" type="noConversion"/>
  <conditionalFormatting sqref="O126 C417:L417 M429:M436 P429:Y436 C437:M437">
    <cfRule type="expression" dxfId="4" priority="3" stopIfTrue="1">
      <formula>RiskIsOutput</formula>
    </cfRule>
  </conditionalFormatting>
  <conditionalFormatting sqref="P409:Y416">
    <cfRule type="expression" dxfId="3" priority="1" stopIfTrue="1">
      <formula>RiskIsOutput</formula>
    </cfRule>
  </conditionalFormatting>
  <pageMargins left="0.75" right="0.75" top="1" bottom="1" header="0.5" footer="0.5"/>
  <pageSetup paperSize="9" orientation="portrait" horizontalDpi="360" r:id="rId1"/>
  <headerFooter alignWithMargins="0"/>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
  <sheetViews>
    <sheetView workbookViewId="0"/>
  </sheetViews>
  <sheetFormatPr defaultColWidth="25.7109375" defaultRowHeight="12.75" x14ac:dyDescent="0.2"/>
  <sheetData>
    <row r="1" spans="1:24" x14ac:dyDescent="0.2">
      <c r="A1" t="s">
        <v>1098</v>
      </c>
      <c r="B1" t="s">
        <v>1099</v>
      </c>
    </row>
    <row r="2" spans="1:24" x14ac:dyDescent="0.2">
      <c r="A2" t="s">
        <v>1100</v>
      </c>
      <c r="B2">
        <v>4</v>
      </c>
    </row>
    <row r="3" spans="1:24" x14ac:dyDescent="0.2">
      <c r="A3" t="s">
        <v>1101</v>
      </c>
      <c r="B3">
        <v>0</v>
      </c>
    </row>
    <row r="5" spans="1:24" x14ac:dyDescent="0.2">
      <c r="A5" t="s">
        <v>1102</v>
      </c>
      <c r="B5" t="s">
        <v>1103</v>
      </c>
      <c r="C5" t="s">
        <v>1104</v>
      </c>
      <c r="D5" t="s">
        <v>1105</v>
      </c>
      <c r="E5" t="s">
        <v>1106</v>
      </c>
      <c r="F5" t="s">
        <v>1107</v>
      </c>
      <c r="J5" t="s">
        <v>1108</v>
      </c>
      <c r="K5" t="s">
        <v>1109</v>
      </c>
      <c r="L5" t="s">
        <v>1110</v>
      </c>
      <c r="N5" t="s">
        <v>1111</v>
      </c>
      <c r="O5" t="s">
        <v>1112</v>
      </c>
      <c r="P5" t="s">
        <v>1113</v>
      </c>
      <c r="R5" t="s">
        <v>1114</v>
      </c>
      <c r="S5" t="s">
        <v>1115</v>
      </c>
      <c r="T5" t="s">
        <v>1116</v>
      </c>
      <c r="V5" t="s">
        <v>1117</v>
      </c>
      <c r="W5" t="s">
        <v>1118</v>
      </c>
      <c r="X5" t="s">
        <v>1119</v>
      </c>
    </row>
    <row r="6" spans="1:24" x14ac:dyDescent="0.2">
      <c r="A6" t="e">
        <f ca="1">ModelRef('Impacts A'!$H$417,1,0,0)</f>
        <v>#NAME?</v>
      </c>
      <c r="B6">
        <v>0</v>
      </c>
      <c r="C6">
        <v>3</v>
      </c>
      <c r="F6">
        <v>0</v>
      </c>
      <c r="J6" t="b">
        <v>1</v>
      </c>
      <c r="K6" t="s">
        <v>1120</v>
      </c>
      <c r="L6" t="e">
        <f ca="1">ModelRef('Impacts A'!$H$417,1,0,0)</f>
        <v>#NAME?</v>
      </c>
    </row>
  </sheetData>
  <phoneticPr fontId="2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AA443"/>
  <sheetViews>
    <sheetView tabSelected="1" topLeftCell="J362" zoomScale="145" zoomScaleNormal="145" workbookViewId="0">
      <selection activeCell="AA390" sqref="AA390"/>
    </sheetView>
  </sheetViews>
  <sheetFormatPr defaultRowHeight="12.75" x14ac:dyDescent="0.2"/>
  <cols>
    <col min="1" max="1" width="17.85546875" bestFit="1" customWidth="1"/>
    <col min="2" max="2" width="12.5703125" customWidth="1"/>
    <col min="3" max="3" width="10.140625" bestFit="1" customWidth="1"/>
    <col min="4" max="6" width="9.85546875" bestFit="1" customWidth="1"/>
    <col min="7" max="10" width="10.85546875" bestFit="1" customWidth="1"/>
    <col min="11" max="12" width="11.5703125" bestFit="1" customWidth="1"/>
    <col min="13" max="13" width="11.5703125" customWidth="1"/>
    <col min="14" max="14" width="8.85546875" bestFit="1" customWidth="1"/>
    <col min="17" max="17" width="10.7109375" bestFit="1" customWidth="1"/>
    <col min="27" max="27" width="17.140625" customWidth="1"/>
  </cols>
  <sheetData>
    <row r="1" spans="1:4" x14ac:dyDescent="0.2">
      <c r="A1" s="2" t="str">
        <f>MODEL_NAME</f>
        <v>PAGE-ICE Nonlinear Arctic Feedbacks</v>
      </c>
      <c r="B1" s="2"/>
      <c r="C1" t="s">
        <v>37</v>
      </c>
      <c r="D1" s="51" t="str">
        <f>VERSION</f>
        <v>6.22</v>
      </c>
    </row>
    <row r="2" spans="1:4" s="3" customFormat="1" x14ac:dyDescent="0.2"/>
    <row r="3" spans="1:4" s="3" customFormat="1" x14ac:dyDescent="0.2">
      <c r="A3" s="3" t="s">
        <v>692</v>
      </c>
      <c r="C3"/>
    </row>
    <row r="4" spans="1:4" s="3" customFormat="1" x14ac:dyDescent="0.2"/>
    <row r="5" spans="1:4" x14ac:dyDescent="0.2">
      <c r="A5" s="1"/>
      <c r="C5" s="124" t="s">
        <v>712</v>
      </c>
    </row>
    <row r="6" spans="1:4" x14ac:dyDescent="0.2">
      <c r="A6" s="1"/>
      <c r="C6" s="124"/>
    </row>
    <row r="7" spans="1:4" x14ac:dyDescent="0.2">
      <c r="A7" s="1"/>
    </row>
    <row r="8" spans="1:4" x14ac:dyDescent="0.2">
      <c r="A8" s="1"/>
    </row>
    <row r="9" spans="1:4" x14ac:dyDescent="0.2">
      <c r="A9" s="1"/>
    </row>
    <row r="10" spans="1:4" x14ac:dyDescent="0.2">
      <c r="A10" s="1"/>
    </row>
    <row r="11" spans="1:4" x14ac:dyDescent="0.2">
      <c r="A11" s="1"/>
    </row>
    <row r="12" spans="1:4" x14ac:dyDescent="0.2">
      <c r="A12" s="1"/>
    </row>
    <row r="13" spans="1:4" x14ac:dyDescent="0.2">
      <c r="A13" s="3" t="s">
        <v>688</v>
      </c>
    </row>
    <row r="15" spans="1:4" x14ac:dyDescent="0.2">
      <c r="C15" s="124" t="s">
        <v>712</v>
      </c>
    </row>
    <row r="26" spans="1:14" x14ac:dyDescent="0.2">
      <c r="B26">
        <f>Y_0</f>
        <v>2015</v>
      </c>
      <c r="C26">
        <f t="array" ref="C26:L26">Y</f>
        <v>2020</v>
      </c>
      <c r="D26">
        <v>2025</v>
      </c>
      <c r="E26">
        <v>2030</v>
      </c>
      <c r="F26">
        <v>2040</v>
      </c>
      <c r="G26">
        <v>2050</v>
      </c>
      <c r="H26">
        <v>2060</v>
      </c>
      <c r="I26">
        <v>2070</v>
      </c>
      <c r="J26">
        <v>2080</v>
      </c>
      <c r="K26">
        <v>2090</v>
      </c>
      <c r="L26">
        <v>2100</v>
      </c>
    </row>
    <row r="27" spans="1:14" s="4" customFormat="1" x14ac:dyDescent="0.2">
      <c r="A27" s="4" t="s">
        <v>57</v>
      </c>
      <c r="C27" s="12">
        <f t="array" ref="C27:L27">YP</f>
        <v>5</v>
      </c>
      <c r="D27" s="12">
        <v>5</v>
      </c>
      <c r="E27" s="12">
        <v>5</v>
      </c>
      <c r="F27" s="12">
        <v>10</v>
      </c>
      <c r="G27" s="12">
        <v>10</v>
      </c>
      <c r="H27" s="12">
        <v>10</v>
      </c>
      <c r="I27" s="12">
        <v>10</v>
      </c>
      <c r="J27" s="12">
        <v>10</v>
      </c>
      <c r="K27" s="12">
        <v>10</v>
      </c>
      <c r="L27" s="12">
        <v>10</v>
      </c>
      <c r="N27" s="4" t="s">
        <v>39</v>
      </c>
    </row>
    <row r="28" spans="1:14" s="4" customFormat="1" x14ac:dyDescent="0.2">
      <c r="A28" s="4" t="s">
        <v>82</v>
      </c>
      <c r="C28" s="14">
        <f t="array" ref="C28:K28">(Y+Y_NOT_1)/2</f>
        <v>2022.5</v>
      </c>
      <c r="D28" s="14">
        <v>2027.5</v>
      </c>
      <c r="E28" s="14">
        <v>2035</v>
      </c>
      <c r="F28" s="14">
        <v>2045</v>
      </c>
      <c r="G28" s="14">
        <v>2055</v>
      </c>
      <c r="H28" s="14">
        <v>2065</v>
      </c>
      <c r="I28" s="14">
        <v>2075</v>
      </c>
      <c r="J28" s="14">
        <v>2085</v>
      </c>
      <c r="K28" s="14">
        <v>2095</v>
      </c>
      <c r="L28" s="14">
        <f>Y_LAST</f>
        <v>2100</v>
      </c>
    </row>
    <row r="29" spans="1:14" s="4" customFormat="1" x14ac:dyDescent="0.2">
      <c r="A29" s="4" t="s">
        <v>83</v>
      </c>
      <c r="C29" s="14">
        <f>Y_0</f>
        <v>2015</v>
      </c>
      <c r="D29" s="14">
        <f t="array" ref="D29:L29">(Y+Y_NOT_1)/2</f>
        <v>2022.5</v>
      </c>
      <c r="E29" s="14">
        <v>2027.5</v>
      </c>
      <c r="F29" s="14">
        <v>2035</v>
      </c>
      <c r="G29" s="14">
        <v>2045</v>
      </c>
      <c r="H29" s="14">
        <v>2055</v>
      </c>
      <c r="I29" s="14">
        <v>2065</v>
      </c>
      <c r="J29" s="14">
        <v>2075</v>
      </c>
      <c r="K29" s="14">
        <v>2085</v>
      </c>
      <c r="L29" s="14">
        <v>2095</v>
      </c>
    </row>
    <row r="30" spans="1:14" s="4" customFormat="1" ht="13.5" thickBot="1" x14ac:dyDescent="0.25">
      <c r="A30" s="4" t="s">
        <v>81</v>
      </c>
      <c r="C30" s="35">
        <f t="array" ref="C30:L30">Y_HI-Y_LO</f>
        <v>7.5</v>
      </c>
      <c r="D30" s="35">
        <v>5</v>
      </c>
      <c r="E30" s="35">
        <v>7.5</v>
      </c>
      <c r="F30" s="35">
        <v>10</v>
      </c>
      <c r="G30" s="35">
        <v>10</v>
      </c>
      <c r="H30" s="35">
        <v>10</v>
      </c>
      <c r="I30" s="35">
        <v>10</v>
      </c>
      <c r="J30" s="35">
        <v>10</v>
      </c>
      <c r="K30" s="35">
        <v>10</v>
      </c>
      <c r="L30" s="35">
        <v>5</v>
      </c>
      <c r="N30" s="4" t="s">
        <v>39</v>
      </c>
    </row>
    <row r="31" spans="1:14" s="4" customFormat="1" ht="13.5" thickTop="1" x14ac:dyDescent="0.2"/>
    <row r="32" spans="1:14" x14ac:dyDescent="0.2">
      <c r="A32" s="2" t="s">
        <v>77</v>
      </c>
      <c r="B32" s="2"/>
    </row>
    <row r="33" spans="1:14" ht="15.75" x14ac:dyDescent="0.3">
      <c r="C33" s="3" t="s">
        <v>201</v>
      </c>
    </row>
    <row r="34" spans="1:14" x14ac:dyDescent="0.2">
      <c r="A34" t="str">
        <f t="array" ref="A34:A41">R_CODE&amp;" sea level"</f>
        <v>EU sea level</v>
      </c>
      <c r="C34" s="13">
        <f t="array" ref="C34:L41">IF(Y-pstart_s_b&lt;0,0,IF(((Y-pstart_s_b)/pyears_s_b)&lt;1,((Y-pstart_s_b)/pyears_s_b)*plateau_s_b,plateau_s_b))</f>
        <v>0.1</v>
      </c>
      <c r="D34" s="13">
        <v>0.125</v>
      </c>
      <c r="E34" s="13">
        <v>0.15</v>
      </c>
      <c r="F34" s="13">
        <v>0.2</v>
      </c>
      <c r="G34" s="13">
        <v>0.25</v>
      </c>
      <c r="H34" s="13">
        <v>0.25</v>
      </c>
      <c r="I34" s="13">
        <v>0.25</v>
      </c>
      <c r="J34" s="13">
        <v>0.25</v>
      </c>
      <c r="K34" s="13">
        <v>0.25</v>
      </c>
      <c r="L34" s="13">
        <v>0.25</v>
      </c>
      <c r="N34" s="59" t="s">
        <v>180</v>
      </c>
    </row>
    <row r="35" spans="1:14" x14ac:dyDescent="0.2">
      <c r="A35" t="str">
        <v>US sea level</v>
      </c>
      <c r="C35" s="13">
        <v>0.1</v>
      </c>
      <c r="D35" s="13">
        <v>0.125</v>
      </c>
      <c r="E35" s="13">
        <v>0.15</v>
      </c>
      <c r="F35" s="13">
        <v>0.2</v>
      </c>
      <c r="G35" s="13">
        <v>0.25</v>
      </c>
      <c r="H35" s="13">
        <v>0.25</v>
      </c>
      <c r="I35" s="13">
        <v>0.25</v>
      </c>
      <c r="J35" s="13">
        <v>0.25</v>
      </c>
      <c r="K35" s="13">
        <v>0.25</v>
      </c>
      <c r="L35" s="13">
        <v>0.25</v>
      </c>
      <c r="N35" s="59" t="s">
        <v>180</v>
      </c>
    </row>
    <row r="36" spans="1:14" x14ac:dyDescent="0.2">
      <c r="A36" t="str">
        <v>OT sea level</v>
      </c>
      <c r="C36" s="13">
        <v>0.1</v>
      </c>
      <c r="D36" s="13">
        <v>0.125</v>
      </c>
      <c r="E36" s="13">
        <v>0.15</v>
      </c>
      <c r="F36" s="13">
        <v>0.2</v>
      </c>
      <c r="G36" s="13">
        <v>0.25</v>
      </c>
      <c r="H36" s="13">
        <v>0.25</v>
      </c>
      <c r="I36" s="13">
        <v>0.25</v>
      </c>
      <c r="J36" s="13">
        <v>0.25</v>
      </c>
      <c r="K36" s="13">
        <v>0.25</v>
      </c>
      <c r="L36" s="13">
        <v>0.25</v>
      </c>
      <c r="N36" s="59" t="s">
        <v>180</v>
      </c>
    </row>
    <row r="37" spans="1:14" x14ac:dyDescent="0.2">
      <c r="A37" t="str">
        <v>EE sea level</v>
      </c>
      <c r="C37" s="13">
        <v>0.1</v>
      </c>
      <c r="D37" s="13">
        <v>0.125</v>
      </c>
      <c r="E37" s="13">
        <v>0.15</v>
      </c>
      <c r="F37" s="13">
        <v>0.2</v>
      </c>
      <c r="G37" s="13">
        <v>0.25</v>
      </c>
      <c r="H37" s="13">
        <v>0.25</v>
      </c>
      <c r="I37" s="13">
        <v>0.25</v>
      </c>
      <c r="J37" s="13">
        <v>0.25</v>
      </c>
      <c r="K37" s="13">
        <v>0.25</v>
      </c>
      <c r="L37" s="13">
        <v>0.25</v>
      </c>
      <c r="N37" s="59" t="s">
        <v>180</v>
      </c>
    </row>
    <row r="38" spans="1:14" x14ac:dyDescent="0.2">
      <c r="A38" t="str">
        <v>CA sea level</v>
      </c>
      <c r="C38" s="13">
        <v>5.3333333333333337E-2</v>
      </c>
      <c r="D38" s="13">
        <v>6.6666666666666666E-2</v>
      </c>
      <c r="E38" s="13">
        <v>8.0000000000000016E-2</v>
      </c>
      <c r="F38" s="13">
        <v>0.10666666666666667</v>
      </c>
      <c r="G38" s="13">
        <v>0.13333333333333333</v>
      </c>
      <c r="H38" s="13">
        <v>0.16000000000000003</v>
      </c>
      <c r="I38" s="13">
        <v>0.18666666666666668</v>
      </c>
      <c r="J38" s="13">
        <v>0.2</v>
      </c>
      <c r="K38" s="13">
        <v>0.2</v>
      </c>
      <c r="L38" s="13">
        <v>0.2</v>
      </c>
      <c r="N38" s="59" t="s">
        <v>180</v>
      </c>
    </row>
    <row r="39" spans="1:14" x14ac:dyDescent="0.2">
      <c r="A39" t="str">
        <v>IA sea level</v>
      </c>
      <c r="C39" s="13">
        <v>5.3333333333333337E-2</v>
      </c>
      <c r="D39" s="13">
        <v>6.6666666666666666E-2</v>
      </c>
      <c r="E39" s="13">
        <v>8.0000000000000016E-2</v>
      </c>
      <c r="F39" s="13">
        <v>0.10666666666666667</v>
      </c>
      <c r="G39" s="13">
        <v>0.13333333333333333</v>
      </c>
      <c r="H39" s="13">
        <v>0.16000000000000003</v>
      </c>
      <c r="I39" s="13">
        <v>0.18666666666666668</v>
      </c>
      <c r="J39" s="13">
        <v>0.2</v>
      </c>
      <c r="K39" s="13">
        <v>0.2</v>
      </c>
      <c r="L39" s="13">
        <v>0.2</v>
      </c>
      <c r="N39" s="59" t="s">
        <v>180</v>
      </c>
    </row>
    <row r="40" spans="1:14" x14ac:dyDescent="0.2">
      <c r="A40" t="str">
        <v>AF sea level</v>
      </c>
      <c r="C40" s="13">
        <v>5.3333333333333337E-2</v>
      </c>
      <c r="D40" s="13">
        <v>6.6666666666666666E-2</v>
      </c>
      <c r="E40" s="13">
        <v>8.0000000000000016E-2</v>
      </c>
      <c r="F40" s="13">
        <v>0.10666666666666667</v>
      </c>
      <c r="G40" s="13">
        <v>0.13333333333333333</v>
      </c>
      <c r="H40" s="13">
        <v>0.16000000000000003</v>
      </c>
      <c r="I40" s="13">
        <v>0.18666666666666668</v>
      </c>
      <c r="J40" s="13">
        <v>0.2</v>
      </c>
      <c r="K40" s="13">
        <v>0.2</v>
      </c>
      <c r="L40" s="13">
        <v>0.2</v>
      </c>
      <c r="N40" s="59" t="s">
        <v>180</v>
      </c>
    </row>
    <row r="41" spans="1:14" x14ac:dyDescent="0.2">
      <c r="A41" t="str">
        <v>LA sea level</v>
      </c>
      <c r="C41" s="13">
        <v>5.3333333333333337E-2</v>
      </c>
      <c r="D41" s="13">
        <v>6.6666666666666666E-2</v>
      </c>
      <c r="E41" s="13">
        <v>8.0000000000000016E-2</v>
      </c>
      <c r="F41" s="13">
        <v>0.10666666666666667</v>
      </c>
      <c r="G41" s="13">
        <v>0.13333333333333333</v>
      </c>
      <c r="H41" s="13">
        <v>0.16000000000000003</v>
      </c>
      <c r="I41" s="13">
        <v>0.18666666666666668</v>
      </c>
      <c r="J41" s="13">
        <v>0.2</v>
      </c>
      <c r="K41" s="13">
        <v>0.2</v>
      </c>
      <c r="L41" s="13">
        <v>0.2</v>
      </c>
      <c r="N41" s="59" t="s">
        <v>180</v>
      </c>
    </row>
    <row r="42" spans="1:14" ht="15.75" x14ac:dyDescent="0.3">
      <c r="C42" t="s">
        <v>78</v>
      </c>
    </row>
    <row r="43" spans="1:14" x14ac:dyDescent="0.2">
      <c r="A43" t="str">
        <f t="array" ref="A43:A50">R_CODE&amp;" "&amp;I_1_NAME</f>
        <v>EU Economic</v>
      </c>
      <c r="C43" s="13">
        <f t="array" ref="C43:L50">IF(Y-pstart_1_b&lt;0,0,IF(((Y-pstart_1_b)/pyears_1_b)&lt;1,((Y-pstart_1_b)/pyears_1_b)*plateau_1_b,plateau_1_b))</f>
        <v>0</v>
      </c>
      <c r="D43" s="13">
        <v>0</v>
      </c>
      <c r="E43" s="13">
        <v>0</v>
      </c>
      <c r="F43" s="13">
        <v>0</v>
      </c>
      <c r="G43" s="13">
        <v>0</v>
      </c>
      <c r="H43" s="13">
        <v>0</v>
      </c>
      <c r="I43" s="13">
        <v>0</v>
      </c>
      <c r="J43" s="13">
        <v>0</v>
      </c>
      <c r="K43" s="13">
        <v>0</v>
      </c>
      <c r="L43" s="13">
        <v>0</v>
      </c>
      <c r="N43" s="59" t="s">
        <v>41</v>
      </c>
    </row>
    <row r="44" spans="1:14" x14ac:dyDescent="0.2">
      <c r="A44" t="str">
        <v>US Economic</v>
      </c>
      <c r="C44" s="13">
        <v>0</v>
      </c>
      <c r="D44" s="13">
        <v>0</v>
      </c>
      <c r="E44" s="13">
        <v>0</v>
      </c>
      <c r="F44" s="13">
        <v>0</v>
      </c>
      <c r="G44" s="13">
        <v>0</v>
      </c>
      <c r="H44" s="13">
        <v>0</v>
      </c>
      <c r="I44" s="13">
        <v>0</v>
      </c>
      <c r="J44" s="13">
        <v>0</v>
      </c>
      <c r="K44" s="13">
        <v>0</v>
      </c>
      <c r="L44" s="13">
        <v>0</v>
      </c>
      <c r="N44" s="59" t="s">
        <v>41</v>
      </c>
    </row>
    <row r="45" spans="1:14" x14ac:dyDescent="0.2">
      <c r="A45" t="str">
        <v>OT Economic</v>
      </c>
      <c r="C45" s="13">
        <v>0</v>
      </c>
      <c r="D45" s="13">
        <v>0</v>
      </c>
      <c r="E45" s="13">
        <v>0</v>
      </c>
      <c r="F45" s="13">
        <v>0</v>
      </c>
      <c r="G45" s="13">
        <v>0</v>
      </c>
      <c r="H45" s="13">
        <v>0</v>
      </c>
      <c r="I45" s="13">
        <v>0</v>
      </c>
      <c r="J45" s="13">
        <v>0</v>
      </c>
      <c r="K45" s="13">
        <v>0</v>
      </c>
      <c r="L45" s="13">
        <v>0</v>
      </c>
      <c r="N45" s="59" t="s">
        <v>41</v>
      </c>
    </row>
    <row r="46" spans="1:14" x14ac:dyDescent="0.2">
      <c r="A46" t="str">
        <v>EE Economic</v>
      </c>
      <c r="C46" s="13">
        <v>0</v>
      </c>
      <c r="D46" s="13">
        <v>0</v>
      </c>
      <c r="E46" s="13">
        <v>0</v>
      </c>
      <c r="F46" s="13">
        <v>0</v>
      </c>
      <c r="G46" s="13">
        <v>0</v>
      </c>
      <c r="H46" s="13">
        <v>0</v>
      </c>
      <c r="I46" s="13">
        <v>0</v>
      </c>
      <c r="J46" s="13">
        <v>0</v>
      </c>
      <c r="K46" s="13">
        <v>0</v>
      </c>
      <c r="L46" s="13">
        <v>0</v>
      </c>
      <c r="N46" s="59" t="s">
        <v>41</v>
      </c>
    </row>
    <row r="47" spans="1:14" x14ac:dyDescent="0.2">
      <c r="A47" t="str">
        <v>CA Economic</v>
      </c>
      <c r="C47" s="13">
        <v>0</v>
      </c>
      <c r="D47" s="13">
        <v>0</v>
      </c>
      <c r="E47" s="13">
        <v>0</v>
      </c>
      <c r="F47" s="13">
        <v>0</v>
      </c>
      <c r="G47" s="13">
        <v>0</v>
      </c>
      <c r="H47" s="13">
        <v>0</v>
      </c>
      <c r="I47" s="13">
        <v>0</v>
      </c>
      <c r="J47" s="13">
        <v>0</v>
      </c>
      <c r="K47" s="13">
        <v>0</v>
      </c>
      <c r="L47" s="13">
        <v>0</v>
      </c>
      <c r="N47" s="59" t="s">
        <v>41</v>
      </c>
    </row>
    <row r="48" spans="1:14" x14ac:dyDescent="0.2">
      <c r="A48" t="str">
        <v>IA Economic</v>
      </c>
      <c r="C48" s="13">
        <v>0</v>
      </c>
      <c r="D48" s="13">
        <v>0</v>
      </c>
      <c r="E48" s="13">
        <v>0</v>
      </c>
      <c r="F48" s="13">
        <v>0</v>
      </c>
      <c r="G48" s="13">
        <v>0</v>
      </c>
      <c r="H48" s="13">
        <v>0</v>
      </c>
      <c r="I48" s="13">
        <v>0</v>
      </c>
      <c r="J48" s="13">
        <v>0</v>
      </c>
      <c r="K48" s="13">
        <v>0</v>
      </c>
      <c r="L48" s="13">
        <v>0</v>
      </c>
      <c r="N48" s="59" t="s">
        <v>41</v>
      </c>
    </row>
    <row r="49" spans="1:14" x14ac:dyDescent="0.2">
      <c r="A49" t="str">
        <v>AF Economic</v>
      </c>
      <c r="C49" s="13">
        <v>0</v>
      </c>
      <c r="D49" s="13">
        <v>0</v>
      </c>
      <c r="E49" s="13">
        <v>0</v>
      </c>
      <c r="F49" s="13">
        <v>0</v>
      </c>
      <c r="G49" s="13">
        <v>0</v>
      </c>
      <c r="H49" s="13">
        <v>0</v>
      </c>
      <c r="I49" s="13">
        <v>0</v>
      </c>
      <c r="J49" s="13">
        <v>0</v>
      </c>
      <c r="K49" s="13">
        <v>0</v>
      </c>
      <c r="L49" s="13">
        <v>0</v>
      </c>
      <c r="N49" s="59" t="s">
        <v>41</v>
      </c>
    </row>
    <row r="50" spans="1:14" x14ac:dyDescent="0.2">
      <c r="A50" t="str">
        <v>LA Economic</v>
      </c>
      <c r="C50" s="13">
        <v>0</v>
      </c>
      <c r="D50" s="13">
        <v>0</v>
      </c>
      <c r="E50" s="13">
        <v>0</v>
      </c>
      <c r="F50" s="13">
        <v>0</v>
      </c>
      <c r="G50" s="13">
        <v>0</v>
      </c>
      <c r="H50" s="13">
        <v>0</v>
      </c>
      <c r="I50" s="13">
        <v>0</v>
      </c>
      <c r="J50" s="13">
        <v>0</v>
      </c>
      <c r="K50" s="13">
        <v>0</v>
      </c>
      <c r="L50" s="13">
        <v>0</v>
      </c>
      <c r="N50" s="59" t="s">
        <v>41</v>
      </c>
    </row>
    <row r="51" spans="1:14" ht="15.75" x14ac:dyDescent="0.3">
      <c r="C51" t="s">
        <v>79</v>
      </c>
      <c r="N51" s="1"/>
    </row>
    <row r="52" spans="1:14" x14ac:dyDescent="0.2">
      <c r="A52" t="str">
        <f t="array" ref="A52:A59">R_CODE&amp;" "&amp;I_2_NAME</f>
        <v>EU Non-econ</v>
      </c>
      <c r="C52" s="13">
        <f t="array" ref="C52:L59">IF(Y-pstart_2_b&lt;0,0,IF(((Y-pstart_2_b)/pyears_2_b)&lt;1,((Y-pstart_2_b)/pyears_2_b)*plateau_2_b,plateau_2_b))</f>
        <v>0</v>
      </c>
      <c r="D52" s="13">
        <v>0</v>
      </c>
      <c r="E52" s="13">
        <v>0</v>
      </c>
      <c r="F52" s="13">
        <v>0</v>
      </c>
      <c r="G52" s="13">
        <v>0</v>
      </c>
      <c r="H52" s="13">
        <v>0</v>
      </c>
      <c r="I52" s="13">
        <v>0</v>
      </c>
      <c r="J52" s="13">
        <v>0</v>
      </c>
      <c r="K52" s="13">
        <v>0</v>
      </c>
      <c r="L52" s="13">
        <v>0</v>
      </c>
      <c r="N52" s="59" t="s">
        <v>41</v>
      </c>
    </row>
    <row r="53" spans="1:14" x14ac:dyDescent="0.2">
      <c r="A53" t="str">
        <v>US Non-econ</v>
      </c>
      <c r="C53" s="13">
        <v>0</v>
      </c>
      <c r="D53" s="13">
        <v>0</v>
      </c>
      <c r="E53" s="13">
        <v>0</v>
      </c>
      <c r="F53" s="13">
        <v>0</v>
      </c>
      <c r="G53" s="13">
        <v>0</v>
      </c>
      <c r="H53" s="13">
        <v>0</v>
      </c>
      <c r="I53" s="13">
        <v>0</v>
      </c>
      <c r="J53" s="13">
        <v>0</v>
      </c>
      <c r="K53" s="13">
        <v>0</v>
      </c>
      <c r="L53" s="13">
        <v>0</v>
      </c>
      <c r="N53" s="59" t="s">
        <v>41</v>
      </c>
    </row>
    <row r="54" spans="1:14" x14ac:dyDescent="0.2">
      <c r="A54" t="str">
        <v>OT Non-econ</v>
      </c>
      <c r="C54" s="13">
        <v>0</v>
      </c>
      <c r="D54" s="13">
        <v>0</v>
      </c>
      <c r="E54" s="13">
        <v>0</v>
      </c>
      <c r="F54" s="13">
        <v>0</v>
      </c>
      <c r="G54" s="13">
        <v>0</v>
      </c>
      <c r="H54" s="13">
        <v>0</v>
      </c>
      <c r="I54" s="13">
        <v>0</v>
      </c>
      <c r="J54" s="13">
        <v>0</v>
      </c>
      <c r="K54" s="13">
        <v>0</v>
      </c>
      <c r="L54" s="13">
        <v>0</v>
      </c>
      <c r="N54" s="59" t="s">
        <v>41</v>
      </c>
    </row>
    <row r="55" spans="1:14" x14ac:dyDescent="0.2">
      <c r="A55" t="str">
        <v>EE Non-econ</v>
      </c>
      <c r="C55" s="13">
        <v>0</v>
      </c>
      <c r="D55" s="13">
        <v>0</v>
      </c>
      <c r="E55" s="13">
        <v>0</v>
      </c>
      <c r="F55" s="13">
        <v>0</v>
      </c>
      <c r="G55" s="13">
        <v>0</v>
      </c>
      <c r="H55" s="13">
        <v>0</v>
      </c>
      <c r="I55" s="13">
        <v>0</v>
      </c>
      <c r="J55" s="13">
        <v>0</v>
      </c>
      <c r="K55" s="13">
        <v>0</v>
      </c>
      <c r="L55" s="13">
        <v>0</v>
      </c>
      <c r="N55" s="59" t="s">
        <v>41</v>
      </c>
    </row>
    <row r="56" spans="1:14" x14ac:dyDescent="0.2">
      <c r="A56" t="str">
        <v>CA Non-econ</v>
      </c>
      <c r="C56" s="13">
        <v>0</v>
      </c>
      <c r="D56" s="13">
        <v>0</v>
      </c>
      <c r="E56" s="13">
        <v>0</v>
      </c>
      <c r="F56" s="13">
        <v>0</v>
      </c>
      <c r="G56" s="13">
        <v>0</v>
      </c>
      <c r="H56" s="13">
        <v>0</v>
      </c>
      <c r="I56" s="13">
        <v>0</v>
      </c>
      <c r="J56" s="13">
        <v>0</v>
      </c>
      <c r="K56" s="13">
        <v>0</v>
      </c>
      <c r="L56" s="13">
        <v>0</v>
      </c>
      <c r="N56" s="59" t="s">
        <v>41</v>
      </c>
    </row>
    <row r="57" spans="1:14" x14ac:dyDescent="0.2">
      <c r="A57" t="str">
        <v>IA Non-econ</v>
      </c>
      <c r="C57" s="13">
        <v>0</v>
      </c>
      <c r="D57" s="13">
        <v>0</v>
      </c>
      <c r="E57" s="13">
        <v>0</v>
      </c>
      <c r="F57" s="13">
        <v>0</v>
      </c>
      <c r="G57" s="13">
        <v>0</v>
      </c>
      <c r="H57" s="13">
        <v>0</v>
      </c>
      <c r="I57" s="13">
        <v>0</v>
      </c>
      <c r="J57" s="13">
        <v>0</v>
      </c>
      <c r="K57" s="13">
        <v>0</v>
      </c>
      <c r="L57" s="13">
        <v>0</v>
      </c>
      <c r="N57" s="59" t="s">
        <v>41</v>
      </c>
    </row>
    <row r="58" spans="1:14" x14ac:dyDescent="0.2">
      <c r="A58" t="str">
        <v>AF Non-econ</v>
      </c>
      <c r="C58" s="13">
        <v>0</v>
      </c>
      <c r="D58" s="13">
        <v>0</v>
      </c>
      <c r="E58" s="13">
        <v>0</v>
      </c>
      <c r="F58" s="13">
        <v>0</v>
      </c>
      <c r="G58" s="13">
        <v>0</v>
      </c>
      <c r="H58" s="13">
        <v>0</v>
      </c>
      <c r="I58" s="13">
        <v>0</v>
      </c>
      <c r="J58" s="13">
        <v>0</v>
      </c>
      <c r="K58" s="13">
        <v>0</v>
      </c>
      <c r="L58" s="13">
        <v>0</v>
      </c>
      <c r="N58" s="59" t="s">
        <v>41</v>
      </c>
    </row>
    <row r="59" spans="1:14" x14ac:dyDescent="0.2">
      <c r="A59" t="str">
        <v>LA Non-econ</v>
      </c>
      <c r="C59" s="13">
        <v>0</v>
      </c>
      <c r="D59" s="13">
        <v>0</v>
      </c>
      <c r="E59" s="13">
        <v>0</v>
      </c>
      <c r="F59" s="13">
        <v>0</v>
      </c>
      <c r="G59" s="13">
        <v>0</v>
      </c>
      <c r="H59" s="13">
        <v>0</v>
      </c>
      <c r="I59" s="13">
        <v>0</v>
      </c>
      <c r="J59" s="13">
        <v>0</v>
      </c>
      <c r="K59" s="13">
        <v>0</v>
      </c>
      <c r="L59" s="13">
        <v>0</v>
      </c>
      <c r="N59" s="59" t="s">
        <v>41</v>
      </c>
    </row>
    <row r="60" spans="1:14" ht="15.75" x14ac:dyDescent="0.3">
      <c r="C60" s="63" t="s">
        <v>230</v>
      </c>
    </row>
    <row r="61" spans="1:14" x14ac:dyDescent="0.2">
      <c r="A61" t="str">
        <f t="array" ref="A61:A68">R_CODE&amp;" sea level"</f>
        <v>EU sea level</v>
      </c>
      <c r="C61" s="13">
        <f t="array" ref="C61:L68">IF(Y-istart_s_b&lt;0,0,IF(((Y-istart_s_b)/iyears_s_b)&lt;1,((Y-istart_s_b)/iyears_s_b)*impred_s_b,impred_s_b))</f>
        <v>0</v>
      </c>
      <c r="D61" s="13">
        <v>5</v>
      </c>
      <c r="E61" s="13">
        <v>10</v>
      </c>
      <c r="F61" s="13">
        <v>20</v>
      </c>
      <c r="G61" s="13">
        <v>30</v>
      </c>
      <c r="H61" s="13">
        <v>40</v>
      </c>
      <c r="I61" s="13">
        <v>50</v>
      </c>
      <c r="J61" s="13">
        <v>50</v>
      </c>
      <c r="K61" s="13">
        <v>50</v>
      </c>
      <c r="L61" s="13">
        <v>50</v>
      </c>
      <c r="N61" s="59" t="s">
        <v>38</v>
      </c>
    </row>
    <row r="62" spans="1:14" x14ac:dyDescent="0.2">
      <c r="A62" t="str">
        <v>US sea level</v>
      </c>
      <c r="C62" s="13">
        <v>0</v>
      </c>
      <c r="D62" s="13">
        <v>5</v>
      </c>
      <c r="E62" s="13">
        <v>10</v>
      </c>
      <c r="F62" s="13">
        <v>20</v>
      </c>
      <c r="G62" s="13">
        <v>30</v>
      </c>
      <c r="H62" s="13">
        <v>40</v>
      </c>
      <c r="I62" s="13">
        <v>50</v>
      </c>
      <c r="J62" s="13">
        <v>50</v>
      </c>
      <c r="K62" s="13">
        <v>50</v>
      </c>
      <c r="L62" s="13">
        <v>50</v>
      </c>
      <c r="N62" s="59" t="s">
        <v>38</v>
      </c>
    </row>
    <row r="63" spans="1:14" x14ac:dyDescent="0.2">
      <c r="A63" t="str">
        <v>OT sea level</v>
      </c>
      <c r="C63" s="13">
        <v>0</v>
      </c>
      <c r="D63" s="13">
        <v>5</v>
      </c>
      <c r="E63" s="13">
        <v>10</v>
      </c>
      <c r="F63" s="13">
        <v>20</v>
      </c>
      <c r="G63" s="13">
        <v>30</v>
      </c>
      <c r="H63" s="13">
        <v>40</v>
      </c>
      <c r="I63" s="13">
        <v>50</v>
      </c>
      <c r="J63" s="13">
        <v>50</v>
      </c>
      <c r="K63" s="13">
        <v>50</v>
      </c>
      <c r="L63" s="13">
        <v>50</v>
      </c>
      <c r="N63" s="59" t="s">
        <v>38</v>
      </c>
    </row>
    <row r="64" spans="1:14" x14ac:dyDescent="0.2">
      <c r="A64" t="str">
        <v>EE sea level</v>
      </c>
      <c r="C64" s="13">
        <v>0</v>
      </c>
      <c r="D64" s="13">
        <v>5</v>
      </c>
      <c r="E64" s="13">
        <v>10</v>
      </c>
      <c r="F64" s="13">
        <v>20</v>
      </c>
      <c r="G64" s="13">
        <v>30</v>
      </c>
      <c r="H64" s="13">
        <v>40</v>
      </c>
      <c r="I64" s="13">
        <v>50</v>
      </c>
      <c r="J64" s="13">
        <v>50</v>
      </c>
      <c r="K64" s="13">
        <v>50</v>
      </c>
      <c r="L64" s="13">
        <v>50</v>
      </c>
      <c r="N64" s="59" t="s">
        <v>38</v>
      </c>
    </row>
    <row r="65" spans="1:14" x14ac:dyDescent="0.2">
      <c r="A65" t="str">
        <v>CA sea level</v>
      </c>
      <c r="C65" s="13">
        <v>0</v>
      </c>
      <c r="D65" s="13">
        <v>1.6666666666666667</v>
      </c>
      <c r="E65" s="13">
        <v>3.3333333333333335</v>
      </c>
      <c r="F65" s="13">
        <v>6.666666666666667</v>
      </c>
      <c r="G65" s="13">
        <v>10</v>
      </c>
      <c r="H65" s="13">
        <v>13.333333333333334</v>
      </c>
      <c r="I65" s="13">
        <v>16.666666666666664</v>
      </c>
      <c r="J65" s="13">
        <v>20</v>
      </c>
      <c r="K65" s="13">
        <v>23.333333333333332</v>
      </c>
      <c r="L65" s="13">
        <v>25</v>
      </c>
      <c r="N65" s="59" t="s">
        <v>38</v>
      </c>
    </row>
    <row r="66" spans="1:14" x14ac:dyDescent="0.2">
      <c r="A66" t="str">
        <v>IA sea level</v>
      </c>
      <c r="C66" s="13">
        <v>0</v>
      </c>
      <c r="D66" s="13">
        <v>1.6666666666666667</v>
      </c>
      <c r="E66" s="13">
        <v>3.3333333333333335</v>
      </c>
      <c r="F66" s="13">
        <v>6.666666666666667</v>
      </c>
      <c r="G66" s="13">
        <v>10</v>
      </c>
      <c r="H66" s="13">
        <v>13.333333333333334</v>
      </c>
      <c r="I66" s="13">
        <v>16.666666666666664</v>
      </c>
      <c r="J66" s="13">
        <v>20</v>
      </c>
      <c r="K66" s="13">
        <v>23.333333333333332</v>
      </c>
      <c r="L66" s="13">
        <v>25</v>
      </c>
      <c r="N66" s="59" t="s">
        <v>38</v>
      </c>
    </row>
    <row r="67" spans="1:14" x14ac:dyDescent="0.2">
      <c r="A67" t="str">
        <v>AF sea level</v>
      </c>
      <c r="C67" s="13">
        <v>0</v>
      </c>
      <c r="D67" s="13">
        <v>1.6666666666666667</v>
      </c>
      <c r="E67" s="13">
        <v>3.3333333333333335</v>
      </c>
      <c r="F67" s="13">
        <v>6.666666666666667</v>
      </c>
      <c r="G67" s="13">
        <v>10</v>
      </c>
      <c r="H67" s="13">
        <v>13.333333333333334</v>
      </c>
      <c r="I67" s="13">
        <v>16.666666666666664</v>
      </c>
      <c r="J67" s="13">
        <v>20</v>
      </c>
      <c r="K67" s="13">
        <v>23.333333333333332</v>
      </c>
      <c r="L67" s="13">
        <v>25</v>
      </c>
      <c r="N67" s="59" t="s">
        <v>38</v>
      </c>
    </row>
    <row r="68" spans="1:14" x14ac:dyDescent="0.2">
      <c r="A68" t="str">
        <v>LA sea level</v>
      </c>
      <c r="C68" s="13">
        <v>0</v>
      </c>
      <c r="D68" s="13">
        <v>1.6666666666666667</v>
      </c>
      <c r="E68" s="13">
        <v>3.3333333333333335</v>
      </c>
      <c r="F68" s="13">
        <v>6.666666666666667</v>
      </c>
      <c r="G68" s="13">
        <v>10</v>
      </c>
      <c r="H68" s="13">
        <v>13.333333333333334</v>
      </c>
      <c r="I68" s="13">
        <v>16.666666666666664</v>
      </c>
      <c r="J68" s="13">
        <v>20</v>
      </c>
      <c r="K68" s="13">
        <v>23.333333333333332</v>
      </c>
      <c r="L68" s="13">
        <v>25</v>
      </c>
      <c r="N68" s="59" t="s">
        <v>38</v>
      </c>
    </row>
    <row r="69" spans="1:14" ht="15.75" x14ac:dyDescent="0.3">
      <c r="C69" s="63" t="s">
        <v>231</v>
      </c>
    </row>
    <row r="70" spans="1:14" x14ac:dyDescent="0.2">
      <c r="A70" t="str">
        <f t="array" ref="A70:A77">R_CODE&amp;" "&amp;I_1_NAME</f>
        <v>EU Economic</v>
      </c>
      <c r="C70" s="13">
        <f t="array" ref="C70:L77">IF(Y-istart_1_b&lt;0,0,IF(((Y-istart_1_b)/iyears_1_b)&lt;1,((Y-istart_1_b)/iyears_1_b)*impred_1_b,impred_1_b))</f>
        <v>10</v>
      </c>
      <c r="D70" s="13">
        <v>15</v>
      </c>
      <c r="E70" s="13">
        <v>20</v>
      </c>
      <c r="F70" s="13">
        <v>30</v>
      </c>
      <c r="G70" s="13">
        <v>30</v>
      </c>
      <c r="H70" s="13">
        <v>30</v>
      </c>
      <c r="I70" s="13">
        <v>30</v>
      </c>
      <c r="J70" s="13">
        <v>30</v>
      </c>
      <c r="K70" s="13">
        <v>30</v>
      </c>
      <c r="L70" s="13">
        <v>30</v>
      </c>
      <c r="N70" s="59" t="s">
        <v>38</v>
      </c>
    </row>
    <row r="71" spans="1:14" x14ac:dyDescent="0.2">
      <c r="A71" t="str">
        <v>US Economic</v>
      </c>
      <c r="C71" s="13">
        <v>10</v>
      </c>
      <c r="D71" s="13">
        <v>15</v>
      </c>
      <c r="E71" s="13">
        <v>20</v>
      </c>
      <c r="F71" s="13">
        <v>30</v>
      </c>
      <c r="G71" s="13">
        <v>30</v>
      </c>
      <c r="H71" s="13">
        <v>30</v>
      </c>
      <c r="I71" s="13">
        <v>30</v>
      </c>
      <c r="J71" s="13">
        <v>30</v>
      </c>
      <c r="K71" s="13">
        <v>30</v>
      </c>
      <c r="L71" s="13">
        <v>30</v>
      </c>
      <c r="N71" s="59" t="s">
        <v>38</v>
      </c>
    </row>
    <row r="72" spans="1:14" x14ac:dyDescent="0.2">
      <c r="A72" t="str">
        <v>OT Economic</v>
      </c>
      <c r="C72" s="13">
        <v>10</v>
      </c>
      <c r="D72" s="13">
        <v>15</v>
      </c>
      <c r="E72" s="13">
        <v>20</v>
      </c>
      <c r="F72" s="13">
        <v>30</v>
      </c>
      <c r="G72" s="13">
        <v>30</v>
      </c>
      <c r="H72" s="13">
        <v>30</v>
      </c>
      <c r="I72" s="13">
        <v>30</v>
      </c>
      <c r="J72" s="13">
        <v>30</v>
      </c>
      <c r="K72" s="13">
        <v>30</v>
      </c>
      <c r="L72" s="13">
        <v>30</v>
      </c>
      <c r="N72" s="59" t="s">
        <v>38</v>
      </c>
    </row>
    <row r="73" spans="1:14" x14ac:dyDescent="0.2">
      <c r="A73" t="str">
        <v>EE Economic</v>
      </c>
      <c r="C73" s="13">
        <v>10</v>
      </c>
      <c r="D73" s="13">
        <v>15</v>
      </c>
      <c r="E73" s="13">
        <v>20</v>
      </c>
      <c r="F73" s="13">
        <v>30</v>
      </c>
      <c r="G73" s="13">
        <v>30</v>
      </c>
      <c r="H73" s="13">
        <v>30</v>
      </c>
      <c r="I73" s="13">
        <v>30</v>
      </c>
      <c r="J73" s="13">
        <v>30</v>
      </c>
      <c r="K73" s="13">
        <v>30</v>
      </c>
      <c r="L73" s="13">
        <v>30</v>
      </c>
      <c r="N73" s="59" t="s">
        <v>38</v>
      </c>
    </row>
    <row r="74" spans="1:14" x14ac:dyDescent="0.2">
      <c r="A74" t="str">
        <v>CA Economic</v>
      </c>
      <c r="C74" s="13">
        <v>0</v>
      </c>
      <c r="D74" s="13">
        <v>2</v>
      </c>
      <c r="E74" s="13">
        <v>4</v>
      </c>
      <c r="F74" s="13">
        <v>8</v>
      </c>
      <c r="G74" s="13">
        <v>12</v>
      </c>
      <c r="H74" s="13">
        <v>16</v>
      </c>
      <c r="I74" s="13">
        <v>20</v>
      </c>
      <c r="J74" s="13">
        <v>20</v>
      </c>
      <c r="K74" s="13">
        <v>20</v>
      </c>
      <c r="L74" s="13">
        <v>20</v>
      </c>
      <c r="N74" s="59" t="s">
        <v>38</v>
      </c>
    </row>
    <row r="75" spans="1:14" x14ac:dyDescent="0.2">
      <c r="A75" t="str">
        <v>IA Economic</v>
      </c>
      <c r="C75" s="13">
        <v>0</v>
      </c>
      <c r="D75" s="13">
        <v>2</v>
      </c>
      <c r="E75" s="13">
        <v>4</v>
      </c>
      <c r="F75" s="13">
        <v>8</v>
      </c>
      <c r="G75" s="13">
        <v>12</v>
      </c>
      <c r="H75" s="13">
        <v>16</v>
      </c>
      <c r="I75" s="13">
        <v>20</v>
      </c>
      <c r="J75" s="13">
        <v>20</v>
      </c>
      <c r="K75" s="13">
        <v>20</v>
      </c>
      <c r="L75" s="13">
        <v>20</v>
      </c>
      <c r="N75" s="59" t="s">
        <v>38</v>
      </c>
    </row>
    <row r="76" spans="1:14" x14ac:dyDescent="0.2">
      <c r="A76" t="str">
        <v>AF Economic</v>
      </c>
      <c r="C76" s="13">
        <v>0</v>
      </c>
      <c r="D76" s="13">
        <v>2</v>
      </c>
      <c r="E76" s="13">
        <v>4</v>
      </c>
      <c r="F76" s="13">
        <v>8</v>
      </c>
      <c r="G76" s="13">
        <v>12</v>
      </c>
      <c r="H76" s="13">
        <v>16</v>
      </c>
      <c r="I76" s="13">
        <v>20</v>
      </c>
      <c r="J76" s="13">
        <v>20</v>
      </c>
      <c r="K76" s="13">
        <v>20</v>
      </c>
      <c r="L76" s="13">
        <v>20</v>
      </c>
      <c r="N76" s="59" t="s">
        <v>38</v>
      </c>
    </row>
    <row r="77" spans="1:14" x14ac:dyDescent="0.2">
      <c r="A77" t="str">
        <v>LA Economic</v>
      </c>
      <c r="C77" s="13">
        <v>0</v>
      </c>
      <c r="D77" s="13">
        <v>2</v>
      </c>
      <c r="E77" s="13">
        <v>4</v>
      </c>
      <c r="F77" s="13">
        <v>8</v>
      </c>
      <c r="G77" s="13">
        <v>12</v>
      </c>
      <c r="H77" s="13">
        <v>16</v>
      </c>
      <c r="I77" s="13">
        <v>20</v>
      </c>
      <c r="J77" s="13">
        <v>20</v>
      </c>
      <c r="K77" s="13">
        <v>20</v>
      </c>
      <c r="L77" s="13">
        <v>20</v>
      </c>
      <c r="N77" s="59" t="s">
        <v>38</v>
      </c>
    </row>
    <row r="78" spans="1:14" ht="15.75" x14ac:dyDescent="0.3">
      <c r="C78" s="63" t="s">
        <v>232</v>
      </c>
    </row>
    <row r="79" spans="1:14" x14ac:dyDescent="0.2">
      <c r="A79" t="str">
        <f t="array" ref="A79:A86">R_CODE&amp;" "&amp;I_2_NAME</f>
        <v>EU Non-econ</v>
      </c>
      <c r="C79" s="13">
        <f t="array" ref="C79:L86">IF(Y-istart_2_b&lt;0,0,IF(((Y-istart_2_b)/iyears_2_b)&lt;1,((Y-istart_2_b)/iyears_2_b)*impred_2_b,impred_2_b))</f>
        <v>3.75</v>
      </c>
      <c r="D79" s="13">
        <v>5.625</v>
      </c>
      <c r="E79" s="13">
        <v>7.5</v>
      </c>
      <c r="F79" s="13">
        <v>11.25</v>
      </c>
      <c r="G79" s="13">
        <v>15</v>
      </c>
      <c r="H79" s="13">
        <v>15</v>
      </c>
      <c r="I79" s="13">
        <v>15</v>
      </c>
      <c r="J79" s="13">
        <v>15</v>
      </c>
      <c r="K79" s="13">
        <v>15</v>
      </c>
      <c r="L79" s="13">
        <v>15</v>
      </c>
      <c r="N79" s="59" t="s">
        <v>38</v>
      </c>
    </row>
    <row r="80" spans="1:14" x14ac:dyDescent="0.2">
      <c r="A80" t="str">
        <v>US Non-econ</v>
      </c>
      <c r="C80" s="13">
        <v>3.75</v>
      </c>
      <c r="D80" s="13">
        <v>5.625</v>
      </c>
      <c r="E80" s="13">
        <v>7.5</v>
      </c>
      <c r="F80" s="13">
        <v>11.25</v>
      </c>
      <c r="G80" s="13">
        <v>15</v>
      </c>
      <c r="H80" s="13">
        <v>15</v>
      </c>
      <c r="I80" s="13">
        <v>15</v>
      </c>
      <c r="J80" s="13">
        <v>15</v>
      </c>
      <c r="K80" s="13">
        <v>15</v>
      </c>
      <c r="L80" s="13">
        <v>15</v>
      </c>
      <c r="N80" s="59" t="s">
        <v>38</v>
      </c>
    </row>
    <row r="81" spans="1:14" x14ac:dyDescent="0.2">
      <c r="A81" t="str">
        <v>OT Non-econ</v>
      </c>
      <c r="C81" s="13">
        <v>3.75</v>
      </c>
      <c r="D81" s="13">
        <v>5.625</v>
      </c>
      <c r="E81" s="13">
        <v>7.5</v>
      </c>
      <c r="F81" s="13">
        <v>11.25</v>
      </c>
      <c r="G81" s="13">
        <v>15</v>
      </c>
      <c r="H81" s="13">
        <v>15</v>
      </c>
      <c r="I81" s="13">
        <v>15</v>
      </c>
      <c r="J81" s="13">
        <v>15</v>
      </c>
      <c r="K81" s="13">
        <v>15</v>
      </c>
      <c r="L81" s="13">
        <v>15</v>
      </c>
      <c r="N81" s="59" t="s">
        <v>38</v>
      </c>
    </row>
    <row r="82" spans="1:14" x14ac:dyDescent="0.2">
      <c r="A82" t="str">
        <v>EE Non-econ</v>
      </c>
      <c r="C82" s="13">
        <v>3.75</v>
      </c>
      <c r="D82" s="13">
        <v>5.625</v>
      </c>
      <c r="E82" s="13">
        <v>7.5</v>
      </c>
      <c r="F82" s="13">
        <v>11.25</v>
      </c>
      <c r="G82" s="13">
        <v>15</v>
      </c>
      <c r="H82" s="13">
        <v>15</v>
      </c>
      <c r="I82" s="13">
        <v>15</v>
      </c>
      <c r="J82" s="13">
        <v>15</v>
      </c>
      <c r="K82" s="13">
        <v>15</v>
      </c>
      <c r="L82" s="13">
        <v>15</v>
      </c>
      <c r="N82" s="59" t="s">
        <v>38</v>
      </c>
    </row>
    <row r="83" spans="1:14" x14ac:dyDescent="0.2">
      <c r="A83" t="str">
        <v>CA Non-econ</v>
      </c>
      <c r="C83" s="13">
        <v>3.75</v>
      </c>
      <c r="D83" s="13">
        <v>5.625</v>
      </c>
      <c r="E83" s="13">
        <v>7.5</v>
      </c>
      <c r="F83" s="13">
        <v>11.25</v>
      </c>
      <c r="G83" s="13">
        <v>15</v>
      </c>
      <c r="H83" s="13">
        <v>15</v>
      </c>
      <c r="I83" s="13">
        <v>15</v>
      </c>
      <c r="J83" s="13">
        <v>15</v>
      </c>
      <c r="K83" s="13">
        <v>15</v>
      </c>
      <c r="L83" s="13">
        <v>15</v>
      </c>
      <c r="N83" s="59" t="s">
        <v>38</v>
      </c>
    </row>
    <row r="84" spans="1:14" x14ac:dyDescent="0.2">
      <c r="A84" t="str">
        <v>IA Non-econ</v>
      </c>
      <c r="C84" s="13">
        <v>3.75</v>
      </c>
      <c r="D84" s="13">
        <v>5.625</v>
      </c>
      <c r="E84" s="13">
        <v>7.5</v>
      </c>
      <c r="F84" s="13">
        <v>11.25</v>
      </c>
      <c r="G84" s="13">
        <v>15</v>
      </c>
      <c r="H84" s="13">
        <v>15</v>
      </c>
      <c r="I84" s="13">
        <v>15</v>
      </c>
      <c r="J84" s="13">
        <v>15</v>
      </c>
      <c r="K84" s="13">
        <v>15</v>
      </c>
      <c r="L84" s="13">
        <v>15</v>
      </c>
      <c r="N84" s="59" t="s">
        <v>38</v>
      </c>
    </row>
    <row r="85" spans="1:14" x14ac:dyDescent="0.2">
      <c r="A85" t="str">
        <v>AF Non-econ</v>
      </c>
      <c r="C85" s="13">
        <v>3.75</v>
      </c>
      <c r="D85" s="13">
        <v>5.625</v>
      </c>
      <c r="E85" s="13">
        <v>7.5</v>
      </c>
      <c r="F85" s="13">
        <v>11.25</v>
      </c>
      <c r="G85" s="13">
        <v>15</v>
      </c>
      <c r="H85" s="13">
        <v>15</v>
      </c>
      <c r="I85" s="13">
        <v>15</v>
      </c>
      <c r="J85" s="13">
        <v>15</v>
      </c>
      <c r="K85" s="13">
        <v>15</v>
      </c>
      <c r="L85" s="13">
        <v>15</v>
      </c>
      <c r="N85" s="59" t="s">
        <v>38</v>
      </c>
    </row>
    <row r="86" spans="1:14" x14ac:dyDescent="0.2">
      <c r="A86" t="str">
        <v>LA Non-econ</v>
      </c>
      <c r="C86" s="13">
        <v>3.75</v>
      </c>
      <c r="D86" s="13">
        <v>5.625</v>
      </c>
      <c r="E86" s="13">
        <v>7.5</v>
      </c>
      <c r="F86" s="13">
        <v>11.25</v>
      </c>
      <c r="G86" s="13">
        <v>15</v>
      </c>
      <c r="H86" s="13">
        <v>15</v>
      </c>
      <c r="I86" s="13">
        <v>15</v>
      </c>
      <c r="J86" s="13">
        <v>15</v>
      </c>
      <c r="K86" s="13">
        <v>15</v>
      </c>
      <c r="L86" s="13">
        <v>15</v>
      </c>
      <c r="N86" s="59" t="s">
        <v>38</v>
      </c>
    </row>
    <row r="87" spans="1:14" s="2" customFormat="1" ht="14.25" x14ac:dyDescent="0.25">
      <c r="A87" s="2" t="s">
        <v>951</v>
      </c>
      <c r="C87" s="2" t="s">
        <v>202</v>
      </c>
    </row>
    <row r="88" spans="1:14" x14ac:dyDescent="0.2">
      <c r="A88" t="str">
        <f t="array" ref="A88:A95">R_CODE&amp;" sea level"</f>
        <v>EU sea level</v>
      </c>
      <c r="C88" s="29">
        <f t="array" ref="C88:L95" ca="1">IF((s_b-atl_s_b)&lt;0,0,s_b-atl_s_b)</f>
        <v>0.1285477647769396</v>
      </c>
      <c r="D88" s="29">
        <f ca="1"/>
        <v>0.14569431913599179</v>
      </c>
      <c r="E88" s="29">
        <f ca="1"/>
        <v>0.1661960132284778</v>
      </c>
      <c r="F88" s="29">
        <f ca="1"/>
        <v>0.2264537443778899</v>
      </c>
      <c r="G88" s="29">
        <f ca="1"/>
        <v>0.30322221613173039</v>
      </c>
      <c r="H88" s="29">
        <f ca="1"/>
        <v>0.45075205294476062</v>
      </c>
      <c r="I88" s="29">
        <f ca="1"/>
        <v>0.62064316566797328</v>
      </c>
      <c r="J88" s="29">
        <f ca="1"/>
        <v>0.81271599194182098</v>
      </c>
      <c r="K88" s="29">
        <f ca="1"/>
        <v>1.0279835607377703</v>
      </c>
      <c r="L88" s="29">
        <f ca="1"/>
        <v>1.262817528251958</v>
      </c>
      <c r="M88" s="6"/>
      <c r="N88" s="59" t="s">
        <v>180</v>
      </c>
    </row>
    <row r="89" spans="1:14" x14ac:dyDescent="0.2">
      <c r="A89" t="str">
        <v>US sea level</v>
      </c>
      <c r="C89" s="26">
        <f ca="1"/>
        <v>0.1285477647769396</v>
      </c>
      <c r="D89" s="26">
        <f ca="1"/>
        <v>0.14569431913599179</v>
      </c>
      <c r="E89" s="26">
        <f ca="1"/>
        <v>0.1661960132284778</v>
      </c>
      <c r="F89" s="26">
        <f ca="1"/>
        <v>0.2264537443778899</v>
      </c>
      <c r="G89" s="26">
        <f ca="1"/>
        <v>0.30322221613173039</v>
      </c>
      <c r="H89" s="26">
        <f ca="1"/>
        <v>0.45075205294476062</v>
      </c>
      <c r="I89" s="26">
        <f ca="1"/>
        <v>0.62064316566797328</v>
      </c>
      <c r="J89" s="26">
        <f ca="1"/>
        <v>0.81271599194182098</v>
      </c>
      <c r="K89" s="26">
        <f ca="1"/>
        <v>1.0279835607377703</v>
      </c>
      <c r="L89" s="26">
        <f ca="1"/>
        <v>1.262817528251958</v>
      </c>
      <c r="M89" s="6"/>
      <c r="N89" s="59" t="s">
        <v>180</v>
      </c>
    </row>
    <row r="90" spans="1:14" x14ac:dyDescent="0.2">
      <c r="A90" t="str">
        <v>OT sea level</v>
      </c>
      <c r="C90" s="26">
        <f ca="1"/>
        <v>0.1285477647769396</v>
      </c>
      <c r="D90" s="26">
        <f ca="1"/>
        <v>0.14569431913599179</v>
      </c>
      <c r="E90" s="26">
        <f ca="1"/>
        <v>0.1661960132284778</v>
      </c>
      <c r="F90" s="26">
        <f ca="1"/>
        <v>0.2264537443778899</v>
      </c>
      <c r="G90" s="26">
        <f ca="1"/>
        <v>0.30322221613173039</v>
      </c>
      <c r="H90" s="26">
        <f ca="1"/>
        <v>0.45075205294476062</v>
      </c>
      <c r="I90" s="26">
        <f ca="1"/>
        <v>0.62064316566797328</v>
      </c>
      <c r="J90" s="26">
        <f ca="1"/>
        <v>0.81271599194182098</v>
      </c>
      <c r="K90" s="26">
        <f ca="1"/>
        <v>1.0279835607377703</v>
      </c>
      <c r="L90" s="26">
        <f ca="1"/>
        <v>1.262817528251958</v>
      </c>
      <c r="M90" s="6"/>
      <c r="N90" s="59" t="s">
        <v>180</v>
      </c>
    </row>
    <row r="91" spans="1:14" x14ac:dyDescent="0.2">
      <c r="A91" t="str">
        <v>EE sea level</v>
      </c>
      <c r="C91" s="26">
        <f ca="1"/>
        <v>0.1285477647769396</v>
      </c>
      <c r="D91" s="26">
        <f ca="1"/>
        <v>0.14569431913599179</v>
      </c>
      <c r="E91" s="26">
        <f ca="1"/>
        <v>0.1661960132284778</v>
      </c>
      <c r="F91" s="26">
        <f ca="1"/>
        <v>0.2264537443778899</v>
      </c>
      <c r="G91" s="26">
        <f ca="1"/>
        <v>0.30322221613173039</v>
      </c>
      <c r="H91" s="26">
        <f ca="1"/>
        <v>0.45075205294476062</v>
      </c>
      <c r="I91" s="26">
        <f ca="1"/>
        <v>0.62064316566797328</v>
      </c>
      <c r="J91" s="26">
        <f ca="1"/>
        <v>0.81271599194182098</v>
      </c>
      <c r="K91" s="26">
        <f ca="1"/>
        <v>1.0279835607377703</v>
      </c>
      <c r="L91" s="26">
        <f ca="1"/>
        <v>1.262817528251958</v>
      </c>
      <c r="M91" s="6"/>
      <c r="N91" s="59" t="s">
        <v>180</v>
      </c>
    </row>
    <row r="92" spans="1:14" x14ac:dyDescent="0.2">
      <c r="A92" t="str">
        <v>CA sea level</v>
      </c>
      <c r="C92" s="26">
        <f ca="1"/>
        <v>0.17521443144360627</v>
      </c>
      <c r="D92" s="26">
        <f ca="1"/>
        <v>0.20402765246932514</v>
      </c>
      <c r="E92" s="26">
        <f ca="1"/>
        <v>0.23619601322847777</v>
      </c>
      <c r="F92" s="26">
        <f ca="1"/>
        <v>0.31978707771122322</v>
      </c>
      <c r="G92" s="26">
        <f ca="1"/>
        <v>0.41988888279839709</v>
      </c>
      <c r="H92" s="26">
        <f ca="1"/>
        <v>0.54075205294476059</v>
      </c>
      <c r="I92" s="26">
        <f ca="1"/>
        <v>0.68397649900130664</v>
      </c>
      <c r="J92" s="26">
        <f ca="1"/>
        <v>0.86271599194182103</v>
      </c>
      <c r="K92" s="26">
        <f ca="1"/>
        <v>1.0779835607377704</v>
      </c>
      <c r="L92" s="26">
        <f ca="1"/>
        <v>1.3128175282519581</v>
      </c>
      <c r="M92" s="6"/>
      <c r="N92" s="59" t="s">
        <v>180</v>
      </c>
    </row>
    <row r="93" spans="1:14" x14ac:dyDescent="0.2">
      <c r="A93" t="str">
        <v>IA sea level</v>
      </c>
      <c r="C93" s="26">
        <f ca="1"/>
        <v>0.17521443144360627</v>
      </c>
      <c r="D93" s="26">
        <f ca="1"/>
        <v>0.20402765246932514</v>
      </c>
      <c r="E93" s="26">
        <f ca="1"/>
        <v>0.23619601322847777</v>
      </c>
      <c r="F93" s="26">
        <f ca="1"/>
        <v>0.31978707771122322</v>
      </c>
      <c r="G93" s="26">
        <f ca="1"/>
        <v>0.41988888279839709</v>
      </c>
      <c r="H93" s="26">
        <f ca="1"/>
        <v>0.54075205294476059</v>
      </c>
      <c r="I93" s="26">
        <f ca="1"/>
        <v>0.68397649900130664</v>
      </c>
      <c r="J93" s="26">
        <f ca="1"/>
        <v>0.86271599194182103</v>
      </c>
      <c r="K93" s="26">
        <f ca="1"/>
        <v>1.0779835607377704</v>
      </c>
      <c r="L93" s="26">
        <f ca="1"/>
        <v>1.3128175282519581</v>
      </c>
      <c r="M93" s="6"/>
      <c r="N93" s="59" t="s">
        <v>180</v>
      </c>
    </row>
    <row r="94" spans="1:14" x14ac:dyDescent="0.2">
      <c r="A94" t="str">
        <v>AF sea level</v>
      </c>
      <c r="C94" s="26">
        <f ca="1"/>
        <v>0.17521443144360627</v>
      </c>
      <c r="D94" s="26">
        <f ca="1"/>
        <v>0.20402765246932514</v>
      </c>
      <c r="E94" s="26">
        <f ca="1"/>
        <v>0.23619601322847777</v>
      </c>
      <c r="F94" s="26">
        <f ca="1"/>
        <v>0.31978707771122322</v>
      </c>
      <c r="G94" s="26">
        <f ca="1"/>
        <v>0.41988888279839709</v>
      </c>
      <c r="H94" s="26">
        <f ca="1"/>
        <v>0.54075205294476059</v>
      </c>
      <c r="I94" s="26">
        <f ca="1"/>
        <v>0.68397649900130664</v>
      </c>
      <c r="J94" s="26">
        <f ca="1"/>
        <v>0.86271599194182103</v>
      </c>
      <c r="K94" s="26">
        <f ca="1"/>
        <v>1.0779835607377704</v>
      </c>
      <c r="L94" s="26">
        <f ca="1"/>
        <v>1.3128175282519581</v>
      </c>
      <c r="M94" s="6"/>
      <c r="N94" s="59" t="s">
        <v>180</v>
      </c>
    </row>
    <row r="95" spans="1:14" x14ac:dyDescent="0.2">
      <c r="A95" t="str">
        <v>LA sea level</v>
      </c>
      <c r="C95" s="26">
        <f ca="1"/>
        <v>0.17521443144360627</v>
      </c>
      <c r="D95" s="26">
        <f ca="1"/>
        <v>0.20402765246932514</v>
      </c>
      <c r="E95" s="26">
        <f ca="1"/>
        <v>0.23619601322847777</v>
      </c>
      <c r="F95" s="26">
        <f ca="1"/>
        <v>0.31978707771122322</v>
      </c>
      <c r="G95" s="26">
        <f ca="1"/>
        <v>0.41988888279839709</v>
      </c>
      <c r="H95" s="26">
        <f ca="1"/>
        <v>0.54075205294476059</v>
      </c>
      <c r="I95" s="26">
        <f ca="1"/>
        <v>0.68397649900130664</v>
      </c>
      <c r="J95" s="26">
        <f ca="1"/>
        <v>0.86271599194182103</v>
      </c>
      <c r="K95" s="26">
        <f ca="1"/>
        <v>1.0779835607377704</v>
      </c>
      <c r="L95" s="26">
        <f ca="1"/>
        <v>1.3128175282519581</v>
      </c>
      <c r="M95" s="6"/>
      <c r="N95" s="59" t="s">
        <v>180</v>
      </c>
    </row>
    <row r="96" spans="1:14" ht="14.25" x14ac:dyDescent="0.25">
      <c r="A96" s="2" t="s">
        <v>952</v>
      </c>
      <c r="C96" s="2" t="s">
        <v>698</v>
      </c>
      <c r="D96" s="6"/>
      <c r="E96" s="6"/>
      <c r="F96" s="6"/>
      <c r="G96" s="6"/>
      <c r="H96" s="6"/>
      <c r="I96" s="6"/>
      <c r="J96" s="6"/>
      <c r="K96" s="6"/>
      <c r="L96" s="6"/>
      <c r="M96" s="6"/>
      <c r="N96" s="59"/>
    </row>
    <row r="97" spans="1:20" x14ac:dyDescent="0.2">
      <c r="A97" t="str">
        <f t="array" ref="A97:A104">R_CODE&amp;" "&amp;I_1_NAME</f>
        <v>EU Economic</v>
      </c>
      <c r="C97" s="108">
        <f t="array" ref="C97:L104" ca="1" xml:space="preserve"> ((rtl_b-RTL_0)-atl_1_b)+RTL_ABS_0</f>
        <v>11.075122476836787</v>
      </c>
      <c r="D97" s="108">
        <f ca="1"/>
        <v>11.342527076836788</v>
      </c>
      <c r="E97" s="108">
        <f ca="1"/>
        <v>11.741979076836788</v>
      </c>
      <c r="F97" s="108">
        <f ca="1"/>
        <v>12.228116076836788</v>
      </c>
      <c r="G97" s="108">
        <f ca="1"/>
        <v>12.798526076836787</v>
      </c>
      <c r="H97" s="108">
        <f ca="1"/>
        <v>13.443946076836788</v>
      </c>
      <c r="I97" s="108">
        <f ca="1"/>
        <v>14.139316076836788</v>
      </c>
      <c r="J97" s="108">
        <f ca="1"/>
        <v>14.816186076836788</v>
      </c>
      <c r="K97" s="108">
        <f ca="1"/>
        <v>15.681166076836787</v>
      </c>
      <c r="L97" s="108">
        <f ca="1"/>
        <v>16.32152607683679</v>
      </c>
      <c r="M97" s="6"/>
      <c r="N97" s="59" t="s">
        <v>41</v>
      </c>
      <c r="O97" s="3" t="s">
        <v>700</v>
      </c>
      <c r="T97" s="124" t="s">
        <v>809</v>
      </c>
    </row>
    <row r="98" spans="1:20" x14ac:dyDescent="0.2">
      <c r="A98" t="str">
        <v>US Economic</v>
      </c>
      <c r="C98" s="108">
        <f ca="1"/>
        <v>14.419494886417576</v>
      </c>
      <c r="D98" s="108">
        <f ca="1"/>
        <v>14.622586886417576</v>
      </c>
      <c r="E98" s="108">
        <f ca="1"/>
        <v>14.967301886417577</v>
      </c>
      <c r="F98" s="108">
        <f ca="1"/>
        <v>15.624163886417575</v>
      </c>
      <c r="G98" s="108">
        <f ca="1"/>
        <v>16.164773886417574</v>
      </c>
      <c r="H98" s="108">
        <f ca="1"/>
        <v>16.940613886417577</v>
      </c>
      <c r="I98" s="108">
        <f ca="1"/>
        <v>17.767123886417576</v>
      </c>
      <c r="J98" s="108">
        <f ca="1"/>
        <v>18.600033886417577</v>
      </c>
      <c r="K98" s="108">
        <f ca="1"/>
        <v>19.402723886417576</v>
      </c>
      <c r="L98" s="108">
        <f ca="1"/>
        <v>20.148953886417576</v>
      </c>
      <c r="M98" s="6"/>
      <c r="N98" s="59" t="s">
        <v>41</v>
      </c>
      <c r="O98" s="3" t="s">
        <v>700</v>
      </c>
      <c r="T98" s="124" t="s">
        <v>944</v>
      </c>
    </row>
    <row r="99" spans="1:20" x14ac:dyDescent="0.2">
      <c r="A99" t="str">
        <v>OT Economic</v>
      </c>
      <c r="C99" s="108">
        <f ca="1"/>
        <v>13.24672011789519</v>
      </c>
      <c r="D99" s="108">
        <f ca="1"/>
        <v>13.37910911789519</v>
      </c>
      <c r="E99" s="108">
        <f ca="1"/>
        <v>13.763885117895191</v>
      </c>
      <c r="F99" s="108">
        <f ca="1"/>
        <v>14.484318117895191</v>
      </c>
      <c r="G99" s="108">
        <f ca="1"/>
        <v>15.11576811789519</v>
      </c>
      <c r="H99" s="108">
        <f ca="1"/>
        <v>15.906358117895191</v>
      </c>
      <c r="I99" s="108">
        <f ca="1"/>
        <v>16.79761811789519</v>
      </c>
      <c r="J99" s="108">
        <f ca="1"/>
        <v>17.67939811789519</v>
      </c>
      <c r="K99" s="108">
        <f ca="1"/>
        <v>18.624658117895191</v>
      </c>
      <c r="L99" s="108">
        <f ca="1"/>
        <v>19.453168117895189</v>
      </c>
      <c r="M99" s="6"/>
      <c r="N99" s="59" t="s">
        <v>41</v>
      </c>
      <c r="O99" s="3" t="s">
        <v>700</v>
      </c>
      <c r="T99" s="124" t="s">
        <v>880</v>
      </c>
    </row>
    <row r="100" spans="1:20" x14ac:dyDescent="0.2">
      <c r="A100" t="str">
        <v>EE Economic</v>
      </c>
      <c r="C100" s="108">
        <f ca="1"/>
        <v>8.3576752917308017</v>
      </c>
      <c r="D100" s="108">
        <f ca="1"/>
        <v>8.7809052917308019</v>
      </c>
      <c r="E100" s="108">
        <f ca="1"/>
        <v>9.1130852917308012</v>
      </c>
      <c r="F100" s="108">
        <f ca="1"/>
        <v>9.8652842917308021</v>
      </c>
      <c r="G100" s="108">
        <f ca="1"/>
        <v>10.739384291730802</v>
      </c>
      <c r="H100" s="108">
        <f ca="1"/>
        <v>11.643314291730801</v>
      </c>
      <c r="I100" s="108">
        <f ca="1"/>
        <v>12.668394291730802</v>
      </c>
      <c r="J100" s="108">
        <f ca="1"/>
        <v>13.601794291730801</v>
      </c>
      <c r="K100" s="108">
        <f ca="1"/>
        <v>14.834774291730801</v>
      </c>
      <c r="L100" s="108">
        <f ca="1"/>
        <v>15.710024291730802</v>
      </c>
      <c r="M100" s="6"/>
      <c r="N100" s="59" t="s">
        <v>41</v>
      </c>
      <c r="O100" s="3" t="s">
        <v>700</v>
      </c>
    </row>
    <row r="101" spans="1:20" x14ac:dyDescent="0.2">
      <c r="A101" t="str">
        <v>CA Economic</v>
      </c>
      <c r="C101" s="108">
        <f ca="1"/>
        <v>16.040242011724231</v>
      </c>
      <c r="D101" s="108">
        <f ca="1"/>
        <v>16.380516011724232</v>
      </c>
      <c r="E101" s="108">
        <f ca="1"/>
        <v>16.695874011724232</v>
      </c>
      <c r="F101" s="108">
        <f ca="1"/>
        <v>17.261670011724231</v>
      </c>
      <c r="G101" s="108">
        <f ca="1"/>
        <v>17.899110011724233</v>
      </c>
      <c r="H101" s="108">
        <f ca="1"/>
        <v>18.546460011724232</v>
      </c>
      <c r="I101" s="108">
        <f ca="1"/>
        <v>19.419310011724232</v>
      </c>
      <c r="J101" s="108">
        <f ca="1"/>
        <v>20.205440011724232</v>
      </c>
      <c r="K101" s="108">
        <f ca="1"/>
        <v>21.127180011724231</v>
      </c>
      <c r="L101" s="108">
        <f ca="1"/>
        <v>21.857790011724234</v>
      </c>
      <c r="M101" s="6"/>
      <c r="N101" s="59" t="s">
        <v>41</v>
      </c>
      <c r="O101" s="3" t="s">
        <v>700</v>
      </c>
    </row>
    <row r="102" spans="1:20" x14ac:dyDescent="0.2">
      <c r="A102" t="str">
        <v>IA Economic</v>
      </c>
      <c r="C102" s="108">
        <f ca="1"/>
        <v>25.679969404563458</v>
      </c>
      <c r="D102" s="108">
        <f ca="1"/>
        <v>25.856632404563456</v>
      </c>
      <c r="E102" s="108">
        <f ca="1"/>
        <v>26.023948404563455</v>
      </c>
      <c r="F102" s="108">
        <f ca="1"/>
        <v>26.546658404563455</v>
      </c>
      <c r="G102" s="108">
        <f ca="1"/>
        <v>27.053698404563455</v>
      </c>
      <c r="H102" s="108">
        <f ca="1"/>
        <v>27.610598404563454</v>
      </c>
      <c r="I102" s="108">
        <f ca="1"/>
        <v>28.304278404563455</v>
      </c>
      <c r="J102" s="108">
        <f ca="1"/>
        <v>28.964298404563458</v>
      </c>
      <c r="K102" s="108">
        <f ca="1"/>
        <v>29.679778404563457</v>
      </c>
      <c r="L102" s="108">
        <f ca="1"/>
        <v>30.289698404563456</v>
      </c>
      <c r="M102" s="6"/>
      <c r="N102" s="59" t="s">
        <v>41</v>
      </c>
      <c r="O102" s="3" t="s">
        <v>700</v>
      </c>
    </row>
    <row r="103" spans="1:20" x14ac:dyDescent="0.2">
      <c r="A103" t="str">
        <v>AF Economic</v>
      </c>
      <c r="C103" s="108">
        <f ca="1"/>
        <v>22.552010993872408</v>
      </c>
      <c r="D103" s="108">
        <f ca="1"/>
        <v>22.808476993872411</v>
      </c>
      <c r="E103" s="108">
        <f ca="1"/>
        <v>22.969952993872411</v>
      </c>
      <c r="F103" s="108">
        <f ca="1"/>
        <v>23.55624699387241</v>
      </c>
      <c r="G103" s="108">
        <f ca="1"/>
        <v>24.05201699387241</v>
      </c>
      <c r="H103" s="108">
        <f ca="1"/>
        <v>24.701256993872409</v>
      </c>
      <c r="I103" s="108">
        <f ca="1"/>
        <v>25.418086993872411</v>
      </c>
      <c r="J103" s="108">
        <f ca="1"/>
        <v>26.134386993872408</v>
      </c>
      <c r="K103" s="108">
        <f ca="1"/>
        <v>26.939096993872411</v>
      </c>
      <c r="L103" s="108">
        <f ca="1"/>
        <v>27.644626993872407</v>
      </c>
      <c r="M103" s="6"/>
      <c r="N103" s="59" t="s">
        <v>41</v>
      </c>
      <c r="O103" s="3" t="s">
        <v>700</v>
      </c>
    </row>
    <row r="104" spans="1:20" x14ac:dyDescent="0.2">
      <c r="A104" t="str">
        <v>LA Economic</v>
      </c>
      <c r="C104" s="108">
        <f ca="1"/>
        <v>22.007075374959303</v>
      </c>
      <c r="D104" s="108">
        <f ca="1"/>
        <v>22.103702374959305</v>
      </c>
      <c r="E104" s="108">
        <f ca="1"/>
        <v>22.313807374959303</v>
      </c>
      <c r="F104" s="108">
        <f ca="1"/>
        <v>22.911953374959303</v>
      </c>
      <c r="G104" s="108">
        <f ca="1"/>
        <v>23.345123374959304</v>
      </c>
      <c r="H104" s="108">
        <f ca="1"/>
        <v>23.951193374959306</v>
      </c>
      <c r="I104" s="108">
        <f ca="1"/>
        <v>24.663553374959303</v>
      </c>
      <c r="J104" s="108">
        <f ca="1"/>
        <v>25.385633374959305</v>
      </c>
      <c r="K104" s="108">
        <f ca="1"/>
        <v>26.045043374959306</v>
      </c>
      <c r="L104" s="108">
        <f ca="1"/>
        <v>26.673283374959304</v>
      </c>
      <c r="M104" s="6"/>
      <c r="N104" s="59" t="s">
        <v>41</v>
      </c>
      <c r="O104" s="3" t="s">
        <v>700</v>
      </c>
    </row>
    <row r="105" spans="1:20" s="2" customFormat="1" ht="14.25" x14ac:dyDescent="0.25">
      <c r="A105" s="2" t="s">
        <v>953</v>
      </c>
      <c r="C105" s="2" t="s">
        <v>697</v>
      </c>
    </row>
    <row r="106" spans="1:20" x14ac:dyDescent="0.2">
      <c r="A106" t="str">
        <f t="array" ref="A106:A113">R_CODE&amp;" "&amp;I_1_NAME</f>
        <v>EU Economic</v>
      </c>
      <c r="C106" s="29">
        <f t="array" ref="C106:L113" ca="1">IF((rtl_b-atl_1_b)&lt;0,0,rtl_b-atl_1_b)</f>
        <v>1.8586464</v>
      </c>
      <c r="D106" s="29">
        <f ca="1"/>
        <v>2.1260509999999999</v>
      </c>
      <c r="E106" s="29">
        <f ca="1"/>
        <v>2.5255030000000001</v>
      </c>
      <c r="F106" s="29">
        <f ca="1"/>
        <v>3.0116399999999999</v>
      </c>
      <c r="G106" s="29">
        <f ca="1"/>
        <v>3.5820499999999997</v>
      </c>
      <c r="H106" s="29">
        <f ca="1"/>
        <v>4.2274700000000003</v>
      </c>
      <c r="I106" s="29">
        <f ca="1"/>
        <v>4.9228399999999999</v>
      </c>
      <c r="J106" s="29">
        <f ca="1"/>
        <v>5.59971</v>
      </c>
      <c r="K106" s="29">
        <f ca="1"/>
        <v>6.4646899999999992</v>
      </c>
      <c r="L106" s="29">
        <f ca="1"/>
        <v>7.1050500000000003</v>
      </c>
      <c r="M106" s="6"/>
      <c r="N106" s="59" t="s">
        <v>41</v>
      </c>
    </row>
    <row r="107" spans="1:20" x14ac:dyDescent="0.2">
      <c r="A107" t="str">
        <v>US Economic</v>
      </c>
      <c r="C107" s="26">
        <f ca="1"/>
        <v>1.9465209999999999</v>
      </c>
      <c r="D107" s="26">
        <f ca="1"/>
        <v>2.149613</v>
      </c>
      <c r="E107" s="26">
        <f ca="1"/>
        <v>2.4943279999999999</v>
      </c>
      <c r="F107" s="26">
        <f ca="1"/>
        <v>3.1511899999999997</v>
      </c>
      <c r="G107" s="26">
        <f ca="1"/>
        <v>3.6917999999999997</v>
      </c>
      <c r="H107" s="26">
        <f ca="1"/>
        <v>4.4676399999999994</v>
      </c>
      <c r="I107" s="26">
        <f ca="1"/>
        <v>5.2941500000000001</v>
      </c>
      <c r="J107" s="26">
        <f ca="1"/>
        <v>6.1270600000000002</v>
      </c>
      <c r="K107" s="26">
        <f ca="1"/>
        <v>6.9297500000000003</v>
      </c>
      <c r="L107" s="26">
        <f ca="1"/>
        <v>7.67598</v>
      </c>
      <c r="M107" s="6"/>
      <c r="N107" s="59" t="s">
        <v>41</v>
      </c>
    </row>
    <row r="108" spans="1:20" x14ac:dyDescent="0.2">
      <c r="A108" t="str">
        <v>OT Economic</v>
      </c>
      <c r="C108" s="26">
        <f ca="1"/>
        <v>2.0534319999999999</v>
      </c>
      <c r="D108" s="26">
        <f ca="1"/>
        <v>2.1858210000000002</v>
      </c>
      <c r="E108" s="26">
        <f ca="1"/>
        <v>2.5705970000000002</v>
      </c>
      <c r="F108" s="26">
        <f ca="1"/>
        <v>3.2910300000000001</v>
      </c>
      <c r="G108" s="26">
        <f ca="1"/>
        <v>3.9224800000000002</v>
      </c>
      <c r="H108" s="26">
        <f ca="1"/>
        <v>4.7130700000000001</v>
      </c>
      <c r="I108" s="26">
        <f ca="1"/>
        <v>5.60433</v>
      </c>
      <c r="J108" s="26">
        <f ca="1"/>
        <v>6.48611</v>
      </c>
      <c r="K108" s="26">
        <f ca="1"/>
        <v>7.4313700000000003</v>
      </c>
      <c r="L108" s="26">
        <f ca="1"/>
        <v>8.259879999999999</v>
      </c>
      <c r="M108" s="6"/>
      <c r="N108" s="59" t="s">
        <v>41</v>
      </c>
    </row>
    <row r="109" spans="1:20" x14ac:dyDescent="0.2">
      <c r="A109" t="str">
        <v>EE Economic</v>
      </c>
      <c r="C109" s="26">
        <f ca="1"/>
        <v>2.4211910000000003</v>
      </c>
      <c r="D109" s="26">
        <f ca="1"/>
        <v>2.8444210000000001</v>
      </c>
      <c r="E109" s="26">
        <f ca="1"/>
        <v>3.1766010000000002</v>
      </c>
      <c r="F109" s="26">
        <f ca="1"/>
        <v>3.9287999999999998</v>
      </c>
      <c r="G109" s="26">
        <f ca="1"/>
        <v>4.8029000000000002</v>
      </c>
      <c r="H109" s="26">
        <f ca="1"/>
        <v>5.7068300000000001</v>
      </c>
      <c r="I109" s="26">
        <f ca="1"/>
        <v>6.7319100000000001</v>
      </c>
      <c r="J109" s="26">
        <f ca="1"/>
        <v>7.6653099999999998</v>
      </c>
      <c r="K109" s="26">
        <f ca="1"/>
        <v>8.8982899999999994</v>
      </c>
      <c r="L109" s="26">
        <f ca="1"/>
        <v>9.7735400000000006</v>
      </c>
      <c r="M109" s="6"/>
      <c r="N109" s="59" t="s">
        <v>41</v>
      </c>
    </row>
    <row r="110" spans="1:20" x14ac:dyDescent="0.2">
      <c r="A110" t="str">
        <v>CA Economic</v>
      </c>
      <c r="C110" s="26">
        <f ca="1"/>
        <v>1.8616919999999999</v>
      </c>
      <c r="D110" s="26">
        <f ca="1"/>
        <v>2.2019660000000001</v>
      </c>
      <c r="E110" s="26">
        <f ca="1"/>
        <v>2.5173239999999999</v>
      </c>
      <c r="F110" s="26">
        <f ca="1"/>
        <v>3.0831200000000001</v>
      </c>
      <c r="G110" s="26">
        <f ca="1"/>
        <v>3.7205599999999999</v>
      </c>
      <c r="H110" s="26">
        <f ca="1"/>
        <v>4.3679100000000002</v>
      </c>
      <c r="I110" s="26">
        <f ca="1"/>
        <v>5.2407599999999999</v>
      </c>
      <c r="J110" s="26">
        <f ca="1"/>
        <v>6.0268899999999999</v>
      </c>
      <c r="K110" s="26">
        <f ca="1"/>
        <v>6.9486299999999996</v>
      </c>
      <c r="L110" s="26">
        <f ca="1"/>
        <v>7.6792400000000001</v>
      </c>
      <c r="M110" s="6"/>
      <c r="N110" s="59" t="s">
        <v>41</v>
      </c>
    </row>
    <row r="111" spans="1:20" x14ac:dyDescent="0.2">
      <c r="A111" t="str">
        <v>IA Economic</v>
      </c>
      <c r="C111" s="26">
        <f ca="1"/>
        <v>1.450291</v>
      </c>
      <c r="D111" s="26">
        <f ca="1"/>
        <v>1.626954</v>
      </c>
      <c r="E111" s="26">
        <f ca="1"/>
        <v>1.79427</v>
      </c>
      <c r="F111" s="26">
        <f ca="1"/>
        <v>2.31698</v>
      </c>
      <c r="G111" s="26">
        <f ca="1"/>
        <v>2.82402</v>
      </c>
      <c r="H111" s="26">
        <f ca="1"/>
        <v>3.3809199999999997</v>
      </c>
      <c r="I111" s="26">
        <f ca="1"/>
        <v>4.0746000000000002</v>
      </c>
      <c r="J111" s="26">
        <f ca="1"/>
        <v>4.7346199999999996</v>
      </c>
      <c r="K111" s="26">
        <f ca="1"/>
        <v>5.4500999999999999</v>
      </c>
      <c r="L111" s="26">
        <f ca="1"/>
        <v>6.0600199999999997</v>
      </c>
      <c r="M111" s="6"/>
      <c r="N111" s="59" t="s">
        <v>41</v>
      </c>
    </row>
    <row r="112" spans="1:20" x14ac:dyDescent="0.2">
      <c r="A112" t="str">
        <v>AF Economic</v>
      </c>
      <c r="C112" s="26">
        <f ca="1"/>
        <v>1.522694</v>
      </c>
      <c r="D112" s="26">
        <f ca="1"/>
        <v>1.7791600000000001</v>
      </c>
      <c r="E112" s="26">
        <f ca="1"/>
        <v>1.940636</v>
      </c>
      <c r="F112" s="26">
        <f ca="1"/>
        <v>2.5269300000000001</v>
      </c>
      <c r="G112" s="26">
        <f ca="1"/>
        <v>3.0226999999999999</v>
      </c>
      <c r="H112" s="26">
        <f ca="1"/>
        <v>3.6719400000000002</v>
      </c>
      <c r="I112" s="26">
        <f ca="1"/>
        <v>4.3887700000000001</v>
      </c>
      <c r="J112" s="26">
        <f ca="1"/>
        <v>5.1050699999999996</v>
      </c>
      <c r="K112" s="26">
        <f ca="1"/>
        <v>5.9097800000000005</v>
      </c>
      <c r="L112" s="26">
        <f ca="1"/>
        <v>6.61531</v>
      </c>
      <c r="M112" s="6"/>
      <c r="N112" s="59" t="s">
        <v>41</v>
      </c>
    </row>
    <row r="113" spans="1:14" x14ac:dyDescent="0.2">
      <c r="A113" t="str">
        <v>LA Economic</v>
      </c>
      <c r="C113" s="26">
        <f ca="1"/>
        <v>1.6283719999999999</v>
      </c>
      <c r="D113" s="26">
        <f ca="1"/>
        <v>1.7249989999999999</v>
      </c>
      <c r="E113" s="26">
        <f ca="1"/>
        <v>1.9351039999999999</v>
      </c>
      <c r="F113" s="26">
        <f ca="1"/>
        <v>2.5332499999999998</v>
      </c>
      <c r="G113" s="26">
        <f ca="1"/>
        <v>2.9664200000000003</v>
      </c>
      <c r="H113" s="26">
        <f ca="1"/>
        <v>3.5724900000000002</v>
      </c>
      <c r="I113" s="26">
        <f ca="1"/>
        <v>4.2848499999999996</v>
      </c>
      <c r="J113" s="26">
        <f ca="1"/>
        <v>5.0069299999999997</v>
      </c>
      <c r="K113" s="26">
        <f ca="1"/>
        <v>5.6663399999999999</v>
      </c>
      <c r="L113" s="26">
        <f ca="1"/>
        <v>6.2945799999999998</v>
      </c>
      <c r="M113" s="6"/>
      <c r="N113" s="59" t="s">
        <v>41</v>
      </c>
    </row>
    <row r="114" spans="1:14" s="2" customFormat="1" ht="14.25" x14ac:dyDescent="0.25">
      <c r="A114" s="2" t="s">
        <v>954</v>
      </c>
      <c r="C114" s="2" t="s">
        <v>80</v>
      </c>
    </row>
    <row r="115" spans="1:14" x14ac:dyDescent="0.2">
      <c r="A115" t="str">
        <f t="array" ref="A115:A122">R_CODE&amp;" "&amp;I_2_NAME</f>
        <v>EU Non-econ</v>
      </c>
      <c r="C115" s="29">
        <f t="array" ref="C115:L122" ca="1">IF((rtl_b-atl_2_b)&lt;0,0,rtl_b-atl_2_b)</f>
        <v>1.8586464</v>
      </c>
      <c r="D115" s="29">
        <f ca="1"/>
        <v>2.1260509999999999</v>
      </c>
      <c r="E115" s="29">
        <f ca="1"/>
        <v>2.5255030000000001</v>
      </c>
      <c r="F115" s="29">
        <f ca="1"/>
        <v>3.0116399999999999</v>
      </c>
      <c r="G115" s="29">
        <f ca="1"/>
        <v>3.5820499999999997</v>
      </c>
      <c r="H115" s="29">
        <f ca="1"/>
        <v>4.2274700000000003</v>
      </c>
      <c r="I115" s="29">
        <f ca="1"/>
        <v>4.9228399999999999</v>
      </c>
      <c r="J115" s="29">
        <f ca="1"/>
        <v>5.59971</v>
      </c>
      <c r="K115" s="29">
        <f ca="1"/>
        <v>6.4646899999999992</v>
      </c>
      <c r="L115" s="29">
        <f ca="1"/>
        <v>7.1050500000000003</v>
      </c>
      <c r="M115" s="6"/>
      <c r="N115" s="59" t="s">
        <v>41</v>
      </c>
    </row>
    <row r="116" spans="1:14" x14ac:dyDescent="0.2">
      <c r="A116" t="str">
        <v>US Non-econ</v>
      </c>
      <c r="C116" s="26">
        <f ca="1"/>
        <v>1.9465209999999999</v>
      </c>
      <c r="D116" s="26">
        <f ca="1"/>
        <v>2.149613</v>
      </c>
      <c r="E116" s="26">
        <f ca="1"/>
        <v>2.4943279999999999</v>
      </c>
      <c r="F116" s="26">
        <f ca="1"/>
        <v>3.1511899999999997</v>
      </c>
      <c r="G116" s="26">
        <f ca="1"/>
        <v>3.6917999999999997</v>
      </c>
      <c r="H116" s="26">
        <f ca="1"/>
        <v>4.4676399999999994</v>
      </c>
      <c r="I116" s="26">
        <f ca="1"/>
        <v>5.2941500000000001</v>
      </c>
      <c r="J116" s="26">
        <f ca="1"/>
        <v>6.1270600000000002</v>
      </c>
      <c r="K116" s="26">
        <f ca="1"/>
        <v>6.9297500000000003</v>
      </c>
      <c r="L116" s="26">
        <f ca="1"/>
        <v>7.67598</v>
      </c>
      <c r="M116" s="6"/>
      <c r="N116" s="59" t="s">
        <v>41</v>
      </c>
    </row>
    <row r="117" spans="1:14" x14ac:dyDescent="0.2">
      <c r="A117" t="str">
        <v>OT Non-econ</v>
      </c>
      <c r="C117" s="26">
        <f ca="1"/>
        <v>2.0534319999999999</v>
      </c>
      <c r="D117" s="26">
        <f ca="1"/>
        <v>2.1858210000000002</v>
      </c>
      <c r="E117" s="26">
        <f ca="1"/>
        <v>2.5705970000000002</v>
      </c>
      <c r="F117" s="26">
        <f ca="1"/>
        <v>3.2910300000000001</v>
      </c>
      <c r="G117" s="26">
        <f ca="1"/>
        <v>3.9224800000000002</v>
      </c>
      <c r="H117" s="26">
        <f ca="1"/>
        <v>4.7130700000000001</v>
      </c>
      <c r="I117" s="26">
        <f ca="1"/>
        <v>5.60433</v>
      </c>
      <c r="J117" s="26">
        <f ca="1"/>
        <v>6.48611</v>
      </c>
      <c r="K117" s="26">
        <f ca="1"/>
        <v>7.4313700000000003</v>
      </c>
      <c r="L117" s="26">
        <f ca="1"/>
        <v>8.259879999999999</v>
      </c>
      <c r="M117" s="6"/>
      <c r="N117" s="59" t="s">
        <v>41</v>
      </c>
    </row>
    <row r="118" spans="1:14" x14ac:dyDescent="0.2">
      <c r="A118" t="str">
        <v>EE Non-econ</v>
      </c>
      <c r="C118" s="26">
        <f ca="1"/>
        <v>2.4211910000000003</v>
      </c>
      <c r="D118" s="26">
        <f ca="1"/>
        <v>2.8444210000000001</v>
      </c>
      <c r="E118" s="26">
        <f ca="1"/>
        <v>3.1766010000000002</v>
      </c>
      <c r="F118" s="26">
        <f ca="1"/>
        <v>3.9287999999999998</v>
      </c>
      <c r="G118" s="26">
        <f ca="1"/>
        <v>4.8029000000000002</v>
      </c>
      <c r="H118" s="26">
        <f ca="1"/>
        <v>5.7068300000000001</v>
      </c>
      <c r="I118" s="26">
        <f ca="1"/>
        <v>6.7319100000000001</v>
      </c>
      <c r="J118" s="26">
        <f ca="1"/>
        <v>7.6653099999999998</v>
      </c>
      <c r="K118" s="26">
        <f ca="1"/>
        <v>8.8982899999999994</v>
      </c>
      <c r="L118" s="26">
        <f ca="1"/>
        <v>9.7735400000000006</v>
      </c>
      <c r="M118" s="6"/>
      <c r="N118" s="59" t="s">
        <v>41</v>
      </c>
    </row>
    <row r="119" spans="1:14" x14ac:dyDescent="0.2">
      <c r="A119" t="str">
        <v>CA Non-econ</v>
      </c>
      <c r="C119" s="26">
        <f ca="1"/>
        <v>1.8616919999999999</v>
      </c>
      <c r="D119" s="26">
        <f ca="1"/>
        <v>2.2019660000000001</v>
      </c>
      <c r="E119" s="26">
        <f ca="1"/>
        <v>2.5173239999999999</v>
      </c>
      <c r="F119" s="26">
        <f ca="1"/>
        <v>3.0831200000000001</v>
      </c>
      <c r="G119" s="26">
        <f ca="1"/>
        <v>3.7205599999999999</v>
      </c>
      <c r="H119" s="26">
        <f ca="1"/>
        <v>4.3679100000000002</v>
      </c>
      <c r="I119" s="26">
        <f ca="1"/>
        <v>5.2407599999999999</v>
      </c>
      <c r="J119" s="26">
        <f ca="1"/>
        <v>6.0268899999999999</v>
      </c>
      <c r="K119" s="26">
        <f ca="1"/>
        <v>6.9486299999999996</v>
      </c>
      <c r="L119" s="26">
        <f ca="1"/>
        <v>7.6792400000000001</v>
      </c>
      <c r="M119" s="6"/>
      <c r="N119" s="59" t="s">
        <v>41</v>
      </c>
    </row>
    <row r="120" spans="1:14" x14ac:dyDescent="0.2">
      <c r="A120" t="str">
        <v>IA Non-econ</v>
      </c>
      <c r="C120" s="26">
        <f ca="1"/>
        <v>1.450291</v>
      </c>
      <c r="D120" s="26">
        <f ca="1"/>
        <v>1.626954</v>
      </c>
      <c r="E120" s="26">
        <f ca="1"/>
        <v>1.79427</v>
      </c>
      <c r="F120" s="26">
        <f ca="1"/>
        <v>2.31698</v>
      </c>
      <c r="G120" s="26">
        <f ca="1"/>
        <v>2.82402</v>
      </c>
      <c r="H120" s="26">
        <f ca="1"/>
        <v>3.3809199999999997</v>
      </c>
      <c r="I120" s="26">
        <f ca="1"/>
        <v>4.0746000000000002</v>
      </c>
      <c r="J120" s="26">
        <f ca="1"/>
        <v>4.7346199999999996</v>
      </c>
      <c r="K120" s="26">
        <f ca="1"/>
        <v>5.4500999999999999</v>
      </c>
      <c r="L120" s="26">
        <f ca="1"/>
        <v>6.0600199999999997</v>
      </c>
      <c r="M120" s="6"/>
      <c r="N120" s="59" t="s">
        <v>41</v>
      </c>
    </row>
    <row r="121" spans="1:14" x14ac:dyDescent="0.2">
      <c r="A121" t="str">
        <v>AF Non-econ</v>
      </c>
      <c r="C121" s="26">
        <f ca="1"/>
        <v>1.522694</v>
      </c>
      <c r="D121" s="26">
        <f ca="1"/>
        <v>1.7791600000000001</v>
      </c>
      <c r="E121" s="26">
        <f ca="1"/>
        <v>1.940636</v>
      </c>
      <c r="F121" s="26">
        <f ca="1"/>
        <v>2.5269300000000001</v>
      </c>
      <c r="G121" s="26">
        <f ca="1"/>
        <v>3.0226999999999999</v>
      </c>
      <c r="H121" s="26">
        <f ca="1"/>
        <v>3.6719400000000002</v>
      </c>
      <c r="I121" s="26">
        <f ca="1"/>
        <v>4.3887700000000001</v>
      </c>
      <c r="J121" s="26">
        <f ca="1"/>
        <v>5.1050699999999996</v>
      </c>
      <c r="K121" s="26">
        <f ca="1"/>
        <v>5.9097800000000005</v>
      </c>
      <c r="L121" s="26">
        <f ca="1"/>
        <v>6.61531</v>
      </c>
      <c r="M121" s="6"/>
      <c r="N121" s="59" t="s">
        <v>41</v>
      </c>
    </row>
    <row r="122" spans="1:14" x14ac:dyDescent="0.2">
      <c r="A122" t="str">
        <v>LA Non-econ</v>
      </c>
      <c r="C122" s="26">
        <f ca="1"/>
        <v>1.6283719999999999</v>
      </c>
      <c r="D122" s="26">
        <f ca="1"/>
        <v>1.7249989999999999</v>
      </c>
      <c r="E122" s="26">
        <f ca="1"/>
        <v>1.9351039999999999</v>
      </c>
      <c r="F122" s="26">
        <f ca="1"/>
        <v>2.5332499999999998</v>
      </c>
      <c r="G122" s="26">
        <f ca="1"/>
        <v>2.9664200000000003</v>
      </c>
      <c r="H122" s="26">
        <f ca="1"/>
        <v>3.5724900000000002</v>
      </c>
      <c r="I122" s="26">
        <f ca="1"/>
        <v>4.2848499999999996</v>
      </c>
      <c r="J122" s="26">
        <f ca="1"/>
        <v>5.0069299999999997</v>
      </c>
      <c r="K122" s="26">
        <f ca="1"/>
        <v>5.6663399999999999</v>
      </c>
      <c r="L122" s="26">
        <f ca="1"/>
        <v>6.2945799999999998</v>
      </c>
      <c r="M122" s="6"/>
      <c r="N122" s="59" t="s">
        <v>41</v>
      </c>
    </row>
    <row r="123" spans="1:14" s="2" customFormat="1" ht="14.25" x14ac:dyDescent="0.25">
      <c r="A123" s="2" t="s">
        <v>955</v>
      </c>
      <c r="C123" s="2" t="s">
        <v>133</v>
      </c>
    </row>
    <row r="124" spans="1:14" x14ac:dyDescent="0.2">
      <c r="A124" t="s">
        <v>134</v>
      </c>
      <c r="C124" s="26">
        <f t="array" ref="C124:L124" ca="1">rt_g_b - TDIS</f>
        <v>-0.23930600000000002</v>
      </c>
      <c r="D124" s="26">
        <f ca="1"/>
        <v>-5.5741999999999958E-2</v>
      </c>
      <c r="E124" s="26">
        <f ca="1"/>
        <v>0.11897599999999997</v>
      </c>
      <c r="F124" s="26">
        <f ca="1"/>
        <v>0.59279500000000018</v>
      </c>
      <c r="G124" s="26">
        <f ca="1"/>
        <v>1.0288700000000004</v>
      </c>
      <c r="H124" s="26">
        <f ca="1"/>
        <v>1.57036</v>
      </c>
      <c r="I124" s="26">
        <f ca="1"/>
        <v>2.1599200000000005</v>
      </c>
      <c r="J124" s="26">
        <f ca="1"/>
        <v>2.7583299999999999</v>
      </c>
      <c r="K124" s="26">
        <f ca="1"/>
        <v>3.3923899999999998</v>
      </c>
      <c r="L124" s="26">
        <f ca="1"/>
        <v>3.9579800000000001</v>
      </c>
      <c r="M124" s="6"/>
      <c r="N124" s="1" t="s">
        <v>41</v>
      </c>
    </row>
    <row r="125" spans="1:14" x14ac:dyDescent="0.2">
      <c r="A125" t="s">
        <v>135</v>
      </c>
      <c r="C125" s="26">
        <f t="array" ref="C125:L125" ca="1">i_dis_b*PDIS/100</f>
        <v>-4.7861200000000007E-2</v>
      </c>
      <c r="D125" s="26">
        <f ca="1"/>
        <v>-1.1148399999999992E-2</v>
      </c>
      <c r="E125" s="26">
        <f ca="1"/>
        <v>2.3795199999999996E-2</v>
      </c>
      <c r="F125" s="26">
        <f ca="1"/>
        <v>0.11855900000000004</v>
      </c>
      <c r="G125" s="26">
        <f ca="1"/>
        <v>0.20577400000000007</v>
      </c>
      <c r="H125" s="26">
        <f ca="1"/>
        <v>0.31407200000000002</v>
      </c>
      <c r="I125" s="26">
        <f ca="1"/>
        <v>0.43198400000000009</v>
      </c>
      <c r="J125" s="26">
        <f ca="1"/>
        <v>0.55166599999999999</v>
      </c>
      <c r="K125" s="26">
        <f ca="1"/>
        <v>0.67847799999999991</v>
      </c>
      <c r="L125" s="26">
        <f ca="1"/>
        <v>0.79159599999999997</v>
      </c>
      <c r="M125" s="6"/>
      <c r="N125" s="1"/>
    </row>
    <row r="126" spans="1:14" x14ac:dyDescent="0.2">
      <c r="A126" s="3" t="s">
        <v>248</v>
      </c>
      <c r="C126" s="26">
        <f t="array" aca="1" ref="C126:L126" ca="1">EXP(-YP/DISTAU)</f>
        <v>0.77880078307140488</v>
      </c>
      <c r="D126" s="26">
        <f ca="1"/>
        <v>0.77880078307140488</v>
      </c>
      <c r="E126" s="26">
        <f ca="1"/>
        <v>0.77880078307140488</v>
      </c>
      <c r="F126" s="26">
        <f ca="1"/>
        <v>0.60653065971263342</v>
      </c>
      <c r="G126" s="26">
        <f ca="1"/>
        <v>0.60653065971263342</v>
      </c>
      <c r="H126" s="26">
        <f ca="1"/>
        <v>0.60653065971263342</v>
      </c>
      <c r="I126" s="26">
        <f ca="1"/>
        <v>0.60653065971263342</v>
      </c>
      <c r="J126" s="26">
        <f ca="1"/>
        <v>0.60653065971263342</v>
      </c>
      <c r="K126" s="26">
        <f ca="1"/>
        <v>0.60653065971263342</v>
      </c>
      <c r="L126" s="26">
        <f ca="1"/>
        <v>0.60653065971263342</v>
      </c>
      <c r="M126" s="6"/>
      <c r="N126" s="1"/>
    </row>
    <row r="127" spans="1:14" x14ac:dyDescent="0.2">
      <c r="A127" s="3" t="s">
        <v>1097</v>
      </c>
      <c r="B127" s="14">
        <v>0</v>
      </c>
      <c r="C127" s="14">
        <f t="shared" ref="C127:L127" ca="1" si="0">IF(C125&lt;RAND_DIS,B127,1)</f>
        <v>0</v>
      </c>
      <c r="D127" s="14">
        <f t="shared" ca="1" si="0"/>
        <v>0</v>
      </c>
      <c r="E127" s="14">
        <f t="shared" ca="1" si="0"/>
        <v>0</v>
      </c>
      <c r="F127" s="14">
        <f t="shared" ca="1" si="0"/>
        <v>0</v>
      </c>
      <c r="G127" s="14">
        <f t="shared" ca="1" si="0"/>
        <v>0</v>
      </c>
      <c r="H127" s="14">
        <f t="shared" ca="1" si="0"/>
        <v>0</v>
      </c>
      <c r="I127" s="14">
        <f t="shared" ca="1" si="0"/>
        <v>0</v>
      </c>
      <c r="J127" s="14">
        <f t="shared" ca="1" si="0"/>
        <v>1</v>
      </c>
      <c r="K127" s="14">
        <f t="shared" ca="1" si="0"/>
        <v>1</v>
      </c>
      <c r="L127" s="14">
        <f t="shared" ca="1" si="0"/>
        <v>1</v>
      </c>
      <c r="M127" s="6"/>
      <c r="N127" s="1"/>
    </row>
    <row r="129" spans="1:16" s="1" customFormat="1" x14ac:dyDescent="0.2">
      <c r="A129" s="44" t="s">
        <v>403</v>
      </c>
      <c r="B129" s="6"/>
      <c r="C129" s="6"/>
      <c r="D129" s="6"/>
      <c r="E129" s="6"/>
      <c r="F129" s="6"/>
      <c r="G129" s="6"/>
      <c r="H129" s="6"/>
      <c r="I129" s="6"/>
      <c r="J129" s="6"/>
      <c r="K129" s="6"/>
      <c r="L129" s="6"/>
    </row>
    <row r="130" spans="1:16" s="1" customFormat="1" x14ac:dyDescent="0.2">
      <c r="A130" s="1" t="str">
        <f t="array" ref="A130:A137">R_CODE</f>
        <v>EU</v>
      </c>
      <c r="B130" s="6"/>
      <c r="C130" s="108">
        <f t="array" aca="1" ref="C130:L137" ca="1">IF(CONS_PER_CAP_B-(tct_per_cap_b+act_per_cap_b) &lt; 0.01*CONS_PER_CAP_FOCUS_0, 0.01*CONS_PER_CAP_FOCUS_0, CONS_PER_CAP_B-(tct_per_cap_b+act_per_cap_b))</f>
        <v>33890.538842107861</v>
      </c>
      <c r="D130" s="108">
        <f ca="1"/>
        <v>37899.569911239356</v>
      </c>
      <c r="E130" s="108">
        <f ca="1"/>
        <v>42447.730018350157</v>
      </c>
      <c r="F130" s="108">
        <f ca="1"/>
        <v>52857.463727571958</v>
      </c>
      <c r="G130" s="108">
        <f ca="1"/>
        <v>63987.159925984684</v>
      </c>
      <c r="H130" s="108">
        <f ca="1"/>
        <v>76403.072038297993</v>
      </c>
      <c r="I130" s="108">
        <f ca="1"/>
        <v>91739.50274756398</v>
      </c>
      <c r="J130" s="108">
        <f ca="1"/>
        <v>109488.70267128546</v>
      </c>
      <c r="K130" s="108">
        <f ca="1"/>
        <v>130601.76696067116</v>
      </c>
      <c r="L130" s="108">
        <f ca="1"/>
        <v>156245.76025091411</v>
      </c>
      <c r="N130" s="1" t="str">
        <f t="shared" ref="N130:N137" si="1">CURRENCY_NAME&amp;"/"&amp;POP_UNIT_NAME</f>
        <v>$M(2015)/million</v>
      </c>
      <c r="P130" s="240" t="s">
        <v>871</v>
      </c>
    </row>
    <row r="131" spans="1:16" s="1" customFormat="1" x14ac:dyDescent="0.2">
      <c r="A131" s="1" t="str">
        <v>US</v>
      </c>
      <c r="B131" s="6"/>
      <c r="C131" s="108">
        <f ca="1"/>
        <v>48117.551891488321</v>
      </c>
      <c r="D131" s="108">
        <f ca="1"/>
        <v>52235.168499865344</v>
      </c>
      <c r="E131" s="108">
        <f ca="1"/>
        <v>56726.494329794899</v>
      </c>
      <c r="F131" s="108">
        <f ca="1"/>
        <v>66937.210669677166</v>
      </c>
      <c r="G131" s="108">
        <f ca="1"/>
        <v>77629.216731706314</v>
      </c>
      <c r="H131" s="108">
        <f ca="1"/>
        <v>88967.102115860733</v>
      </c>
      <c r="I131" s="108">
        <f ca="1"/>
        <v>102775.47868924198</v>
      </c>
      <c r="J131" s="108">
        <f ca="1"/>
        <v>119272.07784823758</v>
      </c>
      <c r="K131" s="108">
        <f ca="1"/>
        <v>139088.35249058696</v>
      </c>
      <c r="L131" s="108">
        <f ca="1"/>
        <v>163166.19596476204</v>
      </c>
      <c r="N131" s="1" t="str">
        <f t="shared" si="1"/>
        <v>$M(2015)/million</v>
      </c>
      <c r="P131" s="240" t="s">
        <v>1028</v>
      </c>
    </row>
    <row r="132" spans="1:16" s="1" customFormat="1" x14ac:dyDescent="0.2">
      <c r="A132" s="1" t="str">
        <v>OT</v>
      </c>
      <c r="B132" s="6"/>
      <c r="C132" s="108">
        <f ca="1"/>
        <v>31256.389943738261</v>
      </c>
      <c r="D132" s="108">
        <f ca="1"/>
        <v>34723.993651625518</v>
      </c>
      <c r="E132" s="108">
        <f ca="1"/>
        <v>38870.891815497176</v>
      </c>
      <c r="F132" s="108">
        <f ca="1"/>
        <v>48649.493122032516</v>
      </c>
      <c r="G132" s="108">
        <f ca="1"/>
        <v>59690.545880210135</v>
      </c>
      <c r="H132" s="108">
        <f ca="1"/>
        <v>72338.013285664099</v>
      </c>
      <c r="I132" s="108">
        <f ca="1"/>
        <v>87849.523554223968</v>
      </c>
      <c r="J132" s="108">
        <f ca="1"/>
        <v>105806.86092558244</v>
      </c>
      <c r="K132" s="108">
        <f ca="1"/>
        <v>127029.96054125516</v>
      </c>
      <c r="L132" s="108">
        <f ca="1"/>
        <v>152625.94998980575</v>
      </c>
      <c r="N132" s="1" t="str">
        <f t="shared" si="1"/>
        <v>$M(2015)/million</v>
      </c>
    </row>
    <row r="133" spans="1:16" s="1" customFormat="1" x14ac:dyDescent="0.2">
      <c r="A133" s="1" t="str">
        <v>EE</v>
      </c>
      <c r="B133" s="6"/>
      <c r="C133" s="108">
        <f ca="1"/>
        <v>15838.345739181173</v>
      </c>
      <c r="D133" s="108">
        <f ca="1"/>
        <v>19406.682632108324</v>
      </c>
      <c r="E133" s="108">
        <f ca="1"/>
        <v>23668.952578422544</v>
      </c>
      <c r="F133" s="108">
        <f ca="1"/>
        <v>33023.272821509025</v>
      </c>
      <c r="G133" s="108">
        <f ca="1"/>
        <v>42081.899660847215</v>
      </c>
      <c r="H133" s="108">
        <f ca="1"/>
        <v>52276.210434765941</v>
      </c>
      <c r="I133" s="108">
        <f ca="1"/>
        <v>65215.78617732288</v>
      </c>
      <c r="J133" s="108">
        <f ca="1"/>
        <v>79385.037191342912</v>
      </c>
      <c r="K133" s="108">
        <f ca="1"/>
        <v>97361.705785485959</v>
      </c>
      <c r="L133" s="108">
        <f ca="1"/>
        <v>119514.25132241918</v>
      </c>
      <c r="N133" s="1" t="str">
        <f t="shared" si="1"/>
        <v>$M(2015)/million</v>
      </c>
    </row>
    <row r="134" spans="1:16" s="1" customFormat="1" x14ac:dyDescent="0.2">
      <c r="A134" s="1" t="str">
        <v>CA</v>
      </c>
      <c r="B134" s="6"/>
      <c r="C134" s="108">
        <f ca="1"/>
        <v>16678.660518231591</v>
      </c>
      <c r="D134" s="108">
        <f ca="1"/>
        <v>22895.756125169104</v>
      </c>
      <c r="E134" s="108">
        <f ca="1"/>
        <v>29938.430265308049</v>
      </c>
      <c r="F134" s="108">
        <f ca="1"/>
        <v>44491.226553653127</v>
      </c>
      <c r="G134" s="108">
        <f ca="1"/>
        <v>58722.124364981471</v>
      </c>
      <c r="H134" s="108">
        <f ca="1"/>
        <v>72081.31390852436</v>
      </c>
      <c r="I134" s="108">
        <f ca="1"/>
        <v>86450.251959619389</v>
      </c>
      <c r="J134" s="108">
        <f ca="1"/>
        <v>101886.95302360042</v>
      </c>
      <c r="K134" s="108">
        <f ca="1"/>
        <v>120128.28320097459</v>
      </c>
      <c r="L134" s="108">
        <f ca="1"/>
        <v>141626.6088622438</v>
      </c>
      <c r="N134" s="1" t="str">
        <f t="shared" si="1"/>
        <v>$M(2015)/million</v>
      </c>
    </row>
    <row r="135" spans="1:16" s="1" customFormat="1" x14ac:dyDescent="0.2">
      <c r="A135" s="1" t="str">
        <v>IA</v>
      </c>
      <c r="B135" s="6"/>
      <c r="C135" s="108">
        <f ca="1"/>
        <v>6855.3090450045929</v>
      </c>
      <c r="D135" s="108">
        <f ca="1"/>
        <v>9101.7485148019241</v>
      </c>
      <c r="E135" s="108">
        <f ca="1"/>
        <v>11909.929260009483</v>
      </c>
      <c r="F135" s="108">
        <f ca="1"/>
        <v>19069.948848913777</v>
      </c>
      <c r="G135" s="108">
        <f ca="1"/>
        <v>28105.865894893355</v>
      </c>
      <c r="H135" s="108">
        <f ca="1"/>
        <v>38951.535878919763</v>
      </c>
      <c r="I135" s="108">
        <f ca="1"/>
        <v>52014.663100349222</v>
      </c>
      <c r="J135" s="108">
        <f ca="1"/>
        <v>67755.377834504165</v>
      </c>
      <c r="K135" s="108">
        <f ca="1"/>
        <v>87489.014363489478</v>
      </c>
      <c r="L135" s="108">
        <f ca="1"/>
        <v>111733.494939229</v>
      </c>
      <c r="N135" s="1" t="str">
        <f t="shared" si="1"/>
        <v>$M(2015)/million</v>
      </c>
    </row>
    <row r="136" spans="1:16" s="1" customFormat="1" x14ac:dyDescent="0.2">
      <c r="A136" s="1" t="str">
        <v>AF</v>
      </c>
      <c r="B136" s="6"/>
      <c r="C136" s="108">
        <f ca="1"/>
        <v>5348.6576903719479</v>
      </c>
      <c r="D136" s="108">
        <f ca="1"/>
        <v>6455.6373089283052</v>
      </c>
      <c r="E136" s="108">
        <f ca="1"/>
        <v>7964.2038693563463</v>
      </c>
      <c r="F136" s="108">
        <f ca="1"/>
        <v>12231.091736896999</v>
      </c>
      <c r="G136" s="108">
        <f ca="1"/>
        <v>18246.829594411029</v>
      </c>
      <c r="H136" s="108">
        <f ca="1"/>
        <v>26433.273008676329</v>
      </c>
      <c r="I136" s="108">
        <f ca="1"/>
        <v>37292.80495355228</v>
      </c>
      <c r="J136" s="108">
        <f ca="1"/>
        <v>51240.966633270313</v>
      </c>
      <c r="K136" s="108">
        <f ca="1"/>
        <v>69878.459435827914</v>
      </c>
      <c r="L136" s="108">
        <f ca="1"/>
        <v>94334.945987215659</v>
      </c>
      <c r="N136" s="1" t="str">
        <f t="shared" si="1"/>
        <v>$M(2015)/million</v>
      </c>
    </row>
    <row r="137" spans="1:16" s="1" customFormat="1" x14ac:dyDescent="0.2">
      <c r="A137" s="1" t="str">
        <v>LA</v>
      </c>
      <c r="B137" s="6"/>
      <c r="C137" s="108">
        <f ca="1"/>
        <v>12854.1530987063</v>
      </c>
      <c r="D137" s="108">
        <f ca="1"/>
        <v>15154.274413223986</v>
      </c>
      <c r="E137" s="108">
        <f ca="1"/>
        <v>18042.045409760998</v>
      </c>
      <c r="F137" s="108">
        <f ca="1"/>
        <v>25903.608773872285</v>
      </c>
      <c r="G137" s="108">
        <f ca="1"/>
        <v>36210.684657515711</v>
      </c>
      <c r="H137" s="108">
        <f ca="1"/>
        <v>48303.641072986073</v>
      </c>
      <c r="I137" s="108">
        <f ca="1"/>
        <v>62265.84715325744</v>
      </c>
      <c r="J137" s="108">
        <f ca="1"/>
        <v>78832.557099105863</v>
      </c>
      <c r="K137" s="108">
        <f ca="1"/>
        <v>99333.877598911029</v>
      </c>
      <c r="L137" s="108">
        <f ca="1"/>
        <v>124605.85220724234</v>
      </c>
      <c r="N137" s="1" t="str">
        <f t="shared" si="1"/>
        <v>$M(2015)/million</v>
      </c>
    </row>
    <row r="138" spans="1:16" s="1" customFormat="1" x14ac:dyDescent="0.2">
      <c r="A138" s="44" t="s">
        <v>404</v>
      </c>
      <c r="B138" s="6"/>
      <c r="C138" s="6"/>
      <c r="D138" s="6"/>
      <c r="E138" s="6"/>
      <c r="F138" s="6"/>
      <c r="G138" s="6"/>
      <c r="H138" s="6"/>
      <c r="I138" s="6"/>
      <c r="J138" s="6"/>
      <c r="K138" s="6"/>
      <c r="L138" s="6"/>
    </row>
    <row r="139" spans="1:16" s="1" customFormat="1" x14ac:dyDescent="0.2">
      <c r="A139" s="1" t="str">
        <f t="array" ref="A139:A146">R_CODE</f>
        <v>EU</v>
      </c>
      <c r="B139" s="6"/>
      <c r="C139" s="26">
        <f t="array" aca="1" ref="C139:L146" ca="1">cons_per_cap_after_costs_b/(1-SAVE/100)</f>
        <v>39871.222167185719</v>
      </c>
      <c r="D139" s="26">
        <f ca="1"/>
        <v>44587.729307340422</v>
      </c>
      <c r="E139" s="26">
        <f ca="1"/>
        <v>49938.505903941361</v>
      </c>
      <c r="F139" s="26">
        <f ca="1"/>
        <v>62185.251444202302</v>
      </c>
      <c r="G139" s="26">
        <f ca="1"/>
        <v>75279.011677629038</v>
      </c>
      <c r="H139" s="26">
        <f ca="1"/>
        <v>89885.967103880001</v>
      </c>
      <c r="I139" s="26">
        <f ca="1"/>
        <v>107928.82676183998</v>
      </c>
      <c r="J139" s="26">
        <f ca="1"/>
        <v>128810.23843680642</v>
      </c>
      <c r="K139" s="26">
        <f ca="1"/>
        <v>153649.1376007896</v>
      </c>
      <c r="L139" s="26">
        <f ca="1"/>
        <v>183818.54147166366</v>
      </c>
      <c r="N139" s="1" t="str">
        <f t="shared" ref="N139:N146" si="2">CURRENCY_NAME&amp;"/"&amp;POP_UNIT_NAME</f>
        <v>$M(2015)/million</v>
      </c>
    </row>
    <row r="140" spans="1:16" s="1" customFormat="1" x14ac:dyDescent="0.2">
      <c r="A140" s="1" t="str">
        <v>US</v>
      </c>
      <c r="B140" s="6"/>
      <c r="C140" s="26">
        <f ca="1"/>
        <v>56608.884578221558</v>
      </c>
      <c r="D140" s="26">
        <f ca="1"/>
        <v>61453.139411606287</v>
      </c>
      <c r="E140" s="26">
        <f ca="1"/>
        <v>66737.052152699878</v>
      </c>
      <c r="F140" s="26">
        <f ca="1"/>
        <v>78749.659611384908</v>
      </c>
      <c r="G140" s="26">
        <f ca="1"/>
        <v>91328.490272595664</v>
      </c>
      <c r="H140" s="26">
        <f ca="1"/>
        <v>104667.17895983616</v>
      </c>
      <c r="I140" s="26">
        <f ca="1"/>
        <v>120912.32786969646</v>
      </c>
      <c r="J140" s="26">
        <f ca="1"/>
        <v>140320.09158616187</v>
      </c>
      <c r="K140" s="26">
        <f ca="1"/>
        <v>163633.35587127876</v>
      </c>
      <c r="L140" s="26">
        <f ca="1"/>
        <v>191960.23054677888</v>
      </c>
      <c r="N140" s="1" t="str">
        <f t="shared" si="2"/>
        <v>$M(2015)/million</v>
      </c>
    </row>
    <row r="141" spans="1:16" s="1" customFormat="1" x14ac:dyDescent="0.2">
      <c r="A141" s="1" t="str">
        <v>OT</v>
      </c>
      <c r="B141" s="6"/>
      <c r="C141" s="26">
        <f ca="1"/>
        <v>36772.223463221482</v>
      </c>
      <c r="D141" s="26">
        <f ca="1"/>
        <v>40851.75723720649</v>
      </c>
      <c r="E141" s="26">
        <f ca="1"/>
        <v>45730.460959408447</v>
      </c>
      <c r="F141" s="26">
        <f ca="1"/>
        <v>57234.697790626487</v>
      </c>
      <c r="G141" s="26">
        <f ca="1"/>
        <v>70224.171623776638</v>
      </c>
      <c r="H141" s="26">
        <f ca="1"/>
        <v>85103.545041957768</v>
      </c>
      <c r="I141" s="26">
        <f ca="1"/>
        <v>103352.38065202819</v>
      </c>
      <c r="J141" s="26">
        <f ca="1"/>
        <v>124478.65991244993</v>
      </c>
      <c r="K141" s="26">
        <f ca="1"/>
        <v>149447.01240147668</v>
      </c>
      <c r="L141" s="26">
        <f ca="1"/>
        <v>179559.94116447735</v>
      </c>
      <c r="N141" s="1" t="str">
        <f t="shared" si="2"/>
        <v>$M(2015)/million</v>
      </c>
    </row>
    <row r="142" spans="1:16" s="1" customFormat="1" x14ac:dyDescent="0.2">
      <c r="A142" s="1" t="str">
        <v>EE</v>
      </c>
      <c r="B142" s="6"/>
      <c r="C142" s="26">
        <f ca="1"/>
        <v>18633.347928448438</v>
      </c>
      <c r="D142" s="26">
        <f ca="1"/>
        <v>22831.391331892148</v>
      </c>
      <c r="E142" s="26">
        <f ca="1"/>
        <v>27845.826562850052</v>
      </c>
      <c r="F142" s="26">
        <f ca="1"/>
        <v>38850.909201775321</v>
      </c>
      <c r="G142" s="26">
        <f ca="1"/>
        <v>49508.117248055547</v>
      </c>
      <c r="H142" s="26">
        <f ca="1"/>
        <v>61501.424040901111</v>
      </c>
      <c r="I142" s="26">
        <f ca="1"/>
        <v>76724.454326262217</v>
      </c>
      <c r="J142" s="26">
        <f ca="1"/>
        <v>93394.161401579899</v>
      </c>
      <c r="K142" s="26">
        <f ca="1"/>
        <v>114543.18327704231</v>
      </c>
      <c r="L142" s="26">
        <f ca="1"/>
        <v>140605.00155578728</v>
      </c>
      <c r="N142" s="1" t="str">
        <f t="shared" si="2"/>
        <v>$M(2015)/million</v>
      </c>
    </row>
    <row r="143" spans="1:16" s="1" customFormat="1" x14ac:dyDescent="0.2">
      <c r="A143" s="1" t="str">
        <v>CA</v>
      </c>
      <c r="B143" s="6"/>
      <c r="C143" s="26">
        <f ca="1"/>
        <v>19621.953550860697</v>
      </c>
      <c r="D143" s="26">
        <f ca="1"/>
        <v>26936.183676669534</v>
      </c>
      <c r="E143" s="26">
        <f ca="1"/>
        <v>35221.682665068292</v>
      </c>
      <c r="F143" s="26">
        <f ca="1"/>
        <v>52342.619474886036</v>
      </c>
      <c r="G143" s="26">
        <f ca="1"/>
        <v>69084.852194095845</v>
      </c>
      <c r="H143" s="26">
        <f ca="1"/>
        <v>84801.54577473455</v>
      </c>
      <c r="I143" s="26">
        <f ca="1"/>
        <v>101706.17877602282</v>
      </c>
      <c r="J143" s="26">
        <f ca="1"/>
        <v>119867.00355717697</v>
      </c>
      <c r="K143" s="26">
        <f ca="1"/>
        <v>141327.39200114657</v>
      </c>
      <c r="L143" s="26">
        <f ca="1"/>
        <v>166619.53983793387</v>
      </c>
      <c r="N143" s="1" t="str">
        <f t="shared" si="2"/>
        <v>$M(2015)/million</v>
      </c>
    </row>
    <row r="144" spans="1:16" s="1" customFormat="1" x14ac:dyDescent="0.2">
      <c r="A144" s="1" t="str">
        <v>IA</v>
      </c>
      <c r="B144" s="6"/>
      <c r="C144" s="26">
        <f ca="1"/>
        <v>8065.0694647112859</v>
      </c>
      <c r="D144" s="26">
        <f ca="1"/>
        <v>10707.939429178734</v>
      </c>
      <c r="E144" s="26">
        <f ca="1"/>
        <v>14011.681482364098</v>
      </c>
      <c r="F144" s="26">
        <f ca="1"/>
        <v>22435.23393989856</v>
      </c>
      <c r="G144" s="26">
        <f ca="1"/>
        <v>33065.724582227478</v>
      </c>
      <c r="H144" s="26">
        <f ca="1"/>
        <v>45825.336328140897</v>
      </c>
      <c r="I144" s="26">
        <f ca="1"/>
        <v>61193.721294528499</v>
      </c>
      <c r="J144" s="26">
        <f ca="1"/>
        <v>79712.209217063719</v>
      </c>
      <c r="K144" s="26">
        <f ca="1"/>
        <v>102928.25219234056</v>
      </c>
      <c r="L144" s="26">
        <f ca="1"/>
        <v>131451.17051674001</v>
      </c>
      <c r="N144" s="1" t="str">
        <f t="shared" si="2"/>
        <v>$M(2015)/million</v>
      </c>
    </row>
    <row r="145" spans="1:14" s="1" customFormat="1" x14ac:dyDescent="0.2">
      <c r="A145" s="1" t="str">
        <v>AF</v>
      </c>
      <c r="B145" s="6"/>
      <c r="C145" s="26">
        <f ca="1"/>
        <v>6292.5384592611153</v>
      </c>
      <c r="D145" s="26">
        <f ca="1"/>
        <v>7594.867422268595</v>
      </c>
      <c r="E145" s="26">
        <f ca="1"/>
        <v>9369.6516110074663</v>
      </c>
      <c r="F145" s="26">
        <f ca="1"/>
        <v>14389.519690467057</v>
      </c>
      <c r="G145" s="26">
        <f ca="1"/>
        <v>21466.858346365916</v>
      </c>
      <c r="H145" s="26">
        <f ca="1"/>
        <v>31097.968245501565</v>
      </c>
      <c r="I145" s="26">
        <f ca="1"/>
        <v>43873.888180649745</v>
      </c>
      <c r="J145" s="26">
        <f ca="1"/>
        <v>60283.490156788605</v>
      </c>
      <c r="K145" s="26">
        <f ca="1"/>
        <v>82209.952277444609</v>
      </c>
      <c r="L145" s="26">
        <f ca="1"/>
        <v>110982.2893967243</v>
      </c>
      <c r="N145" s="1" t="str">
        <f t="shared" si="2"/>
        <v>$M(2015)/million</v>
      </c>
    </row>
    <row r="146" spans="1:14" s="1" customFormat="1" x14ac:dyDescent="0.2">
      <c r="A146" s="1" t="str">
        <v>LA</v>
      </c>
      <c r="B146" s="6"/>
      <c r="C146" s="26">
        <f ca="1"/>
        <v>15122.533057301529</v>
      </c>
      <c r="D146" s="26">
        <f ca="1"/>
        <v>17828.55813320469</v>
      </c>
      <c r="E146" s="26">
        <f ca="1"/>
        <v>21225.93577618941</v>
      </c>
      <c r="F146" s="26">
        <f ca="1"/>
        <v>30474.833851614454</v>
      </c>
      <c r="G146" s="26">
        <f ca="1"/>
        <v>42600.805479430252</v>
      </c>
      <c r="H146" s="26">
        <f ca="1"/>
        <v>56827.813027042437</v>
      </c>
      <c r="I146" s="26">
        <f ca="1"/>
        <v>73253.937827361689</v>
      </c>
      <c r="J146" s="26">
        <f ca="1"/>
        <v>92744.184822477488</v>
      </c>
      <c r="K146" s="26">
        <f ca="1"/>
        <v>116863.38541048356</v>
      </c>
      <c r="L146" s="26">
        <f ca="1"/>
        <v>146595.12024381451</v>
      </c>
      <c r="N146" s="1" t="str">
        <f t="shared" si="2"/>
        <v>$M(2015)/million</v>
      </c>
    </row>
    <row r="147" spans="1:14" s="2" customFormat="1" ht="14.25" x14ac:dyDescent="0.25">
      <c r="A147" s="2" t="s">
        <v>220</v>
      </c>
      <c r="C147" s="2" t="s">
        <v>218</v>
      </c>
    </row>
    <row r="148" spans="1:14" x14ac:dyDescent="0.2">
      <c r="A148" t="str">
        <f t="array" ref="A148:A155">R_CODE&amp;" sea level"</f>
        <v>EU sea level</v>
      </c>
      <c r="C148" s="29">
        <f t="array" ref="C148:L155" ca="1">WINCF_S*((W_S+IBEN_S*SCAL)*(i_s_b/SCAL)^POW_S-i_s_b*IBEN_S)</f>
        <v>0.36931985104246196</v>
      </c>
      <c r="D148" s="29">
        <f ca="1"/>
        <v>0.40483673801599235</v>
      </c>
      <c r="E148" s="29">
        <f ca="1"/>
        <v>0.4458722440440715</v>
      </c>
      <c r="F148" s="29">
        <f ca="1"/>
        <v>0.55942297858805889</v>
      </c>
      <c r="G148" s="29">
        <f ca="1"/>
        <v>0.69296836621394076</v>
      </c>
      <c r="H148" s="29">
        <f ca="1"/>
        <v>0.92677928910058538</v>
      </c>
      <c r="I148" s="29">
        <f ca="1"/>
        <v>1.1717621001521878</v>
      </c>
      <c r="J148" s="29">
        <f ca="1"/>
        <v>1.4279416269164149</v>
      </c>
      <c r="K148" s="29">
        <f ca="1"/>
        <v>1.696466108451077</v>
      </c>
      <c r="L148" s="29">
        <f ca="1"/>
        <v>1.972748724111844</v>
      </c>
      <c r="M148" s="6"/>
      <c r="N148" s="59" t="s">
        <v>132</v>
      </c>
    </row>
    <row r="149" spans="1:14" x14ac:dyDescent="0.2">
      <c r="A149" t="str">
        <v>US sea level</v>
      </c>
      <c r="C149" s="26">
        <f ca="1"/>
        <v>0.29545588083396956</v>
      </c>
      <c r="D149" s="26">
        <f ca="1"/>
        <v>0.32386939041279383</v>
      </c>
      <c r="E149" s="26">
        <f ca="1"/>
        <v>0.35669779523525719</v>
      </c>
      <c r="F149" s="26">
        <f ca="1"/>
        <v>0.44753838287044706</v>
      </c>
      <c r="G149" s="26">
        <f ca="1"/>
        <v>0.55437469297115261</v>
      </c>
      <c r="H149" s="26">
        <f ca="1"/>
        <v>0.74142343128046828</v>
      </c>
      <c r="I149" s="26">
        <f ca="1"/>
        <v>0.93740968012175019</v>
      </c>
      <c r="J149" s="26">
        <f ca="1"/>
        <v>1.1423533015331317</v>
      </c>
      <c r="K149" s="26">
        <f ca="1"/>
        <v>1.3571728867608615</v>
      </c>
      <c r="L149" s="26">
        <f ca="1"/>
        <v>1.5781989792894751</v>
      </c>
      <c r="M149" s="6"/>
      <c r="N149" s="59" t="s">
        <v>132</v>
      </c>
    </row>
    <row r="150" spans="1:14" x14ac:dyDescent="0.2">
      <c r="A150" t="str">
        <v>OT sea level</v>
      </c>
      <c r="C150" s="26">
        <f ca="1"/>
        <v>0.29545588083396962</v>
      </c>
      <c r="D150" s="26">
        <f ca="1"/>
        <v>0.32386939041279394</v>
      </c>
      <c r="E150" s="26">
        <f ca="1"/>
        <v>0.35669779523525724</v>
      </c>
      <c r="F150" s="26">
        <f ca="1"/>
        <v>0.44753838287044723</v>
      </c>
      <c r="G150" s="26">
        <f ca="1"/>
        <v>0.55437469297115272</v>
      </c>
      <c r="H150" s="26">
        <f ca="1"/>
        <v>0.74142343128046839</v>
      </c>
      <c r="I150" s="26">
        <f ca="1"/>
        <v>0.93740968012175041</v>
      </c>
      <c r="J150" s="26">
        <f ca="1"/>
        <v>1.1423533015331322</v>
      </c>
      <c r="K150" s="26">
        <f ca="1"/>
        <v>1.3571728867608619</v>
      </c>
      <c r="L150" s="26">
        <f ca="1"/>
        <v>1.5781989792894755</v>
      </c>
      <c r="M150" s="6"/>
      <c r="N150" s="59" t="s">
        <v>132</v>
      </c>
    </row>
    <row r="151" spans="1:14" x14ac:dyDescent="0.2">
      <c r="A151" t="str">
        <v>EE sea level</v>
      </c>
      <c r="C151" s="26">
        <f ca="1"/>
        <v>0.14772794041698481</v>
      </c>
      <c r="D151" s="26">
        <f ca="1"/>
        <v>0.16193469520639697</v>
      </c>
      <c r="E151" s="26">
        <f ca="1"/>
        <v>0.17834889761762862</v>
      </c>
      <c r="F151" s="26">
        <f ca="1"/>
        <v>0.22376919143522361</v>
      </c>
      <c r="G151" s="26">
        <f ca="1"/>
        <v>0.27718734648557636</v>
      </c>
      <c r="H151" s="26">
        <f ca="1"/>
        <v>0.3707117156402342</v>
      </c>
      <c r="I151" s="26">
        <f ca="1"/>
        <v>0.46870484006087521</v>
      </c>
      <c r="J151" s="26">
        <f ca="1"/>
        <v>0.5711766507665661</v>
      </c>
      <c r="K151" s="26">
        <f ca="1"/>
        <v>0.67858644338043095</v>
      </c>
      <c r="L151" s="26">
        <f ca="1"/>
        <v>0.78909948964473775</v>
      </c>
      <c r="M151" s="6"/>
      <c r="N151" s="59" t="s">
        <v>132</v>
      </c>
    </row>
    <row r="152" spans="1:14" x14ac:dyDescent="0.2">
      <c r="A152" t="str">
        <v>CA sea level</v>
      </c>
      <c r="C152" s="26">
        <f ca="1"/>
        <v>0.37079160362563046</v>
      </c>
      <c r="D152" s="26">
        <f ca="1"/>
        <v>0.41458852204383462</v>
      </c>
      <c r="E152" s="26">
        <f ca="1"/>
        <v>0.46157810152439815</v>
      </c>
      <c r="F152" s="26">
        <f ca="1"/>
        <v>0.57642567667242972</v>
      </c>
      <c r="G152" s="26">
        <f ca="1"/>
        <v>0.70384526450637619</v>
      </c>
      <c r="H152" s="26">
        <f ca="1"/>
        <v>0.84731321564663376</v>
      </c>
      <c r="I152" s="26">
        <f ca="1"/>
        <v>1.0066430877344816</v>
      </c>
      <c r="J152" s="26">
        <f ca="1"/>
        <v>1.1934797996763342</v>
      </c>
      <c r="K152" s="26">
        <f ca="1"/>
        <v>1.4052735916706416</v>
      </c>
      <c r="L152" s="26">
        <f ca="1"/>
        <v>1.6237849780119049</v>
      </c>
      <c r="M152" s="6"/>
      <c r="N152" s="59" t="s">
        <v>132</v>
      </c>
    </row>
    <row r="153" spans="1:14" x14ac:dyDescent="0.2">
      <c r="A153" t="str">
        <v>IA sea level</v>
      </c>
      <c r="C153" s="26">
        <f ca="1"/>
        <v>0.37079160362563046</v>
      </c>
      <c r="D153" s="26">
        <f ca="1"/>
        <v>0.41458852204383462</v>
      </c>
      <c r="E153" s="26">
        <f ca="1"/>
        <v>0.46157810152439815</v>
      </c>
      <c r="F153" s="26">
        <f ca="1"/>
        <v>0.57642567667242972</v>
      </c>
      <c r="G153" s="26">
        <f ca="1"/>
        <v>0.70384526450637619</v>
      </c>
      <c r="H153" s="26">
        <f ca="1"/>
        <v>0.84731321564663376</v>
      </c>
      <c r="I153" s="26">
        <f ca="1"/>
        <v>1.0066430877344816</v>
      </c>
      <c r="J153" s="26">
        <f ca="1"/>
        <v>1.1934797996763342</v>
      </c>
      <c r="K153" s="26">
        <f ca="1"/>
        <v>1.4052735916706416</v>
      </c>
      <c r="L153" s="26">
        <f ca="1"/>
        <v>1.6237849780119049</v>
      </c>
      <c r="M153" s="6"/>
      <c r="N153" s="59" t="s">
        <v>132</v>
      </c>
    </row>
    <row r="154" spans="1:14" x14ac:dyDescent="0.2">
      <c r="A154" t="str">
        <v>AF sea level</v>
      </c>
      <c r="C154" s="26">
        <f ca="1"/>
        <v>0.27809370271922279</v>
      </c>
      <c r="D154" s="26">
        <f ca="1"/>
        <v>0.31094139153287592</v>
      </c>
      <c r="E154" s="26">
        <f ca="1"/>
        <v>0.34618357614329853</v>
      </c>
      <c r="F154" s="26">
        <f ca="1"/>
        <v>0.43231925750432221</v>
      </c>
      <c r="G154" s="26">
        <f ca="1"/>
        <v>0.52788394837978203</v>
      </c>
      <c r="H154" s="26">
        <f ca="1"/>
        <v>0.63548491173497523</v>
      </c>
      <c r="I154" s="26">
        <f ca="1"/>
        <v>0.75498231580086106</v>
      </c>
      <c r="J154" s="26">
        <f ca="1"/>
        <v>0.8951098497572505</v>
      </c>
      <c r="K154" s="26">
        <f ca="1"/>
        <v>1.053955193752981</v>
      </c>
      <c r="L154" s="26">
        <f ca="1"/>
        <v>1.2178387335089285</v>
      </c>
      <c r="M154" s="6"/>
      <c r="N154" s="59" t="s">
        <v>132</v>
      </c>
    </row>
    <row r="155" spans="1:14" x14ac:dyDescent="0.2">
      <c r="A155" t="str">
        <v>LA sea level</v>
      </c>
      <c r="C155" s="26">
        <f ca="1"/>
        <v>0.27809370271922279</v>
      </c>
      <c r="D155" s="26">
        <f ca="1"/>
        <v>0.31094139153287592</v>
      </c>
      <c r="E155" s="26">
        <f ca="1"/>
        <v>0.34618357614329853</v>
      </c>
      <c r="F155" s="26">
        <f ca="1"/>
        <v>0.43231925750432221</v>
      </c>
      <c r="G155" s="26">
        <f ca="1"/>
        <v>0.52788394837978203</v>
      </c>
      <c r="H155" s="26">
        <f ca="1"/>
        <v>0.63548491173497523</v>
      </c>
      <c r="I155" s="26">
        <f ca="1"/>
        <v>0.75498231580086106</v>
      </c>
      <c r="J155" s="26">
        <f ca="1"/>
        <v>0.8951098497572505</v>
      </c>
      <c r="K155" s="26">
        <f ca="1"/>
        <v>1.053955193752981</v>
      </c>
      <c r="L155" s="26">
        <f ca="1"/>
        <v>1.2178387335089285</v>
      </c>
      <c r="M155" s="6"/>
      <c r="N155" s="59" t="s">
        <v>132</v>
      </c>
    </row>
    <row r="156" spans="1:14" s="2" customFormat="1" ht="14.25" x14ac:dyDescent="0.25">
      <c r="A156" s="2" t="s">
        <v>219</v>
      </c>
      <c r="C156" s="2" t="s">
        <v>221</v>
      </c>
    </row>
    <row r="157" spans="1:14" x14ac:dyDescent="0.2">
      <c r="A157" t="str">
        <f t="array" ref="A157:A164">R_CODE&amp;" sea level"</f>
        <v>EU sea level</v>
      </c>
      <c r="C157" s="29">
        <f t="array" ref="C157:L164" ca="1">iref_s_b*(gdp_per_cap_after_costs_b/GDP_PER_CAP_FOCUS_0)^IPOW_S</f>
        <v>0.35829366063914786</v>
      </c>
      <c r="D157" s="29">
        <f ca="1"/>
        <v>0.37979535336438802</v>
      </c>
      <c r="E157" s="29">
        <f ca="1"/>
        <v>0.40430965404937619</v>
      </c>
      <c r="F157" s="29">
        <f ca="1"/>
        <v>0.47497244995862686</v>
      </c>
      <c r="G157" s="29">
        <f ca="1"/>
        <v>0.55557868304215918</v>
      </c>
      <c r="H157" s="29">
        <f ca="1"/>
        <v>0.70453583598706826</v>
      </c>
      <c r="I157" s="29">
        <f ca="1"/>
        <v>0.84320378438655674</v>
      </c>
      <c r="J157" s="29">
        <f ca="1"/>
        <v>0.97445026013400049</v>
      </c>
      <c r="K157" s="29">
        <f ca="1"/>
        <v>1.0980458797789869</v>
      </c>
      <c r="L157" s="29">
        <f ca="1"/>
        <v>1.2100109858342032</v>
      </c>
      <c r="M157" s="6"/>
      <c r="N157" s="59" t="s">
        <v>132</v>
      </c>
    </row>
    <row r="158" spans="1:14" x14ac:dyDescent="0.2">
      <c r="A158" t="str">
        <v>US sea level</v>
      </c>
      <c r="C158" s="26">
        <f ca="1"/>
        <v>0.25802488689476621</v>
      </c>
      <c r="D158" s="26">
        <f ca="1"/>
        <v>0.27595674807004811</v>
      </c>
      <c r="E158" s="26">
        <f ca="1"/>
        <v>0.29649997154997759</v>
      </c>
      <c r="F158" s="26">
        <f ca="1"/>
        <v>0.35398920606817125</v>
      </c>
      <c r="G158" s="26">
        <f ca="1"/>
        <v>0.41942648420515094</v>
      </c>
      <c r="H158" s="26">
        <f ca="1"/>
        <v>0.5384650106503277</v>
      </c>
      <c r="I158" s="26">
        <f ca="1"/>
        <v>0.65196246949004799</v>
      </c>
      <c r="J158" s="26">
        <f ca="1"/>
        <v>0.75979917957095633</v>
      </c>
      <c r="K158" s="26">
        <f ca="1"/>
        <v>0.86200137901565443</v>
      </c>
      <c r="L158" s="26">
        <f ca="1"/>
        <v>0.95550445489655889</v>
      </c>
      <c r="M158" s="6"/>
      <c r="N158" s="59" t="s">
        <v>132</v>
      </c>
    </row>
    <row r="159" spans="1:14" x14ac:dyDescent="0.2">
      <c r="A159" t="str">
        <v>OT sea level</v>
      </c>
      <c r="C159" s="26">
        <f ca="1"/>
        <v>0.29367772583647828</v>
      </c>
      <c r="D159" s="26">
        <f ca="1"/>
        <v>0.31191841694330597</v>
      </c>
      <c r="E159" s="26">
        <f ca="1"/>
        <v>0.33210322131160991</v>
      </c>
      <c r="F159" s="26">
        <f ca="1"/>
        <v>0.38955322758609612</v>
      </c>
      <c r="G159" s="26">
        <f ca="1"/>
        <v>0.45382847953654842</v>
      </c>
      <c r="H159" s="26">
        <f ca="1"/>
        <v>0.57294950493373975</v>
      </c>
      <c r="I159" s="26">
        <f ca="1"/>
        <v>0.68338843575094721</v>
      </c>
      <c r="J159" s="26">
        <f ca="1"/>
        <v>0.78760108698430009</v>
      </c>
      <c r="K159" s="26">
        <f ca="1"/>
        <v>0.88577484064883716</v>
      </c>
      <c r="L159" s="26">
        <f ca="1"/>
        <v>0.97483981536602626</v>
      </c>
      <c r="M159" s="6"/>
      <c r="N159" s="59" t="s">
        <v>132</v>
      </c>
    </row>
    <row r="160" spans="1:14" x14ac:dyDescent="0.2">
      <c r="A160" t="str">
        <v>EE sea level</v>
      </c>
      <c r="C160" s="26">
        <f ca="1"/>
        <v>0.18005687647245164</v>
      </c>
      <c r="D160" s="26">
        <f ca="1"/>
        <v>0.18570112370295952</v>
      </c>
      <c r="E160" s="26">
        <f ca="1"/>
        <v>0.19269778919713296</v>
      </c>
      <c r="F160" s="26">
        <f ca="1"/>
        <v>0.21878335279632488</v>
      </c>
      <c r="G160" s="26">
        <f ca="1"/>
        <v>0.2520024799426282</v>
      </c>
      <c r="H160" s="26">
        <f ca="1"/>
        <v>0.31579488886403034</v>
      </c>
      <c r="I160" s="26">
        <f ca="1"/>
        <v>0.37364023166624249</v>
      </c>
      <c r="J160" s="26">
        <f ca="1"/>
        <v>0.42924857727847787</v>
      </c>
      <c r="K160" s="26">
        <f ca="1"/>
        <v>0.47967683051932297</v>
      </c>
      <c r="L160" s="26">
        <f ca="1"/>
        <v>0.52452460882723895</v>
      </c>
      <c r="M160" s="6"/>
      <c r="N160" s="59" t="s">
        <v>132</v>
      </c>
    </row>
    <row r="161" spans="1:27" x14ac:dyDescent="0.2">
      <c r="A161" t="str">
        <v>CA sea level</v>
      </c>
      <c r="C161" s="26">
        <f ca="1"/>
        <v>0.44498108962619581</v>
      </c>
      <c r="D161" s="26">
        <f ca="1"/>
        <v>0.45242937204065403</v>
      </c>
      <c r="E161" s="26">
        <f ca="1"/>
        <v>0.4647683049470569</v>
      </c>
      <c r="F161" s="26">
        <f ca="1"/>
        <v>0.5153722365146699</v>
      </c>
      <c r="G161" s="26">
        <f ca="1"/>
        <v>0.57902415319657541</v>
      </c>
      <c r="H161" s="26">
        <f ca="1"/>
        <v>0.65547659121715718</v>
      </c>
      <c r="I161" s="26">
        <f ca="1"/>
        <v>0.73740427554436216</v>
      </c>
      <c r="J161" s="26">
        <f ca="1"/>
        <v>0.8322226183187994</v>
      </c>
      <c r="K161" s="26">
        <f ca="1"/>
        <v>0.93266852001502842</v>
      </c>
      <c r="L161" s="26">
        <f ca="1"/>
        <v>1.0257583880067489</v>
      </c>
      <c r="M161" s="6"/>
      <c r="N161" s="59" t="s">
        <v>132</v>
      </c>
    </row>
    <row r="162" spans="1:27" x14ac:dyDescent="0.2">
      <c r="A162" t="str">
        <v>IA sea level</v>
      </c>
      <c r="C162" s="26">
        <f ca="1"/>
        <v>0.58100757475409903</v>
      </c>
      <c r="D162" s="26">
        <f ca="1"/>
        <v>0.59667774474561697</v>
      </c>
      <c r="E162" s="26">
        <f ca="1"/>
        <v>0.61281933132121247</v>
      </c>
      <c r="F162" s="26">
        <f ca="1"/>
        <v>0.66450533839208892</v>
      </c>
      <c r="G162" s="26">
        <f ca="1"/>
        <v>0.72226757226895888</v>
      </c>
      <c r="H162" s="26">
        <f ca="1"/>
        <v>0.7884000057947379</v>
      </c>
      <c r="I162" s="26">
        <f ca="1"/>
        <v>0.85881138556937275</v>
      </c>
      <c r="J162" s="26">
        <f ca="1"/>
        <v>0.94057180484057368</v>
      </c>
      <c r="K162" s="26">
        <f ca="1"/>
        <v>1.0257342151770588</v>
      </c>
      <c r="L162" s="26">
        <f ca="1"/>
        <v>1.1013707007270499</v>
      </c>
      <c r="M162" s="6"/>
      <c r="N162" s="59" t="s">
        <v>132</v>
      </c>
    </row>
    <row r="163" spans="1:27" x14ac:dyDescent="0.2">
      <c r="A163" t="str">
        <v>AF sea level</v>
      </c>
      <c r="C163" s="26">
        <f ca="1"/>
        <v>0.46943744447815611</v>
      </c>
      <c r="D163" s="26">
        <f ca="1"/>
        <v>0.49608582244372601</v>
      </c>
      <c r="E163" s="26">
        <f ca="1"/>
        <v>0.51858955341732327</v>
      </c>
      <c r="F163" s="26">
        <f ca="1"/>
        <v>0.56940992009947522</v>
      </c>
      <c r="G163" s="26">
        <f ca="1"/>
        <v>0.6166549843025193</v>
      </c>
      <c r="H163" s="26">
        <f ca="1"/>
        <v>0.66423227756156056</v>
      </c>
      <c r="I163" s="26">
        <f ca="1"/>
        <v>0.71172017822328348</v>
      </c>
      <c r="J163" s="26">
        <f ca="1"/>
        <v>0.76709854074648409</v>
      </c>
      <c r="K163" s="26">
        <f ca="1"/>
        <v>0.82296083301360179</v>
      </c>
      <c r="L163" s="26">
        <f ca="1"/>
        <v>0.86905650731886319</v>
      </c>
      <c r="M163" s="6"/>
      <c r="N163" s="59" t="s">
        <v>132</v>
      </c>
    </row>
    <row r="164" spans="1:27" x14ac:dyDescent="0.2">
      <c r="A164" t="str">
        <v>LA sea level</v>
      </c>
      <c r="C164" s="26">
        <f ca="1"/>
        <v>0.3608594881501801</v>
      </c>
      <c r="D164" s="26">
        <f ca="1"/>
        <v>0.38404136822027207</v>
      </c>
      <c r="E164" s="26">
        <f ca="1"/>
        <v>0.40577075508001276</v>
      </c>
      <c r="F164" s="26">
        <f ca="1"/>
        <v>0.45462835018439068</v>
      </c>
      <c r="G164" s="26">
        <f ca="1"/>
        <v>0.50205055339998472</v>
      </c>
      <c r="H164" s="26">
        <f ca="1"/>
        <v>0.55433372027356353</v>
      </c>
      <c r="I164" s="26">
        <f ca="1"/>
        <v>0.61026972205916963</v>
      </c>
      <c r="J164" s="26">
        <f ca="1"/>
        <v>0.67410052680796406</v>
      </c>
      <c r="K164" s="26">
        <f ca="1"/>
        <v>0.74054754457353811</v>
      </c>
      <c r="L164" s="26">
        <f ca="1"/>
        <v>0.79944440136851469</v>
      </c>
      <c r="M164" s="6"/>
      <c r="N164" s="59" t="s">
        <v>132</v>
      </c>
    </row>
    <row r="165" spans="1:27" s="2" customFormat="1" ht="14.25" x14ac:dyDescent="0.25">
      <c r="A165" s="2" t="s">
        <v>223</v>
      </c>
      <c r="C165" s="2" t="s">
        <v>222</v>
      </c>
      <c r="P165" s="2" t="s">
        <v>1121</v>
      </c>
      <c r="Q165" s="2">
        <v>3731.1295734726509</v>
      </c>
      <c r="R165" s="2">
        <v>2426.1527681994476</v>
      </c>
      <c r="S165" s="2">
        <v>3552.712571602302</v>
      </c>
      <c r="T165" s="2">
        <v>4514.9583109114074</v>
      </c>
      <c r="U165" s="2">
        <v>4315.3722470948551</v>
      </c>
      <c r="V165" s="2">
        <v>4118.4784203593954</v>
      </c>
      <c r="W165" s="2">
        <v>3890.9393108804293</v>
      </c>
      <c r="X165" s="2">
        <v>3637.6091360562946</v>
      </c>
      <c r="Y165" s="2">
        <v>3362.102877852833</v>
      </c>
      <c r="Z165" s="2">
        <v>1539.7101356993812</v>
      </c>
    </row>
    <row r="166" spans="1:27" x14ac:dyDescent="0.2">
      <c r="A166" t="str">
        <f t="array" ref="A166:A173">R_CODE&amp;" sea level"</f>
        <v>EU sea level</v>
      </c>
      <c r="C166" s="29">
        <f t="array" ref="C166:L173" ca="1">IF(igdp_s_b&lt;ISATG,igdp_s_b,ISATG+(100-SAVE-ISATG)*((igdp_s_b-ISATG)/((100-SAVE-ISATG)+(igdp_s_b-ISATG))))*(1-imp_s_b/100*IF(i_s_b&lt;impmax_s_b,1,impmax_s_b/i_s_b))</f>
        <v>0.35829366063914786</v>
      </c>
      <c r="D166" s="29">
        <f ca="1"/>
        <v>0.36080558569616861</v>
      </c>
      <c r="E166" s="29">
        <f ca="1"/>
        <v>0.36387868864443856</v>
      </c>
      <c r="F166" s="29">
        <f ca="1"/>
        <v>0.37997795996690154</v>
      </c>
      <c r="G166" s="29">
        <f ca="1"/>
        <v>0.38890507812951142</v>
      </c>
      <c r="H166" s="29">
        <f ca="1"/>
        <v>0.42272150159224092</v>
      </c>
      <c r="I166" s="29">
        <f ca="1"/>
        <v>0.42160189219327837</v>
      </c>
      <c r="J166" s="29">
        <f ca="1"/>
        <v>0.48722513006700024</v>
      </c>
      <c r="K166" s="29">
        <f ca="1"/>
        <v>0.56396833140314817</v>
      </c>
      <c r="L166" s="29">
        <f ca="1"/>
        <v>0.73091920940425914</v>
      </c>
      <c r="M166" s="6"/>
      <c r="N166" s="59" t="s">
        <v>132</v>
      </c>
      <c r="Q166">
        <v>2469.2933029868564</v>
      </c>
      <c r="R166">
        <v>1655.0206779588766</v>
      </c>
      <c r="S166">
        <v>2495.0510744882445</v>
      </c>
      <c r="T166">
        <v>3338.0788676695838</v>
      </c>
      <c r="U166">
        <v>3337.1775681398367</v>
      </c>
      <c r="V166">
        <v>3336.3701725041342</v>
      </c>
      <c r="W166">
        <v>3311.5332044327552</v>
      </c>
      <c r="X166">
        <v>3249.3916266154547</v>
      </c>
      <c r="Y166">
        <v>3138.1458516589769</v>
      </c>
      <c r="Z166">
        <v>1490.0974668620906</v>
      </c>
    </row>
    <row r="167" spans="1:27" x14ac:dyDescent="0.2">
      <c r="A167" t="str">
        <v>US sea level</v>
      </c>
      <c r="C167" s="26">
        <f ca="1"/>
        <v>0.25802488689476621</v>
      </c>
      <c r="D167" s="26">
        <f ca="1"/>
        <v>0.26215891066654567</v>
      </c>
      <c r="E167" s="26">
        <f ca="1"/>
        <v>0.26684997439497982</v>
      </c>
      <c r="F167" s="26">
        <f ca="1"/>
        <v>0.283191364854537</v>
      </c>
      <c r="G167" s="26">
        <f ca="1"/>
        <v>0.29359853894360566</v>
      </c>
      <c r="H167" s="26">
        <f ca="1"/>
        <v>0.3230790063901966</v>
      </c>
      <c r="I167" s="26">
        <f ca="1"/>
        <v>0.325981234745024</v>
      </c>
      <c r="J167" s="26">
        <f ca="1"/>
        <v>0.37989958978547816</v>
      </c>
      <c r="K167" s="26">
        <f ca="1"/>
        <v>0.44273330317356246</v>
      </c>
      <c r="L167" s="26">
        <f ca="1"/>
        <v>0.57718199994172237</v>
      </c>
      <c r="M167" s="6"/>
      <c r="N167" s="59" t="s">
        <v>132</v>
      </c>
      <c r="Q167">
        <v>2239.1949630902322</v>
      </c>
      <c r="R167">
        <v>1458.611518686547</v>
      </c>
      <c r="S167">
        <v>2132.7627674158425</v>
      </c>
      <c r="T167">
        <v>2686.3510478224653</v>
      </c>
      <c r="U167">
        <v>2526.882548698853</v>
      </c>
      <c r="V167">
        <v>2364.3638056037162</v>
      </c>
      <c r="W167">
        <v>2180.9623948197591</v>
      </c>
      <c r="X167">
        <v>1984.7986693586015</v>
      </c>
      <c r="Y167">
        <v>1780.740276098659</v>
      </c>
      <c r="Z167">
        <v>789.37877466952784</v>
      </c>
    </row>
    <row r="168" spans="1:27" x14ac:dyDescent="0.2">
      <c r="A168" t="str">
        <v>OT sea level</v>
      </c>
      <c r="C168" s="26">
        <f ca="1"/>
        <v>0.29367772583647828</v>
      </c>
      <c r="D168" s="26">
        <f ca="1"/>
        <v>0.29632249609614064</v>
      </c>
      <c r="E168" s="26">
        <f ca="1"/>
        <v>0.29889289918044892</v>
      </c>
      <c r="F168" s="26">
        <f ca="1"/>
        <v>0.31164258206887691</v>
      </c>
      <c r="G168" s="26">
        <f ca="1"/>
        <v>0.31767993567558389</v>
      </c>
      <c r="H168" s="26">
        <f ca="1"/>
        <v>0.34376970296024384</v>
      </c>
      <c r="I168" s="26">
        <f ca="1"/>
        <v>0.3416942178754736</v>
      </c>
      <c r="J168" s="26">
        <f ca="1"/>
        <v>0.39380054349215005</v>
      </c>
      <c r="K168" s="26">
        <f ca="1"/>
        <v>0.45494361217416768</v>
      </c>
      <c r="L168" s="26">
        <f ca="1"/>
        <v>0.58886171736027637</v>
      </c>
      <c r="M168" s="6"/>
      <c r="N168" s="59" t="s">
        <v>132</v>
      </c>
      <c r="Q168">
        <v>1990.317156230715</v>
      </c>
      <c r="R168">
        <v>1255.0019685057825</v>
      </c>
      <c r="S168">
        <v>1776.3370011275188</v>
      </c>
      <c r="T168">
        <v>2107.5048846850432</v>
      </c>
      <c r="U168">
        <v>1853.4416966818851</v>
      </c>
      <c r="V168">
        <v>1607.9006187189816</v>
      </c>
      <c r="W168">
        <v>1375.7159618222977</v>
      </c>
      <c r="X168">
        <v>1154.6923183604661</v>
      </c>
      <c r="Y168">
        <v>953.15988237658837</v>
      </c>
      <c r="Z168">
        <v>388.4312004223346</v>
      </c>
    </row>
    <row r="169" spans="1:27" x14ac:dyDescent="0.2">
      <c r="A169" t="str">
        <v>EE sea level</v>
      </c>
      <c r="C169" s="26">
        <f ca="1"/>
        <v>0.18005687647245164</v>
      </c>
      <c r="D169" s="26">
        <f ca="1"/>
        <v>0.17641606751781153</v>
      </c>
      <c r="E169" s="26">
        <f ca="1"/>
        <v>0.17342801027741966</v>
      </c>
      <c r="F169" s="26">
        <f ca="1"/>
        <v>0.17502668223705992</v>
      </c>
      <c r="G169" s="26">
        <f ca="1"/>
        <v>0.17640173595983974</v>
      </c>
      <c r="H169" s="26">
        <f ca="1"/>
        <v>0.18947693331841819</v>
      </c>
      <c r="I169" s="26">
        <f ca="1"/>
        <v>0.18682011583312125</v>
      </c>
      <c r="J169" s="26">
        <f ca="1"/>
        <v>0.21462428863923894</v>
      </c>
      <c r="K169" s="26">
        <f ca="1"/>
        <v>0.24636724812917987</v>
      </c>
      <c r="L169" s="26">
        <f ca="1"/>
        <v>0.31684432363460835</v>
      </c>
      <c r="M169" s="6"/>
      <c r="N169" s="59" t="s">
        <v>132</v>
      </c>
      <c r="Q169">
        <v>9826.6054363394578</v>
      </c>
      <c r="R169">
        <v>6223.010026983422</v>
      </c>
      <c r="S169">
        <v>8797.1859940073919</v>
      </c>
      <c r="T169">
        <v>10200.988114705027</v>
      </c>
      <c r="U169">
        <v>8622.3638162845327</v>
      </c>
      <c r="V169">
        <v>7109.1345337649564</v>
      </c>
      <c r="W169">
        <v>5744.3559674504895</v>
      </c>
      <c r="X169">
        <v>4571.4493052692469</v>
      </c>
      <c r="Y169">
        <v>3571.443654170133</v>
      </c>
      <c r="Z169">
        <v>1362.5965597765826</v>
      </c>
    </row>
    <row r="170" spans="1:27" x14ac:dyDescent="0.2">
      <c r="A170" t="str">
        <v>CA sea level</v>
      </c>
      <c r="C170" s="26">
        <f ca="1"/>
        <v>0.44498108962619581</v>
      </c>
      <c r="D170" s="26">
        <f ca="1"/>
        <v>0.4448888825066431</v>
      </c>
      <c r="E170" s="26">
        <f ca="1"/>
        <v>0.44927602811548834</v>
      </c>
      <c r="F170" s="26">
        <f ca="1"/>
        <v>0.48101408741369189</v>
      </c>
      <c r="G170" s="26">
        <f ca="1"/>
        <v>0.52112173787691785</v>
      </c>
      <c r="H170" s="26">
        <f ca="1"/>
        <v>0.56807971238820287</v>
      </c>
      <c r="I170" s="26">
        <f ca="1"/>
        <v>0.61450356295363517</v>
      </c>
      <c r="J170" s="26">
        <f ca="1"/>
        <v>0.66577809465503957</v>
      </c>
      <c r="K170" s="26">
        <f ca="1"/>
        <v>0.73078913836543014</v>
      </c>
      <c r="L170" s="26">
        <f ca="1"/>
        <v>0.83042309465250674</v>
      </c>
      <c r="M170" s="6"/>
      <c r="N170" s="59" t="s">
        <v>132</v>
      </c>
      <c r="Q170">
        <v>18213.058718904904</v>
      </c>
      <c r="R170">
        <v>11967.541445836696</v>
      </c>
      <c r="S170">
        <v>17536.514753006963</v>
      </c>
      <c r="T170">
        <v>21898.528817911159</v>
      </c>
      <c r="U170">
        <v>19957.806374893</v>
      </c>
      <c r="V170">
        <v>17722.134921825822</v>
      </c>
      <c r="W170">
        <v>15370.743074317586</v>
      </c>
      <c r="X170">
        <v>13033.203860891063</v>
      </c>
      <c r="Y170">
        <v>10816.33018475015</v>
      </c>
      <c r="Z170">
        <v>4405.1730338676207</v>
      </c>
    </row>
    <row r="171" spans="1:27" x14ac:dyDescent="0.2">
      <c r="A171" t="str">
        <v>IA sea level</v>
      </c>
      <c r="C171" s="26">
        <f ca="1"/>
        <v>0.58100757475409903</v>
      </c>
      <c r="D171" s="26">
        <f ca="1"/>
        <v>0.58673311566652331</v>
      </c>
      <c r="E171" s="26">
        <f ca="1"/>
        <v>0.59239202027717208</v>
      </c>
      <c r="F171" s="26">
        <f ca="1"/>
        <v>0.62020498249928302</v>
      </c>
      <c r="G171" s="26">
        <f ca="1"/>
        <v>0.65004081504206301</v>
      </c>
      <c r="H171" s="26">
        <f ca="1"/>
        <v>0.68328000502210617</v>
      </c>
      <c r="I171" s="26">
        <f ca="1"/>
        <v>0.71567615464114398</v>
      </c>
      <c r="J171" s="26">
        <f ca="1"/>
        <v>0.75245744387245894</v>
      </c>
      <c r="K171" s="26">
        <f ca="1"/>
        <v>0.80371043646793716</v>
      </c>
      <c r="L171" s="26">
        <f ca="1"/>
        <v>0.89163654555592986</v>
      </c>
      <c r="M171" s="6"/>
      <c r="N171" s="59" t="s">
        <v>132</v>
      </c>
      <c r="Q171">
        <v>10650.070101781928</v>
      </c>
      <c r="R171">
        <v>7291.2597514671843</v>
      </c>
      <c r="S171">
        <v>11105.082525010837</v>
      </c>
      <c r="T171">
        <v>14933.384950664169</v>
      </c>
      <c r="U171">
        <v>14551.211946454265</v>
      </c>
      <c r="V171">
        <v>13755.584441237686</v>
      </c>
      <c r="W171">
        <v>12707.401490362032</v>
      </c>
      <c r="X171">
        <v>11491.670418254376</v>
      </c>
      <c r="Y171">
        <v>10195.532723616994</v>
      </c>
      <c r="Z171">
        <v>4445.146968010511</v>
      </c>
    </row>
    <row r="172" spans="1:27" x14ac:dyDescent="0.2">
      <c r="A172" t="str">
        <v>AF sea level</v>
      </c>
      <c r="C172" s="26">
        <f ca="1"/>
        <v>0.46943744447815611</v>
      </c>
      <c r="D172" s="26">
        <f ca="1"/>
        <v>0.48781772540299723</v>
      </c>
      <c r="E172" s="26">
        <f ca="1"/>
        <v>0.50130323497007911</v>
      </c>
      <c r="F172" s="26">
        <f ca="1"/>
        <v>0.53144925875951021</v>
      </c>
      <c r="G172" s="26">
        <f ca="1"/>
        <v>0.55498948587226737</v>
      </c>
      <c r="H172" s="26">
        <f ca="1"/>
        <v>0.57566797388668589</v>
      </c>
      <c r="I172" s="26">
        <f ca="1"/>
        <v>0.59310014851940296</v>
      </c>
      <c r="J172" s="26">
        <f ca="1"/>
        <v>0.61367883259718736</v>
      </c>
      <c r="K172" s="26">
        <f ca="1"/>
        <v>0.64482806609235177</v>
      </c>
      <c r="L172" s="26">
        <f ca="1"/>
        <v>0.70356197197471126</v>
      </c>
      <c r="M172" s="6"/>
      <c r="N172" s="59" t="s">
        <v>132</v>
      </c>
      <c r="Q172">
        <v>4501.7502722242107</v>
      </c>
      <c r="R172">
        <v>2916.6207490358252</v>
      </c>
      <c r="S172">
        <v>4215.9221401383056</v>
      </c>
      <c r="T172">
        <v>5122.2294028727401</v>
      </c>
      <c r="U172">
        <v>4547.7319500302301</v>
      </c>
      <c r="V172">
        <v>3945.426203751409</v>
      </c>
      <c r="W172">
        <v>3367.2888133269007</v>
      </c>
      <c r="X172">
        <v>2833.0082017673776</v>
      </c>
      <c r="Y172">
        <v>2338.562977083353</v>
      </c>
      <c r="Z172">
        <v>941.97398876251941</v>
      </c>
    </row>
    <row r="173" spans="1:27" x14ac:dyDescent="0.2">
      <c r="A173" t="str">
        <v>LA sea level</v>
      </c>
      <c r="C173" s="26">
        <f ca="1"/>
        <v>0.3608594881501801</v>
      </c>
      <c r="D173" s="26">
        <f ca="1"/>
        <v>0.37764067874993418</v>
      </c>
      <c r="E173" s="26">
        <f ca="1"/>
        <v>0.39224506324401232</v>
      </c>
      <c r="F173" s="26">
        <f ca="1"/>
        <v>0.42431979350543131</v>
      </c>
      <c r="G173" s="26">
        <f ca="1"/>
        <v>0.45184549805998625</v>
      </c>
      <c r="H173" s="26">
        <f ca="1"/>
        <v>0.48042255757042174</v>
      </c>
      <c r="I173" s="26">
        <f ca="1"/>
        <v>0.50855810171597471</v>
      </c>
      <c r="J173" s="26">
        <f ca="1"/>
        <v>0.53928042144637123</v>
      </c>
      <c r="K173" s="26">
        <f ca="1"/>
        <v>0.5802534238089333</v>
      </c>
      <c r="L173" s="26">
        <f ca="1"/>
        <v>0.64720610774346865</v>
      </c>
      <c r="M173" s="6"/>
      <c r="N173" s="59" t="s">
        <v>132</v>
      </c>
    </row>
    <row r="174" spans="1:27" s="2" customFormat="1" ht="14.25" x14ac:dyDescent="0.25">
      <c r="A174" s="2" t="s">
        <v>224</v>
      </c>
      <c r="C174" s="2" t="s">
        <v>225</v>
      </c>
    </row>
    <row r="175" spans="1:27" ht="14.25" x14ac:dyDescent="0.2">
      <c r="A175" t="str">
        <f t="array" ref="A175:A182">R_CODE&amp;" sea level"</f>
        <v>EU sea level</v>
      </c>
      <c r="C175" s="29">
        <f t="array" ref="C175:L182" ca="1">(isat_s_b/100)*gdp_per_cap_after_costs_b</f>
        <v>142.8560614443771</v>
      </c>
      <c r="D175" s="29">
        <f ca="1"/>
        <v>160.87501787597185</v>
      </c>
      <c r="E175" s="29">
        <f ca="1"/>
        <v>181.71558041188734</v>
      </c>
      <c r="F175" s="29">
        <f ca="1"/>
        <v>236.2902498379681</v>
      </c>
      <c r="G175" s="29">
        <f ca="1"/>
        <v>292.76389918000723</v>
      </c>
      <c r="H175" s="29">
        <f ca="1"/>
        <v>379.96730986222929</v>
      </c>
      <c r="I175" s="29">
        <f ca="1"/>
        <v>455.02997584992278</v>
      </c>
      <c r="J175" s="29">
        <f ca="1"/>
        <v>627.59585176334315</v>
      </c>
      <c r="K175" s="29">
        <f ca="1"/>
        <v>866.53247754250026</v>
      </c>
      <c r="L175" s="29">
        <f ca="1"/>
        <v>1343.5650300631241</v>
      </c>
      <c r="M175" s="6"/>
      <c r="N175" s="1" t="str">
        <f t="shared" ref="N175:N182" si="3">CURRENCY_NAME&amp;"/"&amp;POP_UNIT_NAME</f>
        <v>$M(2015)/million</v>
      </c>
      <c r="O175" s="1"/>
      <c r="Q175">
        <f ca="1">C175*Q165</f>
        <v>533014.4756049416</v>
      </c>
      <c r="R175">
        <f t="shared" ref="R175:R182" ca="1" si="4">D175*R165</f>
        <v>390307.36995392473</v>
      </c>
      <c r="S175">
        <f t="shared" ref="S175:S182" ca="1" si="5">E175*S165</f>
        <v>645583.22698532115</v>
      </c>
      <c r="T175">
        <f t="shared" ref="T175:T182" ca="1" si="6">F175*T165</f>
        <v>1066840.6272932668</v>
      </c>
      <c r="U175">
        <f t="shared" ref="U175:U182" ca="1" si="7">G175*U165</f>
        <v>1263385.2054726793</v>
      </c>
      <c r="V175">
        <f t="shared" ref="V175:V182" ca="1" si="8">H175*V165</f>
        <v>1564887.1661096029</v>
      </c>
      <c r="W175">
        <f t="shared" ref="W175:W182" ca="1" si="9">I175*W165</f>
        <v>1770494.020663437</v>
      </c>
      <c r="X175">
        <f t="shared" ref="X175:X182" ca="1" si="10">J175*X165</f>
        <v>2282948.4041253692</v>
      </c>
      <c r="Y175">
        <f t="shared" ref="Y175:Y182" ca="1" si="11">K175*Y165</f>
        <v>2913371.3364985855</v>
      </c>
      <c r="Z175">
        <f t="shared" ref="Z175:Z182" ca="1" si="12">L175*Z165</f>
        <v>2068700.6947594362</v>
      </c>
      <c r="AA175" s="330">
        <f ca="1">SUM(Q175:Z175)</f>
        <v>14499532.527466562</v>
      </c>
    </row>
    <row r="176" spans="1:27" ht="14.25" x14ac:dyDescent="0.2">
      <c r="A176" t="str">
        <v>US sea level</v>
      </c>
      <c r="C176" s="26">
        <f ca="1"/>
        <v>146.06501040534494</v>
      </c>
      <c r="D176" s="26">
        <f ca="1"/>
        <v>161.10488085186068</v>
      </c>
      <c r="E176" s="26">
        <f ca="1"/>
        <v>178.08780658144394</v>
      </c>
      <c r="F176" s="26">
        <f ca="1"/>
        <v>223.01223587178299</v>
      </c>
      <c r="G176" s="26">
        <f ca="1"/>
        <v>268.13911307959387</v>
      </c>
      <c r="H176" s="26">
        <f ca="1"/>
        <v>338.15768180008757</v>
      </c>
      <c r="I176" s="26">
        <f ca="1"/>
        <v>394.15149934858829</v>
      </c>
      <c r="J176" s="26">
        <f ca="1"/>
        <v>533.07545232243626</v>
      </c>
      <c r="K176" s="26">
        <f ca="1"/>
        <v>724.45936154266303</v>
      </c>
      <c r="L176" s="26">
        <f ca="1"/>
        <v>1107.9598977626395</v>
      </c>
      <c r="M176" s="6"/>
      <c r="N176" s="1" t="str">
        <f t="shared" si="3"/>
        <v>$M(2015)/million</v>
      </c>
      <c r="O176" s="1"/>
      <c r="Q176">
        <f ca="1">C176*Q166</f>
        <v>360677.35199462372</v>
      </c>
      <c r="R176">
        <f t="shared" ca="1" si="4"/>
        <v>266631.90912993049</v>
      </c>
      <c r="S176">
        <f t="shared" ca="1" si="5"/>
        <v>444338.17316428636</v>
      </c>
      <c r="T176">
        <f t="shared" ca="1" si="6"/>
        <v>744432.43179534352</v>
      </c>
      <c r="U176">
        <f t="shared" ca="1" si="7"/>
        <v>894827.8333101318</v>
      </c>
      <c r="V176">
        <f t="shared" ca="1" si="8"/>
        <v>1128219.2031609563</v>
      </c>
      <c r="W176">
        <f t="shared" ca="1" si="9"/>
        <v>1305245.7776698056</v>
      </c>
      <c r="X176">
        <f t="shared" ca="1" si="10"/>
        <v>1732170.9111307703</v>
      </c>
      <c r="Y176">
        <f t="shared" ca="1" si="11"/>
        <v>2273459.140120619</v>
      </c>
      <c r="Z176">
        <f t="shared" ca="1" si="12"/>
        <v>1650968.2370408899</v>
      </c>
      <c r="AA176" s="330">
        <f ca="1">SUM(Q176:Z176)</f>
        <v>10800970.968517357</v>
      </c>
    </row>
    <row r="177" spans="1:27" ht="14.25" x14ac:dyDescent="0.2">
      <c r="A177" t="str">
        <v>OT sea level</v>
      </c>
      <c r="C177" s="26">
        <f ca="1"/>
        <v>107.99182960629673</v>
      </c>
      <c r="D177" s="26">
        <f ca="1"/>
        <v>121.05294674442605</v>
      </c>
      <c r="E177" s="26">
        <f ca="1"/>
        <v>136.68510057015925</v>
      </c>
      <c r="F177" s="26">
        <f ca="1"/>
        <v>178.36769003402682</v>
      </c>
      <c r="G177" s="26">
        <f ca="1"/>
        <v>223.08810324312526</v>
      </c>
      <c r="H177" s="26">
        <f ca="1"/>
        <v>292.56020399937557</v>
      </c>
      <c r="I177" s="26">
        <f ca="1"/>
        <v>353.14910872463003</v>
      </c>
      <c r="J177" s="26">
        <f ca="1"/>
        <v>490.19763926697294</v>
      </c>
      <c r="K177" s="26">
        <f ca="1"/>
        <v>679.89963650565437</v>
      </c>
      <c r="L177" s="26">
        <f ca="1"/>
        <v>1057.3597532322431</v>
      </c>
      <c r="M177" s="6"/>
      <c r="N177" s="1" t="str">
        <f t="shared" si="3"/>
        <v>$M(2015)/million</v>
      </c>
      <c r="O177" s="1"/>
      <c r="Q177">
        <f t="shared" ref="Q177:Q182" ca="1" si="13">C177*Q167</f>
        <v>241814.76090931825</v>
      </c>
      <c r="R177">
        <f t="shared" ca="1" si="4"/>
        <v>176569.22249236898</v>
      </c>
      <c r="S177">
        <f t="shared" ca="1" si="5"/>
        <v>291516.89335652557</v>
      </c>
      <c r="T177">
        <f t="shared" ca="1" si="6"/>
        <v>479158.23102058063</v>
      </c>
      <c r="U177">
        <f t="shared" ca="1" si="7"/>
        <v>563717.43490738119</v>
      </c>
      <c r="V177">
        <f t="shared" ca="1" si="8"/>
        <v>691718.75729616312</v>
      </c>
      <c r="W177">
        <f t="shared" ca="1" si="9"/>
        <v>770204.92589253257</v>
      </c>
      <c r="X177">
        <f t="shared" ca="1" si="10"/>
        <v>972943.62213981559</v>
      </c>
      <c r="Y177">
        <f t="shared" ca="1" si="11"/>
        <v>1210724.6664304568</v>
      </c>
      <c r="Z177">
        <f t="shared" ca="1" si="12"/>
        <v>834657.34639134235</v>
      </c>
      <c r="AA177" s="331">
        <f t="shared" ref="AA177:AA183" ca="1" si="14">SUM(Q177:Z177)</f>
        <v>6233025.8608364854</v>
      </c>
    </row>
    <row r="178" spans="1:27" ht="14.25" x14ac:dyDescent="0.2">
      <c r="A178" t="str">
        <v>EE sea level</v>
      </c>
      <c r="C178" s="26">
        <f ca="1"/>
        <v>33.55062426220853</v>
      </c>
      <c r="D178" s="26">
        <f ca="1"/>
        <v>40.278242747326622</v>
      </c>
      <c r="E178" s="26">
        <f ca="1"/>
        <v>48.292462953252041</v>
      </c>
      <c r="F178" s="26">
        <f ca="1"/>
        <v>67.999457394799961</v>
      </c>
      <c r="G178" s="26">
        <f ca="1"/>
        <v>87.333178266602815</v>
      </c>
      <c r="H178" s="26">
        <f ca="1"/>
        <v>116.53101221985581</v>
      </c>
      <c r="I178" s="26">
        <f ca="1"/>
        <v>143.33671444465327</v>
      </c>
      <c r="J178" s="26">
        <f ca="1"/>
        <v>200.44655453872352</v>
      </c>
      <c r="K178" s="26">
        <f ca="1"/>
        <v>282.19688855921208</v>
      </c>
      <c r="L178" s="26">
        <f ca="1"/>
        <v>445.49896617586472</v>
      </c>
      <c r="M178" s="6"/>
      <c r="N178" s="1" t="str">
        <f t="shared" si="3"/>
        <v>$M(2015)/million</v>
      </c>
      <c r="O178" s="1"/>
      <c r="Q178">
        <f t="shared" ca="1" si="13"/>
        <v>66776.383071324104</v>
      </c>
      <c r="R178">
        <f t="shared" ca="1" si="4"/>
        <v>50549.273935848672</v>
      </c>
      <c r="S178">
        <f t="shared" ca="1" si="5"/>
        <v>85783.688819441522</v>
      </c>
      <c r="T178">
        <f t="shared" ca="1" si="6"/>
        <v>143309.18861547339</v>
      </c>
      <c r="U178">
        <f t="shared" ca="1" si="7"/>
        <v>161866.95410307386</v>
      </c>
      <c r="V178">
        <f t="shared" ca="1" si="8"/>
        <v>187370.28664825537</v>
      </c>
      <c r="W178">
        <f t="shared" ca="1" si="9"/>
        <v>197190.60597667421</v>
      </c>
      <c r="X178">
        <f t="shared" ca="1" si="10"/>
        <v>231454.09676768625</v>
      </c>
      <c r="Y178">
        <f t="shared" ca="1" si="11"/>
        <v>268978.7531061378</v>
      </c>
      <c r="Z178">
        <f t="shared" ca="1" si="12"/>
        <v>173045.69821860018</v>
      </c>
      <c r="AA178" s="331">
        <f t="shared" ca="1" si="14"/>
        <v>1566324.9292625154</v>
      </c>
    </row>
    <row r="179" spans="1:27" ht="14.25" x14ac:dyDescent="0.2">
      <c r="A179" t="str">
        <v>CA sea level</v>
      </c>
      <c r="C179" s="26">
        <f ca="1"/>
        <v>87.313982716565945</v>
      </c>
      <c r="D179" s="26">
        <f ca="1"/>
        <v>119.83608654907189</v>
      </c>
      <c r="E179" s="26">
        <f ca="1"/>
        <v>158.2425769130603</v>
      </c>
      <c r="F179" s="26">
        <f ca="1"/>
        <v>251.77537339554445</v>
      </c>
      <c r="G179" s="26">
        <f ca="1"/>
        <v>360.01618236357223</v>
      </c>
      <c r="H179" s="26">
        <f ca="1"/>
        <v>481.74037733786218</v>
      </c>
      <c r="I179" s="26">
        <f ca="1"/>
        <v>624.9880923226541</v>
      </c>
      <c r="J179" s="26">
        <f ca="1"/>
        <v>798.04825240306138</v>
      </c>
      <c r="K179" s="26">
        <f ca="1"/>
        <v>1032.8052302795129</v>
      </c>
      <c r="L179" s="26">
        <f ca="1"/>
        <v>1383.6471390179368</v>
      </c>
      <c r="M179" s="6"/>
      <c r="N179" s="1" t="str">
        <f t="shared" si="3"/>
        <v>$M(2015)/million</v>
      </c>
      <c r="O179" s="1"/>
      <c r="Q179">
        <f t="shared" ca="1" si="13"/>
        <v>858000.05723105639</v>
      </c>
      <c r="R179">
        <f t="shared" ca="1" si="4"/>
        <v>745741.16818932758</v>
      </c>
      <c r="S179">
        <f t="shared" ca="1" si="5"/>
        <v>1392089.3812752115</v>
      </c>
      <c r="T179">
        <f t="shared" ca="1" si="6"/>
        <v>2568357.5915833693</v>
      </c>
      <c r="U179">
        <f t="shared" ca="1" si="7"/>
        <v>3104190.5040885587</v>
      </c>
      <c r="V179">
        <f t="shared" ca="1" si="8"/>
        <v>3424757.1528415568</v>
      </c>
      <c r="W179">
        <f t="shared" ca="1" si="9"/>
        <v>3590154.0777191357</v>
      </c>
      <c r="X179">
        <f t="shared" ca="1" si="10"/>
        <v>3648237.1290193116</v>
      </c>
      <c r="Y179">
        <f t="shared" ca="1" si="11"/>
        <v>3688605.6856754893</v>
      </c>
      <c r="Z179">
        <f t="shared" ca="1" si="12"/>
        <v>1885352.8315705515</v>
      </c>
      <c r="AA179" s="331">
        <f t="shared" ca="1" si="14"/>
        <v>24905485.57919357</v>
      </c>
    </row>
    <row r="180" spans="1:27" ht="14.25" x14ac:dyDescent="0.2">
      <c r="A180" t="str">
        <v>IA sea level</v>
      </c>
      <c r="C180" s="26">
        <f ca="1"/>
        <v>46.858664499152439</v>
      </c>
      <c r="D180" s="26">
        <f ca="1"/>
        <v>62.827026636504513</v>
      </c>
      <c r="E180" s="26">
        <f ca="1"/>
        <v>83.004083008179094</v>
      </c>
      <c r="F180" s="26">
        <f ca="1"/>
        <v>139.14443873062109</v>
      </c>
      <c r="G180" s="26">
        <f ca="1"/>
        <v>214.94070557387528</v>
      </c>
      <c r="H180" s="26">
        <f ca="1"/>
        <v>313.11536036431818</v>
      </c>
      <c r="I180" s="26">
        <f ca="1"/>
        <v>437.94887144250043</v>
      </c>
      <c r="J180" s="26">
        <f ca="1"/>
        <v>599.80045192898433</v>
      </c>
      <c r="K180" s="26">
        <f ca="1"/>
        <v>827.24510494387937</v>
      </c>
      <c r="L180" s="26">
        <f ca="1"/>
        <v>1172.0666758882955</v>
      </c>
      <c r="M180" s="6"/>
      <c r="N180" s="1" t="str">
        <f t="shared" si="3"/>
        <v>$M(2015)/million</v>
      </c>
      <c r="O180" s="1"/>
      <c r="Q180">
        <f t="shared" ca="1" si="13"/>
        <v>853439.60801252804</v>
      </c>
      <c r="R180">
        <f t="shared" ca="1" si="4"/>
        <v>751885.04519105377</v>
      </c>
      <c r="S180">
        <f t="shared" ca="1" si="5"/>
        <v>1455602.3262327472</v>
      </c>
      <c r="T180">
        <f t="shared" ca="1" si="6"/>
        <v>3047058.5013945797</v>
      </c>
      <c r="U180">
        <f t="shared" ca="1" si="7"/>
        <v>4289744.9839262869</v>
      </c>
      <c r="V180">
        <f t="shared" ca="1" si="8"/>
        <v>5549072.6624725601</v>
      </c>
      <c r="W180">
        <f t="shared" ca="1" si="9"/>
        <v>6731599.5826300168</v>
      </c>
      <c r="X180">
        <f t="shared" ca="1" si="10"/>
        <v>7817321.5658450425</v>
      </c>
      <c r="Y180">
        <f t="shared" ca="1" si="11"/>
        <v>8947756.1987912878</v>
      </c>
      <c r="Z180">
        <f t="shared" ca="1" si="12"/>
        <v>5163156.5145179806</v>
      </c>
      <c r="AA180" s="331">
        <f t="shared" ca="1" si="14"/>
        <v>44606636.989014082</v>
      </c>
    </row>
    <row r="181" spans="1:27" ht="14.25" x14ac:dyDescent="0.2">
      <c r="A181" t="str">
        <v>AF sea level</v>
      </c>
      <c r="C181" s="26">
        <f ca="1"/>
        <v>29.539531735960516</v>
      </c>
      <c r="D181" s="26">
        <f ca="1"/>
        <v>37.049109506683912</v>
      </c>
      <c r="E181" s="26">
        <f ca="1"/>
        <v>46.970366631406563</v>
      </c>
      <c r="F181" s="26">
        <f ca="1"/>
        <v>76.47299573404095</v>
      </c>
      <c r="G181" s="26">
        <f ca="1"/>
        <v>119.13880676942411</v>
      </c>
      <c r="H181" s="26">
        <f ca="1"/>
        <v>179.02104371880381</v>
      </c>
      <c r="I181" s="26">
        <f ca="1"/>
        <v>260.21609596067043</v>
      </c>
      <c r="J181" s="26">
        <f ca="1"/>
        <v>369.94701864302067</v>
      </c>
      <c r="K181" s="26">
        <f ca="1"/>
        <v>530.11284540609142</v>
      </c>
      <c r="L181" s="26">
        <f ca="1"/>
        <v>780.82918382227433</v>
      </c>
      <c r="M181" s="6"/>
      <c r="N181" s="1" t="str">
        <f t="shared" si="3"/>
        <v>$M(2015)/million</v>
      </c>
      <c r="O181" s="1"/>
      <c r="Q181">
        <f t="shared" ca="1" si="13"/>
        <v>314598.08376179152</v>
      </c>
      <c r="R181">
        <f t="shared" ca="1" si="4"/>
        <v>270134.68097378465</v>
      </c>
      <c r="S181">
        <f t="shared" ca="1" si="5"/>
        <v>521609.79767178517</v>
      </c>
      <c r="T181">
        <f t="shared" ca="1" si="6"/>
        <v>1142000.6836269323</v>
      </c>
      <c r="U181">
        <f t="shared" ca="1" si="7"/>
        <v>1733614.0283495502</v>
      </c>
      <c r="V181">
        <f t="shared" ca="1" si="8"/>
        <v>2462539.0836325092</v>
      </c>
      <c r="W181">
        <f t="shared" ca="1" si="9"/>
        <v>3306670.4056268129</v>
      </c>
      <c r="X181">
        <f t="shared" ca="1" si="10"/>
        <v>4251309.2104614004</v>
      </c>
      <c r="Y181">
        <f t="shared" ca="1" si="11"/>
        <v>5404782.8625475215</v>
      </c>
      <c r="Z181">
        <f t="shared" ca="1" si="12"/>
        <v>3470900.4790017046</v>
      </c>
      <c r="AA181" s="331">
        <f t="shared" ca="1" si="14"/>
        <v>22878159.315653794</v>
      </c>
    </row>
    <row r="182" spans="1:27" ht="14.25" x14ac:dyDescent="0.2">
      <c r="A182" t="str">
        <v>LA sea level</v>
      </c>
      <c r="C182" s="26">
        <f ca="1"/>
        <v>54.571095385920081</v>
      </c>
      <c r="D182" s="26">
        <f ca="1"/>
        <v>67.327887945560789</v>
      </c>
      <c r="E182" s="26">
        <f ca="1"/>
        <v>83.257685209447587</v>
      </c>
      <c r="F182" s="26">
        <f ca="1"/>
        <v>129.31075207029374</v>
      </c>
      <c r="G182" s="26">
        <f ca="1"/>
        <v>192.48982169609752</v>
      </c>
      <c r="H182" s="26">
        <f ca="1"/>
        <v>273.01363275585459</v>
      </c>
      <c r="I182" s="26">
        <f ca="1"/>
        <v>372.53883564703096</v>
      </c>
      <c r="J182" s="26">
        <f ca="1"/>
        <v>500.1512307776581</v>
      </c>
      <c r="K182" s="26">
        <f ca="1"/>
        <v>678.10379502336025</v>
      </c>
      <c r="L182" s="26">
        <f ca="1"/>
        <v>948.77257187184955</v>
      </c>
      <c r="M182" s="6"/>
      <c r="N182" s="1" t="str">
        <f t="shared" si="3"/>
        <v>$M(2015)/million</v>
      </c>
      <c r="O182" s="1"/>
      <c r="Q182">
        <f t="shared" ca="1" si="13"/>
        <v>245665.44350913909</v>
      </c>
      <c r="R182">
        <f t="shared" ca="1" si="4"/>
        <v>196369.91497078163</v>
      </c>
      <c r="S182">
        <f t="shared" ca="1" si="5"/>
        <v>351007.9184111756</v>
      </c>
      <c r="T182">
        <f t="shared" ca="1" si="6"/>
        <v>662359.33636204572</v>
      </c>
      <c r="U182">
        <f t="shared" ca="1" si="7"/>
        <v>875392.11218296492</v>
      </c>
      <c r="V182">
        <f t="shared" ca="1" si="8"/>
        <v>1077155.1406563127</v>
      </c>
      <c r="W182">
        <f t="shared" ca="1" si="9"/>
        <v>1254445.8538040761</v>
      </c>
      <c r="X182">
        <f t="shared" ca="1" si="10"/>
        <v>1416932.5389171538</v>
      </c>
      <c r="Y182">
        <f t="shared" ca="1" si="11"/>
        <v>1585788.4296613492</v>
      </c>
      <c r="Z182">
        <f t="shared" ca="1" si="12"/>
        <v>893719.08395460027</v>
      </c>
      <c r="AA182" s="331">
        <f t="shared" ca="1" si="14"/>
        <v>8558835.7724295985</v>
      </c>
    </row>
    <row r="183" spans="1:27" s="2" customFormat="1" ht="14.25" x14ac:dyDescent="0.25">
      <c r="A183" s="2" t="s">
        <v>226</v>
      </c>
      <c r="C183" s="2" t="s">
        <v>227</v>
      </c>
      <c r="AA183" s="332">
        <f ca="1">_xll.RiskOutput("SLR_b")+SUM(AA175:AA182)</f>
        <v>134048971.94237398</v>
      </c>
    </row>
    <row r="184" spans="1:27" x14ac:dyDescent="0.2">
      <c r="A184" t="str">
        <f t="array" ref="A184:A191">R_CODE&amp;" sea level"</f>
        <v>EU sea level</v>
      </c>
      <c r="C184" s="29">
        <f t="array" ref="C184:L191" ca="1">cons_per_cap_after_costs_b-isat_s_per_cap_b</f>
        <v>33747.682780663483</v>
      </c>
      <c r="D184" s="29">
        <f ca="1"/>
        <v>37738.694893363383</v>
      </c>
      <c r="E184" s="29">
        <f ca="1"/>
        <v>42266.014437938269</v>
      </c>
      <c r="F184" s="29">
        <f ca="1"/>
        <v>52621.173477733988</v>
      </c>
      <c r="G184" s="29">
        <f ca="1"/>
        <v>63694.396026804679</v>
      </c>
      <c r="H184" s="29">
        <f ca="1"/>
        <v>76023.104728435763</v>
      </c>
      <c r="I184" s="29">
        <f ca="1"/>
        <v>91284.472771714063</v>
      </c>
      <c r="J184" s="29">
        <f ca="1"/>
        <v>108861.10681952212</v>
      </c>
      <c r="K184" s="29">
        <f ca="1"/>
        <v>129735.23448312866</v>
      </c>
      <c r="L184" s="29">
        <f ca="1"/>
        <v>154902.19522085099</v>
      </c>
      <c r="M184" s="6"/>
      <c r="N184" s="1" t="str">
        <f t="shared" ref="N184:N191" si="15">CURRENCY_NAME&amp;"/"&amp;POP_UNIT_NAME</f>
        <v>$M(2015)/million</v>
      </c>
      <c r="O184" s="1"/>
    </row>
    <row r="185" spans="1:27" x14ac:dyDescent="0.2">
      <c r="A185" t="str">
        <v>US sea level</v>
      </c>
      <c r="C185" s="26">
        <f ca="1"/>
        <v>47971.486881082979</v>
      </c>
      <c r="D185" s="26">
        <f ca="1"/>
        <v>52074.063619013483</v>
      </c>
      <c r="E185" s="26">
        <f ca="1"/>
        <v>56548.406523213453</v>
      </c>
      <c r="F185" s="26">
        <f ca="1"/>
        <v>66714.198433805388</v>
      </c>
      <c r="G185" s="26">
        <f ca="1"/>
        <v>77361.077618626718</v>
      </c>
      <c r="H185" s="26">
        <f ca="1"/>
        <v>88628.944434060642</v>
      </c>
      <c r="I185" s="26">
        <f ca="1"/>
        <v>102381.32718989339</v>
      </c>
      <c r="J185" s="26">
        <f ca="1"/>
        <v>118739.00239591514</v>
      </c>
      <c r="K185" s="26">
        <f ca="1"/>
        <v>138363.8931290443</v>
      </c>
      <c r="L185" s="26">
        <f ca="1"/>
        <v>162058.23606699941</v>
      </c>
      <c r="M185" s="6"/>
      <c r="N185" s="1" t="str">
        <f t="shared" si="15"/>
        <v>$M(2015)/million</v>
      </c>
      <c r="O185" s="1"/>
    </row>
    <row r="186" spans="1:27" x14ac:dyDescent="0.2">
      <c r="A186" t="str">
        <v>OT sea level</v>
      </c>
      <c r="C186" s="26">
        <f ca="1"/>
        <v>31148.398114131964</v>
      </c>
      <c r="D186" s="26">
        <f ca="1"/>
        <v>34602.94070488109</v>
      </c>
      <c r="E186" s="26">
        <f ca="1"/>
        <v>38734.206714927015</v>
      </c>
      <c r="F186" s="26">
        <f ca="1"/>
        <v>48471.125431998487</v>
      </c>
      <c r="G186" s="26">
        <f ca="1"/>
        <v>59467.457776967007</v>
      </c>
      <c r="H186" s="26">
        <f ca="1"/>
        <v>72045.453081664717</v>
      </c>
      <c r="I186" s="26">
        <f ca="1"/>
        <v>87496.374445499343</v>
      </c>
      <c r="J186" s="26">
        <f ca="1"/>
        <v>105316.66328631547</v>
      </c>
      <c r="K186" s="26">
        <f ca="1"/>
        <v>126350.06090474951</v>
      </c>
      <c r="L186" s="26">
        <f ca="1"/>
        <v>151568.59023657351</v>
      </c>
      <c r="M186" s="6"/>
      <c r="N186" s="1" t="str">
        <f t="shared" si="15"/>
        <v>$M(2015)/million</v>
      </c>
      <c r="O186" s="1"/>
    </row>
    <row r="187" spans="1:27" x14ac:dyDescent="0.2">
      <c r="A187" t="str">
        <v>EE sea level</v>
      </c>
      <c r="C187" s="26">
        <f ca="1"/>
        <v>15804.795114918965</v>
      </c>
      <c r="D187" s="26">
        <f ca="1"/>
        <v>19366.404389361</v>
      </c>
      <c r="E187" s="26">
        <f ca="1"/>
        <v>23620.660115469291</v>
      </c>
      <c r="F187" s="26">
        <f ca="1"/>
        <v>32955.273364114226</v>
      </c>
      <c r="G187" s="26">
        <f ca="1"/>
        <v>41994.566482580609</v>
      </c>
      <c r="H187" s="26">
        <f ca="1"/>
        <v>52159.679422546084</v>
      </c>
      <c r="I187" s="26">
        <f ca="1"/>
        <v>65072.449462878227</v>
      </c>
      <c r="J187" s="26">
        <f ca="1"/>
        <v>79184.590636804191</v>
      </c>
      <c r="K187" s="26">
        <f ca="1"/>
        <v>97079.508896926753</v>
      </c>
      <c r="L187" s="26">
        <f ca="1"/>
        <v>119068.75235624332</v>
      </c>
      <c r="M187" s="6"/>
      <c r="N187" s="1" t="str">
        <f t="shared" si="15"/>
        <v>$M(2015)/million</v>
      </c>
      <c r="O187" s="1"/>
    </row>
    <row r="188" spans="1:27" x14ac:dyDescent="0.2">
      <c r="A188" t="str">
        <v>CA sea level</v>
      </c>
      <c r="C188" s="26">
        <f ca="1"/>
        <v>16591.346535515026</v>
      </c>
      <c r="D188" s="26">
        <f ca="1"/>
        <v>22775.920038620032</v>
      </c>
      <c r="E188" s="26">
        <f ca="1"/>
        <v>29780.187688394988</v>
      </c>
      <c r="F188" s="26">
        <f ca="1"/>
        <v>44239.45118025758</v>
      </c>
      <c r="G188" s="26">
        <f ca="1"/>
        <v>58362.1081826179</v>
      </c>
      <c r="H188" s="26">
        <f ca="1"/>
        <v>71599.573531186499</v>
      </c>
      <c r="I188" s="26">
        <f ca="1"/>
        <v>85825.26386729673</v>
      </c>
      <c r="J188" s="26">
        <f ca="1"/>
        <v>101088.90477119735</v>
      </c>
      <c r="K188" s="26">
        <f ca="1"/>
        <v>119095.47797069508</v>
      </c>
      <c r="L188" s="26">
        <f ca="1"/>
        <v>140242.96172322586</v>
      </c>
      <c r="M188" s="6"/>
      <c r="N188" s="1" t="str">
        <f t="shared" si="15"/>
        <v>$M(2015)/million</v>
      </c>
      <c r="O188" s="1"/>
    </row>
    <row r="189" spans="1:27" x14ac:dyDescent="0.2">
      <c r="A189" t="str">
        <v>IA sea level</v>
      </c>
      <c r="C189" s="26">
        <f ca="1"/>
        <v>6808.4503805054401</v>
      </c>
      <c r="D189" s="26">
        <f ca="1"/>
        <v>9038.9214881654189</v>
      </c>
      <c r="E189" s="26">
        <f ca="1"/>
        <v>11826.925177001303</v>
      </c>
      <c r="F189" s="26">
        <f ca="1"/>
        <v>18930.804410183155</v>
      </c>
      <c r="G189" s="26">
        <f ca="1"/>
        <v>27890.925189319481</v>
      </c>
      <c r="H189" s="26">
        <f ca="1"/>
        <v>38638.420518555446</v>
      </c>
      <c r="I189" s="26">
        <f ca="1"/>
        <v>51576.71422890672</v>
      </c>
      <c r="J189" s="26">
        <f ca="1"/>
        <v>67155.577382575182</v>
      </c>
      <c r="K189" s="26">
        <f ca="1"/>
        <v>86661.769258545595</v>
      </c>
      <c r="L189" s="26">
        <f ca="1"/>
        <v>110561.4282633407</v>
      </c>
      <c r="M189" s="6"/>
      <c r="N189" s="1" t="str">
        <f t="shared" si="15"/>
        <v>$M(2015)/million</v>
      </c>
      <c r="O189" s="1"/>
    </row>
    <row r="190" spans="1:27" x14ac:dyDescent="0.2">
      <c r="A190" t="str">
        <v>AF sea level</v>
      </c>
      <c r="C190" s="26">
        <f ca="1"/>
        <v>5319.1181586359871</v>
      </c>
      <c r="D190" s="26">
        <f ca="1"/>
        <v>6418.5881994216215</v>
      </c>
      <c r="E190" s="26">
        <f ca="1"/>
        <v>7917.2335027249401</v>
      </c>
      <c r="F190" s="26">
        <f ca="1"/>
        <v>12154.618741162958</v>
      </c>
      <c r="G190" s="26">
        <f ca="1"/>
        <v>18127.690787641604</v>
      </c>
      <c r="H190" s="26">
        <f ca="1"/>
        <v>26254.251964957526</v>
      </c>
      <c r="I190" s="26">
        <f ca="1"/>
        <v>37032.588857591611</v>
      </c>
      <c r="J190" s="26">
        <f ca="1"/>
        <v>50871.019614627294</v>
      </c>
      <c r="K190" s="26">
        <f ca="1"/>
        <v>69348.346590421817</v>
      </c>
      <c r="L190" s="26">
        <f ca="1"/>
        <v>93554.116803393379</v>
      </c>
      <c r="M190" s="6"/>
      <c r="N190" s="1" t="str">
        <f t="shared" si="15"/>
        <v>$M(2015)/million</v>
      </c>
      <c r="O190" s="1"/>
    </row>
    <row r="191" spans="1:27" x14ac:dyDescent="0.2">
      <c r="A191" t="str">
        <v>LA sea level</v>
      </c>
      <c r="C191" s="26">
        <f ca="1"/>
        <v>12799.58200332038</v>
      </c>
      <c r="D191" s="26">
        <f ca="1"/>
        <v>15086.946525278425</v>
      </c>
      <c r="E191" s="26">
        <f ca="1"/>
        <v>17958.787724551552</v>
      </c>
      <c r="F191" s="26">
        <f ca="1"/>
        <v>25774.298021801991</v>
      </c>
      <c r="G191" s="26">
        <f ca="1"/>
        <v>36018.19483581961</v>
      </c>
      <c r="H191" s="26">
        <f ca="1"/>
        <v>48030.627440230215</v>
      </c>
      <c r="I191" s="26">
        <f ca="1"/>
        <v>61893.308317610412</v>
      </c>
      <c r="J191" s="26">
        <f ca="1"/>
        <v>78332.405868328206</v>
      </c>
      <c r="K191" s="26">
        <f ca="1"/>
        <v>98655.773803887671</v>
      </c>
      <c r="L191" s="26">
        <f ca="1"/>
        <v>123657.07963537049</v>
      </c>
      <c r="M191" s="6"/>
      <c r="N191" s="1" t="str">
        <f t="shared" si="15"/>
        <v>$M(2015)/million</v>
      </c>
      <c r="O191" s="1"/>
    </row>
    <row r="192" spans="1:27" s="2" customFormat="1" ht="14.25" x14ac:dyDescent="0.25">
      <c r="A192" s="2" t="s">
        <v>228</v>
      </c>
      <c r="C192" s="2" t="s">
        <v>229</v>
      </c>
    </row>
    <row r="193" spans="1:17" x14ac:dyDescent="0.2">
      <c r="A193" t="str">
        <f t="array" ref="A193:A200">R_CODE&amp;" sea level"</f>
        <v>EU sea level</v>
      </c>
      <c r="C193" s="29">
        <f t="array" ref="C193:L200" ca="1" xml:space="preserve"> rcons_s_per_cap_b/(1-SAVE/100)</f>
        <v>39703.156212545277</v>
      </c>
      <c r="D193" s="29">
        <f ca="1"/>
        <v>44398.464580427513</v>
      </c>
      <c r="E193" s="29">
        <f ca="1"/>
        <v>49724.722868162673</v>
      </c>
      <c r="F193" s="29">
        <f ca="1"/>
        <v>61907.262914981162</v>
      </c>
      <c r="G193" s="29">
        <f ca="1"/>
        <v>74934.583560946689</v>
      </c>
      <c r="H193" s="29">
        <f ca="1"/>
        <v>89438.946739336199</v>
      </c>
      <c r="I193" s="29">
        <f ca="1"/>
        <v>107393.49737848714</v>
      </c>
      <c r="J193" s="29">
        <f ca="1"/>
        <v>128071.89037590838</v>
      </c>
      <c r="K193" s="29">
        <f ca="1"/>
        <v>152629.68762721019</v>
      </c>
      <c r="L193" s="29">
        <f ca="1"/>
        <v>182237.87673041294</v>
      </c>
      <c r="M193" s="6"/>
      <c r="N193" s="1" t="str">
        <f t="shared" ref="N193:N200" si="16">CURRENCY_NAME&amp;"/"&amp;POP_UNIT_NAME</f>
        <v>$M(2015)/million</v>
      </c>
      <c r="O193" s="1"/>
    </row>
    <row r="194" spans="1:17" x14ac:dyDescent="0.2">
      <c r="A194" t="str">
        <v>US sea level</v>
      </c>
      <c r="C194" s="26">
        <f ca="1"/>
        <v>56437.043389509388</v>
      </c>
      <c r="D194" s="26">
        <f ca="1"/>
        <v>61263.604257662926</v>
      </c>
      <c r="E194" s="26">
        <f ca="1"/>
        <v>66527.537086133481</v>
      </c>
      <c r="F194" s="26">
        <f ca="1"/>
        <v>78487.292275065163</v>
      </c>
      <c r="G194" s="26">
        <f ca="1"/>
        <v>91013.032492502025</v>
      </c>
      <c r="H194" s="26">
        <f ca="1"/>
        <v>104269.34639301253</v>
      </c>
      <c r="I194" s="26">
        <f ca="1"/>
        <v>120448.620223404</v>
      </c>
      <c r="J194" s="26">
        <f ca="1"/>
        <v>139692.94399519428</v>
      </c>
      <c r="K194" s="26">
        <f ca="1"/>
        <v>162781.05074005213</v>
      </c>
      <c r="L194" s="26">
        <f ca="1"/>
        <v>190656.74831411697</v>
      </c>
      <c r="M194" s="6"/>
      <c r="N194" s="1" t="str">
        <f t="shared" si="16"/>
        <v>$M(2015)/million</v>
      </c>
      <c r="O194" s="1"/>
    </row>
    <row r="195" spans="1:17" x14ac:dyDescent="0.2">
      <c r="A195" t="str">
        <v>OT sea level</v>
      </c>
      <c r="C195" s="26">
        <f ca="1"/>
        <v>36645.174251919962</v>
      </c>
      <c r="D195" s="26">
        <f ca="1"/>
        <v>40709.342005742459</v>
      </c>
      <c r="E195" s="26">
        <f ca="1"/>
        <v>45569.654958737665</v>
      </c>
      <c r="F195" s="26">
        <f ca="1"/>
        <v>57024.853449409988</v>
      </c>
      <c r="G195" s="26">
        <f ca="1"/>
        <v>69961.715031725893</v>
      </c>
      <c r="H195" s="26">
        <f ca="1"/>
        <v>84759.35656666437</v>
      </c>
      <c r="I195" s="26">
        <f ca="1"/>
        <v>102936.91111235217</v>
      </c>
      <c r="J195" s="26">
        <f ca="1"/>
        <v>123901.95680742996</v>
      </c>
      <c r="K195" s="26">
        <f ca="1"/>
        <v>148647.13047617589</v>
      </c>
      <c r="L195" s="26">
        <f ca="1"/>
        <v>178315.98851361588</v>
      </c>
      <c r="M195" s="6"/>
      <c r="N195" s="1" t="str">
        <f t="shared" si="16"/>
        <v>$M(2015)/million</v>
      </c>
      <c r="O195" s="1"/>
    </row>
    <row r="196" spans="1:17" x14ac:dyDescent="0.2">
      <c r="A196" t="str">
        <v>EE sea level</v>
      </c>
      <c r="C196" s="26">
        <f ca="1"/>
        <v>18593.876605787016</v>
      </c>
      <c r="D196" s="26">
        <f ca="1"/>
        <v>22784.005163954116</v>
      </c>
      <c r="E196" s="26">
        <f ca="1"/>
        <v>27789.011900552108</v>
      </c>
      <c r="F196" s="26">
        <f ca="1"/>
        <v>38770.909840134387</v>
      </c>
      <c r="G196" s="26">
        <f ca="1"/>
        <v>49405.372332447776</v>
      </c>
      <c r="H196" s="26">
        <f ca="1"/>
        <v>61364.328732407157</v>
      </c>
      <c r="I196" s="26">
        <f ca="1"/>
        <v>76555.822897503793</v>
      </c>
      <c r="J196" s="26">
        <f ca="1"/>
        <v>93158.341925651985</v>
      </c>
      <c r="K196" s="26">
        <f ca="1"/>
        <v>114211.18693756089</v>
      </c>
      <c r="L196" s="26">
        <f ca="1"/>
        <v>140080.88512499214</v>
      </c>
      <c r="M196" s="6"/>
      <c r="N196" s="1" t="str">
        <f t="shared" si="16"/>
        <v>$M(2015)/million</v>
      </c>
      <c r="O196" s="1"/>
    </row>
    <row r="197" spans="1:17" x14ac:dyDescent="0.2">
      <c r="A197" t="str">
        <v>CA sea level</v>
      </c>
      <c r="C197" s="26">
        <f ca="1"/>
        <v>19519.231218252971</v>
      </c>
      <c r="D197" s="26">
        <f ca="1"/>
        <v>26795.200045435333</v>
      </c>
      <c r="E197" s="26">
        <f ca="1"/>
        <v>35035.514927523516</v>
      </c>
      <c r="F197" s="26">
        <f ca="1"/>
        <v>52046.413153244212</v>
      </c>
      <c r="G197" s="26">
        <f ca="1"/>
        <v>68661.303744256351</v>
      </c>
      <c r="H197" s="26">
        <f ca="1"/>
        <v>84234.792389631184</v>
      </c>
      <c r="I197" s="26">
        <f ca="1"/>
        <v>100970.89866740792</v>
      </c>
      <c r="J197" s="26">
        <f ca="1"/>
        <v>118928.12326023218</v>
      </c>
      <c r="K197" s="26">
        <f ca="1"/>
        <v>140112.32702434715</v>
      </c>
      <c r="L197" s="26">
        <f ca="1"/>
        <v>164991.71967438338</v>
      </c>
      <c r="M197" s="6"/>
      <c r="N197" s="1" t="str">
        <f t="shared" si="16"/>
        <v>$M(2015)/million</v>
      </c>
      <c r="O197" s="1"/>
    </row>
    <row r="198" spans="1:17" x14ac:dyDescent="0.2">
      <c r="A198" t="str">
        <v>IA sea level</v>
      </c>
      <c r="C198" s="26">
        <f ca="1"/>
        <v>8009.9416241240469</v>
      </c>
      <c r="D198" s="26">
        <f ca="1"/>
        <v>10634.02528019461</v>
      </c>
      <c r="E198" s="26">
        <f ca="1"/>
        <v>13914.029620001535</v>
      </c>
      <c r="F198" s="26">
        <f ca="1"/>
        <v>22271.534600215477</v>
      </c>
      <c r="G198" s="26">
        <f ca="1"/>
        <v>32812.853163905274</v>
      </c>
      <c r="H198" s="26">
        <f ca="1"/>
        <v>45456.965315947586</v>
      </c>
      <c r="I198" s="26">
        <f ca="1"/>
        <v>60678.487328125557</v>
      </c>
      <c r="J198" s="26">
        <f ca="1"/>
        <v>79006.561626559036</v>
      </c>
      <c r="K198" s="26">
        <f ca="1"/>
        <v>101955.02265711247</v>
      </c>
      <c r="L198" s="26">
        <f ca="1"/>
        <v>130072.26854510671</v>
      </c>
      <c r="M198" s="6"/>
      <c r="N198" s="1" t="str">
        <f t="shared" si="16"/>
        <v>$M(2015)/million</v>
      </c>
      <c r="O198" s="1"/>
    </row>
    <row r="199" spans="1:17" x14ac:dyDescent="0.2">
      <c r="A199" t="str">
        <v>AF sea level</v>
      </c>
      <c r="C199" s="26">
        <f ca="1"/>
        <v>6257.7860689835143</v>
      </c>
      <c r="D199" s="26">
        <f ca="1"/>
        <v>7551.2802346136723</v>
      </c>
      <c r="E199" s="26">
        <f ca="1"/>
        <v>9314.3923561469892</v>
      </c>
      <c r="F199" s="26">
        <f ca="1"/>
        <v>14299.551460191715</v>
      </c>
      <c r="G199" s="26">
        <f ca="1"/>
        <v>21326.695044284243</v>
      </c>
      <c r="H199" s="26">
        <f ca="1"/>
        <v>30887.355252891208</v>
      </c>
      <c r="I199" s="26">
        <f ca="1"/>
        <v>43567.7515971666</v>
      </c>
      <c r="J199" s="26">
        <f ca="1"/>
        <v>59848.258370149757</v>
      </c>
      <c r="K199" s="26">
        <f ca="1"/>
        <v>81586.290106378612</v>
      </c>
      <c r="L199" s="26">
        <f ca="1"/>
        <v>110063.66682752162</v>
      </c>
      <c r="M199" s="6"/>
      <c r="N199" s="1" t="str">
        <f t="shared" si="16"/>
        <v>$M(2015)/million</v>
      </c>
      <c r="O199" s="1"/>
    </row>
    <row r="200" spans="1:17" x14ac:dyDescent="0.2">
      <c r="A200" t="str">
        <v>LA sea level</v>
      </c>
      <c r="C200" s="26">
        <f ca="1"/>
        <v>15058.331768612212</v>
      </c>
      <c r="D200" s="26">
        <f ca="1"/>
        <v>17749.348853268737</v>
      </c>
      <c r="E200" s="26">
        <f ca="1"/>
        <v>21127.985558295943</v>
      </c>
      <c r="F200" s="26">
        <f ca="1"/>
        <v>30322.703555061165</v>
      </c>
      <c r="G200" s="26">
        <f ca="1"/>
        <v>42374.34686567013</v>
      </c>
      <c r="H200" s="26">
        <f ca="1"/>
        <v>56506.620517917901</v>
      </c>
      <c r="I200" s="26">
        <f ca="1"/>
        <v>72815.65684424754</v>
      </c>
      <c r="J200" s="26">
        <f ca="1"/>
        <v>92155.771609797885</v>
      </c>
      <c r="K200" s="26">
        <f ca="1"/>
        <v>116065.61623986786</v>
      </c>
      <c r="L200" s="26">
        <f ca="1"/>
        <v>145478.91721808293</v>
      </c>
      <c r="M200" s="6"/>
      <c r="N200" s="1" t="str">
        <f t="shared" si="16"/>
        <v>$M(2015)/million</v>
      </c>
      <c r="O200" s="1"/>
    </row>
    <row r="201" spans="1:17" ht="14.25" x14ac:dyDescent="0.25">
      <c r="A201" s="2" t="s">
        <v>950</v>
      </c>
      <c r="C201" s="2" t="s">
        <v>714</v>
      </c>
      <c r="D201" s="6"/>
      <c r="E201" s="6"/>
      <c r="F201" s="6"/>
      <c r="G201" s="6"/>
      <c r="H201" s="6"/>
      <c r="I201" s="6"/>
      <c r="J201" s="6"/>
      <c r="K201" s="6"/>
      <c r="L201" s="6"/>
      <c r="M201" s="6"/>
      <c r="N201" s="1"/>
      <c r="O201" s="1"/>
    </row>
    <row r="202" spans="1:17" x14ac:dyDescent="0.2">
      <c r="A202" t="str">
        <f t="array" ref="A202:A209">R_CODE&amp;" "&amp;I_1_NAME</f>
        <v>EU Economic</v>
      </c>
      <c r="C202" s="222">
        <f t="array" ref="C202:L209" ca="1" xml:space="preserve"> (IF(ECON_IMPF = ECON_IMPF_BURKE_LAG1_CONSUM, 1, 0) + IF(ECON_IMPF = ECON_IMPF_BURKE_LAG2_CONSUM, 2, 0)) * ( IMPF_COEFF_LIN * (i_1_burke_b - RTL_ABS_0) + IMPF_COEFF_QUADR * ( (i_1_burke_b - TCAL_BURKE)^2 - (RTL_ABS_0 - TCAL_BURKE)^2 ) )</f>
        <v>1.7305856557914886E-3</v>
      </c>
      <c r="D202" s="222">
        <f ca="1"/>
        <v>2.5281638424826721E-3</v>
      </c>
      <c r="E202" s="222">
        <f ca="1"/>
        <v>3.4532160952462435E-3</v>
      </c>
      <c r="F202" s="222">
        <f ca="1"/>
        <v>4.1484932451437175E-3</v>
      </c>
      <c r="G202" s="222">
        <f ca="1"/>
        <v>4.3616292583612687E-3</v>
      </c>
      <c r="H202" s="222">
        <f ca="1"/>
        <v>3.8180667222162401E-3</v>
      </c>
      <c r="I202" s="222">
        <f ca="1"/>
        <v>2.3000855953712596E-3</v>
      </c>
      <c r="J202" s="222">
        <f ca="1"/>
        <v>-1.0634475134922716E-4</v>
      </c>
      <c r="K202" s="222">
        <f ca="1"/>
        <v>-4.5152284100602597E-3</v>
      </c>
      <c r="L202" s="222">
        <f ca="1"/>
        <v>-8.7431690831772241E-3</v>
      </c>
      <c r="M202" s="6"/>
      <c r="N202" s="59" t="s">
        <v>703</v>
      </c>
      <c r="O202" s="1"/>
      <c r="Q202" s="124" t="s">
        <v>719</v>
      </c>
    </row>
    <row r="203" spans="1:17" x14ac:dyDescent="0.2">
      <c r="A203" t="str">
        <v>US Economic</v>
      </c>
      <c r="C203" s="222">
        <f ca="1"/>
        <v>-1.4123306404858439E-3</v>
      </c>
      <c r="D203" s="222">
        <f ca="1"/>
        <v>-2.1519537044288693E-3</v>
      </c>
      <c r="E203" s="222">
        <f ca="1"/>
        <v>-3.5961798111293873E-3</v>
      </c>
      <c r="F203" s="222">
        <f ca="1"/>
        <v>-7.0060867123766454E-3</v>
      </c>
      <c r="G203" s="222">
        <f ca="1"/>
        <v>-1.0459875111144917E-2</v>
      </c>
      <c r="H203" s="222">
        <f ca="1"/>
        <v>-1.64378360128066E-2</v>
      </c>
      <c r="I203" s="222">
        <f ca="1"/>
        <v>-2.4130584004253733E-2</v>
      </c>
      <c r="J203" s="222">
        <f ca="1"/>
        <v>-3.3265056964491078E-2</v>
      </c>
      <c r="K203" s="222">
        <f ca="1"/>
        <v>-4.3380997736793679E-2</v>
      </c>
      <c r="L203" s="222">
        <f ca="1"/>
        <v>-5.3941256982175105E-2</v>
      </c>
      <c r="M203" s="6"/>
      <c r="N203" s="59" t="s">
        <v>703</v>
      </c>
      <c r="O203" s="1"/>
      <c r="Q203" s="124" t="s">
        <v>875</v>
      </c>
    </row>
    <row r="204" spans="1:17" x14ac:dyDescent="0.2">
      <c r="A204" t="str">
        <v>OT Economic</v>
      </c>
      <c r="C204" s="222">
        <f ca="1"/>
        <v>-2.702551012745049E-4</v>
      </c>
      <c r="D204" s="222">
        <f ca="1"/>
        <v>-4.3250363357026297E-4</v>
      </c>
      <c r="E204" s="222">
        <f ca="1"/>
        <v>-1.1030575505708365E-3</v>
      </c>
      <c r="F204" s="222">
        <f ca="1"/>
        <v>-3.1547995485982534E-3</v>
      </c>
      <c r="G204" s="222">
        <f ca="1"/>
        <v>-5.8067766162394271E-3</v>
      </c>
      <c r="H204" s="222">
        <f ca="1"/>
        <v>-1.025137147914662E-2</v>
      </c>
      <c r="I204" s="222">
        <f ca="1"/>
        <v>-1.6760895914014445E-2</v>
      </c>
      <c r="J204" s="222">
        <f ca="1"/>
        <v>-2.4764622820948816E-2</v>
      </c>
      <c r="K204" s="222">
        <f ca="1"/>
        <v>-3.5071583585603763E-2</v>
      </c>
      <c r="L204" s="222">
        <f ca="1"/>
        <v>-4.5575117591731051E-2</v>
      </c>
      <c r="M204" s="6"/>
      <c r="N204" s="59" t="s">
        <v>703</v>
      </c>
      <c r="O204" s="1"/>
    </row>
    <row r="205" spans="1:17" x14ac:dyDescent="0.2">
      <c r="A205" t="str">
        <v>EE Economic</v>
      </c>
      <c r="C205" s="222">
        <f ca="1"/>
        <v>5.6848532790146292E-3</v>
      </c>
      <c r="D205" s="222">
        <f ca="1"/>
        <v>9.1814819121078667E-3</v>
      </c>
      <c r="E205" s="222">
        <f ca="1"/>
        <v>1.1674942645802874E-2</v>
      </c>
      <c r="F205" s="222">
        <f ca="1"/>
        <v>1.6505540406576522E-2</v>
      </c>
      <c r="G205" s="222">
        <f ca="1"/>
        <v>2.0697424831762609E-2</v>
      </c>
      <c r="H205" s="222">
        <f ca="1"/>
        <v>2.3425138128285852E-2</v>
      </c>
      <c r="I205" s="222">
        <f ca="1"/>
        <v>2.4541032526700715E-2</v>
      </c>
      <c r="J205" s="222">
        <f ca="1"/>
        <v>2.3729067088600217E-2</v>
      </c>
      <c r="K205" s="222">
        <f ca="1"/>
        <v>1.998537536307686E-2</v>
      </c>
      <c r="L205" s="222">
        <f ca="1"/>
        <v>1.5482616787042242E-2</v>
      </c>
      <c r="M205" s="6"/>
      <c r="N205" s="59" t="s">
        <v>703</v>
      </c>
      <c r="O205" s="1"/>
    </row>
    <row r="206" spans="1:17" x14ac:dyDescent="0.2">
      <c r="A206" t="str">
        <v>CA Economic</v>
      </c>
      <c r="C206" s="222">
        <f ca="1"/>
        <v>-3.529627652833503E-3</v>
      </c>
      <c r="D206" s="222">
        <f ca="1"/>
        <v>-5.9185254017932263E-3</v>
      </c>
      <c r="E206" s="222">
        <f ca="1"/>
        <v>-8.339260273944344E-3</v>
      </c>
      <c r="F206" s="222">
        <f ca="1"/>
        <v>-1.3180951253172705E-2</v>
      </c>
      <c r="G206" s="222">
        <f ca="1"/>
        <v>-1.9402718027124895E-2</v>
      </c>
      <c r="H206" s="222">
        <f ca="1"/>
        <v>-2.6552926347560776E-2</v>
      </c>
      <c r="I206" s="222">
        <f ca="1"/>
        <v>-3.7520777043414152E-2</v>
      </c>
      <c r="J206" s="222">
        <f ca="1"/>
        <v>-4.8703125037593234E-2</v>
      </c>
      <c r="K206" s="222">
        <f ca="1"/>
        <v>-6.3388687499095306E-2</v>
      </c>
      <c r="L206" s="222">
        <f ca="1"/>
        <v>-7.6236315346978986E-2</v>
      </c>
      <c r="M206" s="6"/>
      <c r="N206" s="59" t="s">
        <v>703</v>
      </c>
      <c r="O206" s="1"/>
    </row>
    <row r="207" spans="1:17" x14ac:dyDescent="0.2">
      <c r="A207" t="str">
        <v>IA Economic</v>
      </c>
      <c r="C207" s="222">
        <f ca="1"/>
        <v>-8.7750238071698933E-3</v>
      </c>
      <c r="D207" s="222">
        <f ca="1"/>
        <v>-1.3392373843642601E-2</v>
      </c>
      <c r="E207" s="222">
        <f ca="1"/>
        <v>-1.7822979727082786E-2</v>
      </c>
      <c r="F207" s="222">
        <f ca="1"/>
        <v>-3.2025270787334338E-2</v>
      </c>
      <c r="G207" s="222">
        <f ca="1"/>
        <v>-4.6323928136720482E-2</v>
      </c>
      <c r="H207" s="222">
        <f ca="1"/>
        <v>-6.2621162425179483E-2</v>
      </c>
      <c r="I207" s="222">
        <f ca="1"/>
        <v>-8.3788662550850268E-2</v>
      </c>
      <c r="J207" s="222">
        <f ca="1"/>
        <v>-0.10482250997228879</v>
      </c>
      <c r="K207" s="222">
        <f ca="1"/>
        <v>-0.12860793384750982</v>
      </c>
      <c r="L207" s="222">
        <f ca="1"/>
        <v>-0.14969251355710964</v>
      </c>
      <c r="M207" s="6"/>
      <c r="N207" s="59" t="s">
        <v>703</v>
      </c>
      <c r="O207" s="1"/>
    </row>
    <row r="208" spans="1:17" x14ac:dyDescent="0.2">
      <c r="A208" t="str">
        <v>AF Economic</v>
      </c>
      <c r="C208" s="222">
        <f ca="1"/>
        <v>-3.8156266101171126E-3</v>
      </c>
      <c r="D208" s="222">
        <f ca="1"/>
        <v>-8.9347726534832195E-3</v>
      </c>
      <c r="E208" s="222">
        <f ca="1"/>
        <v>-1.2225374993591156E-2</v>
      </c>
      <c r="F208" s="222">
        <f ca="1"/>
        <v>-2.4611451427817375E-2</v>
      </c>
      <c r="G208" s="222">
        <f ca="1"/>
        <v>-3.5621571821329065E-2</v>
      </c>
      <c r="H208" s="222">
        <f ca="1"/>
        <v>-5.0783363973591573E-2</v>
      </c>
      <c r="I208" s="222">
        <f ca="1"/>
        <v>-6.8502841434611106E-2</v>
      </c>
      <c r="J208" s="222">
        <f ca="1"/>
        <v>-8.723577571692917E-2</v>
      </c>
      <c r="K208" s="222">
        <f ca="1"/>
        <v>-0.10950482028967901</v>
      </c>
      <c r="L208" s="222">
        <f ca="1"/>
        <v>-0.13009474604370283</v>
      </c>
      <c r="M208" s="6"/>
      <c r="N208" s="59" t="s">
        <v>703</v>
      </c>
      <c r="O208" s="1"/>
    </row>
    <row r="209" spans="1:17" x14ac:dyDescent="0.2">
      <c r="A209" t="str">
        <v>LA Economic</v>
      </c>
      <c r="C209" s="222">
        <f ca="1"/>
        <v>-8.8405538674247164E-3</v>
      </c>
      <c r="D209" s="222">
        <f ca="1"/>
        <v>-1.0648504119832954E-2</v>
      </c>
      <c r="E209" s="222">
        <f ca="1"/>
        <v>-1.4644143503733147E-2</v>
      </c>
      <c r="F209" s="222">
        <f ca="1"/>
        <v>-2.6502748060578493E-2</v>
      </c>
      <c r="G209" s="222">
        <f ca="1"/>
        <v>-3.5537342288369106E-2</v>
      </c>
      <c r="H209" s="222">
        <f ca="1"/>
        <v>-4.8807955333314598E-2</v>
      </c>
      <c r="I209" s="222">
        <f ca="1"/>
        <v>-6.5345115702623788E-2</v>
      </c>
      <c r="J209" s="222">
        <f ca="1"/>
        <v>-8.3143709578087643E-2</v>
      </c>
      <c r="K209" s="222">
        <f ca="1"/>
        <v>-0.10030852133084787</v>
      </c>
      <c r="L209" s="222">
        <f ca="1"/>
        <v>-0.11747091926262415</v>
      </c>
      <c r="M209" s="6"/>
      <c r="N209" s="59" t="s">
        <v>703</v>
      </c>
      <c r="O209" s="1"/>
    </row>
    <row r="210" spans="1:17" ht="14.25" x14ac:dyDescent="0.25">
      <c r="A210" s="2" t="s">
        <v>704</v>
      </c>
      <c r="C210" s="2" t="s">
        <v>702</v>
      </c>
      <c r="D210" s="6"/>
      <c r="E210" s="6"/>
      <c r="F210" s="6"/>
      <c r="G210" s="6"/>
      <c r="H210" s="6"/>
      <c r="I210" s="6"/>
      <c r="J210" s="6"/>
      <c r="K210" s="6"/>
      <c r="L210" s="6"/>
      <c r="M210" s="6"/>
      <c r="N210" s="1"/>
      <c r="O210" s="1"/>
    </row>
    <row r="211" spans="1:17" x14ac:dyDescent="0.2">
      <c r="A211" t="str">
        <f t="array" ref="A211:A218">R_CODE&amp;" "&amp;I_1_NAME</f>
        <v>EU Economic</v>
      </c>
      <c r="C211" s="213">
        <f t="array" ref="C211:L218" ca="1">100 * WINCF_1 * (1 - EXP(i_1_log_b))</f>
        <v>-0.17320839833510071</v>
      </c>
      <c r="D211" s="213">
        <f ca="1"/>
        <v>-0.25313623435667676</v>
      </c>
      <c r="E211" s="213">
        <f ca="1"/>
        <v>-0.34591853149705809</v>
      </c>
      <c r="F211" s="213">
        <f ca="1"/>
        <v>-0.41571101548563139</v>
      </c>
      <c r="G211" s="213">
        <f ca="1"/>
        <v>-0.43711550074816419</v>
      </c>
      <c r="H211" s="213">
        <f ca="1"/>
        <v>-0.38253648242212446</v>
      </c>
      <c r="I211" s="213">
        <f ca="1"/>
        <v>-0.23027328214706433</v>
      </c>
      <c r="J211" s="213">
        <f ca="1"/>
        <v>1.0633909694657273E-2</v>
      </c>
      <c r="K211" s="213">
        <f ca="1"/>
        <v>0.45050500911699709</v>
      </c>
      <c r="L211" s="213">
        <f ca="1"/>
        <v>0.87050587296672033</v>
      </c>
      <c r="M211" s="6"/>
      <c r="N211" s="59" t="s">
        <v>132</v>
      </c>
      <c r="O211" s="1"/>
      <c r="Q211" s="124" t="s">
        <v>719</v>
      </c>
    </row>
    <row r="212" spans="1:17" x14ac:dyDescent="0.2">
      <c r="A212" t="str">
        <v>US Economic</v>
      </c>
      <c r="C212" s="213">
        <f ca="1"/>
        <v>0.14113337709251716</v>
      </c>
      <c r="D212" s="213">
        <f ca="1"/>
        <v>0.21496399120781717</v>
      </c>
      <c r="E212" s="213">
        <f ca="1"/>
        <v>0.35897213008201367</v>
      </c>
      <c r="F212" s="213">
        <f ca="1"/>
        <v>0.69816013025372214</v>
      </c>
      <c r="G212" s="213">
        <f ca="1"/>
        <v>1.0405360853809831</v>
      </c>
      <c r="H212" s="213">
        <f ca="1"/>
        <v>1.630347201159954</v>
      </c>
      <c r="I212" s="213">
        <f ca="1"/>
        <v>2.3841769215828035</v>
      </c>
      <c r="J212" s="213">
        <f ca="1"/>
        <v>3.2717859260298576</v>
      </c>
      <c r="K212" s="213">
        <f ca="1"/>
        <v>4.2453502488600918</v>
      </c>
      <c r="L212" s="213">
        <f ca="1"/>
        <v>5.2512236842377602</v>
      </c>
      <c r="M212" s="6"/>
      <c r="N212" s="59" t="s">
        <v>132</v>
      </c>
      <c r="O212" s="1"/>
    </row>
    <row r="213" spans="1:17" x14ac:dyDescent="0.2">
      <c r="A213" t="str">
        <v>OT Economic</v>
      </c>
      <c r="C213" s="213">
        <f ca="1"/>
        <v>2.7021858565423607E-2</v>
      </c>
      <c r="D213" s="213">
        <f ca="1"/>
        <v>4.3241011735628554E-2</v>
      </c>
      <c r="E213" s="213">
        <f ca="1"/>
        <v>0.11024494062175094</v>
      </c>
      <c r="F213" s="213">
        <f ca="1"/>
        <v>0.31498283975380792</v>
      </c>
      <c r="G213" s="213">
        <f ca="1"/>
        <v>0.57899498743686495</v>
      </c>
      <c r="H213" s="213">
        <f ca="1"/>
        <v>1.0199005265144501</v>
      </c>
      <c r="I213" s="213">
        <f ca="1"/>
        <v>1.6621213587205474</v>
      </c>
      <c r="J213" s="213">
        <f ca="1"/>
        <v>2.4460495256490633</v>
      </c>
      <c r="K213" s="213">
        <f ca="1"/>
        <v>3.4463702766484361</v>
      </c>
      <c r="L213" s="213">
        <f ca="1"/>
        <v>4.4552171063677477</v>
      </c>
      <c r="M213" s="6"/>
      <c r="N213" s="59" t="s">
        <v>132</v>
      </c>
      <c r="O213" s="1"/>
      <c r="Q213" s="124" t="s">
        <v>707</v>
      </c>
    </row>
    <row r="214" spans="1:17" x14ac:dyDescent="0.2">
      <c r="A214" t="str">
        <v>EE Economic</v>
      </c>
      <c r="C214" s="213">
        <f ca="1"/>
        <v>-0.57010427210786307</v>
      </c>
      <c r="D214" s="213">
        <f ca="1"/>
        <v>-0.92237610130287973</v>
      </c>
      <c r="E214" s="213">
        <f ca="1"/>
        <v>-1.1743360788744273</v>
      </c>
      <c r="F214" s="213">
        <f ca="1"/>
        <v>-1.6642509383297144</v>
      </c>
      <c r="G214" s="213">
        <f ca="1"/>
        <v>-2.0913101946056223</v>
      </c>
      <c r="H214" s="213">
        <f ca="1"/>
        <v>-2.3701661655523676</v>
      </c>
      <c r="I214" s="213">
        <f ca="1"/>
        <v>-2.4844642209606693</v>
      </c>
      <c r="J214" s="213">
        <f ca="1"/>
        <v>-2.4012841523114226</v>
      </c>
      <c r="K214" s="213">
        <f ca="1"/>
        <v>-2.0186420061669264</v>
      </c>
      <c r="L214" s="213">
        <f ca="1"/>
        <v>-1.5603093460010209</v>
      </c>
      <c r="M214" s="6"/>
      <c r="N214" s="59" t="s">
        <v>132</v>
      </c>
      <c r="O214" s="1"/>
    </row>
    <row r="215" spans="1:17" x14ac:dyDescent="0.2">
      <c r="A215" t="str">
        <v>CA Economic</v>
      </c>
      <c r="C215" s="213">
        <f ca="1"/>
        <v>0.35234058395303691</v>
      </c>
      <c r="D215" s="213">
        <f ca="1"/>
        <v>0.59010454325431061</v>
      </c>
      <c r="E215" s="213">
        <f ca="1"/>
        <v>0.83045850983708425</v>
      </c>
      <c r="F215" s="213">
        <f ca="1"/>
        <v>1.309446293168226</v>
      </c>
      <c r="G215" s="213">
        <f ca="1"/>
        <v>1.9215696820169548</v>
      </c>
      <c r="H215" s="213">
        <f ca="1"/>
        <v>2.6203497020557687</v>
      </c>
      <c r="I215" s="213">
        <f ca="1"/>
        <v>3.6825594403514406</v>
      </c>
      <c r="J215" s="213">
        <f ca="1"/>
        <v>4.7536149600139188</v>
      </c>
      <c r="K215" s="213">
        <f ca="1"/>
        <v>6.1421410983797493</v>
      </c>
      <c r="L215" s="213">
        <f ca="1"/>
        <v>7.3402788457095802</v>
      </c>
      <c r="M215" s="6"/>
      <c r="N215" s="59" t="s">
        <v>132</v>
      </c>
      <c r="O215" s="1"/>
      <c r="Q215" s="3"/>
    </row>
    <row r="216" spans="1:17" x14ac:dyDescent="0.2">
      <c r="A216" t="str">
        <v>IA Economic</v>
      </c>
      <c r="C216" s="213">
        <f ca="1"/>
        <v>0.87366356534769318</v>
      </c>
      <c r="D216" s="213">
        <f ca="1"/>
        <v>1.3303095001334864</v>
      </c>
      <c r="E216" s="213">
        <f ca="1"/>
        <v>1.766508983820847</v>
      </c>
      <c r="F216" s="213">
        <f ca="1"/>
        <v>3.1517892535422365</v>
      </c>
      <c r="G216" s="213">
        <f ca="1"/>
        <v>4.5267352671989443</v>
      </c>
      <c r="H216" s="213">
        <f ca="1"/>
        <v>6.0700751856290092</v>
      </c>
      <c r="I216" s="213">
        <f ca="1"/>
        <v>8.0374413114580161</v>
      </c>
      <c r="J216" s="213">
        <f ca="1"/>
        <v>9.9515664607101257</v>
      </c>
      <c r="K216" s="213">
        <f ca="1"/>
        <v>12.068135094865362</v>
      </c>
      <c r="L216" s="213">
        <f ca="1"/>
        <v>13.902732684766184</v>
      </c>
      <c r="M216" s="6"/>
      <c r="N216" s="59" t="s">
        <v>132</v>
      </c>
      <c r="O216" s="1"/>
    </row>
    <row r="217" spans="1:17" x14ac:dyDescent="0.2">
      <c r="A217" t="str">
        <v>AF Economic</v>
      </c>
      <c r="C217" s="213">
        <f ca="1"/>
        <v>0.38083563567001821</v>
      </c>
      <c r="D217" s="213">
        <f ca="1"/>
        <v>0.88949761846286446</v>
      </c>
      <c r="E217" s="213">
        <f ca="1"/>
        <v>1.2150948701906583</v>
      </c>
      <c r="F217" s="213">
        <f ca="1"/>
        <v>2.431105906711184</v>
      </c>
      <c r="G217" s="213">
        <f ca="1"/>
        <v>3.4994590366778988</v>
      </c>
      <c r="H217" s="213">
        <f ca="1"/>
        <v>4.9515442571953949</v>
      </c>
      <c r="I217" s="213">
        <f ca="1"/>
        <v>6.6209193205764798</v>
      </c>
      <c r="J217" s="213">
        <f ca="1"/>
        <v>8.3539009089139142</v>
      </c>
      <c r="K217" s="213">
        <f ca="1"/>
        <v>10.372215596714474</v>
      </c>
      <c r="L217" s="213">
        <f ca="1"/>
        <v>12.198776120638721</v>
      </c>
      <c r="M217" s="6"/>
      <c r="N217" s="59" t="s">
        <v>132</v>
      </c>
      <c r="O217" s="1"/>
    </row>
    <row r="218" spans="1:17" x14ac:dyDescent="0.2">
      <c r="A218" t="str">
        <v>LA Economic</v>
      </c>
      <c r="C218" s="213">
        <f ca="1"/>
        <v>0.88015910731814584</v>
      </c>
      <c r="D218" s="213">
        <f ca="1"/>
        <v>1.0592009505366429</v>
      </c>
      <c r="E218" s="213">
        <f ca="1"/>
        <v>1.4537439532023355</v>
      </c>
      <c r="F218" s="213">
        <f ca="1"/>
        <v>2.6154632354206453</v>
      </c>
      <c r="G218" s="213">
        <f ca="1"/>
        <v>3.4913304988555049</v>
      </c>
      <c r="H218" s="213">
        <f ca="1"/>
        <v>4.7635991433924492</v>
      </c>
      <c r="I218" s="213">
        <f ca="1"/>
        <v>6.3255877520406063</v>
      </c>
      <c r="J218" s="213">
        <f ca="1"/>
        <v>7.978110655164028</v>
      </c>
      <c r="K218" s="213">
        <f ca="1"/>
        <v>9.5441700549221196</v>
      </c>
      <c r="L218" s="213">
        <f ca="1"/>
        <v>11.083363101586762</v>
      </c>
      <c r="M218" s="6"/>
      <c r="N218" s="59" t="s">
        <v>132</v>
      </c>
      <c r="O218" s="1"/>
    </row>
    <row r="219" spans="1:17" s="2" customFormat="1" ht="14.25" x14ac:dyDescent="0.25">
      <c r="A219" s="2" t="s">
        <v>705</v>
      </c>
      <c r="C219" s="2" t="s">
        <v>701</v>
      </c>
    </row>
    <row r="220" spans="1:17" x14ac:dyDescent="0.2">
      <c r="A220" t="str">
        <f t="array" ref="A220:A227">R_CODE&amp;" "&amp;I_1_NAME</f>
        <v>EU Economic</v>
      </c>
      <c r="C220" s="213">
        <f t="array" ref="C220:L227" xml:space="preserve"> IF(ECON_IMPF_SWITCH=0, WINCF_1*((W_1+IBEN_1*TCAL)*((i_1_b/TCAL)^POW_1)-i_1_b*IBEN_1), 0)</f>
        <v>0</v>
      </c>
      <c r="D220" s="213">
        <v>0</v>
      </c>
      <c r="E220" s="213">
        <v>0</v>
      </c>
      <c r="F220" s="213">
        <v>0</v>
      </c>
      <c r="G220" s="213">
        <v>0</v>
      </c>
      <c r="H220" s="213">
        <v>0</v>
      </c>
      <c r="I220" s="213">
        <v>0</v>
      </c>
      <c r="J220" s="213">
        <v>0</v>
      </c>
      <c r="K220" s="213">
        <v>0</v>
      </c>
      <c r="L220" s="213">
        <v>0</v>
      </c>
      <c r="M220" s="6"/>
      <c r="N220" s="59" t="s">
        <v>132</v>
      </c>
    </row>
    <row r="221" spans="1:17" x14ac:dyDescent="0.2">
      <c r="A221" t="str">
        <v>US Economic</v>
      </c>
      <c r="C221" s="213">
        <v>0</v>
      </c>
      <c r="D221" s="213">
        <v>0</v>
      </c>
      <c r="E221" s="213">
        <v>0</v>
      </c>
      <c r="F221" s="213">
        <v>0</v>
      </c>
      <c r="G221" s="213">
        <v>0</v>
      </c>
      <c r="H221" s="213">
        <v>0</v>
      </c>
      <c r="I221" s="213">
        <v>0</v>
      </c>
      <c r="J221" s="213">
        <v>0</v>
      </c>
      <c r="K221" s="213">
        <v>0</v>
      </c>
      <c r="L221" s="213">
        <v>0</v>
      </c>
      <c r="M221" s="6"/>
      <c r="N221" s="59" t="s">
        <v>132</v>
      </c>
    </row>
    <row r="222" spans="1:17" x14ac:dyDescent="0.2">
      <c r="A222" t="str">
        <v>OT Economic</v>
      </c>
      <c r="C222" s="213">
        <v>0</v>
      </c>
      <c r="D222" s="213">
        <v>0</v>
      </c>
      <c r="E222" s="213">
        <v>0</v>
      </c>
      <c r="F222" s="213">
        <v>0</v>
      </c>
      <c r="G222" s="213">
        <v>0</v>
      </c>
      <c r="H222" s="213">
        <v>0</v>
      </c>
      <c r="I222" s="213">
        <v>0</v>
      </c>
      <c r="J222" s="213">
        <v>0</v>
      </c>
      <c r="K222" s="213">
        <v>0</v>
      </c>
      <c r="L222" s="213">
        <v>0</v>
      </c>
      <c r="M222" s="6"/>
      <c r="N222" s="59" t="s">
        <v>132</v>
      </c>
    </row>
    <row r="223" spans="1:17" x14ac:dyDescent="0.2">
      <c r="A223" t="str">
        <v>EE Economic</v>
      </c>
      <c r="C223" s="213">
        <v>0</v>
      </c>
      <c r="D223" s="213">
        <v>0</v>
      </c>
      <c r="E223" s="213">
        <v>0</v>
      </c>
      <c r="F223" s="213">
        <v>0</v>
      </c>
      <c r="G223" s="213">
        <v>0</v>
      </c>
      <c r="H223" s="213">
        <v>0</v>
      </c>
      <c r="I223" s="213">
        <v>0</v>
      </c>
      <c r="J223" s="213">
        <v>0</v>
      </c>
      <c r="K223" s="213">
        <v>0</v>
      </c>
      <c r="L223" s="213">
        <v>0</v>
      </c>
      <c r="M223" s="6"/>
      <c r="N223" s="59" t="s">
        <v>132</v>
      </c>
    </row>
    <row r="224" spans="1:17" x14ac:dyDescent="0.2">
      <c r="A224" t="str">
        <v>CA Economic</v>
      </c>
      <c r="C224" s="213">
        <v>0</v>
      </c>
      <c r="D224" s="213">
        <v>0</v>
      </c>
      <c r="E224" s="213">
        <v>0</v>
      </c>
      <c r="F224" s="213">
        <v>0</v>
      </c>
      <c r="G224" s="213">
        <v>0</v>
      </c>
      <c r="H224" s="213">
        <v>0</v>
      </c>
      <c r="I224" s="213">
        <v>0</v>
      </c>
      <c r="J224" s="213">
        <v>0</v>
      </c>
      <c r="K224" s="213">
        <v>0</v>
      </c>
      <c r="L224" s="213">
        <v>0</v>
      </c>
      <c r="M224" s="6"/>
      <c r="N224" s="59" t="s">
        <v>132</v>
      </c>
    </row>
    <row r="225" spans="1:17" x14ac:dyDescent="0.2">
      <c r="A225" t="str">
        <v>IA Economic</v>
      </c>
      <c r="C225" s="213">
        <v>0</v>
      </c>
      <c r="D225" s="213">
        <v>0</v>
      </c>
      <c r="E225" s="213">
        <v>0</v>
      </c>
      <c r="F225" s="213">
        <v>0</v>
      </c>
      <c r="G225" s="213">
        <v>0</v>
      </c>
      <c r="H225" s="213">
        <v>0</v>
      </c>
      <c r="I225" s="213">
        <v>0</v>
      </c>
      <c r="J225" s="213">
        <v>0</v>
      </c>
      <c r="K225" s="213">
        <v>0</v>
      </c>
      <c r="L225" s="213">
        <v>0</v>
      </c>
      <c r="M225" s="6"/>
      <c r="N225" s="59" t="s">
        <v>132</v>
      </c>
    </row>
    <row r="226" spans="1:17" x14ac:dyDescent="0.2">
      <c r="A226" t="str">
        <v>AF Economic</v>
      </c>
      <c r="C226" s="213">
        <v>0</v>
      </c>
      <c r="D226" s="213">
        <v>0</v>
      </c>
      <c r="E226" s="213">
        <v>0</v>
      </c>
      <c r="F226" s="213">
        <v>0</v>
      </c>
      <c r="G226" s="213">
        <v>0</v>
      </c>
      <c r="H226" s="213">
        <v>0</v>
      </c>
      <c r="I226" s="213">
        <v>0</v>
      </c>
      <c r="J226" s="213">
        <v>0</v>
      </c>
      <c r="K226" s="213">
        <v>0</v>
      </c>
      <c r="L226" s="213">
        <v>0</v>
      </c>
      <c r="M226" s="6"/>
      <c r="N226" s="59" t="s">
        <v>132</v>
      </c>
    </row>
    <row r="227" spans="1:17" x14ac:dyDescent="0.2">
      <c r="A227" t="str">
        <v>LA Economic</v>
      </c>
      <c r="C227" s="213">
        <v>0</v>
      </c>
      <c r="D227" s="213">
        <v>0</v>
      </c>
      <c r="E227" s="213">
        <v>0</v>
      </c>
      <c r="F227" s="213">
        <v>0</v>
      </c>
      <c r="G227" s="213">
        <v>0</v>
      </c>
      <c r="H227" s="213">
        <v>0</v>
      </c>
      <c r="I227" s="213">
        <v>0</v>
      </c>
      <c r="J227" s="213">
        <v>0</v>
      </c>
      <c r="K227" s="213">
        <v>0</v>
      </c>
      <c r="L227" s="213">
        <v>0</v>
      </c>
      <c r="M227" s="6"/>
      <c r="N227" s="59" t="s">
        <v>132</v>
      </c>
    </row>
    <row r="228" spans="1:17" ht="14.25" x14ac:dyDescent="0.25">
      <c r="A228" s="2" t="s">
        <v>720</v>
      </c>
      <c r="C228" s="2" t="s">
        <v>721</v>
      </c>
      <c r="D228" s="6"/>
      <c r="E228" s="6"/>
      <c r="F228" s="6"/>
      <c r="G228" s="6"/>
      <c r="H228" s="6"/>
      <c r="I228" s="6"/>
      <c r="J228" s="6"/>
      <c r="K228" s="6"/>
      <c r="L228" s="6"/>
      <c r="M228" s="6"/>
      <c r="N228" s="59"/>
    </row>
    <row r="229" spans="1:17" x14ac:dyDescent="0.2">
      <c r="A229" t="str">
        <f t="array" ref="A229:A236">R_CODE&amp;" "&amp;I_1_NAME</f>
        <v>EU Economic</v>
      </c>
      <c r="C229" s="212">
        <f t="array" ref="C229:L236" ca="1" xml:space="preserve"> IF(ECON_IMPF_SWITCH = 0, iref_1_page_b, 0) + IF(ECON_IMPF_SWITCH = 1, iref_1_burke_b, 0)</f>
        <v>-0.17320839833510071</v>
      </c>
      <c r="D229" s="212">
        <f ca="1"/>
        <v>-0.25313623435667676</v>
      </c>
      <c r="E229" s="212">
        <f ca="1"/>
        <v>-0.34591853149705809</v>
      </c>
      <c r="F229" s="212">
        <f ca="1"/>
        <v>-0.41571101548563139</v>
      </c>
      <c r="G229" s="212">
        <f ca="1"/>
        <v>-0.43711550074816419</v>
      </c>
      <c r="H229" s="212">
        <f ca="1"/>
        <v>-0.38253648242212446</v>
      </c>
      <c r="I229" s="212">
        <f ca="1"/>
        <v>-0.23027328214706433</v>
      </c>
      <c r="J229" s="212">
        <f ca="1"/>
        <v>1.0633909694657273E-2</v>
      </c>
      <c r="K229" s="212">
        <f ca="1"/>
        <v>0.45050500911699709</v>
      </c>
      <c r="L229" s="212">
        <f ca="1"/>
        <v>0.87050587296672033</v>
      </c>
      <c r="M229" s="6"/>
      <c r="N229" s="59" t="s">
        <v>132</v>
      </c>
    </row>
    <row r="230" spans="1:17" x14ac:dyDescent="0.2">
      <c r="A230" t="str">
        <v>US Economic</v>
      </c>
      <c r="C230" s="213">
        <f ca="1"/>
        <v>0.14113337709251716</v>
      </c>
      <c r="D230" s="213">
        <f ca="1"/>
        <v>0.21496399120781717</v>
      </c>
      <c r="E230" s="213">
        <f ca="1"/>
        <v>0.35897213008201367</v>
      </c>
      <c r="F230" s="213">
        <f ca="1"/>
        <v>0.69816013025372214</v>
      </c>
      <c r="G230" s="213">
        <f ca="1"/>
        <v>1.0405360853809831</v>
      </c>
      <c r="H230" s="213">
        <f ca="1"/>
        <v>1.630347201159954</v>
      </c>
      <c r="I230" s="213">
        <f ca="1"/>
        <v>2.3841769215828035</v>
      </c>
      <c r="J230" s="213">
        <f ca="1"/>
        <v>3.2717859260298576</v>
      </c>
      <c r="K230" s="213">
        <f ca="1"/>
        <v>4.2453502488600918</v>
      </c>
      <c r="L230" s="213">
        <f ca="1"/>
        <v>5.2512236842377602</v>
      </c>
      <c r="M230" s="6"/>
      <c r="N230" s="59" t="s">
        <v>132</v>
      </c>
    </row>
    <row r="231" spans="1:17" x14ac:dyDescent="0.2">
      <c r="A231" t="str">
        <v>OT Economic</v>
      </c>
      <c r="C231" s="213">
        <f ca="1"/>
        <v>2.7021858565423607E-2</v>
      </c>
      <c r="D231" s="213">
        <f ca="1"/>
        <v>4.3241011735628554E-2</v>
      </c>
      <c r="E231" s="213">
        <f ca="1"/>
        <v>0.11024494062175094</v>
      </c>
      <c r="F231" s="213">
        <f ca="1"/>
        <v>0.31498283975380792</v>
      </c>
      <c r="G231" s="213">
        <f ca="1"/>
        <v>0.57899498743686495</v>
      </c>
      <c r="H231" s="213">
        <f ca="1"/>
        <v>1.0199005265144501</v>
      </c>
      <c r="I231" s="213">
        <f ca="1"/>
        <v>1.6621213587205474</v>
      </c>
      <c r="J231" s="213">
        <f ca="1"/>
        <v>2.4460495256490633</v>
      </c>
      <c r="K231" s="213">
        <f ca="1"/>
        <v>3.4463702766484361</v>
      </c>
      <c r="L231" s="213">
        <f ca="1"/>
        <v>4.4552171063677477</v>
      </c>
      <c r="M231" s="6"/>
      <c r="N231" s="59" t="s">
        <v>132</v>
      </c>
    </row>
    <row r="232" spans="1:17" x14ac:dyDescent="0.2">
      <c r="A232" t="str">
        <v>EE Economic</v>
      </c>
      <c r="C232" s="213">
        <f ca="1"/>
        <v>-0.57010427210786307</v>
      </c>
      <c r="D232" s="213">
        <f ca="1"/>
        <v>-0.92237610130287973</v>
      </c>
      <c r="E232" s="213">
        <f ca="1"/>
        <v>-1.1743360788744273</v>
      </c>
      <c r="F232" s="213">
        <f ca="1"/>
        <v>-1.6642509383297144</v>
      </c>
      <c r="G232" s="213">
        <f ca="1"/>
        <v>-2.0913101946056223</v>
      </c>
      <c r="H232" s="213">
        <f ca="1"/>
        <v>-2.3701661655523676</v>
      </c>
      <c r="I232" s="213">
        <f ca="1"/>
        <v>-2.4844642209606693</v>
      </c>
      <c r="J232" s="213">
        <f ca="1"/>
        <v>-2.4012841523114226</v>
      </c>
      <c r="K232" s="213">
        <f ca="1"/>
        <v>-2.0186420061669264</v>
      </c>
      <c r="L232" s="213">
        <f ca="1"/>
        <v>-1.5603093460010209</v>
      </c>
      <c r="M232" s="6"/>
      <c r="N232" s="59" t="s">
        <v>132</v>
      </c>
    </row>
    <row r="233" spans="1:17" x14ac:dyDescent="0.2">
      <c r="A233" t="str">
        <v>CA Economic</v>
      </c>
      <c r="C233" s="213">
        <f ca="1"/>
        <v>0.35234058395303691</v>
      </c>
      <c r="D233" s="213">
        <f ca="1"/>
        <v>0.59010454325431061</v>
      </c>
      <c r="E233" s="213">
        <f ca="1"/>
        <v>0.83045850983708425</v>
      </c>
      <c r="F233" s="213">
        <f ca="1"/>
        <v>1.309446293168226</v>
      </c>
      <c r="G233" s="213">
        <f ca="1"/>
        <v>1.9215696820169548</v>
      </c>
      <c r="H233" s="213">
        <f ca="1"/>
        <v>2.6203497020557687</v>
      </c>
      <c r="I233" s="213">
        <f ca="1"/>
        <v>3.6825594403514406</v>
      </c>
      <c r="J233" s="213">
        <f ca="1"/>
        <v>4.7536149600139188</v>
      </c>
      <c r="K233" s="213">
        <f ca="1"/>
        <v>6.1421410983797493</v>
      </c>
      <c r="L233" s="213">
        <f ca="1"/>
        <v>7.3402788457095802</v>
      </c>
      <c r="M233" s="6"/>
      <c r="N233" s="59" t="s">
        <v>132</v>
      </c>
    </row>
    <row r="234" spans="1:17" x14ac:dyDescent="0.2">
      <c r="A234" t="str">
        <v>IA Economic</v>
      </c>
      <c r="C234" s="213">
        <f ca="1"/>
        <v>0.87366356534769318</v>
      </c>
      <c r="D234" s="213">
        <f ca="1"/>
        <v>1.3303095001334864</v>
      </c>
      <c r="E234" s="213">
        <f ca="1"/>
        <v>1.766508983820847</v>
      </c>
      <c r="F234" s="213">
        <f ca="1"/>
        <v>3.1517892535422365</v>
      </c>
      <c r="G234" s="213">
        <f ca="1"/>
        <v>4.5267352671989443</v>
      </c>
      <c r="H234" s="213">
        <f ca="1"/>
        <v>6.0700751856290092</v>
      </c>
      <c r="I234" s="213">
        <f ca="1"/>
        <v>8.0374413114580161</v>
      </c>
      <c r="J234" s="213">
        <f ca="1"/>
        <v>9.9515664607101257</v>
      </c>
      <c r="K234" s="213">
        <f ca="1"/>
        <v>12.068135094865362</v>
      </c>
      <c r="L234" s="213">
        <f ca="1"/>
        <v>13.902732684766184</v>
      </c>
      <c r="M234" s="6"/>
      <c r="N234" s="59" t="s">
        <v>132</v>
      </c>
    </row>
    <row r="235" spans="1:17" x14ac:dyDescent="0.2">
      <c r="A235" t="str">
        <v>AF Economic</v>
      </c>
      <c r="C235" s="213">
        <f ca="1"/>
        <v>0.38083563567001821</v>
      </c>
      <c r="D235" s="213">
        <f ca="1"/>
        <v>0.88949761846286446</v>
      </c>
      <c r="E235" s="213">
        <f ca="1"/>
        <v>1.2150948701906583</v>
      </c>
      <c r="F235" s="213">
        <f ca="1"/>
        <v>2.431105906711184</v>
      </c>
      <c r="G235" s="213">
        <f ca="1"/>
        <v>3.4994590366778988</v>
      </c>
      <c r="H235" s="213">
        <f ca="1"/>
        <v>4.9515442571953949</v>
      </c>
      <c r="I235" s="213">
        <f ca="1"/>
        <v>6.6209193205764798</v>
      </c>
      <c r="J235" s="213">
        <f ca="1"/>
        <v>8.3539009089139142</v>
      </c>
      <c r="K235" s="213">
        <f ca="1"/>
        <v>10.372215596714474</v>
      </c>
      <c r="L235" s="213">
        <f ca="1"/>
        <v>12.198776120638721</v>
      </c>
      <c r="M235" s="6"/>
      <c r="N235" s="59" t="s">
        <v>132</v>
      </c>
    </row>
    <row r="236" spans="1:17" x14ac:dyDescent="0.2">
      <c r="A236" t="str">
        <v>LA Economic</v>
      </c>
      <c r="C236" s="213">
        <f ca="1"/>
        <v>0.88015910731814584</v>
      </c>
      <c r="D236" s="213">
        <f ca="1"/>
        <v>1.0592009505366429</v>
      </c>
      <c r="E236" s="213">
        <f ca="1"/>
        <v>1.4537439532023355</v>
      </c>
      <c r="F236" s="213">
        <f ca="1"/>
        <v>2.6154632354206453</v>
      </c>
      <c r="G236" s="213">
        <f ca="1"/>
        <v>3.4913304988555049</v>
      </c>
      <c r="H236" s="213">
        <f ca="1"/>
        <v>4.7635991433924492</v>
      </c>
      <c r="I236" s="213">
        <f ca="1"/>
        <v>6.3255877520406063</v>
      </c>
      <c r="J236" s="213">
        <f ca="1"/>
        <v>7.978110655164028</v>
      </c>
      <c r="K236" s="213">
        <f ca="1"/>
        <v>9.5441700549221196</v>
      </c>
      <c r="L236" s="213">
        <f ca="1"/>
        <v>11.083363101586762</v>
      </c>
      <c r="M236" s="6"/>
      <c r="N236" s="59" t="s">
        <v>132</v>
      </c>
    </row>
    <row r="237" spans="1:17" s="2" customFormat="1" ht="14.25" x14ac:dyDescent="0.25">
      <c r="A237" s="2" t="s">
        <v>219</v>
      </c>
      <c r="C237" s="2" t="s">
        <v>233</v>
      </c>
    </row>
    <row r="238" spans="1:17" x14ac:dyDescent="0.2">
      <c r="A238" t="str">
        <f t="array" ref="A238:A245">R_CODE&amp;" "&amp;I_1_NAME</f>
        <v>EU Economic</v>
      </c>
      <c r="C238" s="29">
        <f t="array" ref="C238:L245" ca="1" xml:space="preserve"> iref_1_b * ((rgdp_s_per_cap_b/GDP_PER_CAP_FOCUS_0)^IPOW_1)</f>
        <v>-0.17320839833510071</v>
      </c>
      <c r="D238" s="29">
        <f ca="1"/>
        <v>-0.25313623435667676</v>
      </c>
      <c r="E238" s="29">
        <f ca="1"/>
        <v>-0.34591853149705809</v>
      </c>
      <c r="F238" s="29">
        <f ca="1"/>
        <v>-0.41571101548563139</v>
      </c>
      <c r="G238" s="29">
        <f ca="1"/>
        <v>-0.43711550074816419</v>
      </c>
      <c r="H238" s="29">
        <f ca="1"/>
        <v>-0.38253648242212446</v>
      </c>
      <c r="I238" s="29">
        <f ca="1"/>
        <v>-0.23027328214706433</v>
      </c>
      <c r="J238" s="29">
        <f ca="1"/>
        <v>1.0633909694657273E-2</v>
      </c>
      <c r="K238" s="29">
        <f ca="1"/>
        <v>0.45050500911699709</v>
      </c>
      <c r="L238" s="29">
        <f ca="1"/>
        <v>0.87050587296672033</v>
      </c>
      <c r="M238" s="6"/>
      <c r="N238" s="59" t="s">
        <v>132</v>
      </c>
      <c r="Q238" s="124" t="s">
        <v>715</v>
      </c>
    </row>
    <row r="239" spans="1:17" x14ac:dyDescent="0.2">
      <c r="A239" t="str">
        <v>US Economic</v>
      </c>
      <c r="C239" s="26">
        <f ca="1"/>
        <v>0.14113337709251716</v>
      </c>
      <c r="D239" s="26">
        <f ca="1"/>
        <v>0.21496399120781717</v>
      </c>
      <c r="E239" s="26">
        <f ca="1"/>
        <v>0.35897213008201367</v>
      </c>
      <c r="F239" s="26">
        <f ca="1"/>
        <v>0.69816013025372214</v>
      </c>
      <c r="G239" s="26">
        <f ca="1"/>
        <v>1.0405360853809831</v>
      </c>
      <c r="H239" s="26">
        <f ca="1"/>
        <v>1.630347201159954</v>
      </c>
      <c r="I239" s="26">
        <f ca="1"/>
        <v>2.3841769215828035</v>
      </c>
      <c r="J239" s="26">
        <f ca="1"/>
        <v>3.2717859260298576</v>
      </c>
      <c r="K239" s="26">
        <f ca="1"/>
        <v>4.2453502488600918</v>
      </c>
      <c r="L239" s="26">
        <f ca="1"/>
        <v>5.2512236842377602</v>
      </c>
      <c r="M239" s="6"/>
      <c r="N239" s="59" t="s">
        <v>132</v>
      </c>
    </row>
    <row r="240" spans="1:17" x14ac:dyDescent="0.2">
      <c r="A240" t="str">
        <v>OT Economic</v>
      </c>
      <c r="C240" s="26">
        <f ca="1"/>
        <v>2.7021858565423607E-2</v>
      </c>
      <c r="D240" s="26">
        <f ca="1"/>
        <v>4.3241011735628554E-2</v>
      </c>
      <c r="E240" s="26">
        <f ca="1"/>
        <v>0.11024494062175094</v>
      </c>
      <c r="F240" s="26">
        <f ca="1"/>
        <v>0.31498283975380792</v>
      </c>
      <c r="G240" s="26">
        <f ca="1"/>
        <v>0.57899498743686495</v>
      </c>
      <c r="H240" s="26">
        <f ca="1"/>
        <v>1.0199005265144501</v>
      </c>
      <c r="I240" s="26">
        <f ca="1"/>
        <v>1.6621213587205474</v>
      </c>
      <c r="J240" s="26">
        <f ca="1"/>
        <v>2.4460495256490633</v>
      </c>
      <c r="K240" s="26">
        <f ca="1"/>
        <v>3.4463702766484361</v>
      </c>
      <c r="L240" s="26">
        <f ca="1"/>
        <v>4.4552171063677477</v>
      </c>
      <c r="M240" s="6"/>
      <c r="N240" s="59" t="s">
        <v>132</v>
      </c>
    </row>
    <row r="241" spans="1:27" x14ac:dyDescent="0.2">
      <c r="A241" t="str">
        <v>EE Economic</v>
      </c>
      <c r="C241" s="26">
        <f ca="1"/>
        <v>-0.57010427210786307</v>
      </c>
      <c r="D241" s="26">
        <f ca="1"/>
        <v>-0.92237610130287973</v>
      </c>
      <c r="E241" s="26">
        <f ca="1"/>
        <v>-1.1743360788744273</v>
      </c>
      <c r="F241" s="26">
        <f ca="1"/>
        <v>-1.6642509383297144</v>
      </c>
      <c r="G241" s="26">
        <f ca="1"/>
        <v>-2.0913101946056223</v>
      </c>
      <c r="H241" s="26">
        <f ca="1"/>
        <v>-2.3701661655523676</v>
      </c>
      <c r="I241" s="26">
        <f ca="1"/>
        <v>-2.4844642209606693</v>
      </c>
      <c r="J241" s="26">
        <f ca="1"/>
        <v>-2.4012841523114226</v>
      </c>
      <c r="K241" s="26">
        <f ca="1"/>
        <v>-2.0186420061669264</v>
      </c>
      <c r="L241" s="26">
        <f ca="1"/>
        <v>-1.5603093460010209</v>
      </c>
      <c r="M241" s="6"/>
      <c r="N241" s="59" t="s">
        <v>132</v>
      </c>
    </row>
    <row r="242" spans="1:27" x14ac:dyDescent="0.2">
      <c r="A242" t="str">
        <v>CA Economic</v>
      </c>
      <c r="C242" s="26">
        <f ca="1"/>
        <v>0.35234058395303691</v>
      </c>
      <c r="D242" s="26">
        <f ca="1"/>
        <v>0.59010454325431061</v>
      </c>
      <c r="E242" s="26">
        <f ca="1"/>
        <v>0.83045850983708425</v>
      </c>
      <c r="F242" s="26">
        <f ca="1"/>
        <v>1.309446293168226</v>
      </c>
      <c r="G242" s="26">
        <f ca="1"/>
        <v>1.9215696820169548</v>
      </c>
      <c r="H242" s="26">
        <f ca="1"/>
        <v>2.6203497020557687</v>
      </c>
      <c r="I242" s="26">
        <f ca="1"/>
        <v>3.6825594403514406</v>
      </c>
      <c r="J242" s="26">
        <f ca="1"/>
        <v>4.7536149600139188</v>
      </c>
      <c r="K242" s="26">
        <f ca="1"/>
        <v>6.1421410983797493</v>
      </c>
      <c r="L242" s="26">
        <f ca="1"/>
        <v>7.3402788457095802</v>
      </c>
      <c r="M242" s="6"/>
      <c r="N242" s="59" t="s">
        <v>132</v>
      </c>
    </row>
    <row r="243" spans="1:27" x14ac:dyDescent="0.2">
      <c r="A243" t="str">
        <v>IA Economic</v>
      </c>
      <c r="C243" s="26">
        <f ca="1"/>
        <v>0.87366356534769318</v>
      </c>
      <c r="D243" s="26">
        <f ca="1"/>
        <v>1.3303095001334864</v>
      </c>
      <c r="E243" s="26">
        <f ca="1"/>
        <v>1.766508983820847</v>
      </c>
      <c r="F243" s="26">
        <f ca="1"/>
        <v>3.1517892535422365</v>
      </c>
      <c r="G243" s="26">
        <f ca="1"/>
        <v>4.5267352671989443</v>
      </c>
      <c r="H243" s="26">
        <f ca="1"/>
        <v>6.0700751856290092</v>
      </c>
      <c r="I243" s="26">
        <f ca="1"/>
        <v>8.0374413114580161</v>
      </c>
      <c r="J243" s="26">
        <f ca="1"/>
        <v>9.9515664607101257</v>
      </c>
      <c r="K243" s="26">
        <f ca="1"/>
        <v>12.068135094865362</v>
      </c>
      <c r="L243" s="26">
        <f ca="1"/>
        <v>13.902732684766184</v>
      </c>
      <c r="M243" s="6"/>
      <c r="N243" s="59" t="s">
        <v>132</v>
      </c>
    </row>
    <row r="244" spans="1:27" x14ac:dyDescent="0.2">
      <c r="A244" t="str">
        <v>AF Economic</v>
      </c>
      <c r="C244" s="26">
        <f ca="1"/>
        <v>0.38083563567001821</v>
      </c>
      <c r="D244" s="26">
        <f ca="1"/>
        <v>0.88949761846286446</v>
      </c>
      <c r="E244" s="26">
        <f ca="1"/>
        <v>1.2150948701906583</v>
      </c>
      <c r="F244" s="26">
        <f ca="1"/>
        <v>2.431105906711184</v>
      </c>
      <c r="G244" s="26">
        <f ca="1"/>
        <v>3.4994590366778988</v>
      </c>
      <c r="H244" s="26">
        <f ca="1"/>
        <v>4.9515442571953949</v>
      </c>
      <c r="I244" s="26">
        <f ca="1"/>
        <v>6.6209193205764798</v>
      </c>
      <c r="J244" s="26">
        <f ca="1"/>
        <v>8.3539009089139142</v>
      </c>
      <c r="K244" s="26">
        <f ca="1"/>
        <v>10.372215596714474</v>
      </c>
      <c r="L244" s="26">
        <f ca="1"/>
        <v>12.198776120638721</v>
      </c>
      <c r="M244" s="6"/>
      <c r="N244" s="59" t="s">
        <v>132</v>
      </c>
    </row>
    <row r="245" spans="1:27" x14ac:dyDescent="0.2">
      <c r="A245" t="str">
        <v>LA Economic</v>
      </c>
      <c r="C245" s="26">
        <f ca="1"/>
        <v>0.88015910731814584</v>
      </c>
      <c r="D245" s="26">
        <f ca="1"/>
        <v>1.0592009505366429</v>
      </c>
      <c r="E245" s="26">
        <f ca="1"/>
        <v>1.4537439532023355</v>
      </c>
      <c r="F245" s="26">
        <f ca="1"/>
        <v>2.6154632354206453</v>
      </c>
      <c r="G245" s="26">
        <f ca="1"/>
        <v>3.4913304988555049</v>
      </c>
      <c r="H245" s="26">
        <f ca="1"/>
        <v>4.7635991433924492</v>
      </c>
      <c r="I245" s="26">
        <f ca="1"/>
        <v>6.3255877520406063</v>
      </c>
      <c r="J245" s="26">
        <f ca="1"/>
        <v>7.978110655164028</v>
      </c>
      <c r="K245" s="26">
        <f ca="1"/>
        <v>9.5441700549221196</v>
      </c>
      <c r="L245" s="26">
        <f ca="1"/>
        <v>11.083363101586762</v>
      </c>
      <c r="M245" s="6"/>
      <c r="N245" s="59" t="s">
        <v>132</v>
      </c>
    </row>
    <row r="246" spans="1:27" s="2" customFormat="1" ht="14.25" x14ac:dyDescent="0.25">
      <c r="A246" s="2" t="s">
        <v>223</v>
      </c>
      <c r="C246" s="2" t="s">
        <v>234</v>
      </c>
    </row>
    <row r="247" spans="1:27" x14ac:dyDescent="0.2">
      <c r="A247" t="str">
        <f t="array" ref="A247:A254">R_CODE&amp;" "&amp;I_1_NAME</f>
        <v>EU Economic</v>
      </c>
      <c r="C247" s="29">
        <f t="array" ref="C247:L254" ca="1">IF(igdp_1_b&lt;ISATG,igdp_1_b,ISATG+(100-SAVE-ISATG)*((igdp_1_b-ISATG)/((100-SAVE-ISATG)+(igdp_1_b-ISATG))))</f>
        <v>-0.17320839833510071</v>
      </c>
      <c r="D247" s="29">
        <f ca="1"/>
        <v>-0.25313623435667676</v>
      </c>
      <c r="E247" s="29">
        <f ca="1"/>
        <v>-0.34591853149705809</v>
      </c>
      <c r="F247" s="29">
        <f ca="1"/>
        <v>-0.41571101548563139</v>
      </c>
      <c r="G247" s="29">
        <f ca="1"/>
        <v>-0.43711550074816419</v>
      </c>
      <c r="H247" s="29">
        <f ca="1"/>
        <v>-0.38253648242212446</v>
      </c>
      <c r="I247" s="29">
        <f ca="1"/>
        <v>-0.23027328214706433</v>
      </c>
      <c r="J247" s="29">
        <f ca="1"/>
        <v>1.0633909694657273E-2</v>
      </c>
      <c r="K247" s="29">
        <f ca="1"/>
        <v>0.45050500911699709</v>
      </c>
      <c r="L247" s="29">
        <f ca="1"/>
        <v>0.87050587296672033</v>
      </c>
      <c r="M247" s="6"/>
      <c r="N247" s="59" t="s">
        <v>132</v>
      </c>
      <c r="Q247" s="124" t="s">
        <v>711</v>
      </c>
    </row>
    <row r="248" spans="1:27" x14ac:dyDescent="0.2">
      <c r="A248" t="str">
        <v>US Economic</v>
      </c>
      <c r="C248" s="26">
        <f ca="1"/>
        <v>0.14113337709251716</v>
      </c>
      <c r="D248" s="26">
        <f ca="1"/>
        <v>0.21496399120781717</v>
      </c>
      <c r="E248" s="26">
        <f ca="1"/>
        <v>0.35897213008201367</v>
      </c>
      <c r="F248" s="26">
        <f ca="1"/>
        <v>0.69816013025372214</v>
      </c>
      <c r="G248" s="26">
        <f ca="1"/>
        <v>1.0405360853809831</v>
      </c>
      <c r="H248" s="26">
        <f ca="1"/>
        <v>1.630347201159954</v>
      </c>
      <c r="I248" s="26">
        <f ca="1"/>
        <v>2.3841769215828035</v>
      </c>
      <c r="J248" s="26">
        <f ca="1"/>
        <v>3.2717859260298576</v>
      </c>
      <c r="K248" s="26">
        <f ca="1"/>
        <v>4.2453502488600918</v>
      </c>
      <c r="L248" s="26">
        <f ca="1"/>
        <v>5.2512236842377602</v>
      </c>
      <c r="M248" s="6"/>
      <c r="N248" s="59" t="s">
        <v>132</v>
      </c>
    </row>
    <row r="249" spans="1:27" x14ac:dyDescent="0.2">
      <c r="A249" t="str">
        <v>OT Economic</v>
      </c>
      <c r="C249" s="26">
        <f ca="1"/>
        <v>2.7021858565423607E-2</v>
      </c>
      <c r="D249" s="26">
        <f ca="1"/>
        <v>4.3241011735628554E-2</v>
      </c>
      <c r="E249" s="26">
        <f ca="1"/>
        <v>0.11024494062175094</v>
      </c>
      <c r="F249" s="26">
        <f ca="1"/>
        <v>0.31498283975380792</v>
      </c>
      <c r="G249" s="26">
        <f ca="1"/>
        <v>0.57899498743686495</v>
      </c>
      <c r="H249" s="26">
        <f ca="1"/>
        <v>1.0199005265144501</v>
      </c>
      <c r="I249" s="26">
        <f ca="1"/>
        <v>1.6621213587205474</v>
      </c>
      <c r="J249" s="26">
        <f ca="1"/>
        <v>2.4460495256490633</v>
      </c>
      <c r="K249" s="26">
        <f ca="1"/>
        <v>3.4463702766484361</v>
      </c>
      <c r="L249" s="26">
        <f ca="1"/>
        <v>4.4552171063677477</v>
      </c>
      <c r="M249" s="6"/>
      <c r="N249" s="59" t="s">
        <v>132</v>
      </c>
    </row>
    <row r="250" spans="1:27" x14ac:dyDescent="0.2">
      <c r="A250" t="str">
        <v>EE Economic</v>
      </c>
      <c r="C250" s="26">
        <f ca="1"/>
        <v>-0.57010427210786307</v>
      </c>
      <c r="D250" s="26">
        <f ca="1"/>
        <v>-0.92237610130287973</v>
      </c>
      <c r="E250" s="26">
        <f ca="1"/>
        <v>-1.1743360788744273</v>
      </c>
      <c r="F250" s="26">
        <f ca="1"/>
        <v>-1.6642509383297144</v>
      </c>
      <c r="G250" s="26">
        <f ca="1"/>
        <v>-2.0913101946056223</v>
      </c>
      <c r="H250" s="26">
        <f ca="1"/>
        <v>-2.3701661655523676</v>
      </c>
      <c r="I250" s="26">
        <f ca="1"/>
        <v>-2.4844642209606693</v>
      </c>
      <c r="J250" s="26">
        <f ca="1"/>
        <v>-2.4012841523114226</v>
      </c>
      <c r="K250" s="26">
        <f ca="1"/>
        <v>-2.0186420061669264</v>
      </c>
      <c r="L250" s="26">
        <f ca="1"/>
        <v>-1.5603093460010209</v>
      </c>
      <c r="M250" s="6"/>
      <c r="N250" s="59" t="s">
        <v>132</v>
      </c>
    </row>
    <row r="251" spans="1:27" x14ac:dyDescent="0.2">
      <c r="A251" t="str">
        <v>CA Economic</v>
      </c>
      <c r="C251" s="26">
        <f ca="1"/>
        <v>0.35234058395303691</v>
      </c>
      <c r="D251" s="26">
        <f ca="1"/>
        <v>0.59010454325431061</v>
      </c>
      <c r="E251" s="26">
        <f ca="1"/>
        <v>0.83045850983708425</v>
      </c>
      <c r="F251" s="26">
        <f ca="1"/>
        <v>1.309446293168226</v>
      </c>
      <c r="G251" s="26">
        <f ca="1"/>
        <v>1.9215696820169548</v>
      </c>
      <c r="H251" s="26">
        <f ca="1"/>
        <v>2.6203497020557687</v>
      </c>
      <c r="I251" s="26">
        <f ca="1"/>
        <v>3.6825594403514406</v>
      </c>
      <c r="J251" s="26">
        <f ca="1"/>
        <v>4.7536149600139188</v>
      </c>
      <c r="K251" s="26">
        <f ca="1"/>
        <v>6.1421410983797493</v>
      </c>
      <c r="L251" s="26">
        <f ca="1"/>
        <v>7.3402788457095802</v>
      </c>
      <c r="M251" s="6"/>
      <c r="N251" s="59" t="s">
        <v>132</v>
      </c>
    </row>
    <row r="252" spans="1:27" x14ac:dyDescent="0.2">
      <c r="A252" t="str">
        <v>IA Economic</v>
      </c>
      <c r="C252" s="26">
        <f ca="1"/>
        <v>0.87366356534769318</v>
      </c>
      <c r="D252" s="26">
        <f ca="1"/>
        <v>1.3303095001334864</v>
      </c>
      <c r="E252" s="26">
        <f ca="1"/>
        <v>1.766508983820847</v>
      </c>
      <c r="F252" s="26">
        <f ca="1"/>
        <v>3.1517892535422365</v>
      </c>
      <c r="G252" s="26">
        <f ca="1"/>
        <v>4.5267352671989443</v>
      </c>
      <c r="H252" s="26">
        <f ca="1"/>
        <v>6.0700751856290092</v>
      </c>
      <c r="I252" s="26">
        <f ca="1"/>
        <v>8.0374413114580161</v>
      </c>
      <c r="J252" s="26">
        <f ca="1"/>
        <v>9.9515664607101257</v>
      </c>
      <c r="K252" s="26">
        <f ca="1"/>
        <v>12.068135094865362</v>
      </c>
      <c r="L252" s="26">
        <f ca="1"/>
        <v>13.902732684766184</v>
      </c>
      <c r="M252" s="6"/>
      <c r="N252" s="59" t="s">
        <v>132</v>
      </c>
    </row>
    <row r="253" spans="1:27" x14ac:dyDescent="0.2">
      <c r="A253" t="str">
        <v>AF Economic</v>
      </c>
      <c r="C253" s="26">
        <f ca="1"/>
        <v>0.38083563567001821</v>
      </c>
      <c r="D253" s="26">
        <f ca="1"/>
        <v>0.88949761846286446</v>
      </c>
      <c r="E253" s="26">
        <f ca="1"/>
        <v>1.2150948701906583</v>
      </c>
      <c r="F253" s="26">
        <f ca="1"/>
        <v>2.431105906711184</v>
      </c>
      <c r="G253" s="26">
        <f ca="1"/>
        <v>3.4994590366778988</v>
      </c>
      <c r="H253" s="26">
        <f ca="1"/>
        <v>4.9515442571953949</v>
      </c>
      <c r="I253" s="26">
        <f ca="1"/>
        <v>6.6209193205764798</v>
      </c>
      <c r="J253" s="26">
        <f ca="1"/>
        <v>8.3539009089139142</v>
      </c>
      <c r="K253" s="26">
        <f ca="1"/>
        <v>10.372215596714474</v>
      </c>
      <c r="L253" s="26">
        <f ca="1"/>
        <v>12.198776120638721</v>
      </c>
      <c r="M253" s="6"/>
      <c r="N253" s="59" t="s">
        <v>132</v>
      </c>
    </row>
    <row r="254" spans="1:27" x14ac:dyDescent="0.2">
      <c r="A254" t="str">
        <v>LA Economic</v>
      </c>
      <c r="C254" s="26">
        <f ca="1"/>
        <v>0.88015910731814584</v>
      </c>
      <c r="D254" s="26">
        <f ca="1"/>
        <v>1.0592009505366429</v>
      </c>
      <c r="E254" s="26">
        <f ca="1"/>
        <v>1.4537439532023355</v>
      </c>
      <c r="F254" s="26">
        <f ca="1"/>
        <v>2.6154632354206453</v>
      </c>
      <c r="G254" s="26">
        <f ca="1"/>
        <v>3.4913304988555049</v>
      </c>
      <c r="H254" s="26">
        <f ca="1"/>
        <v>4.7635991433924492</v>
      </c>
      <c r="I254" s="26">
        <f ca="1"/>
        <v>6.3255877520406063</v>
      </c>
      <c r="J254" s="26">
        <f ca="1"/>
        <v>7.978110655164028</v>
      </c>
      <c r="K254" s="26">
        <f ca="1"/>
        <v>9.5441700549221196</v>
      </c>
      <c r="L254" s="26">
        <f ca="1"/>
        <v>11.083363101586762</v>
      </c>
      <c r="M254" s="6"/>
      <c r="N254" s="59" t="s">
        <v>132</v>
      </c>
    </row>
    <row r="255" spans="1:27" ht="14.25" x14ac:dyDescent="0.25">
      <c r="A255" s="2" t="s">
        <v>708</v>
      </c>
      <c r="C255" s="2" t="s">
        <v>710</v>
      </c>
      <c r="D255" s="6"/>
      <c r="E255" s="6"/>
      <c r="F255" s="6"/>
      <c r="G255" s="6"/>
      <c r="H255" s="6"/>
      <c r="I255" s="6"/>
      <c r="J255" s="6"/>
      <c r="K255" s="6"/>
      <c r="L255" s="6"/>
      <c r="M255" s="6"/>
      <c r="N255" s="59"/>
      <c r="P255" s="2" t="s">
        <v>1121</v>
      </c>
      <c r="Q255" s="2">
        <v>3731.1295734726509</v>
      </c>
      <c r="R255" s="2">
        <v>2426.1527681994476</v>
      </c>
      <c r="S255" s="2">
        <v>3552.712571602302</v>
      </c>
      <c r="T255" s="2">
        <v>4514.9583109114074</v>
      </c>
      <c r="U255" s="2">
        <v>4315.3722470948551</v>
      </c>
      <c r="V255" s="2">
        <v>4118.4784203593954</v>
      </c>
      <c r="W255" s="2">
        <v>3890.9393108804293</v>
      </c>
      <c r="X255" s="2">
        <v>3637.6091360562946</v>
      </c>
      <c r="Y255" s="2">
        <v>3362.102877852833</v>
      </c>
      <c r="Z255" s="2">
        <v>1539.7101356993812</v>
      </c>
      <c r="AA255" s="2"/>
    </row>
    <row r="256" spans="1:27" x14ac:dyDescent="0.2">
      <c r="A256" t="str">
        <f t="array" ref="A256:A263">R_CODE&amp;" "&amp;I_1_NAME</f>
        <v>EU Economic</v>
      </c>
      <c r="C256" s="213">
        <f t="array" ref="C256:L263" ca="1" xml:space="preserve"> isat_1_b * (1 - (imp_1_b/100)*IF(i_1_b&lt;impmax_1_b, 1, impmax_1_b/i_1_b))</f>
        <v>-0.17320839833510071</v>
      </c>
      <c r="D256" s="213">
        <f ca="1"/>
        <v>-0.25313623435667676</v>
      </c>
      <c r="E256" s="213">
        <f ca="1"/>
        <v>-0.34591853149705809</v>
      </c>
      <c r="F256" s="213">
        <f ca="1"/>
        <v>-0.41571101548563139</v>
      </c>
      <c r="G256" s="213">
        <f ca="1"/>
        <v>-0.43711550074816419</v>
      </c>
      <c r="H256" s="213">
        <f ca="1"/>
        <v>-0.38253648242212446</v>
      </c>
      <c r="I256" s="213">
        <f ca="1"/>
        <v>-0.23027328214706433</v>
      </c>
      <c r="J256" s="213">
        <f ca="1"/>
        <v>1.0633909694657273E-2</v>
      </c>
      <c r="K256" s="213">
        <f ca="1"/>
        <v>0.45050500911699709</v>
      </c>
      <c r="L256" s="213">
        <f ca="1"/>
        <v>0.87050587296672033</v>
      </c>
      <c r="M256" s="6"/>
      <c r="N256" s="59" t="s">
        <v>132</v>
      </c>
      <c r="Q256">
        <v>2469.2933029868564</v>
      </c>
      <c r="R256">
        <v>1655.0206779588766</v>
      </c>
      <c r="S256">
        <v>2495.0510744882445</v>
      </c>
      <c r="T256">
        <v>3338.0788676695838</v>
      </c>
      <c r="U256">
        <v>3337.1775681398367</v>
      </c>
      <c r="V256">
        <v>3336.3701725041342</v>
      </c>
      <c r="W256">
        <v>3311.5332044327552</v>
      </c>
      <c r="X256">
        <v>3249.3916266154547</v>
      </c>
      <c r="Y256">
        <v>3138.1458516589769</v>
      </c>
      <c r="Z256">
        <v>1490.0974668620906</v>
      </c>
    </row>
    <row r="257" spans="1:27" x14ac:dyDescent="0.2">
      <c r="A257" t="str">
        <v>US Economic</v>
      </c>
      <c r="C257" s="213">
        <f ca="1"/>
        <v>0.14113337709251716</v>
      </c>
      <c r="D257" s="213">
        <f ca="1"/>
        <v>0.21496399120781717</v>
      </c>
      <c r="E257" s="213">
        <f ca="1"/>
        <v>0.35897213008201367</v>
      </c>
      <c r="F257" s="213">
        <f ca="1"/>
        <v>0.69816013025372214</v>
      </c>
      <c r="G257" s="213">
        <f ca="1"/>
        <v>1.0405360853809831</v>
      </c>
      <c r="H257" s="213">
        <f ca="1"/>
        <v>1.630347201159954</v>
      </c>
      <c r="I257" s="213">
        <f ca="1"/>
        <v>2.3841769215828035</v>
      </c>
      <c r="J257" s="213">
        <f ca="1"/>
        <v>3.2717859260298576</v>
      </c>
      <c r="K257" s="213">
        <f ca="1"/>
        <v>4.2453502488600918</v>
      </c>
      <c r="L257" s="213">
        <f ca="1"/>
        <v>5.2512236842377602</v>
      </c>
      <c r="M257" s="6"/>
      <c r="N257" s="59" t="s">
        <v>132</v>
      </c>
      <c r="Q257">
        <v>2239.1949630902322</v>
      </c>
      <c r="R257">
        <v>1458.611518686547</v>
      </c>
      <c r="S257">
        <v>2132.7627674158425</v>
      </c>
      <c r="T257">
        <v>2686.3510478224653</v>
      </c>
      <c r="U257">
        <v>2526.882548698853</v>
      </c>
      <c r="V257">
        <v>2364.3638056037162</v>
      </c>
      <c r="W257">
        <v>2180.9623948197591</v>
      </c>
      <c r="X257">
        <v>1984.7986693586015</v>
      </c>
      <c r="Y257">
        <v>1780.740276098659</v>
      </c>
      <c r="Z257">
        <v>789.37877466952784</v>
      </c>
    </row>
    <row r="258" spans="1:27" x14ac:dyDescent="0.2">
      <c r="A258" t="str">
        <v>OT Economic</v>
      </c>
      <c r="C258" s="213">
        <f ca="1"/>
        <v>2.7021858565423607E-2</v>
      </c>
      <c r="D258" s="213">
        <f ca="1"/>
        <v>4.3241011735628554E-2</v>
      </c>
      <c r="E258" s="213">
        <f ca="1"/>
        <v>0.11024494062175094</v>
      </c>
      <c r="F258" s="213">
        <f ca="1"/>
        <v>0.31498283975380792</v>
      </c>
      <c r="G258" s="213">
        <f ca="1"/>
        <v>0.57899498743686495</v>
      </c>
      <c r="H258" s="213">
        <f ca="1"/>
        <v>1.0199005265144501</v>
      </c>
      <c r="I258" s="213">
        <f ca="1"/>
        <v>1.6621213587205474</v>
      </c>
      <c r="J258" s="213">
        <f ca="1"/>
        <v>2.4460495256490633</v>
      </c>
      <c r="K258" s="213">
        <f ca="1"/>
        <v>3.4463702766484361</v>
      </c>
      <c r="L258" s="213">
        <f ca="1"/>
        <v>4.4552171063677477</v>
      </c>
      <c r="M258" s="6"/>
      <c r="N258" s="59" t="s">
        <v>132</v>
      </c>
      <c r="Q258">
        <v>1990.317156230715</v>
      </c>
      <c r="R258">
        <v>1255.0019685057825</v>
      </c>
      <c r="S258">
        <v>1776.3370011275188</v>
      </c>
      <c r="T258">
        <v>2107.5048846850432</v>
      </c>
      <c r="U258">
        <v>1853.4416966818851</v>
      </c>
      <c r="V258">
        <v>1607.9006187189816</v>
      </c>
      <c r="W258">
        <v>1375.7159618222977</v>
      </c>
      <c r="X258">
        <v>1154.6923183604661</v>
      </c>
      <c r="Y258">
        <v>953.15988237658837</v>
      </c>
      <c r="Z258">
        <v>388.4312004223346</v>
      </c>
    </row>
    <row r="259" spans="1:27" x14ac:dyDescent="0.2">
      <c r="A259" t="str">
        <v>EE Economic</v>
      </c>
      <c r="C259" s="213">
        <f ca="1"/>
        <v>-0.57010427210786307</v>
      </c>
      <c r="D259" s="213">
        <f ca="1"/>
        <v>-0.92237610130287973</v>
      </c>
      <c r="E259" s="213">
        <f ca="1"/>
        <v>-1.1743360788744273</v>
      </c>
      <c r="F259" s="213">
        <f ca="1"/>
        <v>-1.6642509383297144</v>
      </c>
      <c r="G259" s="213">
        <f ca="1"/>
        <v>-2.0913101946056223</v>
      </c>
      <c r="H259" s="213">
        <f ca="1"/>
        <v>-2.3701661655523676</v>
      </c>
      <c r="I259" s="213">
        <f ca="1"/>
        <v>-2.4844642209606693</v>
      </c>
      <c r="J259" s="213">
        <f ca="1"/>
        <v>-2.4012841523114226</v>
      </c>
      <c r="K259" s="213">
        <f ca="1"/>
        <v>-2.0186420061669264</v>
      </c>
      <c r="L259" s="213">
        <f ca="1"/>
        <v>-1.5603093460010209</v>
      </c>
      <c r="M259" s="6"/>
      <c r="N259" s="59" t="s">
        <v>132</v>
      </c>
      <c r="Q259">
        <v>9826.6054363394578</v>
      </c>
      <c r="R259">
        <v>6223.010026983422</v>
      </c>
      <c r="S259">
        <v>8797.1859940073919</v>
      </c>
      <c r="T259">
        <v>10200.988114705027</v>
      </c>
      <c r="U259">
        <v>8622.3638162845327</v>
      </c>
      <c r="V259">
        <v>7109.1345337649564</v>
      </c>
      <c r="W259">
        <v>5744.3559674504895</v>
      </c>
      <c r="X259">
        <v>4571.4493052692469</v>
      </c>
      <c r="Y259">
        <v>3571.443654170133</v>
      </c>
      <c r="Z259">
        <v>1362.5965597765826</v>
      </c>
    </row>
    <row r="260" spans="1:27" x14ac:dyDescent="0.2">
      <c r="A260" t="str">
        <v>CA Economic</v>
      </c>
      <c r="C260" s="213">
        <f ca="1"/>
        <v>0.35234058395303691</v>
      </c>
      <c r="D260" s="213">
        <f ca="1"/>
        <v>0.59010454325431061</v>
      </c>
      <c r="E260" s="213">
        <f ca="1"/>
        <v>0.83045850983708425</v>
      </c>
      <c r="F260" s="213">
        <f ca="1"/>
        <v>1.309446293168226</v>
      </c>
      <c r="G260" s="213">
        <f ca="1"/>
        <v>1.9215696820169548</v>
      </c>
      <c r="H260" s="213">
        <f ca="1"/>
        <v>2.6203497020557687</v>
      </c>
      <c r="I260" s="213">
        <f ca="1"/>
        <v>3.6825594403514406</v>
      </c>
      <c r="J260" s="213">
        <f ca="1"/>
        <v>4.7536149600139188</v>
      </c>
      <c r="K260" s="213">
        <f ca="1"/>
        <v>6.1421410983797493</v>
      </c>
      <c r="L260" s="213">
        <f ca="1"/>
        <v>7.3402788457095802</v>
      </c>
      <c r="M260" s="6"/>
      <c r="N260" s="59" t="s">
        <v>132</v>
      </c>
      <c r="Q260">
        <v>18213.058718904904</v>
      </c>
      <c r="R260">
        <v>11967.541445836696</v>
      </c>
      <c r="S260">
        <v>17536.514753006963</v>
      </c>
      <c r="T260">
        <v>21898.528817911159</v>
      </c>
      <c r="U260">
        <v>19957.806374893</v>
      </c>
      <c r="V260">
        <v>17722.134921825822</v>
      </c>
      <c r="W260">
        <v>15370.743074317586</v>
      </c>
      <c r="X260">
        <v>13033.203860891063</v>
      </c>
      <c r="Y260">
        <v>10816.33018475015</v>
      </c>
      <c r="Z260">
        <v>4405.1730338676207</v>
      </c>
    </row>
    <row r="261" spans="1:27" x14ac:dyDescent="0.2">
      <c r="A261" t="str">
        <v>IA Economic</v>
      </c>
      <c r="C261" s="213">
        <f ca="1"/>
        <v>0.87366356534769318</v>
      </c>
      <c r="D261" s="213">
        <f ca="1"/>
        <v>1.3303095001334864</v>
      </c>
      <c r="E261" s="213">
        <f ca="1"/>
        <v>1.766508983820847</v>
      </c>
      <c r="F261" s="213">
        <f ca="1"/>
        <v>3.1517892535422365</v>
      </c>
      <c r="G261" s="213">
        <f ca="1"/>
        <v>4.5267352671989443</v>
      </c>
      <c r="H261" s="213">
        <f ca="1"/>
        <v>6.0700751856290092</v>
      </c>
      <c r="I261" s="213">
        <f ca="1"/>
        <v>8.0374413114580161</v>
      </c>
      <c r="J261" s="213">
        <f ca="1"/>
        <v>9.9515664607101257</v>
      </c>
      <c r="K261" s="213">
        <f ca="1"/>
        <v>12.068135094865362</v>
      </c>
      <c r="L261" s="213">
        <f ca="1"/>
        <v>13.902732684766184</v>
      </c>
      <c r="M261" s="6"/>
      <c r="N261" s="59" t="s">
        <v>132</v>
      </c>
      <c r="Q261">
        <v>10650.070101781928</v>
      </c>
      <c r="R261">
        <v>7291.2597514671843</v>
      </c>
      <c r="S261">
        <v>11105.082525010837</v>
      </c>
      <c r="T261">
        <v>14933.384950664169</v>
      </c>
      <c r="U261">
        <v>14551.211946454265</v>
      </c>
      <c r="V261">
        <v>13755.584441237686</v>
      </c>
      <c r="W261">
        <v>12707.401490362032</v>
      </c>
      <c r="X261">
        <v>11491.670418254376</v>
      </c>
      <c r="Y261">
        <v>10195.532723616994</v>
      </c>
      <c r="Z261">
        <v>4445.146968010511</v>
      </c>
    </row>
    <row r="262" spans="1:27" x14ac:dyDescent="0.2">
      <c r="A262" t="str">
        <v>AF Economic</v>
      </c>
      <c r="C262" s="213">
        <f ca="1"/>
        <v>0.38083563567001821</v>
      </c>
      <c r="D262" s="213">
        <f ca="1"/>
        <v>0.88949761846286446</v>
      </c>
      <c r="E262" s="213">
        <f ca="1"/>
        <v>1.2150948701906583</v>
      </c>
      <c r="F262" s="213">
        <f ca="1"/>
        <v>2.431105906711184</v>
      </c>
      <c r="G262" s="213">
        <f ca="1"/>
        <v>3.4994590366778988</v>
      </c>
      <c r="H262" s="213">
        <f ca="1"/>
        <v>4.9515442571953949</v>
      </c>
      <c r="I262" s="213">
        <f ca="1"/>
        <v>6.6209193205764798</v>
      </c>
      <c r="J262" s="213">
        <f ca="1"/>
        <v>8.3539009089139142</v>
      </c>
      <c r="K262" s="213">
        <f ca="1"/>
        <v>10.372215596714474</v>
      </c>
      <c r="L262" s="213">
        <f ca="1"/>
        <v>12.198776120638721</v>
      </c>
      <c r="M262" s="6"/>
      <c r="N262" s="59" t="s">
        <v>132</v>
      </c>
      <c r="Q262">
        <v>4501.7502722242107</v>
      </c>
      <c r="R262">
        <v>2916.6207490358252</v>
      </c>
      <c r="S262">
        <v>4215.9221401383056</v>
      </c>
      <c r="T262">
        <v>5122.2294028727401</v>
      </c>
      <c r="U262">
        <v>4547.7319500302301</v>
      </c>
      <c r="V262">
        <v>3945.426203751409</v>
      </c>
      <c r="W262">
        <v>3367.2888133269007</v>
      </c>
      <c r="X262">
        <v>2833.0082017673776</v>
      </c>
      <c r="Y262">
        <v>2338.562977083353</v>
      </c>
      <c r="Z262">
        <v>941.97398876251941</v>
      </c>
    </row>
    <row r="263" spans="1:27" x14ac:dyDescent="0.2">
      <c r="A263" t="str">
        <v>LA Economic</v>
      </c>
      <c r="C263" s="213">
        <f ca="1"/>
        <v>0.88015910731814584</v>
      </c>
      <c r="D263" s="213">
        <f ca="1"/>
        <v>1.0592009505366429</v>
      </c>
      <c r="E263" s="213">
        <f ca="1"/>
        <v>1.4537439532023355</v>
      </c>
      <c r="F263" s="213">
        <f ca="1"/>
        <v>2.6154632354206453</v>
      </c>
      <c r="G263" s="213">
        <f ca="1"/>
        <v>3.4913304988555049</v>
      </c>
      <c r="H263" s="213">
        <f ca="1"/>
        <v>4.7635991433924492</v>
      </c>
      <c r="I263" s="213">
        <f ca="1"/>
        <v>6.3255877520406063</v>
      </c>
      <c r="J263" s="213">
        <f ca="1"/>
        <v>7.978110655164028</v>
      </c>
      <c r="K263" s="213">
        <f ca="1"/>
        <v>9.5441700549221196</v>
      </c>
      <c r="L263" s="213">
        <f ca="1"/>
        <v>11.083363101586762</v>
      </c>
      <c r="M263" s="6"/>
      <c r="N263" s="59" t="s">
        <v>132</v>
      </c>
    </row>
    <row r="264" spans="1:27" s="2" customFormat="1" ht="14.25" x14ac:dyDescent="0.25">
      <c r="A264" s="2" t="s">
        <v>709</v>
      </c>
      <c r="C264" s="2" t="s">
        <v>716</v>
      </c>
    </row>
    <row r="265" spans="1:27" ht="14.25" x14ac:dyDescent="0.2">
      <c r="A265" t="str">
        <f t="array" ref="A265:A272">R_CODE&amp;" "&amp;I_1_NAME</f>
        <v>EU Economic</v>
      </c>
      <c r="C265" s="29">
        <f t="array" ref="C265:L272" ca="1">(isatad_1_b/100)*rgdp_s_per_cap_b</f>
        <v>-68.769200964232709</v>
      </c>
      <c r="D265" s="29">
        <f ca="1"/>
        <v>-112.38860135107711</v>
      </c>
      <c r="E265" s="29">
        <f ca="1"/>
        <v>-172.00703113653014</v>
      </c>
      <c r="F265" s="29">
        <f ca="1"/>
        <v>-257.35531132322785</v>
      </c>
      <c r="G265" s="29">
        <f ca="1"/>
        <v>-327.55068016598364</v>
      </c>
      <c r="H265" s="29">
        <f ca="1"/>
        <v>-342.13660077205407</v>
      </c>
      <c r="I265" s="29">
        <f ca="1"/>
        <v>-247.29853122596381</v>
      </c>
      <c r="J265" s="29">
        <f ca="1"/>
        <v>13.619049166814555</v>
      </c>
      <c r="K265" s="29">
        <f ca="1"/>
        <v>687.60438816020746</v>
      </c>
      <c r="L265" s="29">
        <f ca="1"/>
        <v>1586.3914197080969</v>
      </c>
      <c r="M265" s="6"/>
      <c r="N265" s="1" t="str">
        <f t="shared" ref="N265:N272" si="17">CURRENCY_NAME&amp;"/"&amp;POP_UNIT_NAME</f>
        <v>$M(2015)/million</v>
      </c>
      <c r="O265" s="1"/>
      <c r="Q265">
        <f ca="1">C265*Q255</f>
        <v>-256586.79946173259</v>
      </c>
      <c r="R265">
        <f t="shared" ref="R265:R272" ca="1" si="18">D265*R255</f>
        <v>-272671.91628197994</v>
      </c>
      <c r="S265">
        <f t="shared" ref="S265:S272" ca="1" si="19">E265*S255</f>
        <v>-611091.54192273924</v>
      </c>
      <c r="T265">
        <f t="shared" ref="T265:T272" ca="1" si="20">F265*T255</f>
        <v>-1161948.5017160003</v>
      </c>
      <c r="U265">
        <f t="shared" ref="U265:U272" ca="1" si="21">G265*U255</f>
        <v>-1413503.1147053291</v>
      </c>
      <c r="V265">
        <f t="shared" ref="V265:V272" ca="1" si="22">H265*V255</f>
        <v>-1409082.2070948223</v>
      </c>
      <c r="W265">
        <f t="shared" ref="W265:W272" ca="1" si="23">I265*W255</f>
        <v>-962223.57667009393</v>
      </c>
      <c r="X265">
        <f t="shared" ref="X265:X272" ca="1" si="24">J265*X255</f>
        <v>49540.777673604491</v>
      </c>
      <c r="Y265">
        <f t="shared" ref="Y265:Y272" ca="1" si="25">K265*Y255</f>
        <v>2311796.6922576698</v>
      </c>
      <c r="Z265">
        <f t="shared" ref="Z265:Z272" ca="1" si="26">L265*Z255</f>
        <v>2442582.948111088</v>
      </c>
      <c r="AA265" s="330">
        <f ca="1">SUM(Q265:Z265)</f>
        <v>-1283187.2398103336</v>
      </c>
    </row>
    <row r="266" spans="1:27" ht="14.25" x14ac:dyDescent="0.2">
      <c r="A266" t="str">
        <v>US Economic</v>
      </c>
      <c r="C266" s="26">
        <f ca="1"/>
        <v>79.651505266783815</v>
      </c>
      <c r="D266" s="26">
        <f ca="1"/>
        <v>131.69468887003444</v>
      </c>
      <c r="E266" s="26">
        <f ca="1"/>
        <v>238.81531696919498</v>
      </c>
      <c r="F266" s="26">
        <f ca="1"/>
        <v>547.96698198021454</v>
      </c>
      <c r="G266" s="26">
        <f ca="1"/>
        <v>947.02344548400276</v>
      </c>
      <c r="H266" s="26">
        <f ca="1"/>
        <v>1699.9523705862573</v>
      </c>
      <c r="I266" s="26">
        <f ca="1"/>
        <v>2871.7082057313155</v>
      </c>
      <c r="J266" s="26">
        <f ca="1"/>
        <v>4570.4540812915375</v>
      </c>
      <c r="K266" s="26">
        <f ca="1"/>
        <v>6910.6257426898756</v>
      </c>
      <c r="L266" s="26">
        <f ca="1"/>
        <v>10011.812323068487</v>
      </c>
      <c r="M266" s="6"/>
      <c r="N266" s="1" t="str">
        <f t="shared" si="17"/>
        <v>$M(2015)/million</v>
      </c>
      <c r="O266" s="1"/>
      <c r="Q266">
        <f ca="1">C266*Q256</f>
        <v>196682.92852809158</v>
      </c>
      <c r="R266">
        <f t="shared" ca="1" si="18"/>
        <v>217957.43325726772</v>
      </c>
      <c r="S266">
        <f t="shared" ca="1" si="19"/>
        <v>595856.41320824064</v>
      </c>
      <c r="T266">
        <f t="shared" ca="1" si="20"/>
        <v>1829157.0027288338</v>
      </c>
      <c r="U266">
        <f t="shared" ca="1" si="21"/>
        <v>3160385.3987717135</v>
      </c>
      <c r="V266">
        <f t="shared" ca="1" si="22"/>
        <v>5671670.3839016827</v>
      </c>
      <c r="W266">
        <f t="shared" ca="1" si="23"/>
        <v>9509757.0767212603</v>
      </c>
      <c r="X266">
        <f t="shared" ca="1" si="24"/>
        <v>14851195.221579153</v>
      </c>
      <c r="Y266">
        <f t="shared" ca="1" si="25"/>
        <v>21686551.506789967</v>
      </c>
      <c r="Z266">
        <f t="shared" ca="1" si="26"/>
        <v>14918576.181303015</v>
      </c>
      <c r="AA266" s="330">
        <f ca="1">SUM(Q266:Z266)</f>
        <v>72637789.546789214</v>
      </c>
    </row>
    <row r="267" spans="1:27" ht="14.25" x14ac:dyDescent="0.2">
      <c r="A267" t="str">
        <v>OT Economic</v>
      </c>
      <c r="C267" s="26">
        <f ca="1"/>
        <v>9.9022071574068402</v>
      </c>
      <c r="D267" s="26">
        <f ca="1"/>
        <v>17.603131354200261</v>
      </c>
      <c r="E267" s="26">
        <f ca="1"/>
        <v>50.238239050797119</v>
      </c>
      <c r="F267" s="26">
        <f ca="1"/>
        <v>179.61850276039888</v>
      </c>
      <c r="G267" s="26">
        <f ca="1"/>
        <v>405.07482315855657</v>
      </c>
      <c r="H267" s="26">
        <f ca="1"/>
        <v>864.46112389366999</v>
      </c>
      <c r="I267" s="26">
        <f ca="1"/>
        <v>1710.9363856055902</v>
      </c>
      <c r="J267" s="26">
        <f ca="1"/>
        <v>3030.703226758048</v>
      </c>
      <c r="K267" s="26">
        <f ca="1"/>
        <v>5122.9305218217451</v>
      </c>
      <c r="L267" s="26">
        <f ca="1"/>
        <v>7944.3644236473629</v>
      </c>
      <c r="M267" s="6"/>
      <c r="N267" s="1" t="str">
        <f t="shared" si="17"/>
        <v>$M(2015)/million</v>
      </c>
      <c r="O267" s="1"/>
      <c r="Q267">
        <f t="shared" ref="Q267:Q272" ca="1" si="27">C267*Q257</f>
        <v>22172.972390341441</v>
      </c>
      <c r="R267">
        <f t="shared" ca="1" si="18"/>
        <v>25676.130158188815</v>
      </c>
      <c r="S267">
        <f t="shared" ca="1" si="19"/>
        <v>107146.24574807672</v>
      </c>
      <c r="T267">
        <f t="shared" ca="1" si="20"/>
        <v>482518.35309869988</v>
      </c>
      <c r="U267">
        <f t="shared" ca="1" si="21"/>
        <v>1023576.5015566306</v>
      </c>
      <c r="V267">
        <f t="shared" ca="1" si="22"/>
        <v>2043900.5926857032</v>
      </c>
      <c r="W267">
        <f t="shared" ca="1" si="23"/>
        <v>3731487.9169346308</v>
      </c>
      <c r="X267">
        <f t="shared" ca="1" si="24"/>
        <v>6015335.7316901935</v>
      </c>
      <c r="Y267">
        <f t="shared" ca="1" si="25"/>
        <v>9122608.7118631024</v>
      </c>
      <c r="Z267">
        <f t="shared" ca="1" si="26"/>
        <v>6271112.6542669451</v>
      </c>
      <c r="AA267" s="331">
        <f t="shared" ref="AA267:AA273" ca="1" si="28">SUM(Q267:Z267)</f>
        <v>28845535.810392514</v>
      </c>
    </row>
    <row r="268" spans="1:27" ht="14.25" x14ac:dyDescent="0.2">
      <c r="A268" t="str">
        <v>EE Economic</v>
      </c>
      <c r="C268" s="26">
        <f ca="1"/>
        <v>-106.00448488005631</v>
      </c>
      <c r="D268" s="26">
        <f ca="1"/>
        <v>-210.15421855192676</v>
      </c>
      <c r="E268" s="26">
        <f ca="1"/>
        <v>-326.33639271089157</v>
      </c>
      <c r="F268" s="26">
        <f ca="1"/>
        <v>-645.24523081340408</v>
      </c>
      <c r="G268" s="26">
        <f ca="1"/>
        <v>-1033.2195882713459</v>
      </c>
      <c r="H268" s="26">
        <f ca="1"/>
        <v>-1454.4365573338446</v>
      </c>
      <c r="I268" s="26">
        <f ca="1"/>
        <v>-1902.0020289504973</v>
      </c>
      <c r="J268" s="26">
        <f ca="1"/>
        <v>-2236.996501216769</v>
      </c>
      <c r="K268" s="26">
        <f ca="1"/>
        <v>-2305.5149952634379</v>
      </c>
      <c r="L268" s="26">
        <f ca="1"/>
        <v>-2185.6951425662064</v>
      </c>
      <c r="M268" s="6"/>
      <c r="N268" s="1" t="str">
        <f t="shared" si="17"/>
        <v>$M(2015)/million</v>
      </c>
      <c r="O268" s="1"/>
      <c r="Q268">
        <f t="shared" ca="1" si="27"/>
        <v>-210982.54489417549</v>
      </c>
      <c r="R268">
        <f t="shared" ca="1" si="18"/>
        <v>-263743.95797246252</v>
      </c>
      <c r="S268">
        <f t="shared" ca="1" si="19"/>
        <v>-579683.40918683738</v>
      </c>
      <c r="T268">
        <f t="shared" ca="1" si="20"/>
        <v>-1359857.4757589772</v>
      </c>
      <c r="U268">
        <f t="shared" ca="1" si="21"/>
        <v>-1915012.2667306021</v>
      </c>
      <c r="V268">
        <f t="shared" ca="1" si="22"/>
        <v>-2338589.4404245941</v>
      </c>
      <c r="W268">
        <f t="shared" ca="1" si="23"/>
        <v>-2616614.550645595</v>
      </c>
      <c r="X268">
        <f t="shared" ca="1" si="24"/>
        <v>-2583042.6761542424</v>
      </c>
      <c r="Y268">
        <f t="shared" ca="1" si="25"/>
        <v>-2197524.4017027593</v>
      </c>
      <c r="Z268">
        <f t="shared" ca="1" si="26"/>
        <v>-848992.18798425735</v>
      </c>
      <c r="AA268" s="331">
        <f t="shared" ca="1" si="28"/>
        <v>-14914042.911454504</v>
      </c>
    </row>
    <row r="269" spans="1:27" ht="14.25" x14ac:dyDescent="0.2">
      <c r="A269" t="str">
        <v>CA Economic</v>
      </c>
      <c r="C269" s="26">
        <f ca="1"/>
        <v>68.774173257536006</v>
      </c>
      <c r="D269" s="26">
        <f ca="1"/>
        <v>158.11969284219501</v>
      </c>
      <c r="E269" s="26">
        <f ca="1"/>
        <v>290.955415180861</v>
      </c>
      <c r="F269" s="26">
        <f ca="1"/>
        <v>681.51982776217631</v>
      </c>
      <c r="G269" s="26">
        <f ca="1"/>
        <v>1319.3747960272021</v>
      </c>
      <c r="H269" s="26">
        <f ca="1"/>
        <v>2207.246131408996</v>
      </c>
      <c r="I269" s="26">
        <f ca="1"/>
        <v>3718.3133608843173</v>
      </c>
      <c r="J269" s="26">
        <f ca="1"/>
        <v>5653.3850589621898</v>
      </c>
      <c r="K269" s="26">
        <f ca="1"/>
        <v>8605.8968220586612</v>
      </c>
      <c r="L269" s="26">
        <f ca="1"/>
        <v>12110.852296431214</v>
      </c>
      <c r="M269" s="6"/>
      <c r="N269" s="1" t="str">
        <f t="shared" si="17"/>
        <v>$M(2015)/million</v>
      </c>
      <c r="O269" s="1"/>
      <c r="Q269">
        <f t="shared" ca="1" si="27"/>
        <v>675816.66481225507</v>
      </c>
      <c r="R269">
        <f t="shared" ca="1" si="18"/>
        <v>983980.43402051833</v>
      </c>
      <c r="S269">
        <f t="shared" ca="1" si="19"/>
        <v>2559588.9033096759</v>
      </c>
      <c r="T269">
        <f t="shared" ca="1" si="20"/>
        <v>6952175.662937778</v>
      </c>
      <c r="U269">
        <f t="shared" ca="1" si="21"/>
        <v>11376129.501382733</v>
      </c>
      <c r="V269">
        <f t="shared" ca="1" si="22"/>
        <v>15691609.697318796</v>
      </c>
      <c r="W269">
        <f t="shared" ca="1" si="23"/>
        <v>21359315.543446712</v>
      </c>
      <c r="X269">
        <f t="shared" ca="1" si="24"/>
        <v>25844163.200212244</v>
      </c>
      <c r="Y269">
        <f t="shared" ca="1" si="25"/>
        <v>30735475.593584318</v>
      </c>
      <c r="Z269">
        <f t="shared" ca="1" si="26"/>
        <v>16502205.675079497</v>
      </c>
      <c r="AA269" s="331">
        <f t="shared" ca="1" si="28"/>
        <v>132680460.87610452</v>
      </c>
    </row>
    <row r="270" spans="1:27" ht="14.25" x14ac:dyDescent="0.2">
      <c r="A270" t="str">
        <v>IA Economic</v>
      </c>
      <c r="C270" s="26">
        <f ca="1"/>
        <v>69.97994157559107</v>
      </c>
      <c r="D270" s="26">
        <f ca="1"/>
        <v>141.4654485490255</v>
      </c>
      <c r="E270" s="26">
        <f ca="1"/>
        <v>245.79258324882076</v>
      </c>
      <c r="F270" s="26">
        <f ca="1"/>
        <v>701.95183412853225</v>
      </c>
      <c r="G270" s="26">
        <f ca="1"/>
        <v>1485.3509963447045</v>
      </c>
      <c r="H270" s="26">
        <f ca="1"/>
        <v>2759.2719717833197</v>
      </c>
      <c r="I270" s="26">
        <f ca="1"/>
        <v>4876.997807678581</v>
      </c>
      <c r="J270" s="26">
        <f ca="1"/>
        <v>7862.390488588926</v>
      </c>
      <c r="K270" s="26">
        <f ca="1"/>
        <v>12304.069870260921</v>
      </c>
      <c r="L270" s="26">
        <f ca="1"/>
        <v>18083.599792837394</v>
      </c>
      <c r="M270" s="6"/>
      <c r="N270" s="1" t="str">
        <f t="shared" si="17"/>
        <v>$M(2015)/million</v>
      </c>
      <c r="O270" s="1"/>
      <c r="Q270">
        <f t="shared" ca="1" si="27"/>
        <v>1274548.7850617748</v>
      </c>
      <c r="R270">
        <f t="shared" ca="1" si="18"/>
        <v>1692993.6186643413</v>
      </c>
      <c r="S270">
        <f t="shared" ca="1" si="19"/>
        <v>4310345.2623226373</v>
      </c>
      <c r="T270">
        <f t="shared" ca="1" si="20"/>
        <v>15371712.468449257</v>
      </c>
      <c r="U270">
        <f t="shared" ca="1" si="21"/>
        <v>29644347.583802015</v>
      </c>
      <c r="V270">
        <f t="shared" ca="1" si="22"/>
        <v>48900190.169956364</v>
      </c>
      <c r="W270">
        <f t="shared" ca="1" si="23"/>
        <v>74963080.2758376</v>
      </c>
      <c r="X270">
        <f t="shared" ca="1" si="24"/>
        <v>102472138.07171036</v>
      </c>
      <c r="Y270">
        <f t="shared" ca="1" si="25"/>
        <v>133084882.33297805</v>
      </c>
      <c r="Z270">
        <f t="shared" ca="1" si="26"/>
        <v>79661386.162661389</v>
      </c>
      <c r="AA270" s="331">
        <f t="shared" ca="1" si="28"/>
        <v>491375624.73144382</v>
      </c>
    </row>
    <row r="271" spans="1:27" ht="14.25" x14ac:dyDescent="0.2">
      <c r="A271" t="str">
        <v>AF Economic</v>
      </c>
      <c r="C271" s="26">
        <f ca="1"/>
        <v>23.83187935468321</v>
      </c>
      <c r="D271" s="26">
        <f ca="1"/>
        <v>67.168457850345618</v>
      </c>
      <c r="E271" s="26">
        <f ca="1"/>
        <v>113.17870370897286</v>
      </c>
      <c r="F271" s="26">
        <f ca="1"/>
        <v>347.63724018192613</v>
      </c>
      <c r="G271" s="26">
        <f ca="1"/>
        <v>746.3189569519426</v>
      </c>
      <c r="H271" s="26">
        <f ca="1"/>
        <v>1529.4010652240747</v>
      </c>
      <c r="I271" s="26">
        <f ca="1"/>
        <v>2884.585683037571</v>
      </c>
      <c r="J271" s="26">
        <f ca="1"/>
        <v>4999.6641999530884</v>
      </c>
      <c r="K271" s="26">
        <f ca="1"/>
        <v>8462.305907194519</v>
      </c>
      <c r="L271" s="26">
        <f ca="1"/>
        <v>13426.420306455069</v>
      </c>
      <c r="M271" s="6"/>
      <c r="N271" s="1" t="str">
        <f t="shared" si="17"/>
        <v>$M(2015)/million</v>
      </c>
      <c r="O271" s="1"/>
      <c r="Q271">
        <f t="shared" ca="1" si="27"/>
        <v>253811.18578458566</v>
      </c>
      <c r="R271">
        <f t="shared" ca="1" si="18"/>
        <v>489742.67329234502</v>
      </c>
      <c r="S271">
        <f t="shared" ca="1" si="19"/>
        <v>1256858.8447618939</v>
      </c>
      <c r="T271">
        <f t="shared" ca="1" si="20"/>
        <v>5191400.7308232011</v>
      </c>
      <c r="U271">
        <f t="shared" ca="1" si="21"/>
        <v>10859845.322264394</v>
      </c>
      <c r="V271">
        <f t="shared" ca="1" si="22"/>
        <v>21037805.497208625</v>
      </c>
      <c r="W271">
        <f t="shared" ca="1" si="23"/>
        <v>36655588.407708608</v>
      </c>
      <c r="X271">
        <f t="shared" ca="1" si="24"/>
        <v>57454493.187806338</v>
      </c>
      <c r="Y271">
        <f t="shared" ca="1" si="25"/>
        <v>86277716.794059113</v>
      </c>
      <c r="Z271">
        <f t="shared" ca="1" si="26"/>
        <v>59682411.516473509</v>
      </c>
      <c r="AA271" s="331">
        <f t="shared" ca="1" si="28"/>
        <v>279159674.16018265</v>
      </c>
    </row>
    <row r="272" spans="1:27" ht="14.25" x14ac:dyDescent="0.2">
      <c r="A272" t="str">
        <v>LA Economic</v>
      </c>
      <c r="C272" s="26">
        <f ca="1"/>
        <v>132.53727847162202</v>
      </c>
      <c r="D272" s="26">
        <f ca="1"/>
        <v>188.00127176788718</v>
      </c>
      <c r="E272" s="26">
        <f ca="1"/>
        <v>307.14681248718995</v>
      </c>
      <c r="F272" s="26">
        <f ca="1"/>
        <v>793.07916346821378</v>
      </c>
      <c r="G272" s="26">
        <f ca="1"/>
        <v>1479.4284958119629</v>
      </c>
      <c r="H272" s="26">
        <f ca="1"/>
        <v>2691.7488909515591</v>
      </c>
      <c r="I272" s="26">
        <f ca="1"/>
        <v>4606.0182709076398</v>
      </c>
      <c r="J272" s="26">
        <f ca="1"/>
        <v>7352.2894341499114</v>
      </c>
      <c r="K272" s="26">
        <f ca="1"/>
        <v>11077.499789226293</v>
      </c>
      <c r="L272" s="26">
        <f ca="1"/>
        <v>16123.956631536956</v>
      </c>
      <c r="M272" s="6"/>
      <c r="N272" s="1" t="str">
        <f t="shared" si="17"/>
        <v>$M(2015)/million</v>
      </c>
      <c r="O272" s="1"/>
      <c r="Q272">
        <f t="shared" ca="1" si="27"/>
        <v>596649.72943948046</v>
      </c>
      <c r="R272">
        <f t="shared" ca="1" si="18"/>
        <v>548328.41008334281</v>
      </c>
      <c r="S272">
        <f t="shared" ca="1" si="19"/>
        <v>1294907.0470376527</v>
      </c>
      <c r="T272">
        <f t="shared" ca="1" si="20"/>
        <v>4062333.4099226007</v>
      </c>
      <c r="U272">
        <f t="shared" ca="1" si="21"/>
        <v>6728044.2381892279</v>
      </c>
      <c r="V272">
        <f t="shared" ca="1" si="22"/>
        <v>10620096.608279075</v>
      </c>
      <c r="W272">
        <f t="shared" ca="1" si="23"/>
        <v>15509793.79760661</v>
      </c>
      <c r="X272">
        <f t="shared" ca="1" si="24"/>
        <v>20829096.268714331</v>
      </c>
      <c r="Y272">
        <f t="shared" ca="1" si="25"/>
        <v>25905430.885733254</v>
      </c>
      <c r="Z272">
        <f t="shared" ca="1" si="26"/>
        <v>15188347.742842743</v>
      </c>
      <c r="AA272" s="331">
        <f t="shared" ca="1" si="28"/>
        <v>101283028.13784833</v>
      </c>
    </row>
    <row r="273" spans="1:27" s="2" customFormat="1" ht="14.25" x14ac:dyDescent="0.25">
      <c r="A273" s="2" t="s">
        <v>226</v>
      </c>
      <c r="C273" s="2" t="s">
        <v>236</v>
      </c>
      <c r="AA273" s="332">
        <f ca="1">_xll.RiskOutput("Ecomic_b")+SUM(AA265:AA272)</f>
        <v>1089784883.1114962</v>
      </c>
    </row>
    <row r="274" spans="1:27" x14ac:dyDescent="0.2">
      <c r="A274" t="str">
        <f t="array" ref="A274:A281">R_CODE&amp;" "&amp;I_1_NAME</f>
        <v>EU Economic</v>
      </c>
      <c r="C274" s="29">
        <f t="array" ref="C274:L281" ca="1">rcons_s_per_cap_b-isatad_1_per_cap_b</f>
        <v>33816.451981627717</v>
      </c>
      <c r="D274" s="29">
        <f ca="1"/>
        <v>37851.083494714461</v>
      </c>
      <c r="E274" s="29">
        <f ca="1"/>
        <v>42438.021469074796</v>
      </c>
      <c r="F274" s="29">
        <f ca="1"/>
        <v>52878.528789057214</v>
      </c>
      <c r="G274" s="29">
        <f ca="1"/>
        <v>64021.946706970666</v>
      </c>
      <c r="H274" s="29">
        <f ca="1"/>
        <v>76365.241329207813</v>
      </c>
      <c r="I274" s="29">
        <f ca="1"/>
        <v>91531.771302940033</v>
      </c>
      <c r="J274" s="29">
        <f ca="1"/>
        <v>108847.48777035531</v>
      </c>
      <c r="K274" s="29">
        <f ca="1"/>
        <v>129047.63009496845</v>
      </c>
      <c r="L274" s="29">
        <f ca="1"/>
        <v>153315.8038011429</v>
      </c>
      <c r="M274" s="6"/>
      <c r="N274" s="1" t="str">
        <f t="shared" ref="N274:N281" si="29">CURRENCY_NAME&amp;"/"&amp;POP_UNIT_NAME</f>
        <v>$M(2015)/million</v>
      </c>
      <c r="O274" s="1"/>
    </row>
    <row r="275" spans="1:27" x14ac:dyDescent="0.2">
      <c r="A275" t="str">
        <v>US Economic</v>
      </c>
      <c r="C275" s="26">
        <f ca="1"/>
        <v>47891.835375816197</v>
      </c>
      <c r="D275" s="26">
        <f ca="1"/>
        <v>51942.36893014345</v>
      </c>
      <c r="E275" s="26">
        <f ca="1"/>
        <v>56309.591206244259</v>
      </c>
      <c r="F275" s="26">
        <f ca="1"/>
        <v>66166.231451825181</v>
      </c>
      <c r="G275" s="26">
        <f ca="1"/>
        <v>76414.054173142722</v>
      </c>
      <c r="H275" s="26">
        <f ca="1"/>
        <v>86928.99206347439</v>
      </c>
      <c r="I275" s="26">
        <f ca="1"/>
        <v>99509.61898416208</v>
      </c>
      <c r="J275" s="26">
        <f ca="1"/>
        <v>114168.54831462361</v>
      </c>
      <c r="K275" s="26">
        <f ca="1"/>
        <v>131453.26738635442</v>
      </c>
      <c r="L275" s="26">
        <f ca="1"/>
        <v>152046.42374393094</v>
      </c>
      <c r="M275" s="6"/>
      <c r="N275" s="1" t="str">
        <f t="shared" si="29"/>
        <v>$M(2015)/million</v>
      </c>
      <c r="O275" s="1"/>
    </row>
    <row r="276" spans="1:27" x14ac:dyDescent="0.2">
      <c r="A276" t="str">
        <v>OT Economic</v>
      </c>
      <c r="C276" s="26">
        <f ca="1"/>
        <v>31138.495906974556</v>
      </c>
      <c r="D276" s="26">
        <f ca="1"/>
        <v>34585.337573526893</v>
      </c>
      <c r="E276" s="26">
        <f ca="1"/>
        <v>38683.968475876216</v>
      </c>
      <c r="F276" s="26">
        <f ca="1"/>
        <v>48291.506929238087</v>
      </c>
      <c r="G276" s="26">
        <f ca="1"/>
        <v>59062.382953808454</v>
      </c>
      <c r="H276" s="26">
        <f ca="1"/>
        <v>71180.991957771053</v>
      </c>
      <c r="I276" s="26">
        <f ca="1"/>
        <v>85785.438059893757</v>
      </c>
      <c r="J276" s="26">
        <f ca="1"/>
        <v>102285.96005955742</v>
      </c>
      <c r="K276" s="26">
        <f ca="1"/>
        <v>121227.13038292776</v>
      </c>
      <c r="L276" s="26">
        <f ca="1"/>
        <v>143624.22581292613</v>
      </c>
      <c r="M276" s="6"/>
      <c r="N276" s="1" t="str">
        <f t="shared" si="29"/>
        <v>$M(2015)/million</v>
      </c>
      <c r="O276" s="1"/>
    </row>
    <row r="277" spans="1:27" x14ac:dyDescent="0.2">
      <c r="A277" t="str">
        <v>EE Economic</v>
      </c>
      <c r="C277" s="26">
        <f ca="1"/>
        <v>15910.799599799022</v>
      </c>
      <c r="D277" s="26">
        <f ca="1"/>
        <v>19576.558607912928</v>
      </c>
      <c r="E277" s="26">
        <f ca="1"/>
        <v>23946.996508180182</v>
      </c>
      <c r="F277" s="26">
        <f ca="1"/>
        <v>33600.518594927627</v>
      </c>
      <c r="G277" s="26">
        <f ca="1"/>
        <v>43027.786070851958</v>
      </c>
      <c r="H277" s="26">
        <f ca="1"/>
        <v>53614.115979879927</v>
      </c>
      <c r="I277" s="26">
        <f ca="1"/>
        <v>66974.451491828717</v>
      </c>
      <c r="J277" s="26">
        <f ca="1"/>
        <v>81421.587138020957</v>
      </c>
      <c r="K277" s="26">
        <f ca="1"/>
        <v>99385.023892190191</v>
      </c>
      <c r="L277" s="26">
        <f ca="1"/>
        <v>121254.44749880953</v>
      </c>
      <c r="M277" s="6"/>
      <c r="N277" s="1" t="str">
        <f t="shared" si="29"/>
        <v>$M(2015)/million</v>
      </c>
      <c r="O277" s="1"/>
    </row>
    <row r="278" spans="1:27" x14ac:dyDescent="0.2">
      <c r="A278" t="str">
        <v>CA Economic</v>
      </c>
      <c r="C278" s="26">
        <f ca="1"/>
        <v>16522.572362257488</v>
      </c>
      <c r="D278" s="26">
        <f ca="1"/>
        <v>22617.800345777836</v>
      </c>
      <c r="E278" s="26">
        <f ca="1"/>
        <v>29489.232273214126</v>
      </c>
      <c r="F278" s="26">
        <f ca="1"/>
        <v>43557.931352495405</v>
      </c>
      <c r="G278" s="26">
        <f ca="1"/>
        <v>57042.733386590699</v>
      </c>
      <c r="H278" s="26">
        <f ca="1"/>
        <v>69392.32739977751</v>
      </c>
      <c r="I278" s="26">
        <f ca="1"/>
        <v>82106.95050641241</v>
      </c>
      <c r="J278" s="26">
        <f ca="1"/>
        <v>95435.519712235167</v>
      </c>
      <c r="K278" s="26">
        <f ca="1"/>
        <v>110489.58114863641</v>
      </c>
      <c r="L278" s="26">
        <f ca="1"/>
        <v>128132.10942679465</v>
      </c>
      <c r="M278" s="6"/>
      <c r="N278" s="1" t="str">
        <f t="shared" si="29"/>
        <v>$M(2015)/million</v>
      </c>
      <c r="O278" s="1"/>
    </row>
    <row r="279" spans="1:27" x14ac:dyDescent="0.2">
      <c r="A279" t="str">
        <v>IA Economic</v>
      </c>
      <c r="C279" s="26">
        <f ca="1"/>
        <v>6738.4704389298486</v>
      </c>
      <c r="D279" s="26">
        <f ca="1"/>
        <v>8897.4560396163943</v>
      </c>
      <c r="E279" s="26">
        <f ca="1"/>
        <v>11581.132593752483</v>
      </c>
      <c r="F279" s="26">
        <f ca="1"/>
        <v>18228.852576054622</v>
      </c>
      <c r="G279" s="26">
        <f ca="1"/>
        <v>26405.574192974778</v>
      </c>
      <c r="H279" s="26">
        <f ca="1"/>
        <v>35879.148546772129</v>
      </c>
      <c r="I279" s="26">
        <f ca="1"/>
        <v>46699.716421228135</v>
      </c>
      <c r="J279" s="26">
        <f ca="1"/>
        <v>59293.186893986254</v>
      </c>
      <c r="K279" s="26">
        <f ca="1"/>
        <v>74357.699388284673</v>
      </c>
      <c r="L279" s="26">
        <f ca="1"/>
        <v>92477.8284705033</v>
      </c>
      <c r="M279" s="6"/>
      <c r="N279" s="1" t="str">
        <f t="shared" si="29"/>
        <v>$M(2015)/million</v>
      </c>
      <c r="O279" s="1"/>
    </row>
    <row r="280" spans="1:27" x14ac:dyDescent="0.2">
      <c r="A280" t="str">
        <v>AF Economic</v>
      </c>
      <c r="C280" s="26">
        <f ca="1"/>
        <v>5295.2862792813039</v>
      </c>
      <c r="D280" s="26">
        <f ca="1"/>
        <v>6351.4197415712761</v>
      </c>
      <c r="E280" s="26">
        <f ca="1"/>
        <v>7804.0547990159675</v>
      </c>
      <c r="F280" s="26">
        <f ca="1"/>
        <v>11806.981500981032</v>
      </c>
      <c r="G280" s="26">
        <f ca="1"/>
        <v>17381.371830689663</v>
      </c>
      <c r="H280" s="26">
        <f ca="1"/>
        <v>24724.85089973345</v>
      </c>
      <c r="I280" s="26">
        <f ca="1"/>
        <v>34148.00317455404</v>
      </c>
      <c r="J280" s="26">
        <f ca="1"/>
        <v>45871.355414674203</v>
      </c>
      <c r="K280" s="26">
        <f ca="1"/>
        <v>60886.0406832273</v>
      </c>
      <c r="L280" s="26">
        <f ca="1"/>
        <v>80127.696496938312</v>
      </c>
      <c r="M280" s="6"/>
      <c r="N280" s="1" t="str">
        <f t="shared" si="29"/>
        <v>$M(2015)/million</v>
      </c>
      <c r="O280" s="1"/>
    </row>
    <row r="281" spans="1:27" x14ac:dyDescent="0.2">
      <c r="A281" t="str">
        <v>LA Economic</v>
      </c>
      <c r="C281" s="26">
        <f ca="1"/>
        <v>12667.044724848758</v>
      </c>
      <c r="D281" s="26">
        <f ca="1"/>
        <v>14898.945253510537</v>
      </c>
      <c r="E281" s="26">
        <f ca="1"/>
        <v>17651.640912064362</v>
      </c>
      <c r="F281" s="26">
        <f ca="1"/>
        <v>24981.218858333777</v>
      </c>
      <c r="G281" s="26">
        <f ca="1"/>
        <v>34538.766340007649</v>
      </c>
      <c r="H281" s="26">
        <f ca="1"/>
        <v>45338.878549278656</v>
      </c>
      <c r="I281" s="26">
        <f ca="1"/>
        <v>57287.290046702772</v>
      </c>
      <c r="J281" s="26">
        <f ca="1"/>
        <v>70980.116434178301</v>
      </c>
      <c r="K281" s="26">
        <f ca="1"/>
        <v>87578.27401466138</v>
      </c>
      <c r="L281" s="26">
        <f ca="1"/>
        <v>107533.12300383353</v>
      </c>
      <c r="M281" s="6"/>
      <c r="N281" s="1" t="str">
        <f t="shared" si="29"/>
        <v>$M(2015)/million</v>
      </c>
      <c r="O281" s="1"/>
    </row>
    <row r="282" spans="1:27" s="2" customFormat="1" ht="14.25" x14ac:dyDescent="0.25">
      <c r="A282" s="2" t="s">
        <v>228</v>
      </c>
      <c r="C282" s="2" t="s">
        <v>235</v>
      </c>
    </row>
    <row r="283" spans="1:27" x14ac:dyDescent="0.2">
      <c r="A283" t="str">
        <f t="array" ref="A283:A290">R_CODE&amp;" "&amp;I_1_NAME</f>
        <v>EU Economic</v>
      </c>
      <c r="C283" s="29">
        <f t="array" ref="C283:L290" ca="1" xml:space="preserve"> rcons_1_per_cap_b/(1-SAVE/100)</f>
        <v>39784.061154856136</v>
      </c>
      <c r="D283" s="29">
        <f ca="1"/>
        <v>44530.686464369959</v>
      </c>
      <c r="E283" s="29">
        <f ca="1"/>
        <v>49927.084081264467</v>
      </c>
      <c r="F283" s="29">
        <f ca="1"/>
        <v>62210.033869479077</v>
      </c>
      <c r="G283" s="29">
        <f ca="1"/>
        <v>75319.937302318431</v>
      </c>
      <c r="H283" s="29">
        <f ca="1"/>
        <v>89841.460387303305</v>
      </c>
      <c r="I283" s="29">
        <f ca="1"/>
        <v>107684.43682698828</v>
      </c>
      <c r="J283" s="29">
        <f ca="1"/>
        <v>128055.86796512389</v>
      </c>
      <c r="K283" s="29">
        <f ca="1"/>
        <v>151820.74128819819</v>
      </c>
      <c r="L283" s="29">
        <f ca="1"/>
        <v>180371.53388369753</v>
      </c>
      <c r="M283" s="6"/>
      <c r="N283" s="1" t="str">
        <f t="shared" ref="N283:N290" si="30">CURRENCY_NAME&amp;"/"&amp;POP_UNIT_NAME</f>
        <v>$M(2015)/million</v>
      </c>
      <c r="O283" s="1"/>
    </row>
    <row r="284" spans="1:27" x14ac:dyDescent="0.2">
      <c r="A284" t="str">
        <v>US Economic</v>
      </c>
      <c r="C284" s="26">
        <f ca="1"/>
        <v>56343.335736254354</v>
      </c>
      <c r="D284" s="26">
        <f ca="1"/>
        <v>61108.669329580531</v>
      </c>
      <c r="E284" s="26">
        <f ca="1"/>
        <v>66246.577889699125</v>
      </c>
      <c r="F284" s="26">
        <f ca="1"/>
        <v>77842.625237441389</v>
      </c>
      <c r="G284" s="26">
        <f ca="1"/>
        <v>89898.887262520846</v>
      </c>
      <c r="H284" s="26">
        <f ca="1"/>
        <v>102269.40242761694</v>
      </c>
      <c r="I284" s="26">
        <f ca="1"/>
        <v>117070.13998136716</v>
      </c>
      <c r="J284" s="26">
        <f ca="1"/>
        <v>134315.93919367483</v>
      </c>
      <c r="K284" s="26">
        <f ca="1"/>
        <v>154650.9028074758</v>
      </c>
      <c r="L284" s="26">
        <f ca="1"/>
        <v>178878.14558109522</v>
      </c>
      <c r="M284" s="6"/>
      <c r="N284" s="1" t="str">
        <f t="shared" si="30"/>
        <v>$M(2015)/million</v>
      </c>
      <c r="O284" s="1"/>
    </row>
    <row r="285" spans="1:27" x14ac:dyDescent="0.2">
      <c r="A285" t="str">
        <v>OT Economic</v>
      </c>
      <c r="C285" s="26">
        <f ca="1"/>
        <v>36633.524596440657</v>
      </c>
      <c r="D285" s="26">
        <f ca="1"/>
        <v>40688.632439443405</v>
      </c>
      <c r="E285" s="26">
        <f ca="1"/>
        <v>45510.551148089668</v>
      </c>
      <c r="F285" s="26">
        <f ca="1"/>
        <v>56813.537563809514</v>
      </c>
      <c r="G285" s="26">
        <f ca="1"/>
        <v>69485.156416245241</v>
      </c>
      <c r="H285" s="26">
        <f ca="1"/>
        <v>83742.343479730655</v>
      </c>
      <c r="I285" s="26">
        <f ca="1"/>
        <v>100924.0447763456</v>
      </c>
      <c r="J285" s="26">
        <f ca="1"/>
        <v>120336.42359947931</v>
      </c>
      <c r="K285" s="26">
        <f ca="1"/>
        <v>142620.15339167972</v>
      </c>
      <c r="L285" s="26">
        <f ca="1"/>
        <v>168969.67742697193</v>
      </c>
      <c r="M285" s="6"/>
      <c r="N285" s="1" t="str">
        <f t="shared" si="30"/>
        <v>$M(2015)/million</v>
      </c>
      <c r="O285" s="1"/>
    </row>
    <row r="286" spans="1:27" x14ac:dyDescent="0.2">
      <c r="A286" t="str">
        <v>EE Economic</v>
      </c>
      <c r="C286" s="26">
        <f ca="1"/>
        <v>18718.587764469437</v>
      </c>
      <c r="D286" s="26">
        <f ca="1"/>
        <v>23031.245421074032</v>
      </c>
      <c r="E286" s="26">
        <f ca="1"/>
        <v>28172.937068447274</v>
      </c>
      <c r="F286" s="26">
        <f ca="1"/>
        <v>39530.021876385443</v>
      </c>
      <c r="G286" s="26">
        <f ca="1"/>
        <v>50620.924789237601</v>
      </c>
      <c r="H286" s="26">
        <f ca="1"/>
        <v>63075.430564564624</v>
      </c>
      <c r="I286" s="26">
        <f ca="1"/>
        <v>78793.4723433279</v>
      </c>
      <c r="J286" s="26">
        <f ca="1"/>
        <v>95790.10251531878</v>
      </c>
      <c r="K286" s="26">
        <f ca="1"/>
        <v>116923.55752022375</v>
      </c>
      <c r="L286" s="26">
        <f ca="1"/>
        <v>142652.29117507004</v>
      </c>
      <c r="M286" s="6"/>
      <c r="N286" s="1" t="str">
        <f t="shared" si="30"/>
        <v>$M(2015)/million</v>
      </c>
      <c r="O286" s="1"/>
    </row>
    <row r="287" spans="1:27" x14ac:dyDescent="0.2">
      <c r="A287" t="str">
        <v>CA Economic</v>
      </c>
      <c r="C287" s="26">
        <f ca="1"/>
        <v>19438.320426185281</v>
      </c>
      <c r="D287" s="26">
        <f ca="1"/>
        <v>26609.176877385689</v>
      </c>
      <c r="E287" s="26">
        <f ca="1"/>
        <v>34693.21443907544</v>
      </c>
      <c r="F287" s="26">
        <f ca="1"/>
        <v>51244.62512058283</v>
      </c>
      <c r="G287" s="26">
        <f ca="1"/>
        <v>67109.098101871408</v>
      </c>
      <c r="H287" s="26">
        <f ca="1"/>
        <v>81638.032235032369</v>
      </c>
      <c r="I287" s="26">
        <f ca="1"/>
        <v>96596.412360485192</v>
      </c>
      <c r="J287" s="26">
        <f ca="1"/>
        <v>112277.08201439431</v>
      </c>
      <c r="K287" s="26">
        <f ca="1"/>
        <v>129987.74252780754</v>
      </c>
      <c r="L287" s="26">
        <f ca="1"/>
        <v>150743.65814917017</v>
      </c>
      <c r="M287" s="6"/>
      <c r="N287" s="1" t="str">
        <f t="shared" si="30"/>
        <v>$M(2015)/million</v>
      </c>
      <c r="O287" s="1"/>
    </row>
    <row r="288" spans="1:27" x14ac:dyDescent="0.2">
      <c r="A288" t="str">
        <v>IA Economic</v>
      </c>
      <c r="C288" s="26">
        <f ca="1"/>
        <v>7927.6122810939396</v>
      </c>
      <c r="D288" s="26">
        <f ca="1"/>
        <v>10467.595340725171</v>
      </c>
      <c r="E288" s="26">
        <f ca="1"/>
        <v>13624.861875002922</v>
      </c>
      <c r="F288" s="26">
        <f ca="1"/>
        <v>21445.708913005437</v>
      </c>
      <c r="G288" s="26">
        <f ca="1"/>
        <v>31065.381403499741</v>
      </c>
      <c r="H288" s="26">
        <f ca="1"/>
        <v>42210.762996202502</v>
      </c>
      <c r="I288" s="26">
        <f ca="1"/>
        <v>54940.842848503693</v>
      </c>
      <c r="J288" s="26">
        <f ca="1"/>
        <v>69756.690463513238</v>
      </c>
      <c r="K288" s="26">
        <f ca="1"/>
        <v>87479.64633915844</v>
      </c>
      <c r="L288" s="26">
        <f ca="1"/>
        <v>108797.44525941565</v>
      </c>
      <c r="M288" s="6"/>
      <c r="N288" s="1" t="str">
        <f t="shared" si="30"/>
        <v>$M(2015)/million</v>
      </c>
      <c r="O288" s="1"/>
    </row>
    <row r="289" spans="1:15" x14ac:dyDescent="0.2">
      <c r="A289" t="str">
        <v>AF Economic</v>
      </c>
      <c r="C289" s="26">
        <f ca="1"/>
        <v>6229.7485638603575</v>
      </c>
      <c r="D289" s="26">
        <f ca="1"/>
        <v>7472.2585194956191</v>
      </c>
      <c r="E289" s="26">
        <f ca="1"/>
        <v>9181.2409400187862</v>
      </c>
      <c r="F289" s="26">
        <f ca="1"/>
        <v>13890.566471742392</v>
      </c>
      <c r="G289" s="26">
        <f ca="1"/>
        <v>20448.672741987837</v>
      </c>
      <c r="H289" s="26">
        <f ca="1"/>
        <v>29088.059882039353</v>
      </c>
      <c r="I289" s="26">
        <f ca="1"/>
        <v>40174.121381828285</v>
      </c>
      <c r="J289" s="26">
        <f ca="1"/>
        <v>53966.300487852008</v>
      </c>
      <c r="K289" s="26">
        <f ca="1"/>
        <v>71630.636097914467</v>
      </c>
      <c r="L289" s="26">
        <f ca="1"/>
        <v>94267.878231692128</v>
      </c>
      <c r="M289" s="6"/>
      <c r="N289" s="1" t="str">
        <f t="shared" si="30"/>
        <v>$M(2015)/million</v>
      </c>
      <c r="O289" s="1"/>
    </row>
    <row r="290" spans="1:15" x14ac:dyDescent="0.2">
      <c r="A290" t="str">
        <v>LA Economic</v>
      </c>
      <c r="C290" s="26">
        <f ca="1"/>
        <v>14902.405558645598</v>
      </c>
      <c r="D290" s="26">
        <f ca="1"/>
        <v>17528.170886482985</v>
      </c>
      <c r="E290" s="26">
        <f ca="1"/>
        <v>20766.636367134543</v>
      </c>
      <c r="F290" s="26">
        <f ca="1"/>
        <v>29389.669245098561</v>
      </c>
      <c r="G290" s="26">
        <f ca="1"/>
        <v>40633.842752950179</v>
      </c>
      <c r="H290" s="26">
        <f ca="1"/>
        <v>53339.857116798419</v>
      </c>
      <c r="I290" s="26">
        <f ca="1"/>
        <v>67396.81181965032</v>
      </c>
      <c r="J290" s="26">
        <f ca="1"/>
        <v>83506.019334327415</v>
      </c>
      <c r="K290" s="26">
        <f ca="1"/>
        <v>103033.26354666046</v>
      </c>
      <c r="L290" s="26">
        <f ca="1"/>
        <v>126509.55647509827</v>
      </c>
      <c r="M290" s="6"/>
      <c r="N290" s="1" t="str">
        <f t="shared" si="30"/>
        <v>$M(2015)/million</v>
      </c>
      <c r="O290" s="1"/>
    </row>
    <row r="291" spans="1:15" s="2" customFormat="1" ht="14.25" x14ac:dyDescent="0.25">
      <c r="A291" s="2" t="s">
        <v>220</v>
      </c>
      <c r="C291" s="2" t="s">
        <v>237</v>
      </c>
    </row>
    <row r="292" spans="1:15" x14ac:dyDescent="0.2">
      <c r="A292" t="str">
        <f t="array" ref="A292:A299">R_CODE&amp;" "&amp;I_2_NAME</f>
        <v>EU Non-econ</v>
      </c>
      <c r="C292" s="29">
        <f t="array" ref="C292:L299" ca="1">WINCF_2*((W_2+IBEN_2*TCAL)*(i_2_b/TCAL)^POW_2-i_2_b*IBEN_2)</f>
        <v>0.15816847393551303</v>
      </c>
      <c r="D292" s="29">
        <f ca="1"/>
        <v>0.24172378776785883</v>
      </c>
      <c r="E292" s="29">
        <f ca="1"/>
        <v>0.39783839562751</v>
      </c>
      <c r="F292" s="29">
        <f ca="1"/>
        <v>0.63980603310404827</v>
      </c>
      <c r="G292" s="29">
        <f ca="1"/>
        <v>0.99861674794492838</v>
      </c>
      <c r="H292" s="29">
        <f ca="1"/>
        <v>1.5049580879613522</v>
      </c>
      <c r="I292" s="29">
        <f ca="1"/>
        <v>2.1729906762816373</v>
      </c>
      <c r="J292" s="29">
        <f ca="1"/>
        <v>2.9483301437254608</v>
      </c>
      <c r="K292" s="29">
        <f ca="1"/>
        <v>4.1230216828169093</v>
      </c>
      <c r="L292" s="29">
        <f ca="1"/>
        <v>5.1282813638336826</v>
      </c>
      <c r="M292" s="6"/>
      <c r="N292" s="59" t="s">
        <v>132</v>
      </c>
    </row>
    <row r="293" spans="1:15" x14ac:dyDescent="0.2">
      <c r="A293" t="str">
        <v>US Non-econ</v>
      </c>
      <c r="C293" s="26">
        <f ca="1"/>
        <v>0.18380094125042523</v>
      </c>
      <c r="D293" s="26">
        <f ca="1"/>
        <v>0.2498839058004089</v>
      </c>
      <c r="E293" s="26">
        <f ca="1"/>
        <v>0.38428417646018592</v>
      </c>
      <c r="F293" s="26">
        <f ca="1"/>
        <v>0.72003119308950736</v>
      </c>
      <c r="G293" s="26">
        <f ca="1"/>
        <v>1.077120891329006</v>
      </c>
      <c r="H293" s="26">
        <f ca="1"/>
        <v>1.7211563606896949</v>
      </c>
      <c r="I293" s="26">
        <f ca="1"/>
        <v>2.5828577723012214</v>
      </c>
      <c r="J293" s="26">
        <f ca="1"/>
        <v>3.6396673790432144</v>
      </c>
      <c r="K293" s="26">
        <f ca="1"/>
        <v>4.8414893702464967</v>
      </c>
      <c r="L293" s="26">
        <f ca="1"/>
        <v>6.1235294703546002</v>
      </c>
      <c r="M293" s="6"/>
      <c r="N293" s="59" t="s">
        <v>132</v>
      </c>
    </row>
    <row r="294" spans="1:15" x14ac:dyDescent="0.2">
      <c r="A294" t="str">
        <v>OT Non-econ</v>
      </c>
      <c r="C294" s="26">
        <f ca="1"/>
        <v>0.21739102849243688</v>
      </c>
      <c r="D294" s="26">
        <f ca="1"/>
        <v>0.26267768883286319</v>
      </c>
      <c r="E294" s="26">
        <f ca="1"/>
        <v>0.41785899004121851</v>
      </c>
      <c r="F294" s="26">
        <f ca="1"/>
        <v>0.80530941891406904</v>
      </c>
      <c r="G294" s="26">
        <f ca="1"/>
        <v>1.2522286029210916</v>
      </c>
      <c r="H294" s="26">
        <f ca="1"/>
        <v>1.9578888957835909</v>
      </c>
      <c r="I294" s="26">
        <f ca="1"/>
        <v>2.9540526615719229</v>
      </c>
      <c r="J294" s="26">
        <f ca="1"/>
        <v>4.1547680459287193</v>
      </c>
      <c r="K294" s="26">
        <f ca="1"/>
        <v>5.6856135801800267</v>
      </c>
      <c r="L294" s="26">
        <f ca="1"/>
        <v>7.2392146728874991</v>
      </c>
      <c r="M294" s="6"/>
      <c r="N294" s="59" t="s">
        <v>132</v>
      </c>
    </row>
    <row r="295" spans="1:15" x14ac:dyDescent="0.2">
      <c r="A295" t="str">
        <v>EE Non-econ</v>
      </c>
      <c r="C295" s="26">
        <f ca="1"/>
        <v>0.35340261884390656</v>
      </c>
      <c r="D295" s="26">
        <f ca="1"/>
        <v>0.55003843294969224</v>
      </c>
      <c r="E295" s="26">
        <f ca="1"/>
        <v>0.73516279045014254</v>
      </c>
      <c r="F295" s="26">
        <f ca="1"/>
        <v>1.257219744941084</v>
      </c>
      <c r="G295" s="26">
        <f ca="1"/>
        <v>2.0485560605579347</v>
      </c>
      <c r="H295" s="26">
        <f ca="1"/>
        <v>3.0825262842131429</v>
      </c>
      <c r="I295" s="26">
        <f ca="1"/>
        <v>4.5283485286855818</v>
      </c>
      <c r="J295" s="26">
        <f ca="1"/>
        <v>6.1040659247305218</v>
      </c>
      <c r="K295" s="26">
        <f ca="1"/>
        <v>8.5736884285519057</v>
      </c>
      <c r="L295" s="26">
        <f ca="1"/>
        <v>10.600496894547883</v>
      </c>
      <c r="M295" s="6"/>
      <c r="N295" s="59" t="s">
        <v>132</v>
      </c>
    </row>
    <row r="296" spans="1:15" x14ac:dyDescent="0.2">
      <c r="A296" t="str">
        <v>CA Non-econ</v>
      </c>
      <c r="C296" s="26">
        <f ca="1"/>
        <v>0.15902718601000099</v>
      </c>
      <c r="D296" s="26">
        <f ca="1"/>
        <v>0.26848179472501976</v>
      </c>
      <c r="E296" s="26">
        <f ca="1"/>
        <v>0.39425969055205534</v>
      </c>
      <c r="F296" s="26">
        <f ca="1"/>
        <v>0.68029250175906852</v>
      </c>
      <c r="G296" s="26">
        <f ca="1"/>
        <v>1.0982038243916319</v>
      </c>
      <c r="H296" s="26">
        <f ca="1"/>
        <v>1.6295318434783479</v>
      </c>
      <c r="I296" s="26">
        <f ca="1"/>
        <v>2.5216195612782704</v>
      </c>
      <c r="J296" s="26">
        <f ca="1"/>
        <v>3.5024037205889416</v>
      </c>
      <c r="K296" s="26">
        <f ca="1"/>
        <v>4.8719553301544263</v>
      </c>
      <c r="L296" s="26">
        <f ca="1"/>
        <v>6.1294827459174046</v>
      </c>
      <c r="M296" s="6"/>
      <c r="N296" s="59" t="s">
        <v>132</v>
      </c>
    </row>
    <row r="297" spans="1:15" x14ac:dyDescent="0.2">
      <c r="A297" t="str">
        <v>IA Non-econ</v>
      </c>
      <c r="C297" s="26">
        <f ca="1"/>
        <v>6.2028810454856503E-2</v>
      </c>
      <c r="D297" s="26">
        <f ca="1"/>
        <v>9.9027875397278309E-2</v>
      </c>
      <c r="E297" s="26">
        <f ca="1"/>
        <v>0.14051364558577778</v>
      </c>
      <c r="F297" s="26">
        <f ca="1"/>
        <v>0.31161083400204598</v>
      </c>
      <c r="G297" s="26">
        <f ca="1"/>
        <v>0.53955858378142452</v>
      </c>
      <c r="H297" s="26">
        <f ca="1"/>
        <v>0.86272603192583941</v>
      </c>
      <c r="I297" s="26">
        <f ca="1"/>
        <v>1.3752469109615533</v>
      </c>
      <c r="J297" s="26">
        <f ca="1"/>
        <v>1.9794426705522579</v>
      </c>
      <c r="K297" s="26">
        <f ca="1"/>
        <v>2.7661886876888815</v>
      </c>
      <c r="L297" s="26">
        <f ca="1"/>
        <v>3.5474921281528307</v>
      </c>
      <c r="M297" s="6"/>
      <c r="N297" s="59" t="s">
        <v>132</v>
      </c>
    </row>
    <row r="298" spans="1:15" x14ac:dyDescent="0.2">
      <c r="A298" t="str">
        <v>AF Non-econ</v>
      </c>
      <c r="C298" s="26">
        <f ca="1"/>
        <v>7.6355116838088238E-2</v>
      </c>
      <c r="D298" s="26">
        <f ca="1"/>
        <v>0.13650678362238092</v>
      </c>
      <c r="E298" s="26">
        <f ca="1"/>
        <v>0.18202878316817811</v>
      </c>
      <c r="F298" s="26">
        <f ca="1"/>
        <v>0.39846442869949861</v>
      </c>
      <c r="G298" s="26">
        <f ca="1"/>
        <v>0.64598737363041325</v>
      </c>
      <c r="H298" s="26">
        <f ca="1"/>
        <v>1.062686243396485</v>
      </c>
      <c r="I298" s="26">
        <f ca="1"/>
        <v>1.6484788558835646</v>
      </c>
      <c r="J298" s="26">
        <f ca="1"/>
        <v>2.3694730817090011</v>
      </c>
      <c r="K298" s="26">
        <f ca="1"/>
        <v>3.3454721776044405</v>
      </c>
      <c r="L298" s="26">
        <f ca="1"/>
        <v>4.3490015963150013</v>
      </c>
      <c r="M298" s="6"/>
      <c r="N298" s="59" t="s">
        <v>132</v>
      </c>
    </row>
    <row r="299" spans="1:15" x14ac:dyDescent="0.2">
      <c r="A299" t="str">
        <v>LA Non-econ</v>
      </c>
      <c r="C299" s="26">
        <f ca="1"/>
        <v>9.9352965601060855E-2</v>
      </c>
      <c r="D299" s="26">
        <f ca="1"/>
        <v>0.12257046459891785</v>
      </c>
      <c r="E299" s="26">
        <f ca="1"/>
        <v>0.18037021063938646</v>
      </c>
      <c r="F299" s="26">
        <f ca="1"/>
        <v>0.40124295181344538</v>
      </c>
      <c r="G299" s="26">
        <f ca="1"/>
        <v>0.61484866214096379</v>
      </c>
      <c r="H299" s="26">
        <f ca="1"/>
        <v>0.991924441686306</v>
      </c>
      <c r="I299" s="26">
        <f ca="1"/>
        <v>1.5552279592437903</v>
      </c>
      <c r="J299" s="26">
        <f ca="1"/>
        <v>2.2625423239396616</v>
      </c>
      <c r="K299" s="26">
        <f ca="1"/>
        <v>3.0314298605436401</v>
      </c>
      <c r="L299" s="26">
        <f ca="1"/>
        <v>3.8754908292035082</v>
      </c>
      <c r="M299" s="6"/>
      <c r="N299" s="59" t="s">
        <v>132</v>
      </c>
    </row>
    <row r="300" spans="1:15" s="2" customFormat="1" ht="14.25" x14ac:dyDescent="0.25">
      <c r="A300" s="2" t="s">
        <v>219</v>
      </c>
      <c r="C300" s="2" t="s">
        <v>238</v>
      </c>
    </row>
    <row r="301" spans="1:15" x14ac:dyDescent="0.2">
      <c r="A301" t="str">
        <f t="array" ref="A301:A308">R_CODE&amp;" "&amp;I_2_NAME</f>
        <v>EU Non-econ</v>
      </c>
      <c r="C301" s="29">
        <f t="array" ref="C301:L308" ca="1">iref_2_b*(rgdp_1_per_cap_b/GDP_PER_CAP_FOCUS_0)^IPOW_2</f>
        <v>0.15816847393551303</v>
      </c>
      <c r="D301" s="29">
        <f ca="1"/>
        <v>0.24172378776785883</v>
      </c>
      <c r="E301" s="29">
        <f ca="1"/>
        <v>0.39783839562751</v>
      </c>
      <c r="F301" s="29">
        <f ca="1"/>
        <v>0.63980603310404827</v>
      </c>
      <c r="G301" s="29">
        <f ca="1"/>
        <v>0.99861674794492838</v>
      </c>
      <c r="H301" s="29">
        <f ca="1"/>
        <v>1.5049580879613522</v>
      </c>
      <c r="I301" s="29">
        <f ca="1"/>
        <v>2.1729906762816373</v>
      </c>
      <c r="J301" s="29">
        <f ca="1"/>
        <v>2.9483301437254608</v>
      </c>
      <c r="K301" s="29">
        <f ca="1"/>
        <v>4.1230216828169093</v>
      </c>
      <c r="L301" s="29">
        <f ca="1"/>
        <v>5.1282813638336826</v>
      </c>
      <c r="M301" s="6"/>
      <c r="N301" s="59" t="s">
        <v>132</v>
      </c>
    </row>
    <row r="302" spans="1:15" x14ac:dyDescent="0.2">
      <c r="A302" t="str">
        <v>US Non-econ</v>
      </c>
      <c r="C302" s="26">
        <f ca="1"/>
        <v>0.18380094125042523</v>
      </c>
      <c r="D302" s="26">
        <f ca="1"/>
        <v>0.2498839058004089</v>
      </c>
      <c r="E302" s="26">
        <f ca="1"/>
        <v>0.38428417646018592</v>
      </c>
      <c r="F302" s="26">
        <f ca="1"/>
        <v>0.72003119308950736</v>
      </c>
      <c r="G302" s="26">
        <f ca="1"/>
        <v>1.077120891329006</v>
      </c>
      <c r="H302" s="26">
        <f ca="1"/>
        <v>1.7211563606896949</v>
      </c>
      <c r="I302" s="26">
        <f ca="1"/>
        <v>2.5828577723012214</v>
      </c>
      <c r="J302" s="26">
        <f ca="1"/>
        <v>3.6396673790432144</v>
      </c>
      <c r="K302" s="26">
        <f ca="1"/>
        <v>4.8414893702464967</v>
      </c>
      <c r="L302" s="26">
        <f ca="1"/>
        <v>6.1235294703546002</v>
      </c>
      <c r="M302" s="6"/>
      <c r="N302" s="59" t="s">
        <v>132</v>
      </c>
    </row>
    <row r="303" spans="1:15" x14ac:dyDescent="0.2">
      <c r="A303" t="str">
        <v>OT Non-econ</v>
      </c>
      <c r="C303" s="26">
        <f ca="1"/>
        <v>0.21739102849243688</v>
      </c>
      <c r="D303" s="26">
        <f ca="1"/>
        <v>0.26267768883286319</v>
      </c>
      <c r="E303" s="26">
        <f ca="1"/>
        <v>0.41785899004121851</v>
      </c>
      <c r="F303" s="26">
        <f ca="1"/>
        <v>0.80530941891406904</v>
      </c>
      <c r="G303" s="26">
        <f ca="1"/>
        <v>1.2522286029210916</v>
      </c>
      <c r="H303" s="26">
        <f ca="1"/>
        <v>1.9578888957835909</v>
      </c>
      <c r="I303" s="26">
        <f ca="1"/>
        <v>2.9540526615719229</v>
      </c>
      <c r="J303" s="26">
        <f ca="1"/>
        <v>4.1547680459287193</v>
      </c>
      <c r="K303" s="26">
        <f ca="1"/>
        <v>5.6856135801800267</v>
      </c>
      <c r="L303" s="26">
        <f ca="1"/>
        <v>7.2392146728874991</v>
      </c>
      <c r="M303" s="6"/>
      <c r="N303" s="59" t="s">
        <v>132</v>
      </c>
    </row>
    <row r="304" spans="1:15" x14ac:dyDescent="0.2">
      <c r="A304" t="str">
        <v>EE Non-econ</v>
      </c>
      <c r="C304" s="26">
        <f ca="1"/>
        <v>0.35340261884390656</v>
      </c>
      <c r="D304" s="26">
        <f ca="1"/>
        <v>0.55003843294969224</v>
      </c>
      <c r="E304" s="26">
        <f ca="1"/>
        <v>0.73516279045014254</v>
      </c>
      <c r="F304" s="26">
        <f ca="1"/>
        <v>1.257219744941084</v>
      </c>
      <c r="G304" s="26">
        <f ca="1"/>
        <v>2.0485560605579347</v>
      </c>
      <c r="H304" s="26">
        <f ca="1"/>
        <v>3.0825262842131429</v>
      </c>
      <c r="I304" s="26">
        <f ca="1"/>
        <v>4.5283485286855818</v>
      </c>
      <c r="J304" s="26">
        <f ca="1"/>
        <v>6.1040659247305218</v>
      </c>
      <c r="K304" s="26">
        <f ca="1"/>
        <v>8.5736884285519057</v>
      </c>
      <c r="L304" s="26">
        <f ca="1"/>
        <v>10.600496894547883</v>
      </c>
      <c r="M304" s="6"/>
      <c r="N304" s="59" t="s">
        <v>132</v>
      </c>
    </row>
    <row r="305" spans="1:27" x14ac:dyDescent="0.2">
      <c r="A305" t="str">
        <v>CA Non-econ</v>
      </c>
      <c r="C305" s="26">
        <f ca="1"/>
        <v>0.15902718601000099</v>
      </c>
      <c r="D305" s="26">
        <f ca="1"/>
        <v>0.26848179472501976</v>
      </c>
      <c r="E305" s="26">
        <f ca="1"/>
        <v>0.39425969055205534</v>
      </c>
      <c r="F305" s="26">
        <f ca="1"/>
        <v>0.68029250175906852</v>
      </c>
      <c r="G305" s="26">
        <f ca="1"/>
        <v>1.0982038243916319</v>
      </c>
      <c r="H305" s="26">
        <f ca="1"/>
        <v>1.6295318434783479</v>
      </c>
      <c r="I305" s="26">
        <f ca="1"/>
        <v>2.5216195612782704</v>
      </c>
      <c r="J305" s="26">
        <f ca="1"/>
        <v>3.5024037205889416</v>
      </c>
      <c r="K305" s="26">
        <f ca="1"/>
        <v>4.8719553301544263</v>
      </c>
      <c r="L305" s="26">
        <f ca="1"/>
        <v>6.1294827459174046</v>
      </c>
      <c r="M305" s="6"/>
      <c r="N305" s="59" t="s">
        <v>132</v>
      </c>
    </row>
    <row r="306" spans="1:27" x14ac:dyDescent="0.2">
      <c r="A306" t="str">
        <v>IA Non-econ</v>
      </c>
      <c r="C306" s="26">
        <f ca="1"/>
        <v>6.2028810454856503E-2</v>
      </c>
      <c r="D306" s="26">
        <f ca="1"/>
        <v>9.9027875397278309E-2</v>
      </c>
      <c r="E306" s="26">
        <f ca="1"/>
        <v>0.14051364558577778</v>
      </c>
      <c r="F306" s="26">
        <f ca="1"/>
        <v>0.31161083400204598</v>
      </c>
      <c r="G306" s="26">
        <f ca="1"/>
        <v>0.53955858378142452</v>
      </c>
      <c r="H306" s="26">
        <f ca="1"/>
        <v>0.86272603192583941</v>
      </c>
      <c r="I306" s="26">
        <f ca="1"/>
        <v>1.3752469109615533</v>
      </c>
      <c r="J306" s="26">
        <f ca="1"/>
        <v>1.9794426705522579</v>
      </c>
      <c r="K306" s="26">
        <f ca="1"/>
        <v>2.7661886876888815</v>
      </c>
      <c r="L306" s="26">
        <f ca="1"/>
        <v>3.5474921281528307</v>
      </c>
      <c r="M306" s="6"/>
      <c r="N306" s="59" t="s">
        <v>132</v>
      </c>
    </row>
    <row r="307" spans="1:27" x14ac:dyDescent="0.2">
      <c r="A307" t="str">
        <v>AF Non-econ</v>
      </c>
      <c r="C307" s="26">
        <f ca="1"/>
        <v>7.6355116838088238E-2</v>
      </c>
      <c r="D307" s="26">
        <f ca="1"/>
        <v>0.13650678362238092</v>
      </c>
      <c r="E307" s="26">
        <f ca="1"/>
        <v>0.18202878316817811</v>
      </c>
      <c r="F307" s="26">
        <f ca="1"/>
        <v>0.39846442869949861</v>
      </c>
      <c r="G307" s="26">
        <f ca="1"/>
        <v>0.64598737363041325</v>
      </c>
      <c r="H307" s="26">
        <f ca="1"/>
        <v>1.062686243396485</v>
      </c>
      <c r="I307" s="26">
        <f ca="1"/>
        <v>1.6484788558835646</v>
      </c>
      <c r="J307" s="26">
        <f ca="1"/>
        <v>2.3694730817090011</v>
      </c>
      <c r="K307" s="26">
        <f ca="1"/>
        <v>3.3454721776044405</v>
      </c>
      <c r="L307" s="26">
        <f ca="1"/>
        <v>4.3490015963150013</v>
      </c>
      <c r="M307" s="6"/>
      <c r="N307" s="59" t="s">
        <v>132</v>
      </c>
    </row>
    <row r="308" spans="1:27" x14ac:dyDescent="0.2">
      <c r="A308" t="str">
        <v>LA Non-econ</v>
      </c>
      <c r="C308" s="26">
        <f ca="1"/>
        <v>9.9352965601060855E-2</v>
      </c>
      <c r="D308" s="26">
        <f ca="1"/>
        <v>0.12257046459891785</v>
      </c>
      <c r="E308" s="26">
        <f ca="1"/>
        <v>0.18037021063938646</v>
      </c>
      <c r="F308" s="26">
        <f ca="1"/>
        <v>0.40124295181344538</v>
      </c>
      <c r="G308" s="26">
        <f ca="1"/>
        <v>0.61484866214096379</v>
      </c>
      <c r="H308" s="26">
        <f ca="1"/>
        <v>0.991924441686306</v>
      </c>
      <c r="I308" s="26">
        <f ca="1"/>
        <v>1.5552279592437903</v>
      </c>
      <c r="J308" s="26">
        <f ca="1"/>
        <v>2.2625423239396616</v>
      </c>
      <c r="K308" s="26">
        <f ca="1"/>
        <v>3.0314298605436401</v>
      </c>
      <c r="L308" s="26">
        <f ca="1"/>
        <v>3.8754908292035082</v>
      </c>
      <c r="M308" s="6"/>
      <c r="N308" s="59" t="s">
        <v>132</v>
      </c>
    </row>
    <row r="309" spans="1:27" s="2" customFormat="1" ht="14.25" x14ac:dyDescent="0.25">
      <c r="A309" s="2" t="s">
        <v>223</v>
      </c>
      <c r="C309" s="2" t="s">
        <v>239</v>
      </c>
      <c r="P309" s="2" t="s">
        <v>1121</v>
      </c>
      <c r="Q309" s="2">
        <v>3731.1295734726509</v>
      </c>
      <c r="R309" s="2">
        <v>2426.1527681994476</v>
      </c>
      <c r="S309" s="2">
        <v>3552.712571602302</v>
      </c>
      <c r="T309" s="2">
        <v>4514.9583109114074</v>
      </c>
      <c r="U309" s="2">
        <v>4315.3722470948551</v>
      </c>
      <c r="V309" s="2">
        <v>4118.4784203593954</v>
      </c>
      <c r="W309" s="2">
        <v>3890.9393108804293</v>
      </c>
      <c r="X309" s="2">
        <v>3637.6091360562946</v>
      </c>
      <c r="Y309" s="2">
        <v>3362.102877852833</v>
      </c>
      <c r="Z309" s="2">
        <v>1539.7101356993812</v>
      </c>
    </row>
    <row r="310" spans="1:27" x14ac:dyDescent="0.2">
      <c r="A310" t="str">
        <f t="array" ref="A310:A317">R_CODE&amp;" "&amp;I_2_NAME</f>
        <v>EU Non-econ</v>
      </c>
      <c r="C310" s="29">
        <f t="array" ref="C310:L317" ca="1">IF(igdp_2_b&lt;ISATG,igdp_2_b,ISATG+(100-SAVE-ISATG)*((igdp_2_b-ISATG)/((100-SAVE-ISATG)+(igdp_2_b-ISATG))))*(1-imp_2_b/100*IF(i_2_b&lt;impmax_2_b,1,impmax_2_b/i_2_b))</f>
        <v>0.15816847393551303</v>
      </c>
      <c r="D310" s="29">
        <f ca="1"/>
        <v>0.24172378776785883</v>
      </c>
      <c r="E310" s="29">
        <f ca="1"/>
        <v>0.39783839562751</v>
      </c>
      <c r="F310" s="29">
        <f ca="1"/>
        <v>0.63980603310404827</v>
      </c>
      <c r="G310" s="29">
        <f ca="1"/>
        <v>0.99861674794492838</v>
      </c>
      <c r="H310" s="29">
        <f ca="1"/>
        <v>1.5049580879613522</v>
      </c>
      <c r="I310" s="29">
        <f ca="1"/>
        <v>2.1729906762816373</v>
      </c>
      <c r="J310" s="29">
        <f ca="1"/>
        <v>2.9483301437254608</v>
      </c>
      <c r="K310" s="29">
        <f ca="1"/>
        <v>4.1230216828169093</v>
      </c>
      <c r="L310" s="29">
        <f ca="1"/>
        <v>5.1282813638336826</v>
      </c>
      <c r="M310" s="6"/>
      <c r="N310" s="59" t="s">
        <v>132</v>
      </c>
      <c r="Q310">
        <v>2469.2933029868564</v>
      </c>
      <c r="R310">
        <v>1655.0206779588766</v>
      </c>
      <c r="S310">
        <v>2495.0510744882445</v>
      </c>
      <c r="T310">
        <v>3338.0788676695838</v>
      </c>
      <c r="U310">
        <v>3337.1775681398367</v>
      </c>
      <c r="V310">
        <v>3336.3701725041342</v>
      </c>
      <c r="W310">
        <v>3311.5332044327552</v>
      </c>
      <c r="X310">
        <v>3249.3916266154547</v>
      </c>
      <c r="Y310">
        <v>3138.1458516589769</v>
      </c>
      <c r="Z310">
        <v>1490.0974668620906</v>
      </c>
    </row>
    <row r="311" spans="1:27" x14ac:dyDescent="0.2">
      <c r="A311" t="str">
        <v>US Non-econ</v>
      </c>
      <c r="C311" s="26">
        <f ca="1"/>
        <v>0.18380094125042523</v>
      </c>
      <c r="D311" s="26">
        <f ca="1"/>
        <v>0.2498839058004089</v>
      </c>
      <c r="E311" s="26">
        <f ca="1"/>
        <v>0.38428417646018592</v>
      </c>
      <c r="F311" s="26">
        <f ca="1"/>
        <v>0.72003119308950736</v>
      </c>
      <c r="G311" s="26">
        <f ca="1"/>
        <v>1.077120891329006</v>
      </c>
      <c r="H311" s="26">
        <f ca="1"/>
        <v>1.7211563606896949</v>
      </c>
      <c r="I311" s="26">
        <f ca="1"/>
        <v>2.5828577723012214</v>
      </c>
      <c r="J311" s="26">
        <f ca="1"/>
        <v>3.6396673790432144</v>
      </c>
      <c r="K311" s="26">
        <f ca="1"/>
        <v>4.8414893702464967</v>
      </c>
      <c r="L311" s="26">
        <f ca="1"/>
        <v>6.1235294703546002</v>
      </c>
      <c r="M311" s="6"/>
      <c r="N311" s="59" t="s">
        <v>132</v>
      </c>
      <c r="Q311">
        <v>2239.1949630902322</v>
      </c>
      <c r="R311">
        <v>1458.611518686547</v>
      </c>
      <c r="S311">
        <v>2132.7627674158425</v>
      </c>
      <c r="T311">
        <v>2686.3510478224653</v>
      </c>
      <c r="U311">
        <v>2526.882548698853</v>
      </c>
      <c r="V311">
        <v>2364.3638056037162</v>
      </c>
      <c r="W311">
        <v>2180.9623948197591</v>
      </c>
      <c r="X311">
        <v>1984.7986693586015</v>
      </c>
      <c r="Y311">
        <v>1780.740276098659</v>
      </c>
      <c r="Z311">
        <v>789.37877466952784</v>
      </c>
    </row>
    <row r="312" spans="1:27" x14ac:dyDescent="0.2">
      <c r="A312" t="str">
        <v>OT Non-econ</v>
      </c>
      <c r="C312" s="26">
        <f ca="1"/>
        <v>0.21739102849243688</v>
      </c>
      <c r="D312" s="26">
        <f ca="1"/>
        <v>0.26267768883286319</v>
      </c>
      <c r="E312" s="26">
        <f ca="1"/>
        <v>0.41785899004121851</v>
      </c>
      <c r="F312" s="26">
        <f ca="1"/>
        <v>0.80530941891406904</v>
      </c>
      <c r="G312" s="26">
        <f ca="1"/>
        <v>1.2522286029210916</v>
      </c>
      <c r="H312" s="26">
        <f ca="1"/>
        <v>1.9578888957835909</v>
      </c>
      <c r="I312" s="26">
        <f ca="1"/>
        <v>2.9540526615719229</v>
      </c>
      <c r="J312" s="26">
        <f ca="1"/>
        <v>4.1547680459287193</v>
      </c>
      <c r="K312" s="26">
        <f ca="1"/>
        <v>5.6856135801800267</v>
      </c>
      <c r="L312" s="26">
        <f ca="1"/>
        <v>7.2392146728874991</v>
      </c>
      <c r="M312" s="6"/>
      <c r="N312" s="59" t="s">
        <v>132</v>
      </c>
      <c r="Q312">
        <v>1990.317156230715</v>
      </c>
      <c r="R312">
        <v>1255.0019685057825</v>
      </c>
      <c r="S312">
        <v>1776.3370011275188</v>
      </c>
      <c r="T312">
        <v>2107.5048846850432</v>
      </c>
      <c r="U312">
        <v>1853.4416966818851</v>
      </c>
      <c r="V312">
        <v>1607.9006187189816</v>
      </c>
      <c r="W312">
        <v>1375.7159618222977</v>
      </c>
      <c r="X312">
        <v>1154.6923183604661</v>
      </c>
      <c r="Y312">
        <v>953.15988237658837</v>
      </c>
      <c r="Z312">
        <v>388.4312004223346</v>
      </c>
    </row>
    <row r="313" spans="1:27" x14ac:dyDescent="0.2">
      <c r="A313" t="str">
        <v>EE Non-econ</v>
      </c>
      <c r="C313" s="26">
        <f ca="1"/>
        <v>0.35340261884390656</v>
      </c>
      <c r="D313" s="26">
        <f ca="1"/>
        <v>0.55003843294969224</v>
      </c>
      <c r="E313" s="26">
        <f ca="1"/>
        <v>0.73516279045014254</v>
      </c>
      <c r="F313" s="26">
        <f ca="1"/>
        <v>1.257219744941084</v>
      </c>
      <c r="G313" s="26">
        <f ca="1"/>
        <v>2.0485560605579347</v>
      </c>
      <c r="H313" s="26">
        <f ca="1"/>
        <v>3.0825262842131429</v>
      </c>
      <c r="I313" s="26">
        <f ca="1"/>
        <v>4.5283485286855818</v>
      </c>
      <c r="J313" s="26">
        <f ca="1"/>
        <v>6.1040659247305218</v>
      </c>
      <c r="K313" s="26">
        <f ca="1"/>
        <v>8.5736884285519057</v>
      </c>
      <c r="L313" s="26">
        <f ca="1"/>
        <v>10.600496894547883</v>
      </c>
      <c r="M313" s="6"/>
      <c r="N313" s="59" t="s">
        <v>132</v>
      </c>
      <c r="Q313">
        <v>9826.6054363394578</v>
      </c>
      <c r="R313">
        <v>6223.010026983422</v>
      </c>
      <c r="S313">
        <v>8797.1859940073919</v>
      </c>
      <c r="T313">
        <v>10200.988114705027</v>
      </c>
      <c r="U313">
        <v>8622.3638162845327</v>
      </c>
      <c r="V313">
        <v>7109.1345337649564</v>
      </c>
      <c r="W313">
        <v>5744.3559674504895</v>
      </c>
      <c r="X313">
        <v>4571.4493052692469</v>
      </c>
      <c r="Y313">
        <v>3571.443654170133</v>
      </c>
      <c r="Z313">
        <v>1362.5965597765826</v>
      </c>
    </row>
    <row r="314" spans="1:27" x14ac:dyDescent="0.2">
      <c r="A314" t="str">
        <v>CA Non-econ</v>
      </c>
      <c r="C314" s="26">
        <f ca="1"/>
        <v>0.15902718601000099</v>
      </c>
      <c r="D314" s="26">
        <f ca="1"/>
        <v>0.26848179472501976</v>
      </c>
      <c r="E314" s="26">
        <f ca="1"/>
        <v>0.39425969055205534</v>
      </c>
      <c r="F314" s="26">
        <f ca="1"/>
        <v>0.68029250175906852</v>
      </c>
      <c r="G314" s="26">
        <f ca="1"/>
        <v>1.0982038243916319</v>
      </c>
      <c r="H314" s="26">
        <f ca="1"/>
        <v>1.6295318434783479</v>
      </c>
      <c r="I314" s="26">
        <f ca="1"/>
        <v>2.5216195612782704</v>
      </c>
      <c r="J314" s="26">
        <f ca="1"/>
        <v>3.5024037205889416</v>
      </c>
      <c r="K314" s="26">
        <f ca="1"/>
        <v>4.8719553301544263</v>
      </c>
      <c r="L314" s="26">
        <f ca="1"/>
        <v>6.1294827459174046</v>
      </c>
      <c r="M314" s="6"/>
      <c r="N314" s="59" t="s">
        <v>132</v>
      </c>
      <c r="Q314">
        <v>18213.058718904904</v>
      </c>
      <c r="R314">
        <v>11967.541445836696</v>
      </c>
      <c r="S314">
        <v>17536.514753006963</v>
      </c>
      <c r="T314">
        <v>21898.528817911159</v>
      </c>
      <c r="U314">
        <v>19957.806374893</v>
      </c>
      <c r="V314">
        <v>17722.134921825822</v>
      </c>
      <c r="W314">
        <v>15370.743074317586</v>
      </c>
      <c r="X314">
        <v>13033.203860891063</v>
      </c>
      <c r="Y314">
        <v>10816.33018475015</v>
      </c>
      <c r="Z314">
        <v>4405.1730338676207</v>
      </c>
    </row>
    <row r="315" spans="1:27" x14ac:dyDescent="0.2">
      <c r="A315" t="str">
        <v>IA Non-econ</v>
      </c>
      <c r="C315" s="26">
        <f ca="1"/>
        <v>6.2028810454856503E-2</v>
      </c>
      <c r="D315" s="26">
        <f ca="1"/>
        <v>9.9027875397278309E-2</v>
      </c>
      <c r="E315" s="26">
        <f ca="1"/>
        <v>0.14051364558577778</v>
      </c>
      <c r="F315" s="26">
        <f ca="1"/>
        <v>0.31161083400204598</v>
      </c>
      <c r="G315" s="26">
        <f ca="1"/>
        <v>0.53955858378142452</v>
      </c>
      <c r="H315" s="26">
        <f ca="1"/>
        <v>0.86272603192583941</v>
      </c>
      <c r="I315" s="26">
        <f ca="1"/>
        <v>1.3752469109615533</v>
      </c>
      <c r="J315" s="26">
        <f ca="1"/>
        <v>1.9794426705522579</v>
      </c>
      <c r="K315" s="26">
        <f ca="1"/>
        <v>2.7661886876888815</v>
      </c>
      <c r="L315" s="26">
        <f ca="1"/>
        <v>3.5474921281528307</v>
      </c>
      <c r="M315" s="6"/>
      <c r="N315" s="59" t="s">
        <v>132</v>
      </c>
      <c r="Q315">
        <v>10650.070101781928</v>
      </c>
      <c r="R315">
        <v>7291.2597514671843</v>
      </c>
      <c r="S315">
        <v>11105.082525010837</v>
      </c>
      <c r="T315">
        <v>14933.384950664169</v>
      </c>
      <c r="U315">
        <v>14551.211946454265</v>
      </c>
      <c r="V315">
        <v>13755.584441237686</v>
      </c>
      <c r="W315">
        <v>12707.401490362032</v>
      </c>
      <c r="X315">
        <v>11491.670418254376</v>
      </c>
      <c r="Y315">
        <v>10195.532723616994</v>
      </c>
      <c r="Z315">
        <v>4445.146968010511</v>
      </c>
    </row>
    <row r="316" spans="1:27" x14ac:dyDescent="0.2">
      <c r="A316" t="str">
        <v>AF Non-econ</v>
      </c>
      <c r="C316" s="26">
        <f ca="1"/>
        <v>7.6355116838088238E-2</v>
      </c>
      <c r="D316" s="26">
        <f ca="1"/>
        <v>0.13650678362238092</v>
      </c>
      <c r="E316" s="26">
        <f ca="1"/>
        <v>0.18202878316817811</v>
      </c>
      <c r="F316" s="26">
        <f ca="1"/>
        <v>0.39846442869949861</v>
      </c>
      <c r="G316" s="26">
        <f ca="1"/>
        <v>0.64598737363041325</v>
      </c>
      <c r="H316" s="26">
        <f ca="1"/>
        <v>1.062686243396485</v>
      </c>
      <c r="I316" s="26">
        <f ca="1"/>
        <v>1.6484788558835646</v>
      </c>
      <c r="J316" s="26">
        <f ca="1"/>
        <v>2.3694730817090011</v>
      </c>
      <c r="K316" s="26">
        <f ca="1"/>
        <v>3.3454721776044405</v>
      </c>
      <c r="L316" s="26">
        <f ca="1"/>
        <v>4.3490015963150013</v>
      </c>
      <c r="M316" s="6"/>
      <c r="N316" s="59" t="s">
        <v>132</v>
      </c>
      <c r="Q316">
        <v>4501.7502722242107</v>
      </c>
      <c r="R316">
        <v>2916.6207490358252</v>
      </c>
      <c r="S316">
        <v>4215.9221401383056</v>
      </c>
      <c r="T316">
        <v>5122.2294028727401</v>
      </c>
      <c r="U316">
        <v>4547.7319500302301</v>
      </c>
      <c r="V316">
        <v>3945.426203751409</v>
      </c>
      <c r="W316">
        <v>3367.2888133269007</v>
      </c>
      <c r="X316">
        <v>2833.0082017673776</v>
      </c>
      <c r="Y316">
        <v>2338.562977083353</v>
      </c>
      <c r="Z316">
        <v>941.97398876251941</v>
      </c>
    </row>
    <row r="317" spans="1:27" x14ac:dyDescent="0.2">
      <c r="A317" t="str">
        <v>LA Non-econ</v>
      </c>
      <c r="C317" s="26">
        <f ca="1"/>
        <v>9.9352965601060855E-2</v>
      </c>
      <c r="D317" s="26">
        <f ca="1"/>
        <v>0.12257046459891785</v>
      </c>
      <c r="E317" s="26">
        <f ca="1"/>
        <v>0.18037021063938646</v>
      </c>
      <c r="F317" s="26">
        <f ca="1"/>
        <v>0.40124295181344538</v>
      </c>
      <c r="G317" s="26">
        <f ca="1"/>
        <v>0.61484866214096379</v>
      </c>
      <c r="H317" s="26">
        <f ca="1"/>
        <v>0.991924441686306</v>
      </c>
      <c r="I317" s="26">
        <f ca="1"/>
        <v>1.5552279592437903</v>
      </c>
      <c r="J317" s="26">
        <f ca="1"/>
        <v>2.2625423239396616</v>
      </c>
      <c r="K317" s="26">
        <f ca="1"/>
        <v>3.0314298605436401</v>
      </c>
      <c r="L317" s="26">
        <f ca="1"/>
        <v>3.8754908292035082</v>
      </c>
      <c r="M317" s="6"/>
      <c r="N317" s="59" t="s">
        <v>132</v>
      </c>
    </row>
    <row r="318" spans="1:27" s="2" customFormat="1" ht="14.25" x14ac:dyDescent="0.25">
      <c r="A318" s="2" t="s">
        <v>224</v>
      </c>
      <c r="C318" s="2" t="s">
        <v>240</v>
      </c>
    </row>
    <row r="319" spans="1:27" ht="14.25" x14ac:dyDescent="0.2">
      <c r="A319" t="str">
        <f t="array" ref="A319:A326">R_CODE&amp;" "&amp;I_2_NAME</f>
        <v>EU Non-econ</v>
      </c>
      <c r="C319" s="29">
        <f t="array" ref="C319:L326" ca="1">(isat_2_b/100)*rgdp_1_per_cap_b</f>
        <v>62.925842398207195</v>
      </c>
      <c r="D319" s="29">
        <f ca="1"/>
        <v>107.64126204070428</v>
      </c>
      <c r="E319" s="29">
        <f ca="1"/>
        <v>198.62911029250051</v>
      </c>
      <c r="F319" s="29">
        <f ca="1"/>
        <v>398.02354989299897</v>
      </c>
      <c r="G319" s="29">
        <f ca="1"/>
        <v>752.15750844257127</v>
      </c>
      <c r="H319" s="29">
        <f ca="1"/>
        <v>1352.0763244413156</v>
      </c>
      <c r="I319" s="29">
        <f ca="1"/>
        <v>2339.9727720568453</v>
      </c>
      <c r="J319" s="29">
        <f ca="1"/>
        <v>3775.5097560250233</v>
      </c>
      <c r="K319" s="29">
        <f ca="1"/>
        <v>6259.6020823257759</v>
      </c>
      <c r="L319" s="29">
        <f ca="1"/>
        <v>9249.9597578186167</v>
      </c>
      <c r="M319" s="6"/>
      <c r="N319" s="1" t="str">
        <f t="shared" ref="N319:N326" si="31">CURRENCY_NAME&amp;"/"&amp;POP_UNIT_NAME</f>
        <v>$M(2015)/million</v>
      </c>
      <c r="O319" s="1"/>
      <c r="Q319">
        <f ca="1">C319*Q309</f>
        <v>234784.47150763005</v>
      </c>
      <c r="R319">
        <f t="shared" ref="R319:R326" ca="1" si="32">D319*R309</f>
        <v>261154.14587253678</v>
      </c>
      <c r="S319">
        <f t="shared" ref="S319:S326" ca="1" si="33">E319*S309</f>
        <v>705672.13722234673</v>
      </c>
      <c r="T319">
        <f t="shared" ref="T319:T326" ca="1" si="34">F319*T309</f>
        <v>1797059.7345278568</v>
      </c>
      <c r="U319">
        <f t="shared" ref="U319:U326" ca="1" si="35">G319*U309</f>
        <v>3245839.6373770861</v>
      </c>
      <c r="V319">
        <f t="shared" ref="V319:V326" ca="1" si="36">H319*V309</f>
        <v>5568497.1648904067</v>
      </c>
      <c r="W319">
        <f t="shared" ref="W319:W326" ca="1" si="37">I319*W309</f>
        <v>9104692.0451858304</v>
      </c>
      <c r="X319">
        <f t="shared" ref="X319:X326" ca="1" si="38">J319*X309</f>
        <v>13733828.781786297</v>
      </c>
      <c r="Y319">
        <f t="shared" ref="Y319:Y326" ca="1" si="39">K319*Y309</f>
        <v>21045426.175201077</v>
      </c>
      <c r="Z319">
        <f t="shared" ref="Z319:Z326" ca="1" si="40">L319*Z309</f>
        <v>14242256.793924717</v>
      </c>
      <c r="AA319" s="330">
        <f ca="1">SUM(Q319:Z319)</f>
        <v>69939211.087495789</v>
      </c>
    </row>
    <row r="320" spans="1:27" ht="14.25" x14ac:dyDescent="0.2">
      <c r="A320" t="str">
        <v>US Non-econ</v>
      </c>
      <c r="C320" s="26">
        <f ca="1"/>
        <v>103.55958141512271</v>
      </c>
      <c r="D320" s="26">
        <f ca="1"/>
        <v>152.70072970341238</v>
      </c>
      <c r="E320" s="26">
        <f ca="1"/>
        <v>254.57511627648591</v>
      </c>
      <c r="F320" s="26">
        <f ca="1"/>
        <v>560.49118322934316</v>
      </c>
      <c r="G320" s="26">
        <f ca="1"/>
        <v>968.3196957769228</v>
      </c>
      <c r="H320" s="26">
        <f ca="1"/>
        <v>1760.2163249222701</v>
      </c>
      <c r="I320" s="26">
        <f ca="1"/>
        <v>3023.7552095526612</v>
      </c>
      <c r="J320" s="26">
        <f ca="1"/>
        <v>4888.6534236877014</v>
      </c>
      <c r="K320" s="26">
        <f ca="1"/>
        <v>7487.4070204141817</v>
      </c>
      <c r="L320" s="26">
        <f ca="1"/>
        <v>10953.65596068217</v>
      </c>
      <c r="M320" s="6"/>
      <c r="N320" s="1" t="str">
        <f t="shared" si="31"/>
        <v>$M(2015)/million</v>
      </c>
      <c r="O320" s="1"/>
      <c r="Q320">
        <f ca="1">C320*Q310</f>
        <v>255718.98084848461</v>
      </c>
      <c r="R320">
        <f t="shared" ca="1" si="32"/>
        <v>252722.86519855671</v>
      </c>
      <c r="S320">
        <f t="shared" ca="1" si="33"/>
        <v>635177.91740361601</v>
      </c>
      <c r="T320">
        <f t="shared" ca="1" si="34"/>
        <v>1870963.774252991</v>
      </c>
      <c r="U320">
        <f t="shared" ca="1" si="35"/>
        <v>3231454.7675347379</v>
      </c>
      <c r="V320">
        <f t="shared" ca="1" si="36"/>
        <v>5872733.2436255077</v>
      </c>
      <c r="W320">
        <f t="shared" ca="1" si="37"/>
        <v>10013265.778510161</v>
      </c>
      <c r="X320">
        <f t="shared" ca="1" si="38"/>
        <v>15885149.500355791</v>
      </c>
      <c r="Y320">
        <f t="shared" ca="1" si="39"/>
        <v>23496575.280795064</v>
      </c>
      <c r="Z320">
        <f t="shared" ca="1" si="40"/>
        <v>16322014.999891343</v>
      </c>
      <c r="AA320" s="330">
        <f ca="1">SUM(Q320:Z320)</f>
        <v>77835777.108416259</v>
      </c>
    </row>
    <row r="321" spans="1:27" ht="14.25" x14ac:dyDescent="0.2">
      <c r="A321" t="str">
        <v>OT Non-econ</v>
      </c>
      <c r="C321" s="26">
        <f ca="1"/>
        <v>79.637995893232173</v>
      </c>
      <c r="D321" s="26">
        <f ca="1"/>
        <v>106.87995930962857</v>
      </c>
      <c r="E321" s="26">
        <f ca="1"/>
        <v>190.16992938959964</v>
      </c>
      <c r="F321" s="26">
        <f ca="1"/>
        <v>457.5247692196408</v>
      </c>
      <c r="G321" s="26">
        <f ca="1"/>
        <v>870.11300342868299</v>
      </c>
      <c r="H321" s="26">
        <f ca="1"/>
        <v>1639.5820440586006</v>
      </c>
      <c r="I321" s="26">
        <f ca="1"/>
        <v>2981.3494308816767</v>
      </c>
      <c r="J321" s="26">
        <f ca="1"/>
        <v>4999.6992753245931</v>
      </c>
      <c r="K321" s="26">
        <f ca="1"/>
        <v>8108.8308093109272</v>
      </c>
      <c r="L321" s="26">
        <f ca="1"/>
        <v>12232.07768102403</v>
      </c>
      <c r="M321" s="6"/>
      <c r="N321" s="1" t="str">
        <f t="shared" si="31"/>
        <v>$M(2015)/million</v>
      </c>
      <c r="O321" s="1"/>
      <c r="Q321">
        <f t="shared" ref="Q321:Q326" ca="1" si="41">C321*Q311</f>
        <v>178324.99927472608</v>
      </c>
      <c r="R321">
        <f t="shared" ca="1" si="32"/>
        <v>155896.33976577368</v>
      </c>
      <c r="S321">
        <f t="shared" ca="1" si="33"/>
        <v>405587.34488423791</v>
      </c>
      <c r="T321">
        <f t="shared" ca="1" si="34"/>
        <v>1229072.1431979137</v>
      </c>
      <c r="U321">
        <f t="shared" ca="1" si="35"/>
        <v>2198673.3637598841</v>
      </c>
      <c r="V321">
        <f t="shared" ca="1" si="36"/>
        <v>3876568.4412899124</v>
      </c>
      <c r="W321">
        <f t="shared" ca="1" si="37"/>
        <v>6502210.9945702273</v>
      </c>
      <c r="X321">
        <f t="shared" ca="1" si="38"/>
        <v>9923396.4688574169</v>
      </c>
      <c r="Y321">
        <f t="shared" ca="1" si="39"/>
        <v>14439721.614209654</v>
      </c>
      <c r="Z321">
        <f t="shared" ca="1" si="40"/>
        <v>9655742.4915092289</v>
      </c>
      <c r="AA321" s="331">
        <f t="shared" ref="AA321:AA327" ca="1" si="42">SUM(Q321:Z321)</f>
        <v>48565194.201318972</v>
      </c>
    </row>
    <row r="322" spans="1:27" ht="14.25" x14ac:dyDescent="0.2">
      <c r="A322" t="str">
        <v>EE Non-econ</v>
      </c>
      <c r="C322" s="26">
        <f ca="1"/>
        <v>66.151979370230052</v>
      </c>
      <c r="D322" s="26">
        <f ca="1"/>
        <v>126.68070140287335</v>
      </c>
      <c r="E322" s="26">
        <f ca="1"/>
        <v>207.11695030415956</v>
      </c>
      <c r="F322" s="26">
        <f ca="1"/>
        <v>496.97924020944777</v>
      </c>
      <c r="G322" s="26">
        <f ca="1"/>
        <v>1036.9980226804007</v>
      </c>
      <c r="H322" s="26">
        <f ca="1"/>
        <v>1944.316726033315</v>
      </c>
      <c r="I322" s="26">
        <f ca="1"/>
        <v>3568.0430455593696</v>
      </c>
      <c r="J322" s="26">
        <f ca="1"/>
        <v>5847.0910069020074</v>
      </c>
      <c r="K322" s="26">
        <f ca="1"/>
        <v>10024.661521362656</v>
      </c>
      <c r="L322" s="26">
        <f ca="1"/>
        <v>15121.851696014703</v>
      </c>
      <c r="M322" s="6"/>
      <c r="N322" s="1" t="str">
        <f t="shared" si="31"/>
        <v>$M(2015)/million</v>
      </c>
      <c r="O322" s="1"/>
      <c r="Q322">
        <f t="shared" ca="1" si="41"/>
        <v>131663.4194591892</v>
      </c>
      <c r="R322">
        <f t="shared" ca="1" si="32"/>
        <v>158984.52963229929</v>
      </c>
      <c r="S322">
        <f t="shared" ca="1" si="33"/>
        <v>367909.50238596811</v>
      </c>
      <c r="T322">
        <f t="shared" ca="1" si="34"/>
        <v>1047386.1763284726</v>
      </c>
      <c r="U322">
        <f t="shared" ca="1" si="35"/>
        <v>1922015.3746125218</v>
      </c>
      <c r="V322">
        <f t="shared" ca="1" si="36"/>
        <v>3126268.0667746319</v>
      </c>
      <c r="W322">
        <f t="shared" ca="1" si="37"/>
        <v>4908613.7702450687</v>
      </c>
      <c r="X322">
        <f t="shared" ca="1" si="38"/>
        <v>6751591.0704243109</v>
      </c>
      <c r="Y322">
        <f t="shared" ca="1" si="39"/>
        <v>9555105.1965671405</v>
      </c>
      <c r="Z322">
        <f t="shared" ca="1" si="40"/>
        <v>5873799.0068915077</v>
      </c>
      <c r="AA322" s="331">
        <f t="shared" ca="1" si="42"/>
        <v>33843336.113321111</v>
      </c>
    </row>
    <row r="323" spans="1:27" ht="14.25" x14ac:dyDescent="0.2">
      <c r="A323" t="str">
        <v>CA Non-econ</v>
      </c>
      <c r="C323" s="26">
        <f ca="1"/>
        <v>30.912213981369685</v>
      </c>
      <c r="D323" s="26">
        <f ca="1"/>
        <v>71.440795641960065</v>
      </c>
      <c r="E323" s="26">
        <f ca="1"/>
        <v>136.7813598900598</v>
      </c>
      <c r="F323" s="26">
        <f ca="1"/>
        <v>348.61334224986905</v>
      </c>
      <c r="G323" s="26">
        <f ca="1"/>
        <v>736.99468186948388</v>
      </c>
      <c r="H323" s="26">
        <f ca="1"/>
        <v>1330.3177316589708</v>
      </c>
      <c r="I323" s="26">
        <f ca="1"/>
        <v>2435.7940295750154</v>
      </c>
      <c r="J323" s="26">
        <f ca="1"/>
        <v>3932.3966978408439</v>
      </c>
      <c r="K323" s="26">
        <f ca="1"/>
        <v>6332.9447506309307</v>
      </c>
      <c r="L323" s="26">
        <f ca="1"/>
        <v>9239.806516818102</v>
      </c>
      <c r="M323" s="6"/>
      <c r="N323" s="1" t="str">
        <f t="shared" si="31"/>
        <v>$M(2015)/million</v>
      </c>
      <c r="O323" s="1"/>
      <c r="Q323">
        <f t="shared" ca="1" si="41"/>
        <v>303762.12995861593</v>
      </c>
      <c r="R323">
        <f t="shared" ca="1" si="32"/>
        <v>444576.78761559102</v>
      </c>
      <c r="S323">
        <f t="shared" ca="1" si="33"/>
        <v>1203291.0634661186</v>
      </c>
      <c r="T323">
        <f t="shared" ca="1" si="34"/>
        <v>3556200.56091851</v>
      </c>
      <c r="U323">
        <f t="shared" ca="1" si="35"/>
        <v>6354636.2777455682</v>
      </c>
      <c r="V323">
        <f t="shared" ca="1" si="36"/>
        <v>9457407.727016652</v>
      </c>
      <c r="W323">
        <f t="shared" ca="1" si="37"/>
        <v>13992067.969269514</v>
      </c>
      <c r="X323">
        <f t="shared" ca="1" si="38"/>
        <v>17976752.152387608</v>
      </c>
      <c r="Y323">
        <f t="shared" ca="1" si="39"/>
        <v>22617755.341850892</v>
      </c>
      <c r="Z323">
        <f t="shared" ca="1" si="40"/>
        <v>12590128.572817594</v>
      </c>
      <c r="AA323" s="331">
        <f t="shared" ca="1" si="42"/>
        <v>88496578.58304666</v>
      </c>
    </row>
    <row r="324" spans="1:27" ht="14.25" x14ac:dyDescent="0.2">
      <c r="A324" t="str">
        <v>IA Non-econ</v>
      </c>
      <c r="C324" s="26">
        <f ca="1"/>
        <v>4.9174035954356858</v>
      </c>
      <c r="D324" s="26">
        <f ca="1"/>
        <v>10.365837271104633</v>
      </c>
      <c r="E324" s="26">
        <f ca="1"/>
        <v>19.14479012659336</v>
      </c>
      <c r="F324" s="26">
        <f ca="1"/>
        <v>66.827152401467359</v>
      </c>
      <c r="G324" s="26">
        <f ca="1"/>
        <v>167.61593194702124</v>
      </c>
      <c r="H324" s="26">
        <f ca="1"/>
        <v>364.16324064275835</v>
      </c>
      <c r="I324" s="26">
        <f ca="1"/>
        <v>755.57224413028848</v>
      </c>
      <c r="J324" s="26">
        <f ca="1"/>
        <v>1380.7936965998385</v>
      </c>
      <c r="K324" s="26">
        <f ca="1"/>
        <v>2419.8520810640416</v>
      </c>
      <c r="L324" s="26">
        <f ca="1"/>
        <v>3859.5808062091551</v>
      </c>
      <c r="M324" s="6"/>
      <c r="N324" s="1" t="str">
        <f t="shared" si="31"/>
        <v>$M(2015)/million</v>
      </c>
      <c r="O324" s="1"/>
      <c r="Q324">
        <f t="shared" ca="1" si="41"/>
        <v>89560.960428224236</v>
      </c>
      <c r="R324">
        <f t="shared" ca="1" si="32"/>
        <v>124053.58716274345</v>
      </c>
      <c r="S324">
        <f t="shared" ca="1" si="33"/>
        <v>335732.89449822652</v>
      </c>
      <c r="T324">
        <f t="shared" ca="1" si="34"/>
        <v>1463416.3226824738</v>
      </c>
      <c r="U324">
        <f t="shared" ca="1" si="35"/>
        <v>3345246.3151458916</v>
      </c>
      <c r="V324">
        <f t="shared" ca="1" si="36"/>
        <v>6453750.0842402885</v>
      </c>
      <c r="W324">
        <f t="shared" ca="1" si="37"/>
        <v>11613706.838612229</v>
      </c>
      <c r="X324">
        <f t="shared" ca="1" si="38"/>
        <v>17996165.737619057</v>
      </c>
      <c r="Y324">
        <f t="shared" ca="1" si="39"/>
        <v>26173919.10704346</v>
      </c>
      <c r="Z324">
        <f t="shared" ca="1" si="40"/>
        <v>17002121.289545622</v>
      </c>
      <c r="AA324" s="331">
        <f t="shared" ca="1" si="42"/>
        <v>84597673.136978224</v>
      </c>
    </row>
    <row r="325" spans="1:27" ht="14.25" x14ac:dyDescent="0.2">
      <c r="A325" t="str">
        <v>AF Non-econ</v>
      </c>
      <c r="C325" s="26">
        <f ca="1"/>
        <v>4.7567317946546996</v>
      </c>
      <c r="D325" s="26">
        <f ca="1"/>
        <v>10.200139768912809</v>
      </c>
      <c r="E325" s="26">
        <f ca="1"/>
        <v>16.712501162854792</v>
      </c>
      <c r="F325" s="26">
        <f ca="1"/>
        <v>55.348966334752419</v>
      </c>
      <c r="G325" s="26">
        <f ca="1"/>
        <v>132.09584398824543</v>
      </c>
      <c r="H325" s="26">
        <f ca="1"/>
        <v>309.11481083736402</v>
      </c>
      <c r="I325" s="26">
        <f ca="1"/>
        <v>662.26189651643733</v>
      </c>
      <c r="J325" s="26">
        <f ca="1"/>
        <v>1278.7169632538466</v>
      </c>
      <c r="K325" s="26">
        <f ca="1"/>
        <v>2396.3830012968115</v>
      </c>
      <c r="L325" s="26">
        <f ca="1"/>
        <v>4099.711529108572</v>
      </c>
      <c r="M325" s="6"/>
      <c r="N325" s="1" t="str">
        <f t="shared" si="31"/>
        <v>$M(2015)/million</v>
      </c>
      <c r="O325" s="1"/>
      <c r="Q325">
        <f t="shared" ca="1" si="41"/>
        <v>50659.527068447511</v>
      </c>
      <c r="R325">
        <f t="shared" ca="1" si="32"/>
        <v>74371.868556413756</v>
      </c>
      <c r="S325">
        <f t="shared" ca="1" si="33"/>
        <v>185593.70461284206</v>
      </c>
      <c r="T325">
        <f t="shared" ca="1" si="34"/>
        <v>826547.42089820956</v>
      </c>
      <c r="U325">
        <f t="shared" ca="1" si="35"/>
        <v>1922154.6231187158</v>
      </c>
      <c r="V325">
        <f t="shared" ca="1" si="36"/>
        <v>4252054.8825105755</v>
      </c>
      <c r="W325">
        <f t="shared" ca="1" si="37"/>
        <v>8415627.8108029608</v>
      </c>
      <c r="X325">
        <f t="shared" ca="1" si="38"/>
        <v>14694593.899944298</v>
      </c>
      <c r="Y325">
        <f t="shared" ca="1" si="39"/>
        <v>24432401.308041148</v>
      </c>
      <c r="Z325">
        <f t="shared" ca="1" si="40"/>
        <v>18223820.273334704</v>
      </c>
      <c r="AA325" s="331">
        <f t="shared" ca="1" si="42"/>
        <v>73077825.318888307</v>
      </c>
    </row>
    <row r="326" spans="1:27" ht="14.25" x14ac:dyDescent="0.2">
      <c r="A326" t="str">
        <v>LA Non-econ</v>
      </c>
      <c r="C326" s="26">
        <f ca="1"/>
        <v>14.805981868411743</v>
      </c>
      <c r="D326" s="26">
        <f ca="1"/>
        <v>21.484360491254453</v>
      </c>
      <c r="E326" s="26">
        <f ca="1"/>
        <v>37.456825758116004</v>
      </c>
      <c r="F326" s="26">
        <f ca="1"/>
        <v>117.92397640724178</v>
      </c>
      <c r="G326" s="26">
        <f ca="1"/>
        <v>249.83663854297714</v>
      </c>
      <c r="H326" s="26">
        <f ca="1"/>
        <v>529.0910799020761</v>
      </c>
      <c r="I326" s="26">
        <f ca="1"/>
        <v>1048.1740610581253</v>
      </c>
      <c r="J326" s="26">
        <f ca="1"/>
        <v>1889.3590304763945</v>
      </c>
      <c r="K326" s="26">
        <f ca="1"/>
        <v>3123.3811174460898</v>
      </c>
      <c r="L326" s="26">
        <f ca="1"/>
        <v>4902.8662592584669</v>
      </c>
      <c r="M326" s="6"/>
      <c r="N326" s="1" t="str">
        <f t="shared" si="31"/>
        <v>$M(2015)/million</v>
      </c>
      <c r="O326" s="1"/>
      <c r="Q326">
        <f t="shared" ca="1" si="41"/>
        <v>66652.832906669297</v>
      </c>
      <c r="R326">
        <f t="shared" ca="1" si="32"/>
        <v>62661.73158855825</v>
      </c>
      <c r="S326">
        <f t="shared" ca="1" si="33"/>
        <v>157915.06101294403</v>
      </c>
      <c r="T326">
        <f t="shared" ca="1" si="34"/>
        <v>604033.65925684513</v>
      </c>
      <c r="U326">
        <f t="shared" ca="1" si="35"/>
        <v>1136190.0633900512</v>
      </c>
      <c r="V326">
        <f t="shared" ca="1" si="36"/>
        <v>2087489.8108167816</v>
      </c>
      <c r="W326">
        <f t="shared" ca="1" si="37"/>
        <v>3529504.7902204529</v>
      </c>
      <c r="X326">
        <f t="shared" ca="1" si="38"/>
        <v>5352569.6294228863</v>
      </c>
      <c r="Y326">
        <f t="shared" ca="1" si="39"/>
        <v>7304223.4445806574</v>
      </c>
      <c r="Z326">
        <f t="shared" ca="1" si="40"/>
        <v>4618372.4866028707</v>
      </c>
      <c r="AA326" s="331">
        <f t="shared" ca="1" si="42"/>
        <v>24919613.50979872</v>
      </c>
    </row>
    <row r="327" spans="1:27" s="2" customFormat="1" ht="14.25" x14ac:dyDescent="0.25">
      <c r="A327" s="2" t="s">
        <v>226</v>
      </c>
      <c r="C327" s="2" t="s">
        <v>242</v>
      </c>
      <c r="AA327" s="332">
        <f ca="1">_xll.RiskOutput("NonEcomic_b")+SUM(AA319:AA326)</f>
        <v>501275209.05926406</v>
      </c>
    </row>
    <row r="328" spans="1:27" x14ac:dyDescent="0.2">
      <c r="A328" t="str">
        <f t="array" ref="A328:A335">R_CODE&amp;" "&amp;I_2_NAME</f>
        <v>EU Non-econ</v>
      </c>
      <c r="C328" s="29">
        <f t="array" ref="C328:L335" ca="1">rcons_1_per_cap_b-isat_2_per_cap_b</f>
        <v>33753.526139229507</v>
      </c>
      <c r="D328" s="29">
        <f ca="1"/>
        <v>37743.442232673755</v>
      </c>
      <c r="E328" s="29">
        <f ca="1"/>
        <v>42239.392358782294</v>
      </c>
      <c r="F328" s="29">
        <f ca="1"/>
        <v>52480.505239164217</v>
      </c>
      <c r="G328" s="29">
        <f ca="1"/>
        <v>63269.789198528095</v>
      </c>
      <c r="H328" s="29">
        <f ca="1"/>
        <v>75013.165004766503</v>
      </c>
      <c r="I328" s="29">
        <f ca="1"/>
        <v>89191.798530883185</v>
      </c>
      <c r="J328" s="29">
        <f ca="1"/>
        <v>105071.97801433028</v>
      </c>
      <c r="K328" s="29">
        <f ca="1"/>
        <v>122788.02801264268</v>
      </c>
      <c r="L328" s="29">
        <f ca="1"/>
        <v>144065.84404332429</v>
      </c>
      <c r="M328" s="6"/>
      <c r="N328" s="1" t="str">
        <f t="shared" ref="N328:N335" si="43">CURRENCY_NAME&amp;"/"&amp;POP_UNIT_NAME</f>
        <v>$M(2015)/million</v>
      </c>
      <c r="O328" s="1"/>
    </row>
    <row r="329" spans="1:27" x14ac:dyDescent="0.2">
      <c r="A329" t="str">
        <v>US Non-econ</v>
      </c>
      <c r="C329" s="26">
        <f ca="1"/>
        <v>47788.275794401074</v>
      </c>
      <c r="D329" s="26">
        <f ca="1"/>
        <v>51789.668200440035</v>
      </c>
      <c r="E329" s="26">
        <f ca="1"/>
        <v>56055.016089967772</v>
      </c>
      <c r="F329" s="26">
        <f ca="1"/>
        <v>65605.740268595837</v>
      </c>
      <c r="G329" s="26">
        <f ca="1"/>
        <v>75445.734477365797</v>
      </c>
      <c r="H329" s="26">
        <f ca="1"/>
        <v>85168.775738552125</v>
      </c>
      <c r="I329" s="26">
        <f ca="1"/>
        <v>96485.863774609417</v>
      </c>
      <c r="J329" s="26">
        <f ca="1"/>
        <v>109279.8948909359</v>
      </c>
      <c r="K329" s="26">
        <f ca="1"/>
        <v>123965.86036594024</v>
      </c>
      <c r="L329" s="26">
        <f ca="1"/>
        <v>141092.76778324877</v>
      </c>
      <c r="M329" s="6"/>
      <c r="N329" s="1" t="str">
        <f t="shared" si="43"/>
        <v>$M(2015)/million</v>
      </c>
      <c r="O329" s="1"/>
    </row>
    <row r="330" spans="1:27" x14ac:dyDescent="0.2">
      <c r="A330" t="str">
        <v>OT Non-econ</v>
      </c>
      <c r="C330" s="26">
        <f ca="1"/>
        <v>31058.857911081323</v>
      </c>
      <c r="D330" s="26">
        <f ca="1"/>
        <v>34478.457614217266</v>
      </c>
      <c r="E330" s="26">
        <f ca="1"/>
        <v>38493.798546486614</v>
      </c>
      <c r="F330" s="26">
        <f ca="1"/>
        <v>47833.982160018444</v>
      </c>
      <c r="G330" s="26">
        <f ca="1"/>
        <v>58192.26995037977</v>
      </c>
      <c r="H330" s="26">
        <f ca="1"/>
        <v>69541.409913712458</v>
      </c>
      <c r="I330" s="26">
        <f ca="1"/>
        <v>82804.088629012083</v>
      </c>
      <c r="J330" s="26">
        <f ca="1"/>
        <v>97286.260784232829</v>
      </c>
      <c r="K330" s="26">
        <f ca="1"/>
        <v>113118.29957361684</v>
      </c>
      <c r="L330" s="26">
        <f ca="1"/>
        <v>131392.1481319021</v>
      </c>
      <c r="M330" s="6"/>
      <c r="N330" s="1" t="str">
        <f t="shared" si="43"/>
        <v>$M(2015)/million</v>
      </c>
      <c r="O330" s="1"/>
    </row>
    <row r="331" spans="1:27" x14ac:dyDescent="0.2">
      <c r="A331" t="str">
        <v>EE Non-econ</v>
      </c>
      <c r="C331" s="26">
        <f ca="1"/>
        <v>15844.647620428792</v>
      </c>
      <c r="D331" s="26">
        <f ca="1"/>
        <v>19449.877906510053</v>
      </c>
      <c r="E331" s="26">
        <f ca="1"/>
        <v>23739.879557876022</v>
      </c>
      <c r="F331" s="26">
        <f ca="1"/>
        <v>33103.539354718181</v>
      </c>
      <c r="G331" s="26">
        <f ca="1"/>
        <v>41990.788048171555</v>
      </c>
      <c r="H331" s="26">
        <f ca="1"/>
        <v>51669.799253846613</v>
      </c>
      <c r="I331" s="26">
        <f ca="1"/>
        <v>63406.40844626935</v>
      </c>
      <c r="J331" s="26">
        <f ca="1"/>
        <v>75574.496131118955</v>
      </c>
      <c r="K331" s="26">
        <f ca="1"/>
        <v>89360.362370827541</v>
      </c>
      <c r="L331" s="26">
        <f ca="1"/>
        <v>106132.59580279482</v>
      </c>
      <c r="M331" s="6"/>
      <c r="N331" s="1" t="str">
        <f t="shared" si="43"/>
        <v>$M(2015)/million</v>
      </c>
      <c r="O331" s="1"/>
    </row>
    <row r="332" spans="1:27" x14ac:dyDescent="0.2">
      <c r="A332" t="str">
        <v>CA Non-econ</v>
      </c>
      <c r="C332" s="26">
        <f ca="1"/>
        <v>16491.660148276118</v>
      </c>
      <c r="D332" s="26">
        <f ca="1"/>
        <v>22546.359550135876</v>
      </c>
      <c r="E332" s="26">
        <f ca="1"/>
        <v>29352.450913324064</v>
      </c>
      <c r="F332" s="26">
        <f ca="1"/>
        <v>43209.318010245537</v>
      </c>
      <c r="G332" s="26">
        <f ca="1"/>
        <v>56305.738704721218</v>
      </c>
      <c r="H332" s="26">
        <f ca="1"/>
        <v>68062.009668118539</v>
      </c>
      <c r="I332" s="26">
        <f ca="1"/>
        <v>79671.156476837394</v>
      </c>
      <c r="J332" s="26">
        <f ca="1"/>
        <v>91503.123014394325</v>
      </c>
      <c r="K332" s="26">
        <f ca="1"/>
        <v>104156.63639800547</v>
      </c>
      <c r="L332" s="26">
        <f ca="1"/>
        <v>118892.30290997654</v>
      </c>
      <c r="M332" s="6"/>
      <c r="N332" s="1" t="str">
        <f t="shared" si="43"/>
        <v>$M(2015)/million</v>
      </c>
      <c r="O332" s="1"/>
    </row>
    <row r="333" spans="1:27" x14ac:dyDescent="0.2">
      <c r="A333" t="str">
        <v>IA Non-econ</v>
      </c>
      <c r="C333" s="26">
        <f ca="1"/>
        <v>6733.5530353344129</v>
      </c>
      <c r="D333" s="26">
        <f ca="1"/>
        <v>8887.0902023452891</v>
      </c>
      <c r="E333" s="26">
        <f ca="1"/>
        <v>11561.987803625891</v>
      </c>
      <c r="F333" s="26">
        <f ca="1"/>
        <v>18162.025423653155</v>
      </c>
      <c r="G333" s="26">
        <f ca="1"/>
        <v>26237.958261027758</v>
      </c>
      <c r="H333" s="26">
        <f ca="1"/>
        <v>35514.985306129369</v>
      </c>
      <c r="I333" s="26">
        <f ca="1"/>
        <v>45944.144177097849</v>
      </c>
      <c r="J333" s="26">
        <f ca="1"/>
        <v>57912.393197386416</v>
      </c>
      <c r="K333" s="26">
        <f ca="1"/>
        <v>71937.847307220625</v>
      </c>
      <c r="L333" s="26">
        <f ca="1"/>
        <v>88618.247664294147</v>
      </c>
      <c r="M333" s="6"/>
      <c r="N333" s="1" t="str">
        <f t="shared" si="43"/>
        <v>$M(2015)/million</v>
      </c>
      <c r="O333" s="1"/>
    </row>
    <row r="334" spans="1:27" x14ac:dyDescent="0.2">
      <c r="A334" t="str">
        <v>AF Non-econ</v>
      </c>
      <c r="C334" s="26">
        <f ca="1"/>
        <v>5290.5295474866489</v>
      </c>
      <c r="D334" s="26">
        <f ca="1"/>
        <v>6341.2196018023633</v>
      </c>
      <c r="E334" s="26">
        <f ca="1"/>
        <v>7787.3422978531125</v>
      </c>
      <c r="F334" s="26">
        <f ca="1"/>
        <v>11751.63253464628</v>
      </c>
      <c r="G334" s="26">
        <f ca="1"/>
        <v>17249.275986701417</v>
      </c>
      <c r="H334" s="26">
        <f ca="1"/>
        <v>24415.736088896087</v>
      </c>
      <c r="I334" s="26">
        <f ca="1"/>
        <v>33485.741278037603</v>
      </c>
      <c r="J334" s="26">
        <f ca="1"/>
        <v>44592.638451420353</v>
      </c>
      <c r="K334" s="26">
        <f ca="1"/>
        <v>58489.65768193049</v>
      </c>
      <c r="L334" s="26">
        <f ca="1"/>
        <v>76027.984967829747</v>
      </c>
      <c r="M334" s="6"/>
      <c r="N334" s="1" t="str">
        <f t="shared" si="43"/>
        <v>$M(2015)/million</v>
      </c>
      <c r="O334" s="1"/>
    </row>
    <row r="335" spans="1:27" x14ac:dyDescent="0.2">
      <c r="A335" t="str">
        <v>LA Non-econ</v>
      </c>
      <c r="C335" s="26">
        <f ca="1"/>
        <v>12652.238742980346</v>
      </c>
      <c r="D335" s="26">
        <f ca="1"/>
        <v>14877.460893019283</v>
      </c>
      <c r="E335" s="26">
        <f ca="1"/>
        <v>17614.184086306246</v>
      </c>
      <c r="F335" s="26">
        <f ca="1"/>
        <v>24863.294881926537</v>
      </c>
      <c r="G335" s="26">
        <f ca="1"/>
        <v>34288.929701464673</v>
      </c>
      <c r="H335" s="26">
        <f ca="1"/>
        <v>44809.787469376577</v>
      </c>
      <c r="I335" s="26">
        <f ca="1"/>
        <v>56239.115985644647</v>
      </c>
      <c r="J335" s="26">
        <f ca="1"/>
        <v>69090.757403701908</v>
      </c>
      <c r="K335" s="26">
        <f ca="1"/>
        <v>84454.892897215293</v>
      </c>
      <c r="L335" s="26">
        <f ca="1"/>
        <v>102630.25674457506</v>
      </c>
      <c r="M335" s="6"/>
      <c r="N335" s="1" t="str">
        <f t="shared" si="43"/>
        <v>$M(2015)/million</v>
      </c>
      <c r="O335" s="1"/>
    </row>
    <row r="336" spans="1:27" s="2" customFormat="1" ht="14.25" x14ac:dyDescent="0.25">
      <c r="A336" s="2" t="s">
        <v>228</v>
      </c>
      <c r="C336" s="2" t="s">
        <v>241</v>
      </c>
    </row>
    <row r="337" spans="1:15" x14ac:dyDescent="0.2">
      <c r="A337" t="str">
        <f t="array" ref="A337:A344">R_CODE&amp;" "&amp;I_2_NAME</f>
        <v>EU Non-econ</v>
      </c>
      <c r="C337" s="29">
        <f t="array" ref="C337:L344" ca="1" xml:space="preserve"> rcons_2_per_cap_b/(1-SAVE/100)</f>
        <v>39710.030752034712</v>
      </c>
      <c r="D337" s="29">
        <f ca="1"/>
        <v>44404.049685498539</v>
      </c>
      <c r="E337" s="29">
        <f ca="1"/>
        <v>49693.402775037997</v>
      </c>
      <c r="F337" s="29">
        <f ca="1"/>
        <v>61741.770869604959</v>
      </c>
      <c r="G337" s="29">
        <f ca="1"/>
        <v>74435.046115915407</v>
      </c>
      <c r="H337" s="29">
        <f ca="1"/>
        <v>88250.782358548822</v>
      </c>
      <c r="I337" s="29">
        <f ca="1"/>
        <v>104931.52768339198</v>
      </c>
      <c r="J337" s="29">
        <f ca="1"/>
        <v>123614.09178156503</v>
      </c>
      <c r="K337" s="29">
        <f ca="1"/>
        <v>144456.50354428552</v>
      </c>
      <c r="L337" s="29">
        <f ca="1"/>
        <v>169489.22828626388</v>
      </c>
      <c r="M337" s="6"/>
      <c r="N337" s="1" t="str">
        <f t="shared" ref="N337:N344" si="44">CURRENCY_NAME&amp;"/"&amp;POP_UNIT_NAME</f>
        <v>$M(2015)/million</v>
      </c>
      <c r="O337" s="1"/>
    </row>
    <row r="338" spans="1:15" x14ac:dyDescent="0.2">
      <c r="A338" t="str">
        <v>US Non-econ</v>
      </c>
      <c r="C338" s="26">
        <f ca="1"/>
        <v>56221.500934589501</v>
      </c>
      <c r="D338" s="26">
        <f ca="1"/>
        <v>60929.021412282396</v>
      </c>
      <c r="E338" s="26">
        <f ca="1"/>
        <v>65947.077752903264</v>
      </c>
      <c r="F338" s="26">
        <f ca="1"/>
        <v>77183.223845406872</v>
      </c>
      <c r="G338" s="26">
        <f ca="1"/>
        <v>88759.687620430355</v>
      </c>
      <c r="H338" s="26">
        <f ca="1"/>
        <v>100198.55969241427</v>
      </c>
      <c r="I338" s="26">
        <f ca="1"/>
        <v>113512.78091130521</v>
      </c>
      <c r="J338" s="26">
        <f ca="1"/>
        <v>128564.58222463047</v>
      </c>
      <c r="K338" s="26">
        <f ca="1"/>
        <v>145842.18866581205</v>
      </c>
      <c r="L338" s="26">
        <f ca="1"/>
        <v>165991.49150970444</v>
      </c>
      <c r="M338" s="6"/>
      <c r="N338" s="1" t="str">
        <f t="shared" si="44"/>
        <v>$M(2015)/million</v>
      </c>
      <c r="O338" s="1"/>
    </row>
    <row r="339" spans="1:15" x14ac:dyDescent="0.2">
      <c r="A339" t="str">
        <v>OT Non-econ</v>
      </c>
      <c r="C339" s="26">
        <f ca="1"/>
        <v>36539.83283656626</v>
      </c>
      <c r="D339" s="26">
        <f ca="1"/>
        <v>40562.891310843843</v>
      </c>
      <c r="E339" s="26">
        <f ca="1"/>
        <v>45286.82181939602</v>
      </c>
      <c r="F339" s="26">
        <f ca="1"/>
        <v>56275.273129433466</v>
      </c>
      <c r="G339" s="26">
        <f ca="1"/>
        <v>68461.494059270321</v>
      </c>
      <c r="H339" s="26">
        <f ca="1"/>
        <v>81813.423427897011</v>
      </c>
      <c r="I339" s="26">
        <f ca="1"/>
        <v>97416.574857661282</v>
      </c>
      <c r="J339" s="26">
        <f ca="1"/>
        <v>114454.42445203863</v>
      </c>
      <c r="K339" s="26">
        <f ca="1"/>
        <v>133080.35243954923</v>
      </c>
      <c r="L339" s="26">
        <f ca="1"/>
        <v>154578.99780223778</v>
      </c>
      <c r="M339" s="6"/>
      <c r="N339" s="1" t="str">
        <f t="shared" si="44"/>
        <v>$M(2015)/million</v>
      </c>
      <c r="O339" s="1"/>
    </row>
    <row r="340" spans="1:15" x14ac:dyDescent="0.2">
      <c r="A340" t="str">
        <v>EE Non-econ</v>
      </c>
      <c r="C340" s="26">
        <f ca="1"/>
        <v>18640.761906386815</v>
      </c>
      <c r="D340" s="26">
        <f ca="1"/>
        <v>22882.209301776533</v>
      </c>
      <c r="E340" s="26">
        <f ca="1"/>
        <v>27929.270068089438</v>
      </c>
      <c r="F340" s="26">
        <f ca="1"/>
        <v>38945.340417315507</v>
      </c>
      <c r="G340" s="26">
        <f ca="1"/>
        <v>49400.92711549595</v>
      </c>
      <c r="H340" s="26">
        <f ca="1"/>
        <v>60787.999122172485</v>
      </c>
      <c r="I340" s="26">
        <f ca="1"/>
        <v>74595.774642669829</v>
      </c>
      <c r="J340" s="26">
        <f ca="1"/>
        <v>88911.171918963475</v>
      </c>
      <c r="K340" s="26">
        <f ca="1"/>
        <v>105129.83808332653</v>
      </c>
      <c r="L340" s="26">
        <f ca="1"/>
        <v>124861.87741505273</v>
      </c>
      <c r="M340" s="6"/>
      <c r="N340" s="1" t="str">
        <f t="shared" si="44"/>
        <v>$M(2015)/million</v>
      </c>
      <c r="O340" s="1"/>
    </row>
    <row r="341" spans="1:15" x14ac:dyDescent="0.2">
      <c r="A341" t="str">
        <v>CA Non-econ</v>
      </c>
      <c r="C341" s="26">
        <f ca="1"/>
        <v>19401.953115618962</v>
      </c>
      <c r="D341" s="26">
        <f ca="1"/>
        <v>26525.128882512796</v>
      </c>
      <c r="E341" s="26">
        <f ca="1"/>
        <v>34532.295192145961</v>
      </c>
      <c r="F341" s="26">
        <f ca="1"/>
        <v>50834.49177675946</v>
      </c>
      <c r="G341" s="26">
        <f ca="1"/>
        <v>66242.045534966135</v>
      </c>
      <c r="H341" s="26">
        <f ca="1"/>
        <v>80072.952550727699</v>
      </c>
      <c r="I341" s="26">
        <f ca="1"/>
        <v>93730.772325691054</v>
      </c>
      <c r="J341" s="26">
        <f ca="1"/>
        <v>107650.73295811097</v>
      </c>
      <c r="K341" s="26">
        <f ca="1"/>
        <v>122537.21929177115</v>
      </c>
      <c r="L341" s="26">
        <f ca="1"/>
        <v>139873.29754114887</v>
      </c>
      <c r="M341" s="6"/>
      <c r="N341" s="1" t="str">
        <f t="shared" si="44"/>
        <v>$M(2015)/million</v>
      </c>
      <c r="O341" s="1"/>
    </row>
    <row r="342" spans="1:15" x14ac:dyDescent="0.2">
      <c r="A342" t="str">
        <v>IA Non-econ</v>
      </c>
      <c r="C342" s="26">
        <f ca="1"/>
        <v>7921.8271003934269</v>
      </c>
      <c r="D342" s="26">
        <f ca="1"/>
        <v>10455.400238053282</v>
      </c>
      <c r="E342" s="26">
        <f ca="1"/>
        <v>13602.338592501048</v>
      </c>
      <c r="F342" s="26">
        <f ca="1"/>
        <v>21367.088733709596</v>
      </c>
      <c r="G342" s="26">
        <f ca="1"/>
        <v>30868.186189444423</v>
      </c>
      <c r="H342" s="26">
        <f ca="1"/>
        <v>41782.335654269846</v>
      </c>
      <c r="I342" s="26">
        <f ca="1"/>
        <v>54051.93432599747</v>
      </c>
      <c r="J342" s="26">
        <f ca="1"/>
        <v>68132.227291042844</v>
      </c>
      <c r="K342" s="26">
        <f ca="1"/>
        <v>84632.761537906626</v>
      </c>
      <c r="L342" s="26">
        <f ca="1"/>
        <v>104256.76195799312</v>
      </c>
      <c r="M342" s="6"/>
      <c r="N342" s="1" t="str">
        <f t="shared" si="44"/>
        <v>$M(2015)/million</v>
      </c>
      <c r="O342" s="1"/>
    </row>
    <row r="343" spans="1:15" x14ac:dyDescent="0.2">
      <c r="A343" t="str">
        <v>AF Non-econ</v>
      </c>
      <c r="C343" s="26">
        <f ca="1"/>
        <v>6224.1524088078222</v>
      </c>
      <c r="D343" s="26">
        <f ca="1"/>
        <v>7460.2583550616037</v>
      </c>
      <c r="E343" s="26">
        <f ca="1"/>
        <v>9161.5791739448377</v>
      </c>
      <c r="F343" s="26">
        <f ca="1"/>
        <v>13825.45004076033</v>
      </c>
      <c r="G343" s="26">
        <f ca="1"/>
        <v>20293.265866707552</v>
      </c>
      <c r="H343" s="26">
        <f ca="1"/>
        <v>28724.395398701279</v>
      </c>
      <c r="I343" s="26">
        <f ca="1"/>
        <v>39394.989738867771</v>
      </c>
      <c r="J343" s="26">
        <f ca="1"/>
        <v>52461.9275899063</v>
      </c>
      <c r="K343" s="26">
        <f ca="1"/>
        <v>68811.361978741756</v>
      </c>
      <c r="L343" s="26">
        <f ca="1"/>
        <v>89444.688197446769</v>
      </c>
      <c r="M343" s="6"/>
      <c r="N343" s="1" t="str">
        <f t="shared" si="44"/>
        <v>$M(2015)/million</v>
      </c>
      <c r="O343" s="1"/>
    </row>
    <row r="344" spans="1:15" x14ac:dyDescent="0.2">
      <c r="A344" t="str">
        <v>LA Non-econ</v>
      </c>
      <c r="C344" s="26">
        <f ca="1"/>
        <v>14884.986756447466</v>
      </c>
      <c r="D344" s="26">
        <f ca="1"/>
        <v>17502.895168257979</v>
      </c>
      <c r="E344" s="26">
        <f ca="1"/>
        <v>20722.569513301467</v>
      </c>
      <c r="F344" s="26">
        <f ca="1"/>
        <v>29250.935155207691</v>
      </c>
      <c r="G344" s="26">
        <f ca="1"/>
        <v>40339.917295840794</v>
      </c>
      <c r="H344" s="26">
        <f ca="1"/>
        <v>52717.397022795973</v>
      </c>
      <c r="I344" s="26">
        <f ca="1"/>
        <v>66163.665865464296</v>
      </c>
      <c r="J344" s="26">
        <f ca="1"/>
        <v>81283.244004355191</v>
      </c>
      <c r="K344" s="26">
        <f ca="1"/>
        <v>99358.697526135642</v>
      </c>
      <c r="L344" s="26">
        <f ca="1"/>
        <v>120741.47852302948</v>
      </c>
      <c r="M344" s="6"/>
      <c r="N344" s="1" t="str">
        <f t="shared" si="44"/>
        <v>$M(2015)/million</v>
      </c>
      <c r="O344" s="1"/>
    </row>
    <row r="345" spans="1:15" s="2" customFormat="1" ht="14.25" x14ac:dyDescent="0.25">
      <c r="A345" s="2" t="s">
        <v>243</v>
      </c>
      <c r="C345" s="2" t="s">
        <v>244</v>
      </c>
    </row>
    <row r="346" spans="1:15" x14ac:dyDescent="0.2">
      <c r="A346" t="str">
        <f t="array" ref="A346:A353">R_CODE&amp;" discontinuity"</f>
        <v>EU discontinuity</v>
      </c>
      <c r="C346" s="29">
        <f t="array" aca="1" ref="C346:L353" ca="1">WINCF_S*WDIS</f>
        <v>3</v>
      </c>
      <c r="D346" s="29">
        <f ca="1"/>
        <v>3</v>
      </c>
      <c r="E346" s="29">
        <f ca="1"/>
        <v>3</v>
      </c>
      <c r="F346" s="29">
        <f ca="1"/>
        <v>3</v>
      </c>
      <c r="G346" s="29">
        <f ca="1"/>
        <v>3</v>
      </c>
      <c r="H346" s="29">
        <f ca="1"/>
        <v>3</v>
      </c>
      <c r="I346" s="29">
        <f ca="1"/>
        <v>3</v>
      </c>
      <c r="J346" s="29">
        <f ca="1"/>
        <v>3</v>
      </c>
      <c r="K346" s="29">
        <f ca="1"/>
        <v>3</v>
      </c>
      <c r="L346" s="29">
        <f ca="1"/>
        <v>3</v>
      </c>
      <c r="M346" s="6"/>
      <c r="N346" s="59" t="s">
        <v>132</v>
      </c>
    </row>
    <row r="347" spans="1:15" x14ac:dyDescent="0.2">
      <c r="A347" t="str">
        <v>US discontinuity</v>
      </c>
      <c r="C347" s="26">
        <f ca="1"/>
        <v>2.4</v>
      </c>
      <c r="D347" s="26">
        <f ca="1"/>
        <v>2.4</v>
      </c>
      <c r="E347" s="26">
        <f ca="1"/>
        <v>2.4</v>
      </c>
      <c r="F347" s="26">
        <f ca="1"/>
        <v>2.4</v>
      </c>
      <c r="G347" s="26">
        <f ca="1"/>
        <v>2.4</v>
      </c>
      <c r="H347" s="26">
        <f ca="1"/>
        <v>2.4</v>
      </c>
      <c r="I347" s="26">
        <f ca="1"/>
        <v>2.4</v>
      </c>
      <c r="J347" s="26">
        <f ca="1"/>
        <v>2.4</v>
      </c>
      <c r="K347" s="26">
        <f ca="1"/>
        <v>2.4</v>
      </c>
      <c r="L347" s="26">
        <f ca="1"/>
        <v>2.4</v>
      </c>
      <c r="M347" s="6"/>
      <c r="N347" s="59" t="s">
        <v>132</v>
      </c>
    </row>
    <row r="348" spans="1:15" x14ac:dyDescent="0.2">
      <c r="A348" t="str">
        <v>OT discontinuity</v>
      </c>
      <c r="C348" s="26">
        <f ca="1"/>
        <v>2.4000000000000004</v>
      </c>
      <c r="D348" s="26">
        <f ca="1"/>
        <v>2.4000000000000004</v>
      </c>
      <c r="E348" s="26">
        <f ca="1"/>
        <v>2.4000000000000004</v>
      </c>
      <c r="F348" s="26">
        <f ca="1"/>
        <v>2.4000000000000004</v>
      </c>
      <c r="G348" s="26">
        <f ca="1"/>
        <v>2.4000000000000004</v>
      </c>
      <c r="H348" s="26">
        <f ca="1"/>
        <v>2.4000000000000004</v>
      </c>
      <c r="I348" s="26">
        <f ca="1"/>
        <v>2.4000000000000004</v>
      </c>
      <c r="J348" s="26">
        <f ca="1"/>
        <v>2.4000000000000004</v>
      </c>
      <c r="K348" s="26">
        <f ca="1"/>
        <v>2.4000000000000004</v>
      </c>
      <c r="L348" s="26">
        <f ca="1"/>
        <v>2.4000000000000004</v>
      </c>
      <c r="M348" s="6"/>
      <c r="N348" s="59" t="s">
        <v>132</v>
      </c>
    </row>
    <row r="349" spans="1:15" x14ac:dyDescent="0.2">
      <c r="A349" t="str">
        <v>EE discontinuity</v>
      </c>
      <c r="C349" s="26">
        <f ca="1"/>
        <v>1.2000000000000002</v>
      </c>
      <c r="D349" s="26">
        <f ca="1"/>
        <v>1.2000000000000002</v>
      </c>
      <c r="E349" s="26">
        <f ca="1"/>
        <v>1.2000000000000002</v>
      </c>
      <c r="F349" s="26">
        <f ca="1"/>
        <v>1.2000000000000002</v>
      </c>
      <c r="G349" s="26">
        <f ca="1"/>
        <v>1.2000000000000002</v>
      </c>
      <c r="H349" s="26">
        <f ca="1"/>
        <v>1.2000000000000002</v>
      </c>
      <c r="I349" s="26">
        <f ca="1"/>
        <v>1.2000000000000002</v>
      </c>
      <c r="J349" s="26">
        <f ca="1"/>
        <v>1.2000000000000002</v>
      </c>
      <c r="K349" s="26">
        <f ca="1"/>
        <v>1.2000000000000002</v>
      </c>
      <c r="L349" s="26">
        <f ca="1"/>
        <v>1.2000000000000002</v>
      </c>
      <c r="M349" s="6"/>
      <c r="N349" s="59" t="s">
        <v>132</v>
      </c>
    </row>
    <row r="350" spans="1:15" x14ac:dyDescent="0.2">
      <c r="A350" t="str">
        <v>CA discontinuity</v>
      </c>
      <c r="C350" s="26">
        <f ca="1"/>
        <v>2.4000000000000004</v>
      </c>
      <c r="D350" s="26">
        <f ca="1"/>
        <v>2.4000000000000004</v>
      </c>
      <c r="E350" s="26">
        <f ca="1"/>
        <v>2.4000000000000004</v>
      </c>
      <c r="F350" s="26">
        <f ca="1"/>
        <v>2.4000000000000004</v>
      </c>
      <c r="G350" s="26">
        <f ca="1"/>
        <v>2.4000000000000004</v>
      </c>
      <c r="H350" s="26">
        <f ca="1"/>
        <v>2.4000000000000004</v>
      </c>
      <c r="I350" s="26">
        <f ca="1"/>
        <v>2.4000000000000004</v>
      </c>
      <c r="J350" s="26">
        <f ca="1"/>
        <v>2.4000000000000004</v>
      </c>
      <c r="K350" s="26">
        <f ca="1"/>
        <v>2.4000000000000004</v>
      </c>
      <c r="L350" s="26">
        <f ca="1"/>
        <v>2.4000000000000004</v>
      </c>
      <c r="M350" s="6"/>
      <c r="N350" s="59" t="s">
        <v>132</v>
      </c>
    </row>
    <row r="351" spans="1:15" x14ac:dyDescent="0.2">
      <c r="A351" t="str">
        <v>IA discontinuity</v>
      </c>
      <c r="C351" s="26">
        <f ca="1"/>
        <v>2.4000000000000004</v>
      </c>
      <c r="D351" s="26">
        <f ca="1"/>
        <v>2.4000000000000004</v>
      </c>
      <c r="E351" s="26">
        <f ca="1"/>
        <v>2.4000000000000004</v>
      </c>
      <c r="F351" s="26">
        <f ca="1"/>
        <v>2.4000000000000004</v>
      </c>
      <c r="G351" s="26">
        <f ca="1"/>
        <v>2.4000000000000004</v>
      </c>
      <c r="H351" s="26">
        <f ca="1"/>
        <v>2.4000000000000004</v>
      </c>
      <c r="I351" s="26">
        <f ca="1"/>
        <v>2.4000000000000004</v>
      </c>
      <c r="J351" s="26">
        <f ca="1"/>
        <v>2.4000000000000004</v>
      </c>
      <c r="K351" s="26">
        <f ca="1"/>
        <v>2.4000000000000004</v>
      </c>
      <c r="L351" s="26">
        <f ca="1"/>
        <v>2.4000000000000004</v>
      </c>
      <c r="M351" s="6"/>
      <c r="N351" s="59" t="s">
        <v>132</v>
      </c>
    </row>
    <row r="352" spans="1:15" x14ac:dyDescent="0.2">
      <c r="A352" t="str">
        <v>AF discontinuity</v>
      </c>
      <c r="C352" s="26">
        <f ca="1"/>
        <v>1.7999999999999998</v>
      </c>
      <c r="D352" s="26">
        <f ca="1"/>
        <v>1.7999999999999998</v>
      </c>
      <c r="E352" s="26">
        <f ca="1"/>
        <v>1.7999999999999998</v>
      </c>
      <c r="F352" s="26">
        <f ca="1"/>
        <v>1.7999999999999998</v>
      </c>
      <c r="G352" s="26">
        <f ca="1"/>
        <v>1.7999999999999998</v>
      </c>
      <c r="H352" s="26">
        <f ca="1"/>
        <v>1.7999999999999998</v>
      </c>
      <c r="I352" s="26">
        <f ca="1"/>
        <v>1.7999999999999998</v>
      </c>
      <c r="J352" s="26">
        <f ca="1"/>
        <v>1.7999999999999998</v>
      </c>
      <c r="K352" s="26">
        <f ca="1"/>
        <v>1.7999999999999998</v>
      </c>
      <c r="L352" s="26">
        <f ca="1"/>
        <v>1.7999999999999998</v>
      </c>
      <c r="M352" s="6"/>
      <c r="N352" s="59" t="s">
        <v>132</v>
      </c>
    </row>
    <row r="353" spans="1:14" x14ac:dyDescent="0.2">
      <c r="A353" t="str">
        <v>LA discontinuity</v>
      </c>
      <c r="C353" s="26">
        <f ca="1"/>
        <v>1.7999999999999998</v>
      </c>
      <c r="D353" s="26">
        <f ca="1"/>
        <v>1.7999999999999998</v>
      </c>
      <c r="E353" s="26">
        <f ca="1"/>
        <v>1.7999999999999998</v>
      </c>
      <c r="F353" s="26">
        <f ca="1"/>
        <v>1.7999999999999998</v>
      </c>
      <c r="G353" s="26">
        <f ca="1"/>
        <v>1.7999999999999998</v>
      </c>
      <c r="H353" s="26">
        <f ca="1"/>
        <v>1.7999999999999998</v>
      </c>
      <c r="I353" s="26">
        <f ca="1"/>
        <v>1.7999999999999998</v>
      </c>
      <c r="J353" s="26">
        <f ca="1"/>
        <v>1.7999999999999998</v>
      </c>
      <c r="K353" s="26">
        <f ca="1"/>
        <v>1.7999999999999998</v>
      </c>
      <c r="L353" s="26">
        <f ca="1"/>
        <v>1.7999999999999998</v>
      </c>
      <c r="M353" s="6"/>
      <c r="N353" s="59" t="s">
        <v>132</v>
      </c>
    </row>
    <row r="354" spans="1:14" s="2" customFormat="1" ht="14.25" x14ac:dyDescent="0.25">
      <c r="A354" s="2" t="s">
        <v>245</v>
      </c>
      <c r="C354" s="2" t="s">
        <v>246</v>
      </c>
    </row>
    <row r="355" spans="1:14" x14ac:dyDescent="0.2">
      <c r="A355" t="str">
        <f t="array" ref="A355:A362">R_CODE&amp;" discontinuity"</f>
        <v>EU discontinuity</v>
      </c>
      <c r="C355" s="29">
        <f t="array" ref="C355:L362" ca="1">IREFEQDIS*(rgdp_2_per_cap_b/GDP_PER_CAP_FOCUS_0)^IPOWDIS</f>
        <v>2.9614566151252477</v>
      </c>
      <c r="D355" s="29">
        <f ca="1"/>
        <v>2.9176670253542318</v>
      </c>
      <c r="E355" s="29">
        <f ca="1"/>
        <v>2.874212715017384</v>
      </c>
      <c r="F355" s="29">
        <f ca="1"/>
        <v>2.7922107421354356</v>
      </c>
      <c r="G355" s="29">
        <f ca="1"/>
        <v>2.7234646518737056</v>
      </c>
      <c r="H355" s="29">
        <f ca="1"/>
        <v>2.6623363955583783</v>
      </c>
      <c r="I355" s="29">
        <f ca="1"/>
        <v>2.6015845115525815</v>
      </c>
      <c r="J355" s="29">
        <f ca="1"/>
        <v>2.5453626874348734</v>
      </c>
      <c r="K355" s="29">
        <f ca="1"/>
        <v>2.4930278184739789</v>
      </c>
      <c r="L355" s="29">
        <f ca="1"/>
        <v>2.4404680376627983</v>
      </c>
      <c r="M355" s="6"/>
      <c r="N355" s="59" t="s">
        <v>132</v>
      </c>
    </row>
    <row r="356" spans="1:14" x14ac:dyDescent="0.2">
      <c r="A356" t="str">
        <v>US discontinuity</v>
      </c>
      <c r="C356" s="26">
        <f ca="1"/>
        <v>2.2618392353745862</v>
      </c>
      <c r="D356" s="26">
        <f ca="1"/>
        <v>2.2377187338230602</v>
      </c>
      <c r="E356" s="26">
        <f ca="1"/>
        <v>2.2142295924577282</v>
      </c>
      <c r="F356" s="26">
        <f ca="1"/>
        <v>2.1682648835298481</v>
      </c>
      <c r="G356" s="26">
        <f ca="1"/>
        <v>2.1282368375649288</v>
      </c>
      <c r="H356" s="26">
        <f ca="1"/>
        <v>2.0941149999453912</v>
      </c>
      <c r="I356" s="26">
        <f ca="1"/>
        <v>2.0595677827643306</v>
      </c>
      <c r="J356" s="26">
        <f ca="1"/>
        <v>2.0256568597815772</v>
      </c>
      <c r="K356" s="26">
        <f ca="1"/>
        <v>1.9918851859988678</v>
      </c>
      <c r="L356" s="26">
        <f ca="1"/>
        <v>1.9578103247540413</v>
      </c>
      <c r="M356" s="6"/>
      <c r="N356" s="59" t="s">
        <v>132</v>
      </c>
    </row>
    <row r="357" spans="1:14" x14ac:dyDescent="0.2">
      <c r="A357" t="str">
        <v>OT discontinuity</v>
      </c>
      <c r="C357" s="26">
        <f ca="1"/>
        <v>2.3955938195199376</v>
      </c>
      <c r="D357" s="26">
        <f ca="1"/>
        <v>2.3624622137763875</v>
      </c>
      <c r="E357" s="26">
        <f ca="1"/>
        <v>2.3280152040852</v>
      </c>
      <c r="F357" s="26">
        <f ca="1"/>
        <v>2.2615509513905088</v>
      </c>
      <c r="G357" s="26">
        <f ca="1"/>
        <v>2.2032099035710533</v>
      </c>
      <c r="H357" s="26">
        <f ca="1"/>
        <v>2.1514872794343547</v>
      </c>
      <c r="I357" s="26">
        <f ca="1"/>
        <v>2.1019917670529908</v>
      </c>
      <c r="J357" s="26">
        <f ca="1"/>
        <v>2.0573004133594055</v>
      </c>
      <c r="K357" s="26">
        <f ca="1"/>
        <v>2.0163543931832391</v>
      </c>
      <c r="L357" s="26">
        <f ca="1"/>
        <v>1.9764932089520124</v>
      </c>
      <c r="M357" s="6"/>
      <c r="N357" s="59" t="s">
        <v>132</v>
      </c>
    </row>
    <row r="358" spans="1:14" x14ac:dyDescent="0.2">
      <c r="A358" t="str">
        <v>EE discontinuity</v>
      </c>
      <c r="C358" s="26">
        <f ca="1"/>
        <v>1.3102582649985097</v>
      </c>
      <c r="D358" s="26">
        <f ca="1"/>
        <v>1.2749280276312214</v>
      </c>
      <c r="E358" s="26">
        <f ca="1"/>
        <v>1.2414925498581089</v>
      </c>
      <c r="F358" s="26">
        <f ca="1"/>
        <v>1.1876578087679195</v>
      </c>
      <c r="G358" s="26">
        <f ca="1"/>
        <v>1.150590319752115</v>
      </c>
      <c r="H358" s="26">
        <f ca="1"/>
        <v>1.1192051055925627</v>
      </c>
      <c r="I358" s="26">
        <f ca="1"/>
        <v>1.0890726006684168</v>
      </c>
      <c r="J358" s="26">
        <f ca="1"/>
        <v>1.0638765048705257</v>
      </c>
      <c r="K358" s="26">
        <f ca="1"/>
        <v>1.040371858826098</v>
      </c>
      <c r="L358" s="26">
        <f ca="1"/>
        <v>1.016782542455178</v>
      </c>
      <c r="M358" s="6"/>
      <c r="N358" s="59" t="s">
        <v>132</v>
      </c>
    </row>
    <row r="359" spans="1:14" x14ac:dyDescent="0.2">
      <c r="A359" t="str">
        <v>CA discontinuity</v>
      </c>
      <c r="C359" s="26">
        <f ca="1"/>
        <v>2.6065696330337458</v>
      </c>
      <c r="D359" s="26">
        <f ca="1"/>
        <v>2.5001211711841584</v>
      </c>
      <c r="E359" s="26">
        <f ca="1"/>
        <v>2.4137113474144347</v>
      </c>
      <c r="F359" s="26">
        <f ca="1"/>
        <v>2.2924203759529567</v>
      </c>
      <c r="G359" s="26">
        <f ca="1"/>
        <v>2.2129124226760766</v>
      </c>
      <c r="H359" s="26">
        <f ca="1"/>
        <v>2.1576646469353662</v>
      </c>
      <c r="I359" s="26">
        <f ca="1"/>
        <v>2.112829402933952</v>
      </c>
      <c r="J359" s="26">
        <f ca="1"/>
        <v>2.0741800811083322</v>
      </c>
      <c r="K359" s="26">
        <f ca="1"/>
        <v>2.0386671360802757</v>
      </c>
      <c r="L359" s="26">
        <f ca="1"/>
        <v>2.0030144528446812</v>
      </c>
      <c r="M359" s="6"/>
      <c r="N359" s="59" t="s">
        <v>132</v>
      </c>
    </row>
    <row r="360" spans="1:14" x14ac:dyDescent="0.2">
      <c r="A360" t="str">
        <v>IA discontinuity</v>
      </c>
      <c r="C360" s="26">
        <f ca="1"/>
        <v>2.9372348800505774</v>
      </c>
      <c r="D360" s="26">
        <f ca="1"/>
        <v>2.8305443880083483</v>
      </c>
      <c r="E360" s="26">
        <f ca="1"/>
        <v>2.7329619211248577</v>
      </c>
      <c r="F360" s="26">
        <f ca="1"/>
        <v>2.5732541250670593</v>
      </c>
      <c r="G360" s="26">
        <f ca="1"/>
        <v>2.4500817570957931</v>
      </c>
      <c r="H360" s="26">
        <f ca="1"/>
        <v>2.3531504574796678</v>
      </c>
      <c r="I360" s="26">
        <f ca="1"/>
        <v>2.2737387297035729</v>
      </c>
      <c r="J360" s="26">
        <f ca="1"/>
        <v>2.2046266176367411</v>
      </c>
      <c r="K360" s="26">
        <f ca="1"/>
        <v>2.1417901808517597</v>
      </c>
      <c r="L360" s="26">
        <f ca="1"/>
        <v>2.0830586299490013</v>
      </c>
      <c r="M360" s="6"/>
      <c r="N360" s="59" t="s">
        <v>132</v>
      </c>
    </row>
    <row r="361" spans="1:14" x14ac:dyDescent="0.2">
      <c r="A361" t="str">
        <v>AF discontinuity</v>
      </c>
      <c r="C361" s="26">
        <f ca="1"/>
        <v>2.2749191106074651</v>
      </c>
      <c r="D361" s="26">
        <f ca="1"/>
        <v>2.2206296750707639</v>
      </c>
      <c r="E361" s="26">
        <f ca="1"/>
        <v>2.1606310334454273</v>
      </c>
      <c r="F361" s="26">
        <f ca="1"/>
        <v>2.0452799041361112</v>
      </c>
      <c r="G361" s="26">
        <f ca="1"/>
        <v>1.9432547091575825</v>
      </c>
      <c r="H361" s="26">
        <f ca="1"/>
        <v>1.8552817335051772</v>
      </c>
      <c r="I361" s="26">
        <f ca="1"/>
        <v>1.7787620531857957</v>
      </c>
      <c r="J361" s="26">
        <f ca="1"/>
        <v>1.7121064196643971</v>
      </c>
      <c r="K361" s="26">
        <f ca="1"/>
        <v>1.6512847406959081</v>
      </c>
      <c r="L361" s="26">
        <f ca="1"/>
        <v>1.5945423106250651</v>
      </c>
      <c r="M361" s="6"/>
      <c r="N361" s="59" t="s">
        <v>132</v>
      </c>
    </row>
    <row r="362" spans="1:14" x14ac:dyDescent="0.2">
      <c r="A362" t="str">
        <v>LA discontinuity</v>
      </c>
      <c r="C362" s="26">
        <f ca="1"/>
        <v>2.0252417008396519</v>
      </c>
      <c r="D362" s="26">
        <f ca="1"/>
        <v>1.9819620567083145</v>
      </c>
      <c r="E362" s="26">
        <f ca="1"/>
        <v>1.9378381764773898</v>
      </c>
      <c r="F362" s="26">
        <f ca="1"/>
        <v>1.8507937354576036</v>
      </c>
      <c r="G362" s="26">
        <f ca="1"/>
        <v>1.7731493657661859</v>
      </c>
      <c r="H362" s="26">
        <f ca="1"/>
        <v>1.7109978365274054</v>
      </c>
      <c r="I362" s="26">
        <f ca="1"/>
        <v>1.6599463314677079</v>
      </c>
      <c r="J362" s="26">
        <f ca="1"/>
        <v>1.6150148417550223</v>
      </c>
      <c r="K362" s="26">
        <f ca="1"/>
        <v>1.5723499198783686</v>
      </c>
      <c r="L362" s="26">
        <f ca="1"/>
        <v>1.5320130200359354</v>
      </c>
      <c r="M362" s="6"/>
      <c r="N362" s="59" t="s">
        <v>132</v>
      </c>
    </row>
    <row r="363" spans="1:14" s="2" customFormat="1" ht="14.25" x14ac:dyDescent="0.25">
      <c r="A363" s="2" t="s">
        <v>219</v>
      </c>
      <c r="C363" s="2" t="s">
        <v>247</v>
      </c>
    </row>
    <row r="364" spans="1:14" x14ac:dyDescent="0.2">
      <c r="A364" t="str">
        <f t="array" ref="A364:A371">R_CODE&amp;" discontinuity"</f>
        <v>EU discontinuity</v>
      </c>
      <c r="C364" s="29">
        <f t="array" aca="1" ref="C364:C371" ca="1">occur_dis_1_b*(1-EXPFDIS_1)*igdpeqdis_1_b</f>
        <v>0</v>
      </c>
      <c r="D364" s="29">
        <f t="array" ref="D364:L371" ca="1">igdpdis_b+occur_dis_not_1_b*(1-EXPFDIS_NOT_1)*(igdpeqdis_not_1_b-igdpdis_b)</f>
        <v>0</v>
      </c>
      <c r="E364" s="29">
        <f ca="1"/>
        <v>0</v>
      </c>
      <c r="F364" s="29">
        <f ca="1"/>
        <v>0</v>
      </c>
      <c r="G364" s="29">
        <f ca="1"/>
        <v>0</v>
      </c>
      <c r="H364" s="29">
        <f ca="1"/>
        <v>0</v>
      </c>
      <c r="I364" s="29">
        <f ca="1"/>
        <v>0</v>
      </c>
      <c r="J364" s="29">
        <f ca="1"/>
        <v>1.0015221774170782</v>
      </c>
      <c r="K364" s="29">
        <f ca="1"/>
        <v>1.5883839180386228</v>
      </c>
      <c r="L364" s="29">
        <f ca="1"/>
        <v>1.9236528944564886</v>
      </c>
      <c r="M364" s="6"/>
      <c r="N364" s="59" t="s">
        <v>132</v>
      </c>
    </row>
    <row r="365" spans="1:14" x14ac:dyDescent="0.2">
      <c r="A365" t="str">
        <v>US discontinuity</v>
      </c>
      <c r="C365" s="26">
        <f ca="1"/>
        <v>0</v>
      </c>
      <c r="D365" s="26">
        <f ca="1"/>
        <v>0</v>
      </c>
      <c r="E365" s="26">
        <f ca="1"/>
        <v>0</v>
      </c>
      <c r="F365" s="26">
        <f ca="1"/>
        <v>0</v>
      </c>
      <c r="G365" s="26">
        <f ca="1"/>
        <v>0</v>
      </c>
      <c r="H365" s="26">
        <f ca="1"/>
        <v>0</v>
      </c>
      <c r="I365" s="26">
        <f ca="1"/>
        <v>0</v>
      </c>
      <c r="J365" s="26">
        <f ca="1"/>
        <v>0.79703386826683575</v>
      </c>
      <c r="K365" s="26">
        <f ca="1"/>
        <v>1.2671712279963492</v>
      </c>
      <c r="L365" s="26">
        <f ca="1"/>
        <v>1.5389165377742611</v>
      </c>
      <c r="M365" s="6"/>
      <c r="N365" s="59" t="s">
        <v>132</v>
      </c>
    </row>
    <row r="366" spans="1:14" x14ac:dyDescent="0.2">
      <c r="A366" t="str">
        <v>OT discontinuity</v>
      </c>
      <c r="C366" s="26">
        <f ca="1"/>
        <v>0</v>
      </c>
      <c r="D366" s="26">
        <f ca="1"/>
        <v>0</v>
      </c>
      <c r="E366" s="26">
        <f ca="1"/>
        <v>0</v>
      </c>
      <c r="F366" s="26">
        <f ca="1"/>
        <v>0</v>
      </c>
      <c r="G366" s="26">
        <f ca="1"/>
        <v>0</v>
      </c>
      <c r="H366" s="26">
        <f ca="1"/>
        <v>0</v>
      </c>
      <c r="I366" s="26">
        <f ca="1"/>
        <v>0</v>
      </c>
      <c r="J366" s="26">
        <f ca="1"/>
        <v>0.80948463641745183</v>
      </c>
      <c r="K366" s="26">
        <f ca="1"/>
        <v>1.2843508834248607</v>
      </c>
      <c r="L366" s="26">
        <f ca="1"/>
        <v>1.5566876676349928</v>
      </c>
      <c r="M366" s="6"/>
      <c r="N366" s="59" t="s">
        <v>132</v>
      </c>
    </row>
    <row r="367" spans="1:14" x14ac:dyDescent="0.2">
      <c r="A367" t="str">
        <v>EE discontinuity</v>
      </c>
      <c r="C367" s="26">
        <f ca="1"/>
        <v>0</v>
      </c>
      <c r="D367" s="26">
        <f ca="1"/>
        <v>0</v>
      </c>
      <c r="E367" s="26">
        <f ca="1"/>
        <v>0</v>
      </c>
      <c r="F367" s="26">
        <f ca="1"/>
        <v>0</v>
      </c>
      <c r="G367" s="26">
        <f ca="1"/>
        <v>0</v>
      </c>
      <c r="H367" s="26">
        <f ca="1"/>
        <v>0</v>
      </c>
      <c r="I367" s="26">
        <f ca="1"/>
        <v>0</v>
      </c>
      <c r="J367" s="26">
        <f ca="1"/>
        <v>0.41860278651863508</v>
      </c>
      <c r="K367" s="26">
        <f ca="1"/>
        <v>0.66324985321054042</v>
      </c>
      <c r="L367" s="26">
        <f ca="1"/>
        <v>0.80235412721764654</v>
      </c>
      <c r="M367" s="6"/>
      <c r="N367" s="59" t="s">
        <v>132</v>
      </c>
    </row>
    <row r="368" spans="1:14" x14ac:dyDescent="0.2">
      <c r="A368" t="str">
        <v>CA discontinuity</v>
      </c>
      <c r="C368" s="26">
        <f ca="1"/>
        <v>0</v>
      </c>
      <c r="D368" s="26">
        <f ca="1"/>
        <v>0</v>
      </c>
      <c r="E368" s="26">
        <f ca="1"/>
        <v>0</v>
      </c>
      <c r="F368" s="26">
        <f ca="1"/>
        <v>0</v>
      </c>
      <c r="G368" s="26">
        <f ca="1"/>
        <v>0</v>
      </c>
      <c r="H368" s="26">
        <f ca="1"/>
        <v>0</v>
      </c>
      <c r="I368" s="26">
        <f ca="1"/>
        <v>0</v>
      </c>
      <c r="J368" s="26">
        <f ca="1"/>
        <v>0.81612626815089195</v>
      </c>
      <c r="K368" s="26">
        <f ca="1"/>
        <v>1.2971586169294111</v>
      </c>
      <c r="L368" s="26">
        <f ca="1"/>
        <v>1.5748912470249801</v>
      </c>
      <c r="M368" s="6"/>
      <c r="N368" s="59" t="s">
        <v>132</v>
      </c>
    </row>
    <row r="369" spans="1:27" x14ac:dyDescent="0.2">
      <c r="A369" t="str">
        <v>IA discontinuity</v>
      </c>
      <c r="C369" s="26">
        <f ca="1"/>
        <v>0</v>
      </c>
      <c r="D369" s="26">
        <f ca="1"/>
        <v>0</v>
      </c>
      <c r="E369" s="26">
        <f ca="1"/>
        <v>0</v>
      </c>
      <c r="F369" s="26">
        <f ca="1"/>
        <v>0</v>
      </c>
      <c r="G369" s="26">
        <f ca="1"/>
        <v>0</v>
      </c>
      <c r="H369" s="26">
        <f ca="1"/>
        <v>0</v>
      </c>
      <c r="I369" s="26">
        <f ca="1"/>
        <v>0</v>
      </c>
      <c r="J369" s="26">
        <f ca="1"/>
        <v>0.86745298082149691</v>
      </c>
      <c r="K369" s="26">
        <f ca="1"/>
        <v>1.3688655982210542</v>
      </c>
      <c r="L369" s="26">
        <f ca="1"/>
        <v>1.6498786592528838</v>
      </c>
      <c r="M369" s="6"/>
      <c r="N369" s="59" t="s">
        <v>132</v>
      </c>
    </row>
    <row r="370" spans="1:27" x14ac:dyDescent="0.2">
      <c r="A370" t="str">
        <v>AF discontinuity</v>
      </c>
      <c r="C370" s="26">
        <f ca="1"/>
        <v>0</v>
      </c>
      <c r="D370" s="26">
        <f ca="1"/>
        <v>0</v>
      </c>
      <c r="E370" s="26">
        <f ca="1"/>
        <v>0</v>
      </c>
      <c r="F370" s="26">
        <f ca="1"/>
        <v>0</v>
      </c>
      <c r="G370" s="26">
        <f ca="1"/>
        <v>0</v>
      </c>
      <c r="H370" s="26">
        <f ca="1"/>
        <v>0</v>
      </c>
      <c r="I370" s="26">
        <f ca="1"/>
        <v>0</v>
      </c>
      <c r="J370" s="26">
        <f ca="1"/>
        <v>0.67366138344711557</v>
      </c>
      <c r="K370" s="26">
        <f ca="1"/>
        <v>1.0583262008733185</v>
      </c>
      <c r="L370" s="26">
        <f ca="1"/>
        <v>1.2693107998287965</v>
      </c>
      <c r="M370" s="6"/>
      <c r="N370" s="59" t="s">
        <v>132</v>
      </c>
    </row>
    <row r="371" spans="1:27" x14ac:dyDescent="0.2">
      <c r="A371" t="str">
        <v>LA discontinuity</v>
      </c>
      <c r="C371" s="26">
        <f ca="1"/>
        <v>0</v>
      </c>
      <c r="D371" s="26">
        <f ca="1"/>
        <v>0</v>
      </c>
      <c r="E371" s="26">
        <f ca="1"/>
        <v>0</v>
      </c>
      <c r="F371" s="26">
        <f ca="1"/>
        <v>0</v>
      </c>
      <c r="G371" s="26">
        <f ca="1"/>
        <v>0</v>
      </c>
      <c r="H371" s="26">
        <f ca="1"/>
        <v>0</v>
      </c>
      <c r="I371" s="26">
        <f ca="1"/>
        <v>0</v>
      </c>
      <c r="J371" s="26">
        <f ca="1"/>
        <v>0.63545882433965439</v>
      </c>
      <c r="K371" s="26">
        <f ca="1"/>
        <v>1.0040967456223804</v>
      </c>
      <c r="L371" s="26">
        <f ca="1"/>
        <v>1.2118156138428462</v>
      </c>
      <c r="M371" s="6"/>
      <c r="N371" s="59" t="s">
        <v>132</v>
      </c>
    </row>
    <row r="372" spans="1:27" s="2" customFormat="1" ht="14.25" x14ac:dyDescent="0.25">
      <c r="A372" s="2" t="s">
        <v>223</v>
      </c>
      <c r="C372" s="2" t="s">
        <v>249</v>
      </c>
      <c r="P372" s="2" t="s">
        <v>1121</v>
      </c>
      <c r="Q372" s="2">
        <v>3731.1295734726509</v>
      </c>
      <c r="R372" s="2">
        <v>2426.1527681994476</v>
      </c>
      <c r="S372" s="2">
        <v>3552.712571602302</v>
      </c>
      <c r="T372" s="2">
        <v>4514.9583109114074</v>
      </c>
      <c r="U372" s="2">
        <v>4315.3722470948551</v>
      </c>
      <c r="V372" s="2">
        <v>4118.4784203593954</v>
      </c>
      <c r="W372" s="2">
        <v>3890.9393108804293</v>
      </c>
      <c r="X372" s="2">
        <v>3637.6091360562946</v>
      </c>
      <c r="Y372" s="2">
        <v>3362.102877852833</v>
      </c>
      <c r="Z372" s="2">
        <v>1539.7101356993812</v>
      </c>
    </row>
    <row r="373" spans="1:27" x14ac:dyDescent="0.2">
      <c r="A373" t="str">
        <f t="array" ref="A373:A380">R_CODE&amp;" discontinuity"</f>
        <v>EU discontinuity</v>
      </c>
      <c r="C373" s="29">
        <f t="array" ref="C373:L380" ca="1">IF(igdpdis_b&lt;ISATG,igdpdis_b,ISATG+(100-SAVE-ISATG)*((igdpdis_b-ISATG)/((100-SAVE-ISATG)+(igdpdis_b-ISATG))))</f>
        <v>0</v>
      </c>
      <c r="D373" s="29">
        <f ca="1"/>
        <v>0</v>
      </c>
      <c r="E373" s="29">
        <f ca="1"/>
        <v>0</v>
      </c>
      <c r="F373" s="29">
        <f ca="1"/>
        <v>0</v>
      </c>
      <c r="G373" s="29">
        <f ca="1"/>
        <v>0</v>
      </c>
      <c r="H373" s="29">
        <f ca="1"/>
        <v>0</v>
      </c>
      <c r="I373" s="29">
        <f ca="1"/>
        <v>0</v>
      </c>
      <c r="J373" s="29">
        <f ca="1"/>
        <v>1.0015221774170782</v>
      </c>
      <c r="K373" s="29">
        <f ca="1"/>
        <v>1.5883839180386228</v>
      </c>
      <c r="L373" s="29">
        <f ca="1"/>
        <v>1.9236528944564886</v>
      </c>
      <c r="M373" s="6"/>
      <c r="N373" s="59" t="s">
        <v>132</v>
      </c>
      <c r="Q373">
        <v>2469.2933029868564</v>
      </c>
      <c r="R373">
        <v>1655.0206779588766</v>
      </c>
      <c r="S373">
        <v>2495.0510744882445</v>
      </c>
      <c r="T373">
        <v>3338.0788676695838</v>
      </c>
      <c r="U373">
        <v>3337.1775681398367</v>
      </c>
      <c r="V373">
        <v>3336.3701725041342</v>
      </c>
      <c r="W373">
        <v>3311.5332044327552</v>
      </c>
      <c r="X373">
        <v>3249.3916266154547</v>
      </c>
      <c r="Y373">
        <v>3138.1458516589769</v>
      </c>
      <c r="Z373">
        <v>1490.0974668620906</v>
      </c>
    </row>
    <row r="374" spans="1:27" x14ac:dyDescent="0.2">
      <c r="A374" t="str">
        <v>US discontinuity</v>
      </c>
      <c r="C374" s="26">
        <f ca="1"/>
        <v>0</v>
      </c>
      <c r="D374" s="26">
        <f ca="1"/>
        <v>0</v>
      </c>
      <c r="E374" s="26">
        <f ca="1"/>
        <v>0</v>
      </c>
      <c r="F374" s="26">
        <f ca="1"/>
        <v>0</v>
      </c>
      <c r="G374" s="26">
        <f ca="1"/>
        <v>0</v>
      </c>
      <c r="H374" s="26">
        <f ca="1"/>
        <v>0</v>
      </c>
      <c r="I374" s="26">
        <f ca="1"/>
        <v>0</v>
      </c>
      <c r="J374" s="26">
        <f ca="1"/>
        <v>0.79703386826683575</v>
      </c>
      <c r="K374" s="26">
        <f ca="1"/>
        <v>1.2671712279963492</v>
      </c>
      <c r="L374" s="26">
        <f ca="1"/>
        <v>1.5389165377742611</v>
      </c>
      <c r="M374" s="6"/>
      <c r="N374" s="59" t="s">
        <v>132</v>
      </c>
      <c r="Q374">
        <v>2239.1949630902322</v>
      </c>
      <c r="R374">
        <v>1458.611518686547</v>
      </c>
      <c r="S374">
        <v>2132.7627674158425</v>
      </c>
      <c r="T374">
        <v>2686.3510478224653</v>
      </c>
      <c r="U374">
        <v>2526.882548698853</v>
      </c>
      <c r="V374">
        <v>2364.3638056037162</v>
      </c>
      <c r="W374">
        <v>2180.9623948197591</v>
      </c>
      <c r="X374">
        <v>1984.7986693586015</v>
      </c>
      <c r="Y374">
        <v>1780.740276098659</v>
      </c>
      <c r="Z374">
        <v>789.37877466952784</v>
      </c>
    </row>
    <row r="375" spans="1:27" x14ac:dyDescent="0.2">
      <c r="A375" t="str">
        <v>OT discontinuity</v>
      </c>
      <c r="C375" s="26">
        <f ca="1"/>
        <v>0</v>
      </c>
      <c r="D375" s="26">
        <f ca="1"/>
        <v>0</v>
      </c>
      <c r="E375" s="26">
        <f ca="1"/>
        <v>0</v>
      </c>
      <c r="F375" s="26">
        <f ca="1"/>
        <v>0</v>
      </c>
      <c r="G375" s="26">
        <f ca="1"/>
        <v>0</v>
      </c>
      <c r="H375" s="26">
        <f ca="1"/>
        <v>0</v>
      </c>
      <c r="I375" s="26">
        <f ca="1"/>
        <v>0</v>
      </c>
      <c r="J375" s="26">
        <f ca="1"/>
        <v>0.80948463641745183</v>
      </c>
      <c r="K375" s="26">
        <f ca="1"/>
        <v>1.2843508834248607</v>
      </c>
      <c r="L375" s="26">
        <f ca="1"/>
        <v>1.5566876676349928</v>
      </c>
      <c r="M375" s="6"/>
      <c r="N375" s="59" t="s">
        <v>132</v>
      </c>
      <c r="Q375">
        <v>1990.317156230715</v>
      </c>
      <c r="R375">
        <v>1255.0019685057825</v>
      </c>
      <c r="S375">
        <v>1776.3370011275188</v>
      </c>
      <c r="T375">
        <v>2107.5048846850432</v>
      </c>
      <c r="U375">
        <v>1853.4416966818851</v>
      </c>
      <c r="V375">
        <v>1607.9006187189816</v>
      </c>
      <c r="W375">
        <v>1375.7159618222977</v>
      </c>
      <c r="X375">
        <v>1154.6923183604661</v>
      </c>
      <c r="Y375">
        <v>953.15988237658837</v>
      </c>
      <c r="Z375">
        <v>388.4312004223346</v>
      </c>
    </row>
    <row r="376" spans="1:27" x14ac:dyDescent="0.2">
      <c r="A376" t="str">
        <v>EE discontinuity</v>
      </c>
      <c r="C376" s="26">
        <f ca="1"/>
        <v>0</v>
      </c>
      <c r="D376" s="26">
        <f ca="1"/>
        <v>0</v>
      </c>
      <c r="E376" s="26">
        <f ca="1"/>
        <v>0</v>
      </c>
      <c r="F376" s="26">
        <f ca="1"/>
        <v>0</v>
      </c>
      <c r="G376" s="26">
        <f ca="1"/>
        <v>0</v>
      </c>
      <c r="H376" s="26">
        <f ca="1"/>
        <v>0</v>
      </c>
      <c r="I376" s="26">
        <f ca="1"/>
        <v>0</v>
      </c>
      <c r="J376" s="26">
        <f ca="1"/>
        <v>0.41860278651863508</v>
      </c>
      <c r="K376" s="26">
        <f ca="1"/>
        <v>0.66324985321054042</v>
      </c>
      <c r="L376" s="26">
        <f ca="1"/>
        <v>0.80235412721764654</v>
      </c>
      <c r="M376" s="6"/>
      <c r="N376" s="59" t="s">
        <v>132</v>
      </c>
      <c r="Q376">
        <v>9826.6054363394578</v>
      </c>
      <c r="R376">
        <v>6223.010026983422</v>
      </c>
      <c r="S376">
        <v>8797.1859940073919</v>
      </c>
      <c r="T376">
        <v>10200.988114705027</v>
      </c>
      <c r="U376">
        <v>8622.3638162845327</v>
      </c>
      <c r="V376">
        <v>7109.1345337649564</v>
      </c>
      <c r="W376">
        <v>5744.3559674504895</v>
      </c>
      <c r="X376">
        <v>4571.4493052692469</v>
      </c>
      <c r="Y376">
        <v>3571.443654170133</v>
      </c>
      <c r="Z376">
        <v>1362.5965597765826</v>
      </c>
    </row>
    <row r="377" spans="1:27" x14ac:dyDescent="0.2">
      <c r="A377" t="str">
        <v>CA discontinuity</v>
      </c>
      <c r="C377" s="26">
        <f ca="1"/>
        <v>0</v>
      </c>
      <c r="D377" s="26">
        <f ca="1"/>
        <v>0</v>
      </c>
      <c r="E377" s="26">
        <f ca="1"/>
        <v>0</v>
      </c>
      <c r="F377" s="26">
        <f ca="1"/>
        <v>0</v>
      </c>
      <c r="G377" s="26">
        <f ca="1"/>
        <v>0</v>
      </c>
      <c r="H377" s="26">
        <f ca="1"/>
        <v>0</v>
      </c>
      <c r="I377" s="26">
        <f ca="1"/>
        <v>0</v>
      </c>
      <c r="J377" s="26">
        <f ca="1"/>
        <v>0.81612626815089195</v>
      </c>
      <c r="K377" s="26">
        <f ca="1"/>
        <v>1.2971586169294111</v>
      </c>
      <c r="L377" s="26">
        <f ca="1"/>
        <v>1.5748912470249801</v>
      </c>
      <c r="M377" s="6"/>
      <c r="N377" s="59" t="s">
        <v>132</v>
      </c>
      <c r="Q377">
        <v>18213.058718904904</v>
      </c>
      <c r="R377">
        <v>11967.541445836696</v>
      </c>
      <c r="S377">
        <v>17536.514753006963</v>
      </c>
      <c r="T377">
        <v>21898.528817911159</v>
      </c>
      <c r="U377">
        <v>19957.806374893</v>
      </c>
      <c r="V377">
        <v>17722.134921825822</v>
      </c>
      <c r="W377">
        <v>15370.743074317586</v>
      </c>
      <c r="X377">
        <v>13033.203860891063</v>
      </c>
      <c r="Y377">
        <v>10816.33018475015</v>
      </c>
      <c r="Z377">
        <v>4405.1730338676207</v>
      </c>
    </row>
    <row r="378" spans="1:27" x14ac:dyDescent="0.2">
      <c r="A378" t="str">
        <v>IA discontinuity</v>
      </c>
      <c r="C378" s="26">
        <f ca="1"/>
        <v>0</v>
      </c>
      <c r="D378" s="26">
        <f ca="1"/>
        <v>0</v>
      </c>
      <c r="E378" s="26">
        <f ca="1"/>
        <v>0</v>
      </c>
      <c r="F378" s="26">
        <f ca="1"/>
        <v>0</v>
      </c>
      <c r="G378" s="26">
        <f ca="1"/>
        <v>0</v>
      </c>
      <c r="H378" s="26">
        <f ca="1"/>
        <v>0</v>
      </c>
      <c r="I378" s="26">
        <f ca="1"/>
        <v>0</v>
      </c>
      <c r="J378" s="26">
        <f ca="1"/>
        <v>0.86745298082149691</v>
      </c>
      <c r="K378" s="26">
        <f ca="1"/>
        <v>1.3688655982210542</v>
      </c>
      <c r="L378" s="26">
        <f ca="1"/>
        <v>1.6498786592528838</v>
      </c>
      <c r="M378" s="6"/>
      <c r="N378" s="59" t="s">
        <v>132</v>
      </c>
      <c r="Q378">
        <v>10650.070101781928</v>
      </c>
      <c r="R378">
        <v>7291.2597514671843</v>
      </c>
      <c r="S378">
        <v>11105.082525010837</v>
      </c>
      <c r="T378">
        <v>14933.384950664169</v>
      </c>
      <c r="U378">
        <v>14551.211946454265</v>
      </c>
      <c r="V378">
        <v>13755.584441237686</v>
      </c>
      <c r="W378">
        <v>12707.401490362032</v>
      </c>
      <c r="X378">
        <v>11491.670418254376</v>
      </c>
      <c r="Y378">
        <v>10195.532723616994</v>
      </c>
      <c r="Z378">
        <v>4445.146968010511</v>
      </c>
    </row>
    <row r="379" spans="1:27" x14ac:dyDescent="0.2">
      <c r="A379" t="str">
        <v>AF discontinuity</v>
      </c>
      <c r="C379" s="26">
        <f ca="1"/>
        <v>0</v>
      </c>
      <c r="D379" s="26">
        <f ca="1"/>
        <v>0</v>
      </c>
      <c r="E379" s="26">
        <f ca="1"/>
        <v>0</v>
      </c>
      <c r="F379" s="26">
        <f ca="1"/>
        <v>0</v>
      </c>
      <c r="G379" s="26">
        <f ca="1"/>
        <v>0</v>
      </c>
      <c r="H379" s="26">
        <f ca="1"/>
        <v>0</v>
      </c>
      <c r="I379" s="26">
        <f ca="1"/>
        <v>0</v>
      </c>
      <c r="J379" s="26">
        <f ca="1"/>
        <v>0.67366138344711557</v>
      </c>
      <c r="K379" s="26">
        <f ca="1"/>
        <v>1.0583262008733185</v>
      </c>
      <c r="L379" s="26">
        <f ca="1"/>
        <v>1.2693107998287965</v>
      </c>
      <c r="M379" s="6"/>
      <c r="N379" s="59" t="s">
        <v>132</v>
      </c>
      <c r="Q379">
        <v>4501.7502722242107</v>
      </c>
      <c r="R379">
        <v>2916.6207490358252</v>
      </c>
      <c r="S379">
        <v>4215.9221401383056</v>
      </c>
      <c r="T379">
        <v>5122.2294028727401</v>
      </c>
      <c r="U379">
        <v>4547.7319500302301</v>
      </c>
      <c r="V379">
        <v>3945.426203751409</v>
      </c>
      <c r="W379">
        <v>3367.2888133269007</v>
      </c>
      <c r="X379">
        <v>2833.0082017673776</v>
      </c>
      <c r="Y379">
        <v>2338.562977083353</v>
      </c>
      <c r="Z379">
        <v>941.97398876251941</v>
      </c>
    </row>
    <row r="380" spans="1:27" x14ac:dyDescent="0.2">
      <c r="A380" t="str">
        <v>LA discontinuity</v>
      </c>
      <c r="C380" s="26">
        <f ca="1"/>
        <v>0</v>
      </c>
      <c r="D380" s="26">
        <f ca="1"/>
        <v>0</v>
      </c>
      <c r="E380" s="26">
        <f ca="1"/>
        <v>0</v>
      </c>
      <c r="F380" s="26">
        <f ca="1"/>
        <v>0</v>
      </c>
      <c r="G380" s="26">
        <f ca="1"/>
        <v>0</v>
      </c>
      <c r="H380" s="26">
        <f ca="1"/>
        <v>0</v>
      </c>
      <c r="I380" s="26">
        <f ca="1"/>
        <v>0</v>
      </c>
      <c r="J380" s="26">
        <f ca="1"/>
        <v>0.63545882433965439</v>
      </c>
      <c r="K380" s="26">
        <f ca="1"/>
        <v>1.0040967456223804</v>
      </c>
      <c r="L380" s="26">
        <f ca="1"/>
        <v>1.2118156138428462</v>
      </c>
      <c r="M380" s="6"/>
      <c r="N380" s="59" t="s">
        <v>132</v>
      </c>
    </row>
    <row r="381" spans="1:27" s="2" customFormat="1" ht="14.25" x14ac:dyDescent="0.25">
      <c r="A381" s="2" t="s">
        <v>224</v>
      </c>
      <c r="C381" s="2" t="s">
        <v>250</v>
      </c>
    </row>
    <row r="382" spans="1:27" ht="14.25" x14ac:dyDescent="0.2">
      <c r="A382" t="str">
        <f t="array" ref="A382:A389">R_CODE&amp;" discontinuity"</f>
        <v>EU discontinuity</v>
      </c>
      <c r="C382" s="29">
        <f t="array" ref="C382:L389" ca="1">(isatdis_b/100)*rgdp_2_per_cap_b</f>
        <v>0</v>
      </c>
      <c r="D382" s="29">
        <f ca="1"/>
        <v>0</v>
      </c>
      <c r="E382" s="29">
        <f ca="1"/>
        <v>0</v>
      </c>
      <c r="F382" s="29">
        <f ca="1"/>
        <v>0</v>
      </c>
      <c r="G382" s="29">
        <f ca="1"/>
        <v>0</v>
      </c>
      <c r="H382" s="29">
        <f ca="1"/>
        <v>0</v>
      </c>
      <c r="I382" s="29">
        <f ca="1"/>
        <v>0</v>
      </c>
      <c r="J382" s="29">
        <f ca="1"/>
        <v>1238.0225436050755</v>
      </c>
      <c r="K382" s="29">
        <f ca="1"/>
        <v>2294.5238708583242</v>
      </c>
      <c r="L382" s="29">
        <f ca="1"/>
        <v>3260.384445720681</v>
      </c>
      <c r="M382" s="6"/>
      <c r="N382" s="1" t="str">
        <f t="shared" ref="N382:N389" si="45">CURRENCY_NAME&amp;"/"&amp;POP_UNIT_NAME</f>
        <v>$M(2015)/million</v>
      </c>
      <c r="O382" s="1"/>
      <c r="Q382">
        <f ca="1">C382*Q372</f>
        <v>0</v>
      </c>
      <c r="R382">
        <f t="shared" ref="R382:Z389" ca="1" si="46">D382*R372</f>
        <v>0</v>
      </c>
      <c r="S382">
        <f t="shared" ca="1" si="46"/>
        <v>0</v>
      </c>
      <c r="T382">
        <f t="shared" ca="1" si="46"/>
        <v>0</v>
      </c>
      <c r="U382">
        <f t="shared" ca="1" si="46"/>
        <v>0</v>
      </c>
      <c r="V382">
        <f t="shared" ca="1" si="46"/>
        <v>0</v>
      </c>
      <c r="W382">
        <f t="shared" ca="1" si="46"/>
        <v>0</v>
      </c>
      <c r="X382">
        <f t="shared" ca="1" si="46"/>
        <v>4503442.1152614746</v>
      </c>
      <c r="Y382">
        <f t="shared" ca="1" si="46"/>
        <v>7714425.3095147945</v>
      </c>
      <c r="Z382">
        <f t="shared" ca="1" si="46"/>
        <v>5020046.9773527412</v>
      </c>
      <c r="AA382" s="330">
        <f ca="1">SUM(Q382:Z382)</f>
        <v>17237914.402129009</v>
      </c>
    </row>
    <row r="383" spans="1:27" ht="14.25" x14ac:dyDescent="0.2">
      <c r="A383" t="str">
        <v>US discontinuity</v>
      </c>
      <c r="C383" s="26">
        <f ca="1"/>
        <v>0</v>
      </c>
      <c r="D383" s="26">
        <f ca="1"/>
        <v>0</v>
      </c>
      <c r="E383" s="26">
        <f ca="1"/>
        <v>0</v>
      </c>
      <c r="F383" s="26">
        <f ca="1"/>
        <v>0</v>
      </c>
      <c r="G383" s="26">
        <f ca="1"/>
        <v>0</v>
      </c>
      <c r="H383" s="26">
        <f ca="1"/>
        <v>0</v>
      </c>
      <c r="I383" s="26">
        <f ca="1"/>
        <v>0</v>
      </c>
      <c r="J383" s="26">
        <f ca="1"/>
        <v>1024.7032629260691</v>
      </c>
      <c r="K383" s="26">
        <f ca="1"/>
        <v>1848.0702530533229</v>
      </c>
      <c r="L383" s="26">
        <f ca="1"/>
        <v>2554.4705141410004</v>
      </c>
      <c r="M383" s="6"/>
      <c r="N383" s="1" t="str">
        <f t="shared" si="45"/>
        <v>$M(2015)/million</v>
      </c>
      <c r="O383" s="1"/>
      <c r="Q383">
        <f ca="1">C383*Q373</f>
        <v>0</v>
      </c>
      <c r="R383">
        <f t="shared" ca="1" si="46"/>
        <v>0</v>
      </c>
      <c r="S383">
        <f t="shared" ca="1" si="46"/>
        <v>0</v>
      </c>
      <c r="T383">
        <f t="shared" ca="1" si="46"/>
        <v>0</v>
      </c>
      <c r="U383">
        <f t="shared" ca="1" si="46"/>
        <v>0</v>
      </c>
      <c r="V383">
        <f t="shared" ca="1" si="46"/>
        <v>0</v>
      </c>
      <c r="W383">
        <f t="shared" ca="1" si="46"/>
        <v>0</v>
      </c>
      <c r="X383">
        <f t="shared" ca="1" si="46"/>
        <v>3329662.2023175037</v>
      </c>
      <c r="Y383">
        <f t="shared" ca="1" si="46"/>
        <v>5799513.9981936412</v>
      </c>
      <c r="Z383">
        <f t="shared" ca="1" si="46"/>
        <v>3806410.042295407</v>
      </c>
      <c r="AA383" s="330">
        <f ca="1">SUM(Q383:Z383)</f>
        <v>12935586.242806552</v>
      </c>
    </row>
    <row r="384" spans="1:27" ht="14.25" x14ac:dyDescent="0.2">
      <c r="A384" t="str">
        <v>OT discontinuity</v>
      </c>
      <c r="C384" s="26">
        <f ca="1"/>
        <v>0</v>
      </c>
      <c r="D384" s="26">
        <f ca="1"/>
        <v>0</v>
      </c>
      <c r="E384" s="26">
        <f ca="1"/>
        <v>0</v>
      </c>
      <c r="F384" s="26">
        <f ca="1"/>
        <v>0</v>
      </c>
      <c r="G384" s="26">
        <f ca="1"/>
        <v>0</v>
      </c>
      <c r="H384" s="26">
        <f ca="1"/>
        <v>0</v>
      </c>
      <c r="I384" s="26">
        <f ca="1"/>
        <v>0</v>
      </c>
      <c r="J384" s="26">
        <f ca="1"/>
        <v>926.49098163927192</v>
      </c>
      <c r="K384" s="26">
        <f ca="1"/>
        <v>1709.2186822222689</v>
      </c>
      <c r="L384" s="26">
        <f ca="1"/>
        <v>2406.3121955412021</v>
      </c>
      <c r="M384" s="6"/>
      <c r="N384" s="1" t="str">
        <f t="shared" si="45"/>
        <v>$M(2015)/million</v>
      </c>
      <c r="O384" s="1"/>
      <c r="Q384">
        <f t="shared" ref="Q384:Q389" ca="1" si="47">C384*Q374</f>
        <v>0</v>
      </c>
      <c r="R384">
        <f t="shared" ca="1" si="46"/>
        <v>0</v>
      </c>
      <c r="S384">
        <f t="shared" ca="1" si="46"/>
        <v>0</v>
      </c>
      <c r="T384">
        <f t="shared" ca="1" si="46"/>
        <v>0</v>
      </c>
      <c r="U384">
        <f t="shared" ca="1" si="46"/>
        <v>0</v>
      </c>
      <c r="V384">
        <f t="shared" ca="1" si="46"/>
        <v>0</v>
      </c>
      <c r="W384">
        <f t="shared" ca="1" si="46"/>
        <v>0</v>
      </c>
      <c r="X384">
        <f t="shared" ca="1" si="46"/>
        <v>1838898.0675303715</v>
      </c>
      <c r="Y384">
        <f t="shared" ca="1" si="46"/>
        <v>3043674.5480934693</v>
      </c>
      <c r="Z384">
        <f t="shared" ca="1" si="46"/>
        <v>1899491.7723886555</v>
      </c>
      <c r="AA384" s="331">
        <f t="shared" ref="AA384:AA390" ca="1" si="48">SUM(Q384:Z384)</f>
        <v>6782064.3880124968</v>
      </c>
    </row>
    <row r="385" spans="1:27" ht="14.25" x14ac:dyDescent="0.2">
      <c r="A385" t="str">
        <v>EE discontinuity</v>
      </c>
      <c r="C385" s="26">
        <f ca="1"/>
        <v>0</v>
      </c>
      <c r="D385" s="26">
        <f ca="1"/>
        <v>0</v>
      </c>
      <c r="E385" s="26">
        <f ca="1"/>
        <v>0</v>
      </c>
      <c r="F385" s="26">
        <f ca="1"/>
        <v>0</v>
      </c>
      <c r="G385" s="26">
        <f ca="1"/>
        <v>0</v>
      </c>
      <c r="H385" s="26">
        <f ca="1"/>
        <v>0</v>
      </c>
      <c r="I385" s="26">
        <f ca="1"/>
        <v>0</v>
      </c>
      <c r="J385" s="26">
        <f ca="1"/>
        <v>372.18464317915527</v>
      </c>
      <c r="K385" s="26">
        <f ca="1"/>
        <v>697.27349676814208</v>
      </c>
      <c r="L385" s="26">
        <f ca="1"/>
        <v>1001.8344267611141</v>
      </c>
      <c r="M385" s="6"/>
      <c r="N385" s="1" t="str">
        <f t="shared" si="45"/>
        <v>$M(2015)/million</v>
      </c>
      <c r="O385" s="1"/>
      <c r="Q385">
        <f t="shared" ca="1" si="47"/>
        <v>0</v>
      </c>
      <c r="R385">
        <f t="shared" ca="1" si="46"/>
        <v>0</v>
      </c>
      <c r="S385">
        <f t="shared" ca="1" si="46"/>
        <v>0</v>
      </c>
      <c r="T385">
        <f t="shared" ca="1" si="46"/>
        <v>0</v>
      </c>
      <c r="U385">
        <f t="shared" ca="1" si="46"/>
        <v>0</v>
      </c>
      <c r="V385">
        <f t="shared" ca="1" si="46"/>
        <v>0</v>
      </c>
      <c r="W385">
        <f t="shared" ca="1" si="46"/>
        <v>0</v>
      </c>
      <c r="X385">
        <f t="shared" ca="1" si="46"/>
        <v>429758.7484907016</v>
      </c>
      <c r="Y385">
        <f t="shared" ca="1" si="46"/>
        <v>664613.12416383473</v>
      </c>
      <c r="Z385">
        <f t="shared" ca="1" si="46"/>
        <v>389143.74901124102</v>
      </c>
      <c r="AA385" s="331">
        <f t="shared" ca="1" si="48"/>
        <v>1483515.6216657772</v>
      </c>
    </row>
    <row r="386" spans="1:27" ht="14.25" x14ac:dyDescent="0.2">
      <c r="A386" t="str">
        <v>CA discontinuity</v>
      </c>
      <c r="C386" s="26">
        <f ca="1"/>
        <v>0</v>
      </c>
      <c r="D386" s="26">
        <f ca="1"/>
        <v>0</v>
      </c>
      <c r="E386" s="26">
        <f ca="1"/>
        <v>0</v>
      </c>
      <c r="F386" s="26">
        <f ca="1"/>
        <v>0</v>
      </c>
      <c r="G386" s="26">
        <f ca="1"/>
        <v>0</v>
      </c>
      <c r="H386" s="26">
        <f ca="1"/>
        <v>0</v>
      </c>
      <c r="I386" s="26">
        <f ca="1"/>
        <v>0</v>
      </c>
      <c r="J386" s="26">
        <f ca="1"/>
        <v>878.56590952811337</v>
      </c>
      <c r="K386" s="26">
        <f ca="1"/>
        <v>1589.5020989888983</v>
      </c>
      <c r="L386" s="26">
        <f ca="1"/>
        <v>2202.8523199007604</v>
      </c>
      <c r="M386" s="6"/>
      <c r="N386" s="1" t="str">
        <f t="shared" si="45"/>
        <v>$M(2015)/million</v>
      </c>
      <c r="O386" s="1"/>
      <c r="Q386">
        <f t="shared" ca="1" si="47"/>
        <v>0</v>
      </c>
      <c r="R386">
        <f t="shared" ca="1" si="46"/>
        <v>0</v>
      </c>
      <c r="S386">
        <f t="shared" ca="1" si="46"/>
        <v>0</v>
      </c>
      <c r="T386">
        <f t="shared" ca="1" si="46"/>
        <v>0</v>
      </c>
      <c r="U386">
        <f t="shared" ca="1" si="46"/>
        <v>0</v>
      </c>
      <c r="V386">
        <f t="shared" ca="1" si="46"/>
        <v>0</v>
      </c>
      <c r="W386">
        <f t="shared" ca="1" si="46"/>
        <v>0</v>
      </c>
      <c r="X386">
        <f t="shared" ca="1" si="46"/>
        <v>4016319.516745538</v>
      </c>
      <c r="Y386">
        <f t="shared" ca="1" si="46"/>
        <v>5676817.1847240077</v>
      </c>
      <c r="Z386">
        <f t="shared" ca="1" si="46"/>
        <v>3001598.9927926403</v>
      </c>
      <c r="AA386" s="331">
        <f t="shared" ca="1" si="48"/>
        <v>12694735.694262186</v>
      </c>
    </row>
    <row r="387" spans="1:27" ht="14.25" x14ac:dyDescent="0.2">
      <c r="A387" t="str">
        <v>IA discontinuity</v>
      </c>
      <c r="C387" s="26">
        <f ca="1"/>
        <v>0</v>
      </c>
      <c r="D387" s="26">
        <f ca="1"/>
        <v>0</v>
      </c>
      <c r="E387" s="26">
        <f ca="1"/>
        <v>0</v>
      </c>
      <c r="F387" s="26">
        <f ca="1"/>
        <v>0</v>
      </c>
      <c r="G387" s="26">
        <f ca="1"/>
        <v>0</v>
      </c>
      <c r="H387" s="26">
        <f ca="1"/>
        <v>0</v>
      </c>
      <c r="I387" s="26">
        <f ca="1"/>
        <v>0</v>
      </c>
      <c r="J387" s="26">
        <f ca="1"/>
        <v>591.01503653622854</v>
      </c>
      <c r="K387" s="26">
        <f ca="1"/>
        <v>1158.5087575168639</v>
      </c>
      <c r="L387" s="26">
        <f ca="1"/>
        <v>1720.1100663730074</v>
      </c>
      <c r="M387" s="6"/>
      <c r="N387" s="1" t="str">
        <f t="shared" si="45"/>
        <v>$M(2015)/million</v>
      </c>
      <c r="O387" s="1"/>
      <c r="Q387">
        <f t="shared" ca="1" si="47"/>
        <v>0</v>
      </c>
      <c r="R387">
        <f t="shared" ca="1" si="46"/>
        <v>0</v>
      </c>
      <c r="S387">
        <f t="shared" ca="1" si="46"/>
        <v>0</v>
      </c>
      <c r="T387">
        <f t="shared" ca="1" si="46"/>
        <v>0</v>
      </c>
      <c r="U387">
        <f t="shared" ca="1" si="46"/>
        <v>0</v>
      </c>
      <c r="V387">
        <f t="shared" ca="1" si="46"/>
        <v>0</v>
      </c>
      <c r="W387">
        <f t="shared" ca="1" si="46"/>
        <v>0</v>
      </c>
      <c r="X387">
        <f t="shared" ca="1" si="46"/>
        <v>7702819.4560286459</v>
      </c>
      <c r="Y387">
        <f t="shared" ca="1" si="46"/>
        <v>12530813.243227046</v>
      </c>
      <c r="Z387">
        <f t="shared" ca="1" si="46"/>
        <v>7577382.4796706149</v>
      </c>
      <c r="AA387" s="331">
        <f t="shared" ca="1" si="48"/>
        <v>27811015.178926304</v>
      </c>
    </row>
    <row r="388" spans="1:27" ht="14.25" x14ac:dyDescent="0.2">
      <c r="A388" t="str">
        <v>AF discontinuity</v>
      </c>
      <c r="C388" s="26">
        <f ca="1"/>
        <v>0</v>
      </c>
      <c r="D388" s="26">
        <f ca="1"/>
        <v>0</v>
      </c>
      <c r="E388" s="26">
        <f ca="1"/>
        <v>0</v>
      </c>
      <c r="F388" s="26">
        <f ca="1"/>
        <v>0</v>
      </c>
      <c r="G388" s="26">
        <f ca="1"/>
        <v>0</v>
      </c>
      <c r="H388" s="26">
        <f ca="1"/>
        <v>0</v>
      </c>
      <c r="I388" s="26">
        <f ca="1"/>
        <v>0</v>
      </c>
      <c r="J388" s="26">
        <f ca="1"/>
        <v>353.41574718518683</v>
      </c>
      <c r="K388" s="26">
        <f ca="1"/>
        <v>728.24867299880486</v>
      </c>
      <c r="L388" s="26">
        <f ca="1"/>
        <v>1135.3310871633846</v>
      </c>
      <c r="M388" s="6"/>
      <c r="N388" s="1" t="str">
        <f t="shared" si="45"/>
        <v>$M(2015)/million</v>
      </c>
      <c r="O388" s="1"/>
      <c r="Q388">
        <f t="shared" ca="1" si="47"/>
        <v>0</v>
      </c>
      <c r="R388">
        <f t="shared" ca="1" si="46"/>
        <v>0</v>
      </c>
      <c r="S388">
        <f t="shared" ca="1" si="46"/>
        <v>0</v>
      </c>
      <c r="T388">
        <f t="shared" ca="1" si="46"/>
        <v>0</v>
      </c>
      <c r="U388">
        <f t="shared" ca="1" si="46"/>
        <v>0</v>
      </c>
      <c r="V388">
        <f t="shared" ca="1" si="46"/>
        <v>0</v>
      </c>
      <c r="W388">
        <f t="shared" ca="1" si="46"/>
        <v>0</v>
      </c>
      <c r="X388">
        <f t="shared" ca="1" si="46"/>
        <v>4061337.2872732789</v>
      </c>
      <c r="Y388">
        <f t="shared" ca="1" si="46"/>
        <v>7424883.1764899669</v>
      </c>
      <c r="Z388">
        <f t="shared" ca="1" si="46"/>
        <v>5046713.5397923961</v>
      </c>
      <c r="AA388" s="331">
        <f t="shared" ca="1" si="48"/>
        <v>16532934.003555642</v>
      </c>
    </row>
    <row r="389" spans="1:27" ht="14.25" x14ac:dyDescent="0.2">
      <c r="A389" t="str">
        <v>LA discontinuity</v>
      </c>
      <c r="C389" s="26">
        <f ca="1"/>
        <v>0</v>
      </c>
      <c r="D389" s="26">
        <f ca="1"/>
        <v>0</v>
      </c>
      <c r="E389" s="26">
        <f ca="1"/>
        <v>0</v>
      </c>
      <c r="F389" s="26">
        <f ca="1"/>
        <v>0</v>
      </c>
      <c r="G389" s="26">
        <f ca="1"/>
        <v>0</v>
      </c>
      <c r="H389" s="26">
        <f ca="1"/>
        <v>0</v>
      </c>
      <c r="I389" s="26">
        <f ca="1"/>
        <v>0</v>
      </c>
      <c r="J389" s="26">
        <f ca="1"/>
        <v>516.52154673520806</v>
      </c>
      <c r="K389" s="26">
        <f ca="1"/>
        <v>997.65744835271244</v>
      </c>
      <c r="L389" s="26">
        <f ca="1"/>
        <v>1463.164089126778</v>
      </c>
      <c r="M389" s="6"/>
      <c r="N389" s="1" t="str">
        <f t="shared" si="45"/>
        <v>$M(2015)/million</v>
      </c>
      <c r="O389" s="1"/>
      <c r="Q389">
        <f t="shared" ca="1" si="47"/>
        <v>0</v>
      </c>
      <c r="R389">
        <f t="shared" ca="1" si="46"/>
        <v>0</v>
      </c>
      <c r="S389">
        <f t="shared" ca="1" si="46"/>
        <v>0</v>
      </c>
      <c r="T389">
        <f t="shared" ca="1" si="46"/>
        <v>0</v>
      </c>
      <c r="U389">
        <f t="shared" ca="1" si="46"/>
        <v>0</v>
      </c>
      <c r="V389">
        <f t="shared" ca="1" si="46"/>
        <v>0</v>
      </c>
      <c r="W389">
        <f t="shared" ca="1" si="46"/>
        <v>0</v>
      </c>
      <c r="X389">
        <f t="shared" ca="1" si="46"/>
        <v>1463309.7782904163</v>
      </c>
      <c r="Y389">
        <f t="shared" ca="1" si="46"/>
        <v>2333084.7725291005</v>
      </c>
      <c r="Z389">
        <f t="shared" ca="1" si="46"/>
        <v>1378262.5132488294</v>
      </c>
      <c r="AA389" s="331">
        <f t="shared" ca="1" si="48"/>
        <v>5174657.0640683463</v>
      </c>
    </row>
    <row r="390" spans="1:27" s="2" customFormat="1" ht="14.25" x14ac:dyDescent="0.25">
      <c r="A390" s="2" t="s">
        <v>226</v>
      </c>
      <c r="C390" s="2" t="s">
        <v>252</v>
      </c>
      <c r="AA390" s="332">
        <f ca="1">_xll.RiskOutput("Discon_b")+SUM(AA382:AA389)</f>
        <v>100652422.59542631</v>
      </c>
    </row>
    <row r="391" spans="1:27" x14ac:dyDescent="0.2">
      <c r="A391" t="str">
        <f t="array" ref="A391:A398">R_CODE&amp;" discontinuity"</f>
        <v>EU discontinuity</v>
      </c>
      <c r="C391" s="29">
        <f t="array" aca="1" ref="C391:L398" ca="1">rcons_2_per_cap_b-isatdis_per_cap_b</f>
        <v>33753.526139229507</v>
      </c>
      <c r="D391" s="29">
        <f ca="1"/>
        <v>37743.442232673755</v>
      </c>
      <c r="E391" s="29">
        <f ca="1"/>
        <v>42239.392358782294</v>
      </c>
      <c r="F391" s="29">
        <f ca="1"/>
        <v>52480.505239164217</v>
      </c>
      <c r="G391" s="29">
        <f ca="1"/>
        <v>63269.789198528095</v>
      </c>
      <c r="H391" s="29">
        <f ca="1"/>
        <v>75013.165004766503</v>
      </c>
      <c r="I391" s="29">
        <f ca="1"/>
        <v>89191.798530883185</v>
      </c>
      <c r="J391" s="29">
        <f ca="1"/>
        <v>103833.9554707252</v>
      </c>
      <c r="K391" s="29">
        <f ca="1"/>
        <v>120493.50414178436</v>
      </c>
      <c r="L391" s="29">
        <f ca="1"/>
        <v>140805.45959760362</v>
      </c>
      <c r="M391" s="6"/>
      <c r="N391" s="1" t="str">
        <f t="shared" ref="N391:N398" si="49">CURRENCY_NAME&amp;"/"&amp;POP_UNIT_NAME</f>
        <v>$M(2015)/million</v>
      </c>
      <c r="O391" s="1"/>
    </row>
    <row r="392" spans="1:27" x14ac:dyDescent="0.2">
      <c r="A392" t="str">
        <v>US discontinuity</v>
      </c>
      <c r="C392" s="26">
        <f ca="1"/>
        <v>47788.275794401074</v>
      </c>
      <c r="D392" s="26">
        <f ca="1"/>
        <v>51789.668200440035</v>
      </c>
      <c r="E392" s="26">
        <f ca="1"/>
        <v>56055.016089967772</v>
      </c>
      <c r="F392" s="26">
        <f ca="1"/>
        <v>65605.740268595837</v>
      </c>
      <c r="G392" s="26">
        <f ca="1"/>
        <v>75445.734477365797</v>
      </c>
      <c r="H392" s="26">
        <f ca="1"/>
        <v>85168.775738552125</v>
      </c>
      <c r="I392" s="26">
        <f ca="1"/>
        <v>96485.863774609417</v>
      </c>
      <c r="J392" s="26">
        <f ca="1"/>
        <v>108255.19162800984</v>
      </c>
      <c r="K392" s="26">
        <f ca="1"/>
        <v>122117.79011288693</v>
      </c>
      <c r="L392" s="26">
        <f ca="1"/>
        <v>138538.29726910777</v>
      </c>
      <c r="M392" s="6"/>
      <c r="N392" s="1" t="str">
        <f t="shared" si="49"/>
        <v>$M(2015)/million</v>
      </c>
      <c r="O392" s="1"/>
    </row>
    <row r="393" spans="1:27" x14ac:dyDescent="0.2">
      <c r="A393" t="str">
        <v>OT discontinuity</v>
      </c>
      <c r="C393" s="26">
        <f ca="1"/>
        <v>31058.857911081323</v>
      </c>
      <c r="D393" s="26">
        <f ca="1"/>
        <v>34478.457614217266</v>
      </c>
      <c r="E393" s="26">
        <f ca="1"/>
        <v>38493.798546486614</v>
      </c>
      <c r="F393" s="26">
        <f ca="1"/>
        <v>47833.982160018444</v>
      </c>
      <c r="G393" s="26">
        <f ca="1"/>
        <v>58192.26995037977</v>
      </c>
      <c r="H393" s="26">
        <f ca="1"/>
        <v>69541.409913712458</v>
      </c>
      <c r="I393" s="26">
        <f ca="1"/>
        <v>82804.088629012083</v>
      </c>
      <c r="J393" s="26">
        <f ca="1"/>
        <v>96359.769802593553</v>
      </c>
      <c r="K393" s="26">
        <f ca="1"/>
        <v>111409.08089139457</v>
      </c>
      <c r="L393" s="26">
        <f ca="1"/>
        <v>128985.83593636089</v>
      </c>
      <c r="M393" s="6"/>
      <c r="N393" s="1" t="str">
        <f t="shared" si="49"/>
        <v>$M(2015)/million</v>
      </c>
      <c r="O393" s="1"/>
    </row>
    <row r="394" spans="1:27" x14ac:dyDescent="0.2">
      <c r="A394" t="str">
        <v>EE discontinuity</v>
      </c>
      <c r="C394" s="26">
        <f ca="1"/>
        <v>15844.647620428792</v>
      </c>
      <c r="D394" s="26">
        <f ca="1"/>
        <v>19449.877906510053</v>
      </c>
      <c r="E394" s="26">
        <f ca="1"/>
        <v>23739.879557876022</v>
      </c>
      <c r="F394" s="26">
        <f ca="1"/>
        <v>33103.539354718181</v>
      </c>
      <c r="G394" s="26">
        <f ca="1"/>
        <v>41990.788048171555</v>
      </c>
      <c r="H394" s="26">
        <f ca="1"/>
        <v>51669.799253846613</v>
      </c>
      <c r="I394" s="26">
        <f ca="1"/>
        <v>63406.40844626935</v>
      </c>
      <c r="J394" s="26">
        <f ca="1"/>
        <v>75202.311487939805</v>
      </c>
      <c r="K394" s="26">
        <f ca="1"/>
        <v>88663.088874059395</v>
      </c>
      <c r="L394" s="26">
        <f ca="1"/>
        <v>105130.76137603371</v>
      </c>
      <c r="M394" s="6"/>
      <c r="N394" s="1" t="str">
        <f t="shared" si="49"/>
        <v>$M(2015)/million</v>
      </c>
      <c r="O394" s="1"/>
    </row>
    <row r="395" spans="1:27" x14ac:dyDescent="0.2">
      <c r="A395" t="str">
        <v>CA discontinuity</v>
      </c>
      <c r="C395" s="26">
        <f ca="1"/>
        <v>16491.660148276118</v>
      </c>
      <c r="D395" s="26">
        <f ca="1"/>
        <v>22546.359550135876</v>
      </c>
      <c r="E395" s="26">
        <f ca="1"/>
        <v>29352.450913324064</v>
      </c>
      <c r="F395" s="26">
        <f ca="1"/>
        <v>43209.318010245537</v>
      </c>
      <c r="G395" s="26">
        <f ca="1"/>
        <v>56305.738704721218</v>
      </c>
      <c r="H395" s="26">
        <f ca="1"/>
        <v>68062.009668118539</v>
      </c>
      <c r="I395" s="26">
        <f ca="1"/>
        <v>79671.156476837394</v>
      </c>
      <c r="J395" s="26">
        <f ca="1"/>
        <v>90624.55710486621</v>
      </c>
      <c r="K395" s="26">
        <f ca="1"/>
        <v>102567.13429901657</v>
      </c>
      <c r="L395" s="26">
        <f ca="1"/>
        <v>116689.45059007578</v>
      </c>
      <c r="M395" s="6"/>
      <c r="N395" s="1" t="str">
        <f t="shared" si="49"/>
        <v>$M(2015)/million</v>
      </c>
      <c r="O395" s="1"/>
    </row>
    <row r="396" spans="1:27" x14ac:dyDescent="0.2">
      <c r="A396" t="str">
        <v>IA discontinuity</v>
      </c>
      <c r="C396" s="26">
        <f ca="1"/>
        <v>6733.5530353344129</v>
      </c>
      <c r="D396" s="26">
        <f ca="1"/>
        <v>8887.0902023452891</v>
      </c>
      <c r="E396" s="26">
        <f ca="1"/>
        <v>11561.987803625891</v>
      </c>
      <c r="F396" s="26">
        <f ca="1"/>
        <v>18162.025423653155</v>
      </c>
      <c r="G396" s="26">
        <f ca="1"/>
        <v>26237.958261027758</v>
      </c>
      <c r="H396" s="26">
        <f ca="1"/>
        <v>35514.985306129369</v>
      </c>
      <c r="I396" s="26">
        <f ca="1"/>
        <v>45944.144177097849</v>
      </c>
      <c r="J396" s="26">
        <f ca="1"/>
        <v>57321.378160850189</v>
      </c>
      <c r="K396" s="26">
        <f ca="1"/>
        <v>70779.338549703767</v>
      </c>
      <c r="L396" s="26">
        <f ca="1"/>
        <v>86898.137597921144</v>
      </c>
      <c r="M396" s="6"/>
      <c r="N396" s="1" t="str">
        <f t="shared" si="49"/>
        <v>$M(2015)/million</v>
      </c>
      <c r="O396" s="1"/>
    </row>
    <row r="397" spans="1:27" x14ac:dyDescent="0.2">
      <c r="A397" t="str">
        <v>AF discontinuity</v>
      </c>
      <c r="C397" s="26">
        <f ca="1"/>
        <v>5290.5295474866489</v>
      </c>
      <c r="D397" s="26">
        <f ca="1"/>
        <v>6341.2196018023633</v>
      </c>
      <c r="E397" s="26">
        <f ca="1"/>
        <v>7787.3422978531125</v>
      </c>
      <c r="F397" s="26">
        <f ca="1"/>
        <v>11751.63253464628</v>
      </c>
      <c r="G397" s="26">
        <f ca="1"/>
        <v>17249.275986701417</v>
      </c>
      <c r="H397" s="26">
        <f ca="1"/>
        <v>24415.736088896087</v>
      </c>
      <c r="I397" s="26">
        <f ca="1"/>
        <v>33485.741278037603</v>
      </c>
      <c r="J397" s="26">
        <f ca="1"/>
        <v>44239.222704235166</v>
      </c>
      <c r="K397" s="26">
        <f ca="1"/>
        <v>57761.409008931689</v>
      </c>
      <c r="L397" s="26">
        <f ca="1"/>
        <v>74892.653880666359</v>
      </c>
      <c r="M397" s="6"/>
      <c r="N397" s="1" t="str">
        <f t="shared" si="49"/>
        <v>$M(2015)/million</v>
      </c>
      <c r="O397" s="1"/>
    </row>
    <row r="398" spans="1:27" x14ac:dyDescent="0.2">
      <c r="A398" t="str">
        <v>LA discontinuity</v>
      </c>
      <c r="C398" s="26">
        <f ca="1"/>
        <v>12652.238742980346</v>
      </c>
      <c r="D398" s="26">
        <f ca="1"/>
        <v>14877.460893019283</v>
      </c>
      <c r="E398" s="26">
        <f ca="1"/>
        <v>17614.184086306246</v>
      </c>
      <c r="F398" s="26">
        <f ca="1"/>
        <v>24863.294881926537</v>
      </c>
      <c r="G398" s="26">
        <f ca="1"/>
        <v>34288.929701464673</v>
      </c>
      <c r="H398" s="26">
        <f ca="1"/>
        <v>44809.787469376577</v>
      </c>
      <c r="I398" s="26">
        <f ca="1"/>
        <v>56239.115985644647</v>
      </c>
      <c r="J398" s="26">
        <f ca="1"/>
        <v>68574.235856966698</v>
      </c>
      <c r="K398" s="26">
        <f ca="1"/>
        <v>83457.235448862586</v>
      </c>
      <c r="L398" s="26">
        <f ca="1"/>
        <v>101167.09265544829</v>
      </c>
      <c r="M398" s="6"/>
      <c r="N398" s="1" t="str">
        <f t="shared" si="49"/>
        <v>$M(2015)/million</v>
      </c>
      <c r="O398" s="1"/>
    </row>
    <row r="399" spans="1:27" s="2" customFormat="1" ht="14.25" x14ac:dyDescent="0.25">
      <c r="A399" s="2" t="s">
        <v>228</v>
      </c>
      <c r="C399" s="2" t="s">
        <v>251</v>
      </c>
    </row>
    <row r="400" spans="1:27" x14ac:dyDescent="0.2">
      <c r="A400" t="str">
        <f t="array" ref="A400:A407">R_CODE&amp;" discontinuity"</f>
        <v>EU discontinuity</v>
      </c>
      <c r="C400" s="29">
        <f t="array" aca="1" ref="C400:L407" ca="1" xml:space="preserve"> rconsdis_per_cap_b/(1-SAVE/100)</f>
        <v>39710.030752034712</v>
      </c>
      <c r="D400" s="29">
        <f ca="1"/>
        <v>44404.049685498539</v>
      </c>
      <c r="E400" s="29">
        <f ca="1"/>
        <v>49693.402775037997</v>
      </c>
      <c r="F400" s="29">
        <f ca="1"/>
        <v>61741.770869604959</v>
      </c>
      <c r="G400" s="29">
        <f ca="1"/>
        <v>74435.046115915407</v>
      </c>
      <c r="H400" s="29">
        <f ca="1"/>
        <v>88250.782358548822</v>
      </c>
      <c r="I400" s="29">
        <f ca="1"/>
        <v>104931.52768339198</v>
      </c>
      <c r="J400" s="29">
        <f ca="1"/>
        <v>122157.59467144142</v>
      </c>
      <c r="K400" s="29">
        <f ca="1"/>
        <v>141757.06369621691</v>
      </c>
      <c r="L400" s="29">
        <f ca="1"/>
        <v>165653.48187953368</v>
      </c>
      <c r="M400" s="6"/>
      <c r="N400" s="1" t="str">
        <f t="shared" ref="N400:N407" si="50">CURRENCY_NAME&amp;"/"&amp;POP_UNIT_NAME</f>
        <v>$M(2015)/million</v>
      </c>
      <c r="O400" s="1"/>
    </row>
    <row r="401" spans="1:26" x14ac:dyDescent="0.2">
      <c r="A401" t="str">
        <v>US discontinuity</v>
      </c>
      <c r="C401" s="26">
        <f ca="1"/>
        <v>56221.500934589501</v>
      </c>
      <c r="D401" s="26">
        <f ca="1"/>
        <v>60929.021412282396</v>
      </c>
      <c r="E401" s="26">
        <f ca="1"/>
        <v>65947.077752903264</v>
      </c>
      <c r="F401" s="26">
        <f ca="1"/>
        <v>77183.223845406872</v>
      </c>
      <c r="G401" s="26">
        <f ca="1"/>
        <v>88759.687620430355</v>
      </c>
      <c r="H401" s="26">
        <f ca="1"/>
        <v>100198.55969241427</v>
      </c>
      <c r="I401" s="26">
        <f ca="1"/>
        <v>113512.78091130521</v>
      </c>
      <c r="J401" s="26">
        <f ca="1"/>
        <v>127359.04897412923</v>
      </c>
      <c r="K401" s="26">
        <f ca="1"/>
        <v>143667.98836810226</v>
      </c>
      <c r="L401" s="26">
        <f ca="1"/>
        <v>162986.23208130326</v>
      </c>
      <c r="M401" s="6"/>
      <c r="N401" s="1" t="str">
        <f t="shared" si="50"/>
        <v>$M(2015)/million</v>
      </c>
      <c r="O401" s="1"/>
    </row>
    <row r="402" spans="1:26" x14ac:dyDescent="0.2">
      <c r="A402" t="str">
        <v>OT discontinuity</v>
      </c>
      <c r="C402" s="26">
        <f ca="1"/>
        <v>36539.83283656626</v>
      </c>
      <c r="D402" s="26">
        <f ca="1"/>
        <v>40562.891310843843</v>
      </c>
      <c r="E402" s="26">
        <f ca="1"/>
        <v>45286.82181939602</v>
      </c>
      <c r="F402" s="26">
        <f ca="1"/>
        <v>56275.273129433466</v>
      </c>
      <c r="G402" s="26">
        <f ca="1"/>
        <v>68461.494059270321</v>
      </c>
      <c r="H402" s="26">
        <f ca="1"/>
        <v>81813.423427897011</v>
      </c>
      <c r="I402" s="26">
        <f ca="1"/>
        <v>97416.574857661282</v>
      </c>
      <c r="J402" s="26">
        <f ca="1"/>
        <v>113364.43506187477</v>
      </c>
      <c r="K402" s="26">
        <f ca="1"/>
        <v>131069.50693105243</v>
      </c>
      <c r="L402" s="26">
        <f ca="1"/>
        <v>151748.04227807163</v>
      </c>
      <c r="M402" s="6"/>
      <c r="N402" s="1" t="str">
        <f t="shared" si="50"/>
        <v>$M(2015)/million</v>
      </c>
      <c r="O402" s="1"/>
    </row>
    <row r="403" spans="1:26" x14ac:dyDescent="0.2">
      <c r="A403" t="str">
        <v>EE discontinuity</v>
      </c>
      <c r="C403" s="26">
        <f ca="1"/>
        <v>18640.761906386815</v>
      </c>
      <c r="D403" s="26">
        <f ca="1"/>
        <v>22882.209301776533</v>
      </c>
      <c r="E403" s="26">
        <f ca="1"/>
        <v>27929.270068089438</v>
      </c>
      <c r="F403" s="26">
        <f ca="1"/>
        <v>38945.340417315507</v>
      </c>
      <c r="G403" s="26">
        <f ca="1"/>
        <v>49400.92711549595</v>
      </c>
      <c r="H403" s="26">
        <f ca="1"/>
        <v>60787.999122172485</v>
      </c>
      <c r="I403" s="26">
        <f ca="1"/>
        <v>74595.774642669829</v>
      </c>
      <c r="J403" s="26">
        <f ca="1"/>
        <v>88473.307632870361</v>
      </c>
      <c r="K403" s="26">
        <f ca="1"/>
        <v>104309.51632242282</v>
      </c>
      <c r="L403" s="26">
        <f ca="1"/>
        <v>123683.24867768673</v>
      </c>
      <c r="M403" s="6"/>
      <c r="N403" s="1" t="str">
        <f t="shared" si="50"/>
        <v>$M(2015)/million</v>
      </c>
      <c r="O403" s="1"/>
    </row>
    <row r="404" spans="1:26" x14ac:dyDescent="0.2">
      <c r="A404" t="str">
        <v>CA discontinuity</v>
      </c>
      <c r="C404" s="26">
        <f ca="1"/>
        <v>19401.953115618962</v>
      </c>
      <c r="D404" s="26">
        <f ca="1"/>
        <v>26525.128882512796</v>
      </c>
      <c r="E404" s="26">
        <f ca="1"/>
        <v>34532.295192145961</v>
      </c>
      <c r="F404" s="26">
        <f ca="1"/>
        <v>50834.49177675946</v>
      </c>
      <c r="G404" s="26">
        <f ca="1"/>
        <v>66242.045534966135</v>
      </c>
      <c r="H404" s="26">
        <f ca="1"/>
        <v>80072.952550727699</v>
      </c>
      <c r="I404" s="26">
        <f ca="1"/>
        <v>93730.772325691054</v>
      </c>
      <c r="J404" s="26">
        <f ca="1"/>
        <v>106617.12600572496</v>
      </c>
      <c r="K404" s="26">
        <f ca="1"/>
        <v>120667.21682237244</v>
      </c>
      <c r="L404" s="26">
        <f ca="1"/>
        <v>137281.70657655975</v>
      </c>
      <c r="M404" s="6"/>
      <c r="N404" s="1" t="str">
        <f t="shared" si="50"/>
        <v>$M(2015)/million</v>
      </c>
      <c r="O404" s="1"/>
    </row>
    <row r="405" spans="1:26" x14ac:dyDescent="0.2">
      <c r="A405" t="str">
        <v>IA discontinuity</v>
      </c>
      <c r="C405" s="26">
        <f ca="1"/>
        <v>7921.8271003934269</v>
      </c>
      <c r="D405" s="26">
        <f ca="1"/>
        <v>10455.400238053282</v>
      </c>
      <c r="E405" s="26">
        <f ca="1"/>
        <v>13602.338592501048</v>
      </c>
      <c r="F405" s="26">
        <f ca="1"/>
        <v>21367.088733709596</v>
      </c>
      <c r="G405" s="26">
        <f ca="1"/>
        <v>30868.186189444423</v>
      </c>
      <c r="H405" s="26">
        <f ca="1"/>
        <v>41782.335654269846</v>
      </c>
      <c r="I405" s="26">
        <f ca="1"/>
        <v>54051.93432599747</v>
      </c>
      <c r="J405" s="26">
        <f ca="1"/>
        <v>67436.915483353165</v>
      </c>
      <c r="K405" s="26">
        <f ca="1"/>
        <v>83269.810058475021</v>
      </c>
      <c r="L405" s="26">
        <f ca="1"/>
        <v>102233.10305637782</v>
      </c>
      <c r="M405" s="6"/>
      <c r="N405" s="1" t="str">
        <f t="shared" si="50"/>
        <v>$M(2015)/million</v>
      </c>
      <c r="O405" s="1"/>
    </row>
    <row r="406" spans="1:26" x14ac:dyDescent="0.2">
      <c r="A406" t="str">
        <v>AF discontinuity</v>
      </c>
      <c r="C406" s="26">
        <f ca="1"/>
        <v>6224.1524088078222</v>
      </c>
      <c r="D406" s="26">
        <f ca="1"/>
        <v>7460.2583550616037</v>
      </c>
      <c r="E406" s="26">
        <f ca="1"/>
        <v>9161.5791739448377</v>
      </c>
      <c r="F406" s="26">
        <f ca="1"/>
        <v>13825.45004076033</v>
      </c>
      <c r="G406" s="26">
        <f ca="1"/>
        <v>20293.265866707552</v>
      </c>
      <c r="H406" s="26">
        <f ca="1"/>
        <v>28724.395398701279</v>
      </c>
      <c r="I406" s="26">
        <f ca="1"/>
        <v>39394.989738867771</v>
      </c>
      <c r="J406" s="26">
        <f ca="1"/>
        <v>52046.144357923724</v>
      </c>
      <c r="K406" s="26">
        <f ca="1"/>
        <v>67954.598834037286</v>
      </c>
      <c r="L406" s="26">
        <f ca="1"/>
        <v>88109.004565489842</v>
      </c>
      <c r="M406" s="6"/>
      <c r="N406" s="1" t="str">
        <f t="shared" si="50"/>
        <v>$M(2015)/million</v>
      </c>
      <c r="O406" s="1"/>
    </row>
    <row r="407" spans="1:26" x14ac:dyDescent="0.2">
      <c r="A407" t="str">
        <v>LA discontinuity</v>
      </c>
      <c r="C407" s="26">
        <f ca="1"/>
        <v>14884.986756447466</v>
      </c>
      <c r="D407" s="26">
        <f ca="1"/>
        <v>17502.895168257979</v>
      </c>
      <c r="E407" s="26">
        <f ca="1"/>
        <v>20722.569513301467</v>
      </c>
      <c r="F407" s="26">
        <f ca="1"/>
        <v>29250.935155207691</v>
      </c>
      <c r="G407" s="26">
        <f ca="1"/>
        <v>40339.917295840794</v>
      </c>
      <c r="H407" s="26">
        <f ca="1"/>
        <v>52717.397022795973</v>
      </c>
      <c r="I407" s="26">
        <f ca="1"/>
        <v>66163.665865464296</v>
      </c>
      <c r="J407" s="26">
        <f ca="1"/>
        <v>80675.571596431415</v>
      </c>
      <c r="K407" s="26">
        <f ca="1"/>
        <v>98184.982881014803</v>
      </c>
      <c r="L407" s="26">
        <f ca="1"/>
        <v>119020.10900640975</v>
      </c>
      <c r="M407" s="6"/>
      <c r="N407" s="1" t="str">
        <f t="shared" si="50"/>
        <v>$M(2015)/million</v>
      </c>
      <c r="O407" s="1"/>
    </row>
    <row r="408" spans="1:26" ht="14.25" x14ac:dyDescent="0.25">
      <c r="A408" s="2" t="s">
        <v>115</v>
      </c>
      <c r="B408" s="2"/>
      <c r="C408" s="53" t="s">
        <v>253</v>
      </c>
      <c r="D408" s="1"/>
      <c r="E408" s="1"/>
      <c r="F408" s="1"/>
      <c r="G408" s="1"/>
      <c r="H408" s="1"/>
      <c r="I408" s="1"/>
      <c r="J408" s="1"/>
      <c r="K408" s="1"/>
      <c r="L408" s="1"/>
      <c r="M408" s="1"/>
      <c r="N408" s="1"/>
      <c r="P408">
        <f t="array" ref="P408:Y408">Y</f>
        <v>2020</v>
      </c>
      <c r="Q408">
        <v>2025</v>
      </c>
      <c r="R408">
        <v>2030</v>
      </c>
      <c r="S408">
        <v>2040</v>
      </c>
      <c r="T408">
        <v>2050</v>
      </c>
      <c r="U408">
        <v>2060</v>
      </c>
      <c r="V408">
        <v>2070</v>
      </c>
      <c r="W408">
        <v>2080</v>
      </c>
      <c r="X408">
        <v>2090</v>
      </c>
      <c r="Y408">
        <v>2100</v>
      </c>
    </row>
    <row r="409" spans="1:26" x14ac:dyDescent="0.2">
      <c r="A409" s="1" t="str">
        <f t="array" ref="A409:A416">R_CODE&amp;" total"</f>
        <v>EU total</v>
      </c>
      <c r="C409" s="222">
        <f t="array" aca="1" ref="C409:L416" ca="1">IF(EQUITY_SWITCH=0, (cons_per_cap_after_costs_b - rconsdis_per_cap_b), (((CONS_PER_CAP_FOCUS_0)^EMUC)/(1-EMUC))*((cons_per_cap_after_costs_b)^(1-EMUC) - (rconsdis_per_cap_b) ^(1-EMUC))) * POP_B</f>
        <v>63928.983368214671</v>
      </c>
      <c r="D409" s="222">
        <f ca="1"/>
        <v>65656.904912546626</v>
      </c>
      <c r="E409" s="222">
        <f ca="1"/>
        <v>78925.868394702935</v>
      </c>
      <c r="F409" s="222">
        <f ca="1"/>
        <v>116946.15411443912</v>
      </c>
      <c r="G409" s="222">
        <f ca="1"/>
        <v>189091.29997998517</v>
      </c>
      <c r="H409" s="222">
        <f ca="1"/>
        <v>316384.96256632911</v>
      </c>
      <c r="I409" s="222">
        <f ca="1"/>
        <v>493324.8153302705</v>
      </c>
      <c r="J409" s="222">
        <f ca="1"/>
        <v>936384.12046617793</v>
      </c>
      <c r="K409" s="222">
        <f ca="1"/>
        <v>1418160.7944730327</v>
      </c>
      <c r="L409" s="222">
        <f ca="1"/>
        <v>1808212.278213961</v>
      </c>
      <c r="M409" s="1"/>
      <c r="N409" s="1" t="str">
        <f t="array" ref="N409:N417">CURRENCY_NAME</f>
        <v>$M(2015)</v>
      </c>
      <c r="P409" s="321">
        <f ca="1">_xll.RiskOutput(,"Impacts B",1)+C409</f>
        <v>63928.983368214671</v>
      </c>
      <c r="Q409" s="321">
        <f ca="1">_xll.RiskOutput(,"Impacts B",2)+D409</f>
        <v>65656.904912546626</v>
      </c>
      <c r="R409" s="321">
        <f ca="1">_xll.RiskOutput(,"Impacts B",3)+E409</f>
        <v>78925.868394702935</v>
      </c>
      <c r="S409" s="321">
        <f ca="1">_xll.RiskOutput(,"Impacts B",4)+F409</f>
        <v>116946.15411443912</v>
      </c>
      <c r="T409" s="321">
        <f ca="1">_xll.RiskOutput(,"Impacts B",5)+G409</f>
        <v>189091.29997998517</v>
      </c>
      <c r="U409" s="321">
        <f ca="1">_xll.RiskOutput(,"Impacts B",6)+H409</f>
        <v>316384.96256632911</v>
      </c>
      <c r="V409" s="321">
        <f ca="1">_xll.RiskOutput(,"Impacts B",7)+I409</f>
        <v>493324.8153302705</v>
      </c>
      <c r="W409" s="321">
        <f ca="1">_xll.RiskOutput(,"Impacts B",8)+J409</f>
        <v>936384.12046617793</v>
      </c>
      <c r="X409" s="321">
        <f ca="1">_xll.RiskOutput(,"Impacts B",9)+K409</f>
        <v>1418160.7944730327</v>
      </c>
      <c r="Y409" s="321">
        <f ca="1">_xll.RiskOutput(,"Impacts B",10)+L409</f>
        <v>1808212.278213961</v>
      </c>
      <c r="Z409" s="329">
        <v>2239608.2000000002</v>
      </c>
    </row>
    <row r="410" spans="1:26" x14ac:dyDescent="0.2">
      <c r="A410" s="1" t="str">
        <v>US total</v>
      </c>
      <c r="C410" s="222">
        <f ca="1"/>
        <v>67662.245528566942</v>
      </c>
      <c r="D410" s="222">
        <f ca="1"/>
        <v>88126.548497093332</v>
      </c>
      <c r="E410" s="222">
        <f ca="1"/>
        <v>127894.24178797097</v>
      </c>
      <c r="F410" s="222">
        <f ca="1"/>
        <v>233605.24675645615</v>
      </c>
      <c r="G410" s="222">
        <f ca="1"/>
        <v>358820.27227805386</v>
      </c>
      <c r="H410" s="222">
        <f ca="1"/>
        <v>595108.7511525295</v>
      </c>
      <c r="I410" s="222">
        <f ca="1"/>
        <v>926476.75729675067</v>
      </c>
      <c r="J410" s="222">
        <f ca="1"/>
        <v>1512599.6686151831</v>
      </c>
      <c r="K410" s="222">
        <f ca="1"/>
        <v>2124623.7870304375</v>
      </c>
      <c r="L410" s="222">
        <f ca="1"/>
        <v>2745674.8877881216</v>
      </c>
      <c r="M410" s="1"/>
      <c r="N410" s="1" t="str">
        <v>$M(2015)</v>
      </c>
      <c r="P410" s="321">
        <f ca="1">_xll.RiskOutput(,"Impacts B",11)+C410</f>
        <v>67662.245528566942</v>
      </c>
      <c r="Q410" s="321">
        <f ca="1">_xll.RiskOutput(,"Impacts B",12)+D410</f>
        <v>88126.548497093332</v>
      </c>
      <c r="R410" s="321">
        <f ca="1">_xll.RiskOutput(,"Impacts B",13)+E410</f>
        <v>127894.24178797097</v>
      </c>
      <c r="S410" s="321">
        <f ca="1">_xll.RiskOutput(,"Impacts B",14)+F410</f>
        <v>233605.24675645615</v>
      </c>
      <c r="T410" s="321">
        <f ca="1">_xll.RiskOutput(,"Impacts B",15)+G410</f>
        <v>358820.27227805386</v>
      </c>
      <c r="U410" s="321">
        <f ca="1">_xll.RiskOutput(,"Impacts B",16)+H410</f>
        <v>595108.7511525295</v>
      </c>
      <c r="V410" s="321">
        <f ca="1">_xll.RiskOutput(,"Impacts B",17)+I410</f>
        <v>926476.75729675067</v>
      </c>
      <c r="W410" s="321">
        <f ca="1">_xll.RiskOutput(,"Impacts B",18)+J410</f>
        <v>1512599.6686151831</v>
      </c>
      <c r="X410" s="321">
        <f ca="1">_xll.RiskOutput(,"Impacts B",19)+K410</f>
        <v>2124623.7870304375</v>
      </c>
      <c r="Y410" s="321">
        <f ca="1">_xll.RiskOutput(,"Impacts B",20)+L410</f>
        <v>2745674.8877881216</v>
      </c>
      <c r="Z410" s="329">
        <v>3369824.1</v>
      </c>
    </row>
    <row r="411" spans="1:26" x14ac:dyDescent="0.2">
      <c r="A411" s="1" t="str">
        <v>OT total</v>
      </c>
      <c r="C411" s="222">
        <f ca="1"/>
        <v>60869.784187177909</v>
      </c>
      <c r="D411" s="222">
        <f ca="1"/>
        <v>68869.56254783475</v>
      </c>
      <c r="E411" s="222">
        <f ca="1"/>
        <v>95302.969786141839</v>
      </c>
      <c r="F411" s="222">
        <f ca="1"/>
        <v>166774.36864942501</v>
      </c>
      <c r="G411" s="222">
        <f ca="1"/>
        <v>252859.77211304815</v>
      </c>
      <c r="H411" s="222">
        <f ca="1"/>
        <v>394326.55292666634</v>
      </c>
      <c r="I411" s="222">
        <f ca="1"/>
        <v>586450.36187430169</v>
      </c>
      <c r="J411" s="222">
        <f ca="1"/>
        <v>909339.64738223271</v>
      </c>
      <c r="K411" s="222">
        <f ca="1"/>
        <v>1234351.3202376063</v>
      </c>
      <c r="L411" s="222">
        <f ca="1"/>
        <v>1513324.7887473993</v>
      </c>
      <c r="M411" s="1"/>
      <c r="N411" s="1" t="str">
        <v>$M(2015)</v>
      </c>
      <c r="P411" s="321">
        <f ca="1">_xll.RiskOutput(,"Impacts B",21)+C411</f>
        <v>60869.784187177909</v>
      </c>
      <c r="Q411" s="321">
        <f ca="1">_xll.RiskOutput(,"Impacts B",22)+D411</f>
        <v>68869.56254783475</v>
      </c>
      <c r="R411" s="321">
        <f ca="1">_xll.RiskOutput(,"Impacts B",23)+E411</f>
        <v>95302.969786141839</v>
      </c>
      <c r="S411" s="321">
        <f ca="1">_xll.RiskOutput(,"Impacts B",24)+F411</f>
        <v>166774.36864942501</v>
      </c>
      <c r="T411" s="321">
        <f ca="1">_xll.RiskOutput(,"Impacts B",25)+G411</f>
        <v>252859.77211304815</v>
      </c>
      <c r="U411" s="321">
        <f ca="1">_xll.RiskOutput(,"Impacts B",26)+H411</f>
        <v>394326.55292666634</v>
      </c>
      <c r="V411" s="321">
        <f ca="1">_xll.RiskOutput(,"Impacts B",27)+I411</f>
        <v>586450.36187430169</v>
      </c>
      <c r="W411" s="321">
        <f ca="1">_xll.RiskOutput(,"Impacts B",28)+J411</f>
        <v>909339.64738223271</v>
      </c>
      <c r="X411" s="321">
        <f ca="1">_xll.RiskOutput(,"Impacts B",29)+K411</f>
        <v>1234351.3202376063</v>
      </c>
      <c r="Y411" s="321">
        <f ca="1">_xll.RiskOutput(,"Impacts B",30)+L411</f>
        <v>1513324.7887473993</v>
      </c>
      <c r="Z411" s="329">
        <v>1871652.85</v>
      </c>
    </row>
    <row r="412" spans="1:26" x14ac:dyDescent="0.2">
      <c r="A412" s="1" t="str">
        <v>EE total</v>
      </c>
      <c r="C412" s="222">
        <f ca="1"/>
        <v>-3800.0775967260015</v>
      </c>
      <c r="D412" s="222">
        <f ca="1"/>
        <v>-20440.161342451629</v>
      </c>
      <c r="E412" s="222">
        <f ca="1"/>
        <v>-26434.967659697377</v>
      </c>
      <c r="F412" s="222">
        <f ca="1"/>
        <v>-20010.054598499915</v>
      </c>
      <c r="G412" s="222">
        <f ca="1"/>
        <v>16729.682558545184</v>
      </c>
      <c r="H412" s="222">
        <f ca="1"/>
        <v>83580.037804533524</v>
      </c>
      <c r="I412" s="222">
        <f ca="1"/>
        <v>184452.6372330827</v>
      </c>
      <c r="J412" s="222">
        <f ca="1"/>
        <v>320132.23606264737</v>
      </c>
      <c r="K412" s="222">
        <f ca="1"/>
        <v>491062.33100186201</v>
      </c>
      <c r="L412" s="222">
        <f ca="1"/>
        <v>589042.44093485165</v>
      </c>
      <c r="M412" s="1"/>
      <c r="N412" s="1" t="str">
        <v>$M(2015)</v>
      </c>
      <c r="P412" s="321">
        <f ca="1">_xll.RiskOutput(,"Impacts B",31)+C412</f>
        <v>-3800.0775967260015</v>
      </c>
      <c r="Q412" s="321">
        <f ca="1">_xll.RiskOutput(,"Impacts B",32)+D412</f>
        <v>-20440.161342451629</v>
      </c>
      <c r="R412" s="321">
        <f ca="1">_xll.RiskOutput(,"Impacts B",33)+E412</f>
        <v>-26434.967659697377</v>
      </c>
      <c r="S412" s="321">
        <f ca="1">_xll.RiskOutput(,"Impacts B",34)+F412</f>
        <v>-20010.054598499915</v>
      </c>
      <c r="T412" s="321">
        <f ca="1">_xll.RiskOutput(,"Impacts B",35)+G412</f>
        <v>16729.682558545184</v>
      </c>
      <c r="U412" s="321">
        <f ca="1">_xll.RiskOutput(,"Impacts B",36)+H412</f>
        <v>83580.037804533524</v>
      </c>
      <c r="V412" s="321">
        <f ca="1">_xll.RiskOutput(,"Impacts B",37)+I412</f>
        <v>184452.6372330827</v>
      </c>
      <c r="W412" s="321">
        <f ca="1">_xll.RiskOutput(,"Impacts B",38)+J412</f>
        <v>320132.23606264737</v>
      </c>
      <c r="X412" s="321">
        <f ca="1">_xll.RiskOutput(,"Impacts B",39)+K412</f>
        <v>491062.33100186201</v>
      </c>
      <c r="Y412" s="321">
        <f ca="1">_xll.RiskOutput(,"Impacts B",40)+L412</f>
        <v>589042.44093485165</v>
      </c>
      <c r="Z412" s="329">
        <v>793196</v>
      </c>
    </row>
    <row r="413" spans="1:26" x14ac:dyDescent="0.2">
      <c r="A413" s="1" t="str">
        <v>CA total</v>
      </c>
      <c r="C413" s="222">
        <f ca="1"/>
        <v>527725.05561401753</v>
      </c>
      <c r="D413" s="222">
        <f ca="1"/>
        <v>682978.22646622511</v>
      </c>
      <c r="E413" s="222">
        <f ca="1"/>
        <v>833237.39098454372</v>
      </c>
      <c r="F413" s="222">
        <f ca="1"/>
        <v>1112810.2912027782</v>
      </c>
      <c r="G413" s="222">
        <f ca="1"/>
        <v>1432084.6854887116</v>
      </c>
      <c r="H413" s="222">
        <f ca="1"/>
        <v>1729004.3194496133</v>
      </c>
      <c r="I413" s="222">
        <f ca="1"/>
        <v>2142301.975704764</v>
      </c>
      <c r="J413" s="222">
        <f ca="1"/>
        <v>2644955.774108951</v>
      </c>
      <c r="K413" s="222">
        <f ca="1"/>
        <v>3016435.4636498536</v>
      </c>
      <c r="L413" s="222">
        <f ca="1"/>
        <v>3050560.1500774077</v>
      </c>
      <c r="M413" s="1"/>
      <c r="N413" s="1" t="str">
        <v>$M(2015)</v>
      </c>
      <c r="P413" s="321">
        <f ca="1">_xll.RiskOutput(,"Impacts B",41)+C413</f>
        <v>527725.05561401753</v>
      </c>
      <c r="Q413" s="321">
        <f ca="1">_xll.RiskOutput(,"Impacts B",42)+D413</f>
        <v>682978.22646622511</v>
      </c>
      <c r="R413" s="321">
        <f ca="1">_xll.RiskOutput(,"Impacts B",43)+E413</f>
        <v>833237.39098454372</v>
      </c>
      <c r="S413" s="321">
        <f ca="1">_xll.RiskOutput(,"Impacts B",44)+F413</f>
        <v>1112810.2912027782</v>
      </c>
      <c r="T413" s="321">
        <f ca="1">_xll.RiskOutput(,"Impacts B",45)+G413</f>
        <v>1432084.6854887116</v>
      </c>
      <c r="U413" s="321">
        <f ca="1">_xll.RiskOutput(,"Impacts B",46)+H413</f>
        <v>1729004.3194496133</v>
      </c>
      <c r="V413" s="321">
        <f ca="1">_xll.RiskOutput(,"Impacts B",47)+I413</f>
        <v>2142301.975704764</v>
      </c>
      <c r="W413" s="321">
        <f ca="1">_xll.RiskOutput(,"Impacts B",48)+J413</f>
        <v>2644955.774108951</v>
      </c>
      <c r="X413" s="321">
        <f ca="1">_xll.RiskOutput(,"Impacts B",49)+K413</f>
        <v>3016435.4636498536</v>
      </c>
      <c r="Y413" s="321">
        <f ca="1">_xll.RiskOutput(,"Impacts B",50)+L413</f>
        <v>3050560.1500774077</v>
      </c>
      <c r="Z413" s="329">
        <v>3598126.08</v>
      </c>
    </row>
    <row r="414" spans="1:26" x14ac:dyDescent="0.2">
      <c r="A414" s="1" t="str">
        <v>IA total</v>
      </c>
      <c r="C414" s="222">
        <f ca="1"/>
        <v>1803868.636549446</v>
      </c>
      <c r="D414" s="222">
        <f ca="1"/>
        <v>2378958.7985036573</v>
      </c>
      <c r="E414" s="222">
        <f ca="1"/>
        <v>2907548.9103523558</v>
      </c>
      <c r="F414" s="222">
        <f ca="1"/>
        <v>4597866.3336296193</v>
      </c>
      <c r="G414" s="222">
        <f ca="1"/>
        <v>6147636.220355412</v>
      </c>
      <c r="H414" s="222">
        <f ca="1"/>
        <v>7710572.6919203699</v>
      </c>
      <c r="I414" s="222">
        <f ca="1"/>
        <v>9514800.3612493146</v>
      </c>
      <c r="J414" s="222">
        <f ca="1"/>
        <v>11571222.78814354</v>
      </c>
      <c r="K414" s="222">
        <f ca="1"/>
        <v>12974505.13473813</v>
      </c>
      <c r="L414" s="222">
        <f ca="1"/>
        <v>13380956.761694368</v>
      </c>
      <c r="M414" s="1"/>
      <c r="N414" s="1" t="str">
        <v>$M(2015)</v>
      </c>
      <c r="P414" s="321">
        <f ca="1">_xll.RiskOutput(,"Impacts B",51)+C414</f>
        <v>1803868.636549446</v>
      </c>
      <c r="Q414" s="321">
        <f ca="1">_xll.RiskOutput(,"Impacts B",52)+D414</f>
        <v>2378958.7985036573</v>
      </c>
      <c r="R414" s="321">
        <f ca="1">_xll.RiskOutput(,"Impacts B",53)+E414</f>
        <v>2907548.9103523558</v>
      </c>
      <c r="S414" s="321">
        <f ca="1">_xll.RiskOutput(,"Impacts B",54)+F414</f>
        <v>4597866.3336296193</v>
      </c>
      <c r="T414" s="321">
        <f ca="1">_xll.RiskOutput(,"Impacts B",55)+G414</f>
        <v>6147636.220355412</v>
      </c>
      <c r="U414" s="321">
        <f ca="1">_xll.RiskOutput(,"Impacts B",56)+H414</f>
        <v>7710572.6919203699</v>
      </c>
      <c r="V414" s="321">
        <f ca="1">_xll.RiskOutput(,"Impacts B",57)+I414</f>
        <v>9514800.3612493146</v>
      </c>
      <c r="W414" s="321">
        <f ca="1">_xll.RiskOutput(,"Impacts B",58)+J414</f>
        <v>11571222.78814354</v>
      </c>
      <c r="X414" s="321">
        <f ca="1">_xll.RiskOutput(,"Impacts B",59)+K414</f>
        <v>12974505.13473813</v>
      </c>
      <c r="Y414" s="321">
        <f ca="1">_xll.RiskOutput(,"Impacts B",60)+L414</f>
        <v>13380956.761694368</v>
      </c>
      <c r="Z414" s="329">
        <v>14472791.720000001</v>
      </c>
    </row>
    <row r="415" spans="1:26" x14ac:dyDescent="0.2">
      <c r="A415" s="1" t="str">
        <v>AF total</v>
      </c>
      <c r="C415" s="222">
        <f ca="1"/>
        <v>669959.23641416628</v>
      </c>
      <c r="D415" s="222">
        <f ca="1"/>
        <v>1149392.7038314755</v>
      </c>
      <c r="E415" s="222">
        <f ca="1"/>
        <v>1490431.3005524571</v>
      </c>
      <c r="F415" s="222">
        <f ca="1"/>
        <v>2765796.4742000597</v>
      </c>
      <c r="G415" s="222">
        <f ca="1"/>
        <v>3933701.3416571552</v>
      </c>
      <c r="H415" s="222">
        <f ca="1"/>
        <v>5481990.3004808677</v>
      </c>
      <c r="I415" s="222">
        <f ca="1"/>
        <v>7204727.6778949359</v>
      </c>
      <c r="J415" s="222">
        <f ca="1"/>
        <v>9375250.7895920761</v>
      </c>
      <c r="K415" s="222">
        <f ca="1"/>
        <v>11387574.053213133</v>
      </c>
      <c r="L415" s="222">
        <f ca="1"/>
        <v>12729450.523926655</v>
      </c>
      <c r="M415" s="1"/>
      <c r="N415" s="1" t="str">
        <v>$M(2015)</v>
      </c>
      <c r="P415" s="321">
        <f ca="1">_xll.RiskOutput(,"Impacts B",61)+C415</f>
        <v>669959.23641416628</v>
      </c>
      <c r="Q415" s="321">
        <f ca="1">_xll.RiskOutput(,"Impacts B",62)+D415</f>
        <v>1149392.7038314755</v>
      </c>
      <c r="R415" s="321">
        <f ca="1">_xll.RiskOutput(,"Impacts B",63)+E415</f>
        <v>1490431.3005524571</v>
      </c>
      <c r="S415" s="321">
        <f ca="1">_xll.RiskOutput(,"Impacts B",64)+F415</f>
        <v>2765796.4742000597</v>
      </c>
      <c r="T415" s="321">
        <f ca="1">_xll.RiskOutput(,"Impacts B",65)+G415</f>
        <v>3933701.3416571552</v>
      </c>
      <c r="U415" s="321">
        <f ca="1">_xll.RiskOutput(,"Impacts B",66)+H415</f>
        <v>5481990.3004808677</v>
      </c>
      <c r="V415" s="321">
        <f ca="1">_xll.RiskOutput(,"Impacts B",67)+I415</f>
        <v>7204727.6778949359</v>
      </c>
      <c r="W415" s="321">
        <f ca="1">_xll.RiskOutput(,"Impacts B",68)+J415</f>
        <v>9375250.7895920761</v>
      </c>
      <c r="X415" s="321">
        <f ca="1">_xll.RiskOutput(,"Impacts B",69)+K415</f>
        <v>11387574.053213133</v>
      </c>
      <c r="Y415" s="321">
        <f ca="1">_xll.RiskOutput(,"Impacts B",70)+L415</f>
        <v>12729450.523926655</v>
      </c>
      <c r="Z415" s="329">
        <v>13773759.6</v>
      </c>
    </row>
    <row r="416" spans="1:26" x14ac:dyDescent="0.2">
      <c r="A416" s="1" t="str">
        <v>LA total</v>
      </c>
      <c r="C416" s="222">
        <f ca="1"/>
        <v>354677.30094162747</v>
      </c>
      <c r="D416" s="222">
        <f ca="1"/>
        <v>411166.29193443438</v>
      </c>
      <c r="E416" s="222">
        <f ca="1"/>
        <v>527725.38642402634</v>
      </c>
      <c r="F416" s="222">
        <f ca="1"/>
        <v>858173.11833738571</v>
      </c>
      <c r="G416" s="222">
        <f ca="1"/>
        <v>1063595.7175615861</v>
      </c>
      <c r="H416" s="222">
        <f ca="1"/>
        <v>1344273.85650738</v>
      </c>
      <c r="I416" s="222">
        <f ca="1"/>
        <v>1656288.0556659254</v>
      </c>
      <c r="J416" s="222">
        <f ca="1"/>
        <v>2039769.6186653099</v>
      </c>
      <c r="K416" s="222">
        <f ca="1"/>
        <v>2249562.1405328992</v>
      </c>
      <c r="L416" s="222">
        <f ca="1"/>
        <v>2320781.2516302648</v>
      </c>
      <c r="M416" s="1"/>
      <c r="N416" s="1" t="str">
        <v>$M(2015)</v>
      </c>
      <c r="P416" s="321">
        <f ca="1">_xll.RiskOutput(,"Impacts B",71)+C416</f>
        <v>354677.30094162747</v>
      </c>
      <c r="Q416" s="321">
        <f ca="1">_xll.RiskOutput(,"Impacts B",72)+D416</f>
        <v>411166.29193443438</v>
      </c>
      <c r="R416" s="321">
        <f ca="1">_xll.RiskOutput(,"Impacts B",73)+E416</f>
        <v>527725.38642402634</v>
      </c>
      <c r="S416" s="321">
        <f ca="1">_xll.RiskOutput(,"Impacts B",74)+F416</f>
        <v>858173.11833738571</v>
      </c>
      <c r="T416" s="321">
        <f ca="1">_xll.RiskOutput(,"Impacts B",75)+G416</f>
        <v>1063595.7175615861</v>
      </c>
      <c r="U416" s="321">
        <f ca="1">_xll.RiskOutput(,"Impacts B",76)+H416</f>
        <v>1344273.85650738</v>
      </c>
      <c r="V416" s="321">
        <f ca="1">_xll.RiskOutput(,"Impacts B",77)+I416</f>
        <v>1656288.0556659254</v>
      </c>
      <c r="W416" s="321">
        <f ca="1">_xll.RiskOutput(,"Impacts B",78)+J416</f>
        <v>2039769.6186653099</v>
      </c>
      <c r="X416" s="321">
        <f ca="1">_xll.RiskOutput(,"Impacts B",79)+K416</f>
        <v>2249562.1405328992</v>
      </c>
      <c r="Y416" s="321">
        <f ca="1">_xll.RiskOutput(,"Impacts B",80)+L416</f>
        <v>2320781.2516302648</v>
      </c>
      <c r="Z416" s="329">
        <v>2605353.4</v>
      </c>
    </row>
    <row r="417" spans="1:26" x14ac:dyDescent="0.2">
      <c r="A417" s="2" t="s">
        <v>1086</v>
      </c>
      <c r="B417" s="2"/>
      <c r="C417" s="40">
        <f ca="1">_xll.RiskOutput(,$A$417,1)+SUM(C409:C416)</f>
        <v>3544891.1650064904</v>
      </c>
      <c r="D417" s="40">
        <f ca="1">_xll.RiskOutput(,$A$417,2)+SUM(D409:D416)</f>
        <v>4824708.8753508152</v>
      </c>
      <c r="E417" s="40">
        <f ca="1">_xll.RiskOutput(,$A$417,3)+SUM(E409:E416)</f>
        <v>6034631.1006225022</v>
      </c>
      <c r="F417" s="40">
        <f ca="1">_xll.RiskOutput(,$A$417,4)+SUM(F409:F416)</f>
        <v>9831961.9322916642</v>
      </c>
      <c r="G417" s="40">
        <f ca="1">_xll.RiskOutput(,$A$417,5)+SUM(G409:G416)</f>
        <v>13394518.991992498</v>
      </c>
      <c r="H417" s="40">
        <f ca="1">_xll.RiskOutput(,$A$417,6)+SUM(H409:H416)</f>
        <v>17655241.47280829</v>
      </c>
      <c r="I417" s="40">
        <f ca="1">_xll.RiskOutput(,$A$417,7)+SUM(I409:I416)</f>
        <v>22708822.642249346</v>
      </c>
      <c r="J417" s="40">
        <f ca="1">_xll.RiskOutput(,$A$417,8)+SUM(J409:J416)</f>
        <v>29309654.64303612</v>
      </c>
      <c r="K417" s="40">
        <f ca="1">_xll.RiskOutput(,$A$417,9)+SUM(K409:K416)</f>
        <v>34896275.024876952</v>
      </c>
      <c r="L417" s="40">
        <f ca="1">_xll.RiskOutput(,$A$417,10)+SUM(L409:L416)</f>
        <v>38138003.083013028</v>
      </c>
      <c r="M417" s="1"/>
      <c r="N417" s="1" t="str">
        <v>$M(2015)</v>
      </c>
      <c r="Z417" s="329">
        <v>42722648.530000001</v>
      </c>
    </row>
    <row r="418" spans="1:26" ht="14.25" x14ac:dyDescent="0.25">
      <c r="A418" s="2" t="s">
        <v>85</v>
      </c>
      <c r="B418" s="2"/>
      <c r="C418" s="53" t="s">
        <v>254</v>
      </c>
      <c r="D418" s="1"/>
      <c r="E418" s="1"/>
      <c r="F418" s="1"/>
      <c r="G418" s="1"/>
      <c r="H418" s="1"/>
      <c r="I418" s="1"/>
      <c r="J418" s="1"/>
      <c r="K418" s="1"/>
      <c r="L418" s="1"/>
      <c r="M418" s="1"/>
      <c r="N418" s="1"/>
    </row>
    <row r="419" spans="1:26" x14ac:dyDescent="0.2">
      <c r="A419" s="1" t="str">
        <f t="array" ref="A419:A426">R_CODE&amp;" total"</f>
        <v>EU total</v>
      </c>
      <c r="C419" s="222">
        <f t="array" ref="C419:L426" ca="1">IF(EQUITY_SWITCH=0,wit_b*DFC_B,wit_b*DF)</f>
        <v>60725.960097859941</v>
      </c>
      <c r="D419" s="222">
        <f ca="1"/>
        <v>59242.528973454275</v>
      </c>
      <c r="E419" s="222">
        <f ca="1"/>
        <v>67647.093915639198</v>
      </c>
      <c r="F419" s="222">
        <f ca="1"/>
        <v>90441.738727582691</v>
      </c>
      <c r="G419" s="222">
        <f ca="1"/>
        <v>131949.48208181449</v>
      </c>
      <c r="H419" s="222">
        <f ca="1"/>
        <v>199207.25890424955</v>
      </c>
      <c r="I419" s="222">
        <f ca="1"/>
        <v>280269.26290326688</v>
      </c>
      <c r="J419" s="222">
        <f ca="1"/>
        <v>480009.38985807769</v>
      </c>
      <c r="K419" s="222">
        <f ca="1"/>
        <v>655955.46003610559</v>
      </c>
      <c r="L419" s="222">
        <f ca="1"/>
        <v>754660.24771012564</v>
      </c>
      <c r="M419" s="1"/>
      <c r="N419" s="1" t="str">
        <f t="array" ref="N419:N427">CURRENCY_NAME</f>
        <v>$M(2015)</v>
      </c>
      <c r="P419" s="124" t="s">
        <v>1022</v>
      </c>
    </row>
    <row r="420" spans="1:26" x14ac:dyDescent="0.2">
      <c r="A420" s="1" t="str">
        <v>US total</v>
      </c>
      <c r="C420" s="222">
        <f ca="1"/>
        <v>64272.175242227779</v>
      </c>
      <c r="D420" s="222">
        <f ca="1"/>
        <v>79516.992304520056</v>
      </c>
      <c r="E420" s="222">
        <f ca="1"/>
        <v>109617.72054548583</v>
      </c>
      <c r="F420" s="222">
        <f ca="1"/>
        <v>180661.47495423534</v>
      </c>
      <c r="G420" s="222">
        <f ca="1"/>
        <v>250387.77084168515</v>
      </c>
      <c r="H420" s="222">
        <f ca="1"/>
        <v>374701.69917501352</v>
      </c>
      <c r="I420" s="222">
        <f ca="1"/>
        <v>526352.92163588072</v>
      </c>
      <c r="J420" s="222">
        <f ca="1"/>
        <v>775389.10385412688</v>
      </c>
      <c r="K420" s="222">
        <f ca="1"/>
        <v>982722.53686371725</v>
      </c>
      <c r="L420" s="222">
        <f ca="1"/>
        <v>1145911.7471518877</v>
      </c>
      <c r="M420" s="1"/>
      <c r="N420" s="1" t="str">
        <v>$M(2015)</v>
      </c>
    </row>
    <row r="421" spans="1:26" x14ac:dyDescent="0.2">
      <c r="A421" s="1" t="str">
        <v>OT total</v>
      </c>
      <c r="C421" s="222">
        <f ca="1"/>
        <v>57820.035466945039</v>
      </c>
      <c r="D421" s="222">
        <f ca="1"/>
        <v>62141.324816692017</v>
      </c>
      <c r="E421" s="222">
        <f ca="1"/>
        <v>81683.851932063713</v>
      </c>
      <c r="F421" s="222">
        <f ca="1"/>
        <v>128976.99791896397</v>
      </c>
      <c r="G421" s="222">
        <f ca="1"/>
        <v>176447.65239423452</v>
      </c>
      <c r="H421" s="222">
        <f ca="1"/>
        <v>248282.06462313887</v>
      </c>
      <c r="I421" s="222">
        <f ca="1"/>
        <v>333176.04455357965</v>
      </c>
      <c r="J421" s="222">
        <f ca="1"/>
        <v>466145.84738621808</v>
      </c>
      <c r="K421" s="222">
        <f ca="1"/>
        <v>570936.30797592178</v>
      </c>
      <c r="L421" s="222">
        <f ca="1"/>
        <v>631588.48864251026</v>
      </c>
      <c r="M421" s="1"/>
      <c r="N421" s="1" t="str">
        <v>$M(2015)</v>
      </c>
    </row>
    <row r="422" spans="1:26" x14ac:dyDescent="0.2">
      <c r="A422" s="1" t="str">
        <v>EE total</v>
      </c>
      <c r="C422" s="222">
        <f ca="1"/>
        <v>-3609.682937994125</v>
      </c>
      <c r="D422" s="222">
        <f ca="1"/>
        <v>-18443.252117430682</v>
      </c>
      <c r="E422" s="222">
        <f ca="1"/>
        <v>-22657.321057140889</v>
      </c>
      <c r="F422" s="222">
        <f ca="1"/>
        <v>-15475.02047952125</v>
      </c>
      <c r="G422" s="222">
        <f ca="1"/>
        <v>11674.111655199673</v>
      </c>
      <c r="H422" s="222">
        <f ca="1"/>
        <v>52624.973371369095</v>
      </c>
      <c r="I422" s="222">
        <f ca="1"/>
        <v>104791.81884104111</v>
      </c>
      <c r="J422" s="222">
        <f ca="1"/>
        <v>164106.24224365398</v>
      </c>
      <c r="K422" s="222">
        <f ca="1"/>
        <v>227135.75110389502</v>
      </c>
      <c r="L422" s="222">
        <f ca="1"/>
        <v>245837.79224569147</v>
      </c>
      <c r="M422" s="1"/>
      <c r="N422" s="1" t="str">
        <v>$M(2015)</v>
      </c>
    </row>
    <row r="423" spans="1:26" x14ac:dyDescent="0.2">
      <c r="A423" s="1" t="str">
        <v>CA total</v>
      </c>
      <c r="C423" s="222">
        <f ca="1"/>
        <v>501284.53451664367</v>
      </c>
      <c r="D423" s="222">
        <f ca="1"/>
        <v>616254.41259464307</v>
      </c>
      <c r="E423" s="222">
        <f ca="1"/>
        <v>714164.93968834914</v>
      </c>
      <c r="F423" s="222">
        <f ca="1"/>
        <v>860605.45019582205</v>
      </c>
      <c r="G423" s="222">
        <f ca="1"/>
        <v>999320.60632897948</v>
      </c>
      <c r="H423" s="222">
        <f ca="1"/>
        <v>1088642.7986885004</v>
      </c>
      <c r="I423" s="222">
        <f ca="1"/>
        <v>1217091.4111527456</v>
      </c>
      <c r="J423" s="222">
        <f ca="1"/>
        <v>1355857.6865865325</v>
      </c>
      <c r="K423" s="222">
        <f ca="1"/>
        <v>1395220.7111767598</v>
      </c>
      <c r="L423" s="222">
        <f ca="1"/>
        <v>1273156.0924837657</v>
      </c>
      <c r="M423" s="1"/>
      <c r="N423" s="1" t="str">
        <v>$M(2015)</v>
      </c>
    </row>
    <row r="424" spans="1:26" x14ac:dyDescent="0.2">
      <c r="A424" s="1" t="str">
        <v>IA total</v>
      </c>
      <c r="C424" s="222">
        <f ca="1"/>
        <v>1713489.7048800327</v>
      </c>
      <c r="D424" s="222">
        <f ca="1"/>
        <v>2146545.5268524997</v>
      </c>
      <c r="E424" s="222">
        <f ca="1"/>
        <v>2492050.3024344393</v>
      </c>
      <c r="F424" s="222">
        <f ca="1"/>
        <v>3555816.1685552658</v>
      </c>
      <c r="G424" s="222">
        <f ca="1"/>
        <v>4289871.6936694672</v>
      </c>
      <c r="H424" s="222">
        <f ca="1"/>
        <v>4854851.6278405609</v>
      </c>
      <c r="I424" s="222">
        <f ca="1"/>
        <v>5405578.6391645018</v>
      </c>
      <c r="J424" s="222">
        <f ca="1"/>
        <v>5931642.2278535264</v>
      </c>
      <c r="K424" s="222">
        <f ca="1"/>
        <v>6001221.8061354691</v>
      </c>
      <c r="L424" s="222">
        <f ca="1"/>
        <v>5584563.4199282182</v>
      </c>
      <c r="M424" s="1"/>
      <c r="N424" s="1" t="str">
        <v>$M(2015)</v>
      </c>
    </row>
    <row r="425" spans="1:26" x14ac:dyDescent="0.2">
      <c r="A425" s="1" t="str">
        <v>AF total</v>
      </c>
      <c r="C425" s="222">
        <f ca="1"/>
        <v>636392.3797028081</v>
      </c>
      <c r="D425" s="222">
        <f ca="1"/>
        <v>1037102.352742811</v>
      </c>
      <c r="E425" s="222">
        <f ca="1"/>
        <v>1277443.6089707571</v>
      </c>
      <c r="F425" s="222">
        <f ca="1"/>
        <v>2138962.5335476203</v>
      </c>
      <c r="G425" s="222">
        <f ca="1"/>
        <v>2744969.5186988539</v>
      </c>
      <c r="H425" s="222">
        <f ca="1"/>
        <v>3451656.6534654181</v>
      </c>
      <c r="I425" s="222">
        <f ca="1"/>
        <v>4093172.8000557302</v>
      </c>
      <c r="J425" s="222">
        <f ca="1"/>
        <v>4805942.6819819724</v>
      </c>
      <c r="K425" s="222">
        <f ca="1"/>
        <v>5267203.4129573321</v>
      </c>
      <c r="L425" s="222">
        <f ca="1"/>
        <v>5312656.2635051282</v>
      </c>
      <c r="M425" s="1"/>
      <c r="N425" s="1" t="str">
        <v>$M(2015)</v>
      </c>
    </row>
    <row r="426" spans="1:26" x14ac:dyDescent="0.2">
      <c r="A426" s="1" t="str">
        <v>LA total</v>
      </c>
      <c r="C426" s="222">
        <f ca="1"/>
        <v>336906.96284882003</v>
      </c>
      <c r="D426" s="222">
        <f ca="1"/>
        <v>370997.2469046241</v>
      </c>
      <c r="E426" s="222">
        <f ca="1"/>
        <v>452311.63753009803</v>
      </c>
      <c r="F426" s="222">
        <f ca="1"/>
        <v>663678.67793030571</v>
      </c>
      <c r="G426" s="222">
        <f ca="1"/>
        <v>742185.93923433742</v>
      </c>
      <c r="H426" s="222">
        <f ca="1"/>
        <v>846402.77464305388</v>
      </c>
      <c r="I426" s="222">
        <f ca="1"/>
        <v>940975.63733175967</v>
      </c>
      <c r="J426" s="222">
        <f ca="1"/>
        <v>1045627.0548662561</v>
      </c>
      <c r="K426" s="222">
        <f ca="1"/>
        <v>1040511.4670522109</v>
      </c>
      <c r="L426" s="222">
        <f ca="1"/>
        <v>968581.71761018888</v>
      </c>
      <c r="M426" s="1"/>
      <c r="N426" s="1" t="str">
        <v>$M(2015)</v>
      </c>
    </row>
    <row r="427" spans="1:26" x14ac:dyDescent="0.2">
      <c r="A427" s="2" t="s">
        <v>255</v>
      </c>
      <c r="B427" s="2"/>
      <c r="C427" s="40">
        <f t="shared" ref="C427:L427" ca="1" si="51">SUM(C419:C426)</f>
        <v>3367282.0698173428</v>
      </c>
      <c r="D427" s="40">
        <f t="shared" ca="1" si="51"/>
        <v>4353357.1330718128</v>
      </c>
      <c r="E427" s="40">
        <f t="shared" ca="1" si="51"/>
        <v>5172261.8339596912</v>
      </c>
      <c r="F427" s="40">
        <f t="shared" ca="1" si="51"/>
        <v>7603668.0213502748</v>
      </c>
      <c r="G427" s="40">
        <f t="shared" ca="1" si="51"/>
        <v>9346806.7749045715</v>
      </c>
      <c r="H427" s="40">
        <f t="shared" ca="1" si="51"/>
        <v>11116369.850711305</v>
      </c>
      <c r="I427" s="40">
        <f t="shared" ca="1" si="51"/>
        <v>12901408.535638506</v>
      </c>
      <c r="J427" s="40">
        <f t="shared" ca="1" si="51"/>
        <v>15024720.234630363</v>
      </c>
      <c r="K427" s="40">
        <f t="shared" ca="1" si="51"/>
        <v>16140907.453301411</v>
      </c>
      <c r="L427" s="40">
        <f t="shared" ca="1" si="51"/>
        <v>15916955.769277515</v>
      </c>
      <c r="M427" s="1"/>
      <c r="N427" s="1" t="str">
        <v>$M(2015)</v>
      </c>
    </row>
    <row r="428" spans="1:26" ht="14.25" x14ac:dyDescent="0.25">
      <c r="A428" s="2" t="s">
        <v>84</v>
      </c>
      <c r="B428" s="2"/>
      <c r="C428" s="2" t="s">
        <v>256</v>
      </c>
      <c r="D428" s="1"/>
      <c r="E428" s="1"/>
      <c r="F428" s="1"/>
      <c r="G428" s="1"/>
      <c r="H428" s="1"/>
      <c r="I428" s="1"/>
      <c r="J428" s="1"/>
      <c r="K428" s="1"/>
      <c r="L428" s="1"/>
      <c r="M428" s="1"/>
      <c r="N428" s="1"/>
    </row>
    <row r="429" spans="1:26" x14ac:dyDescent="0.2">
      <c r="A429" s="1" t="str">
        <f t="array" ref="A429:A436">R_CODE&amp;" total"</f>
        <v>EU total</v>
      </c>
      <c r="B429" s="3"/>
      <c r="C429" s="28">
        <f t="array" ref="C429:L436" ca="1">widt_b*YAGG</f>
        <v>455444.70073394955</v>
      </c>
      <c r="D429" s="28">
        <f ca="1"/>
        <v>296212.64486727136</v>
      </c>
      <c r="E429" s="28">
        <f ca="1"/>
        <v>507353.20436729398</v>
      </c>
      <c r="F429" s="28">
        <f ca="1"/>
        <v>904417.38727582688</v>
      </c>
      <c r="G429" s="28">
        <f ca="1"/>
        <v>1319494.8208181448</v>
      </c>
      <c r="H429" s="28">
        <f ca="1"/>
        <v>1992072.5890424955</v>
      </c>
      <c r="I429" s="28">
        <f ca="1"/>
        <v>2802692.6290326687</v>
      </c>
      <c r="J429" s="28">
        <f ca="1"/>
        <v>4800093.8985807765</v>
      </c>
      <c r="K429" s="28">
        <f ca="1"/>
        <v>6559554.6003610557</v>
      </c>
      <c r="L429" s="28">
        <f ca="1"/>
        <v>3773301.2385506281</v>
      </c>
      <c r="M429" s="40">
        <f ca="1">_xll.RiskOutput(,"EU total",1)+SUM(C429:L429)</f>
        <v>23410637.713630114</v>
      </c>
      <c r="N429" s="1" t="str">
        <f t="array" ref="N429:N437">CURRENCY_NAME</f>
        <v>$M(2015)</v>
      </c>
      <c r="O429" s="329">
        <v>32568651.620000001</v>
      </c>
      <c r="P429" s="321"/>
      <c r="Q429" s="321"/>
      <c r="R429" s="321"/>
      <c r="S429" s="321"/>
      <c r="T429" s="321"/>
      <c r="U429" s="321"/>
      <c r="V429" s="321"/>
      <c r="W429" s="321"/>
      <c r="X429" s="321"/>
      <c r="Y429" s="321"/>
    </row>
    <row r="430" spans="1:26" x14ac:dyDescent="0.2">
      <c r="A430" s="1" t="str">
        <v>US total</v>
      </c>
      <c r="B430" s="3"/>
      <c r="C430" s="28">
        <f ca="1"/>
        <v>482041.31431670836</v>
      </c>
      <c r="D430" s="28">
        <f ca="1"/>
        <v>397584.96152260026</v>
      </c>
      <c r="E430" s="28">
        <f ca="1"/>
        <v>822132.90409114375</v>
      </c>
      <c r="F430" s="28">
        <f ca="1"/>
        <v>1806614.7495423534</v>
      </c>
      <c r="G430" s="28">
        <f ca="1"/>
        <v>2503877.7084168517</v>
      </c>
      <c r="H430" s="28">
        <f ca="1"/>
        <v>3747016.9917501351</v>
      </c>
      <c r="I430" s="28">
        <f ca="1"/>
        <v>5263529.2163588069</v>
      </c>
      <c r="J430" s="28">
        <f ca="1"/>
        <v>7753891.0385412686</v>
      </c>
      <c r="K430" s="28">
        <f ca="1"/>
        <v>9827225.3686371725</v>
      </c>
      <c r="L430" s="28">
        <f ca="1"/>
        <v>5729558.7357594389</v>
      </c>
      <c r="M430" s="40">
        <f ca="1">_xll.RiskOutput(,"EU total",2)+SUM(C430:L430)</f>
        <v>38333472.988936476</v>
      </c>
      <c r="N430" s="1" t="str">
        <v>$M(2015)</v>
      </c>
      <c r="O430" s="329">
        <v>48317870.450000003</v>
      </c>
      <c r="P430" s="321"/>
      <c r="Q430" s="321"/>
      <c r="R430" s="321"/>
      <c r="S430" s="321"/>
      <c r="T430" s="321"/>
      <c r="U430" s="321"/>
      <c r="V430" s="321"/>
      <c r="W430" s="321"/>
      <c r="X430" s="321"/>
      <c r="Y430" s="321"/>
    </row>
    <row r="431" spans="1:26" x14ac:dyDescent="0.2">
      <c r="A431" s="1" t="str">
        <v>OT total</v>
      </c>
      <c r="B431" s="3"/>
      <c r="C431" s="28">
        <f ca="1"/>
        <v>433650.2660020878</v>
      </c>
      <c r="D431" s="28">
        <f ca="1"/>
        <v>310706.62408346008</v>
      </c>
      <c r="E431" s="28">
        <f ca="1"/>
        <v>612628.88949047786</v>
      </c>
      <c r="F431" s="28">
        <f ca="1"/>
        <v>1289769.9791896397</v>
      </c>
      <c r="G431" s="28">
        <f ca="1"/>
        <v>1764476.5239423453</v>
      </c>
      <c r="H431" s="28">
        <f ca="1"/>
        <v>2482820.6462313887</v>
      </c>
      <c r="I431" s="28">
        <f ca="1"/>
        <v>3331760.4455357967</v>
      </c>
      <c r="J431" s="28">
        <f ca="1"/>
        <v>4661458.4738621805</v>
      </c>
      <c r="K431" s="28">
        <f ca="1"/>
        <v>5709363.0797592178</v>
      </c>
      <c r="L431" s="28">
        <f ca="1"/>
        <v>3157942.4432125511</v>
      </c>
      <c r="M431" s="40">
        <f ca="1">_xll.RiskOutput(,"EU total",3)+SUM(C431:L431)</f>
        <v>23754577.371309143</v>
      </c>
      <c r="N431" s="1" t="str">
        <v>$M(2015)</v>
      </c>
      <c r="O431" s="329">
        <v>30001081.18</v>
      </c>
      <c r="P431" s="321"/>
      <c r="Q431" s="321"/>
      <c r="R431" s="321"/>
      <c r="S431" s="321"/>
      <c r="T431" s="321"/>
      <c r="U431" s="321"/>
      <c r="V431" s="321"/>
      <c r="W431" s="321"/>
      <c r="X431" s="321"/>
      <c r="Y431" s="321"/>
    </row>
    <row r="432" spans="1:26" x14ac:dyDescent="0.2">
      <c r="A432" s="1" t="str">
        <v>EE total</v>
      </c>
      <c r="B432" s="3"/>
      <c r="C432" s="28">
        <f ca="1"/>
        <v>-27072.622034955937</v>
      </c>
      <c r="D432" s="28">
        <f ca="1"/>
        <v>-92216.260587153403</v>
      </c>
      <c r="E432" s="28">
        <f ca="1"/>
        <v>-169929.90792855667</v>
      </c>
      <c r="F432" s="28">
        <f ca="1"/>
        <v>-154750.20479521251</v>
      </c>
      <c r="G432" s="28">
        <f ca="1"/>
        <v>116741.11655199673</v>
      </c>
      <c r="H432" s="28">
        <f ca="1"/>
        <v>526249.73371369089</v>
      </c>
      <c r="I432" s="28">
        <f ca="1"/>
        <v>1047918.1884104111</v>
      </c>
      <c r="J432" s="28">
        <f ca="1"/>
        <v>1641062.4224365398</v>
      </c>
      <c r="K432" s="28">
        <f ca="1"/>
        <v>2271357.5110389502</v>
      </c>
      <c r="L432" s="28">
        <f ca="1"/>
        <v>1229188.9612284573</v>
      </c>
      <c r="M432" s="40">
        <f ca="1">_xll.RiskOutput(,"EU total",4)+SUM(C432:L432)</f>
        <v>6388548.9380341675</v>
      </c>
      <c r="N432" s="1" t="str">
        <v>$M(2015)</v>
      </c>
      <c r="O432" s="329">
        <v>10850788.82</v>
      </c>
      <c r="P432" s="321"/>
      <c r="Q432" s="321"/>
      <c r="R432" s="321"/>
      <c r="S432" s="321"/>
      <c r="T432" s="321"/>
      <c r="U432" s="321"/>
      <c r="V432" s="321"/>
      <c r="W432" s="321"/>
      <c r="X432" s="321"/>
      <c r="Y432" s="321"/>
    </row>
    <row r="433" spans="1:25" x14ac:dyDescent="0.2">
      <c r="A433" s="1" t="str">
        <v>CA total</v>
      </c>
      <c r="B433" s="3"/>
      <c r="C433" s="28">
        <f ca="1"/>
        <v>3759634.0088748275</v>
      </c>
      <c r="D433" s="28">
        <f ca="1"/>
        <v>3081272.0629732152</v>
      </c>
      <c r="E433" s="28">
        <f ca="1"/>
        <v>5356237.0476626186</v>
      </c>
      <c r="F433" s="28">
        <f ca="1"/>
        <v>8606054.5019582212</v>
      </c>
      <c r="G433" s="28">
        <f ca="1"/>
        <v>9993206.0632897951</v>
      </c>
      <c r="H433" s="28">
        <f ca="1"/>
        <v>10886427.986885004</v>
      </c>
      <c r="I433" s="28">
        <f ca="1"/>
        <v>12170914.111527456</v>
      </c>
      <c r="J433" s="28">
        <f ca="1"/>
        <v>13558576.865865326</v>
      </c>
      <c r="K433" s="28">
        <f ca="1"/>
        <v>13952207.111767597</v>
      </c>
      <c r="L433" s="28">
        <f ca="1"/>
        <v>6365780.4624188282</v>
      </c>
      <c r="M433" s="40">
        <f ca="1">_xll.RiskOutput(,"EU total",5)+SUM(C433:L433)</f>
        <v>87730310.223222882</v>
      </c>
      <c r="N433" s="1" t="str">
        <v>$M(2015)</v>
      </c>
      <c r="O433" s="329">
        <v>102792318.38</v>
      </c>
      <c r="P433" s="321"/>
      <c r="Q433" s="321"/>
      <c r="R433" s="321"/>
      <c r="S433" s="321"/>
      <c r="T433" s="321"/>
      <c r="U433" s="321"/>
      <c r="V433" s="321"/>
      <c r="W433" s="321"/>
      <c r="X433" s="321"/>
      <c r="Y433" s="321"/>
    </row>
    <row r="434" spans="1:25" x14ac:dyDescent="0.2">
      <c r="A434" s="1" t="str">
        <v>IA total</v>
      </c>
      <c r="B434" s="3"/>
      <c r="C434" s="28">
        <f ca="1"/>
        <v>12851172.786600245</v>
      </c>
      <c r="D434" s="28">
        <f ca="1"/>
        <v>10732727.634262498</v>
      </c>
      <c r="E434" s="28">
        <f ca="1"/>
        <v>18690377.268258296</v>
      </c>
      <c r="F434" s="28">
        <f ca="1"/>
        <v>35558161.685552657</v>
      </c>
      <c r="G434" s="28">
        <f ca="1"/>
        <v>42898716.936694674</v>
      </c>
      <c r="H434" s="28">
        <f ca="1"/>
        <v>48548516.278405607</v>
      </c>
      <c r="I434" s="28">
        <f ca="1"/>
        <v>54055786.391645014</v>
      </c>
      <c r="J434" s="28">
        <f ca="1"/>
        <v>59316422.278535262</v>
      </c>
      <c r="K434" s="28">
        <f ca="1"/>
        <v>60012218.061354689</v>
      </c>
      <c r="L434" s="28">
        <f ca="1"/>
        <v>27922817.099641092</v>
      </c>
      <c r="M434" s="40">
        <f ca="1">_xll.RiskOutput(,"EU total",6)+SUM(C434:L434)</f>
        <v>370586916.42095006</v>
      </c>
      <c r="N434" s="1" t="str">
        <v>$M(2015)</v>
      </c>
      <c r="O434" s="329">
        <v>408823928.45999998</v>
      </c>
      <c r="P434" s="321"/>
      <c r="Q434" s="321"/>
      <c r="R434" s="321"/>
      <c r="S434" s="321"/>
      <c r="T434" s="321"/>
      <c r="U434" s="321"/>
      <c r="V434" s="321"/>
      <c r="W434" s="321"/>
      <c r="X434" s="321"/>
      <c r="Y434" s="321"/>
    </row>
    <row r="435" spans="1:25" x14ac:dyDescent="0.2">
      <c r="A435" s="1" t="str">
        <v>AF total</v>
      </c>
      <c r="B435" s="3"/>
      <c r="C435" s="28">
        <f ca="1"/>
        <v>4772942.8477710607</v>
      </c>
      <c r="D435" s="28">
        <f ca="1"/>
        <v>5185511.7637140546</v>
      </c>
      <c r="E435" s="28">
        <f ca="1"/>
        <v>9580827.0672806781</v>
      </c>
      <c r="F435" s="28">
        <f ca="1"/>
        <v>21389625.335476205</v>
      </c>
      <c r="G435" s="28">
        <f ca="1"/>
        <v>27449695.18698854</v>
      </c>
      <c r="H435" s="28">
        <f ca="1"/>
        <v>34516566.534654185</v>
      </c>
      <c r="I435" s="28">
        <f ca="1"/>
        <v>40931728.000557303</v>
      </c>
      <c r="J435" s="28">
        <f ca="1"/>
        <v>48059426.819819726</v>
      </c>
      <c r="K435" s="28">
        <f ca="1"/>
        <v>52672034.129573323</v>
      </c>
      <c r="L435" s="28">
        <f ca="1"/>
        <v>26563281.31752564</v>
      </c>
      <c r="M435" s="40">
        <f ca="1">_xll.RiskOutput(,"EU total",7)+SUM(C435:L435)</f>
        <v>271121639.00336069</v>
      </c>
      <c r="N435" s="1" t="str">
        <v>$M(2015)</v>
      </c>
      <c r="O435" s="329">
        <v>300780566.70999998</v>
      </c>
      <c r="P435" s="321"/>
      <c r="Q435" s="321"/>
      <c r="R435" s="321"/>
      <c r="S435" s="321"/>
      <c r="T435" s="321"/>
      <c r="U435" s="321"/>
      <c r="V435" s="321"/>
      <c r="W435" s="321"/>
      <c r="X435" s="321"/>
      <c r="Y435" s="321"/>
    </row>
    <row r="436" spans="1:25" x14ac:dyDescent="0.2">
      <c r="A436" s="1" t="str">
        <v>LA total</v>
      </c>
      <c r="B436" s="3"/>
      <c r="C436" s="28">
        <f ca="1"/>
        <v>2526802.2213661503</v>
      </c>
      <c r="D436" s="28">
        <f ca="1"/>
        <v>1854986.2345231206</v>
      </c>
      <c r="E436" s="28">
        <f ca="1"/>
        <v>3392337.2814757354</v>
      </c>
      <c r="F436" s="28">
        <f ca="1"/>
        <v>6636786.7793030571</v>
      </c>
      <c r="G436" s="28">
        <f ca="1"/>
        <v>7421859.392343374</v>
      </c>
      <c r="H436" s="28">
        <f ca="1"/>
        <v>8464027.7464305386</v>
      </c>
      <c r="I436" s="28">
        <f ca="1"/>
        <v>9409756.3733175974</v>
      </c>
      <c r="J436" s="28">
        <f ca="1"/>
        <v>10456270.54866256</v>
      </c>
      <c r="K436" s="28">
        <f ca="1"/>
        <v>10405114.670522109</v>
      </c>
      <c r="L436" s="28">
        <f ca="1"/>
        <v>4842908.5880509447</v>
      </c>
      <c r="M436" s="40">
        <f ca="1">_xll.RiskOutput(,"EU total",8)+SUM(C436:L436)</f>
        <v>65410849.83599519</v>
      </c>
      <c r="N436" s="1" t="str">
        <v>$M(2015)</v>
      </c>
      <c r="O436" s="329">
        <v>72733972.260000005</v>
      </c>
      <c r="P436" s="321"/>
      <c r="Q436" s="321"/>
      <c r="R436" s="321"/>
      <c r="S436" s="321"/>
      <c r="T436" s="321"/>
      <c r="U436" s="321"/>
      <c r="V436" s="321"/>
      <c r="W436" s="321"/>
      <c r="X436" s="321"/>
      <c r="Y436" s="321"/>
    </row>
    <row r="437" spans="1:25" x14ac:dyDescent="0.2">
      <c r="A437" s="2" t="s">
        <v>255</v>
      </c>
      <c r="B437" s="2"/>
      <c r="C437" s="40">
        <f ca="1">_xll.RiskOutput(,A437,1)+SUM(C429:C436)</f>
        <v>25254615.523630075</v>
      </c>
      <c r="D437" s="40">
        <f ca="1">_xll.RiskOutput(,A437,2)+SUM(D429:D436)</f>
        <v>21766785.665359069</v>
      </c>
      <c r="E437" s="40">
        <f ca="1">_xll.RiskOutput(,A437,3)+SUM(E429:E436)</f>
        <v>38791963.754697688</v>
      </c>
      <c r="F437" s="40">
        <f ca="1">_xll.RiskOutput(,A437,4)+SUM(F429:F436)</f>
        <v>76036680.21350275</v>
      </c>
      <c r="G437" s="40">
        <f ca="1">_xll.RiskOutput(,A437,5)+SUM(G429:G436)</f>
        <v>93468067.74904573</v>
      </c>
      <c r="H437" s="40">
        <f ca="1">_xll.RiskOutput(,A437,6)+SUM(H429:H436)</f>
        <v>111163698.50711304</v>
      </c>
      <c r="I437" s="40">
        <f ca="1">_xll.RiskOutput(,A437,7)+SUM(I429:I436)</f>
        <v>129014085.35638505</v>
      </c>
      <c r="J437" s="40">
        <f ca="1">_xll.RiskOutput(,A437,8)+SUM(J429:J436)</f>
        <v>150247202.34630364</v>
      </c>
      <c r="K437" s="40">
        <f ca="1">_xll.RiskOutput(,A437,9)+SUM(K429:K436)</f>
        <v>161409074.53301412</v>
      </c>
      <c r="L437" s="40">
        <f ca="1">_xll.RiskOutput(,A437,10)+SUM(L429:L436)</f>
        <v>79584778.84638758</v>
      </c>
      <c r="M437" s="40">
        <f ca="1">_xll.RiskOutput(,A437,11)+SUM(M429:M436)</f>
        <v>886736952.49543881</v>
      </c>
      <c r="N437" s="1" t="str">
        <v>$M(2015)</v>
      </c>
      <c r="O437" s="1">
        <v>1007000000</v>
      </c>
    </row>
    <row r="438" spans="1:25" ht="13.5" thickBot="1" x14ac:dyDescent="0.25">
      <c r="A438" s="2" t="s">
        <v>87</v>
      </c>
      <c r="B438" s="2"/>
      <c r="M438" s="42">
        <f ca="1">MIN(addt_gt_b,CIV_VALUE)</f>
        <v>886736952.49543881</v>
      </c>
      <c r="N438" s="1" t="str">
        <f>CURRENCY_NAME</f>
        <v>$M(2015)</v>
      </c>
    </row>
    <row r="439" spans="1:25" ht="13.5" thickTop="1" x14ac:dyDescent="0.2"/>
    <row r="440" spans="1:25" x14ac:dyDescent="0.2">
      <c r="A440" s="2" t="s">
        <v>588</v>
      </c>
      <c r="B440" s="7"/>
      <c r="C440" s="286">
        <f t="array" aca="1" ref="C440:L440" ca="1">DF*((CONS_PER_CAP_FOCUS_B/CONS_PER_CAP_FOCUS_0)^-EMUC)*OCCUR_SCC</f>
        <v>0.84425149205787831</v>
      </c>
      <c r="D440" s="286">
        <f ca="1"/>
        <v>0</v>
      </c>
      <c r="E440" s="286">
        <f ca="1"/>
        <v>0</v>
      </c>
      <c r="F440" s="286">
        <f ca="1"/>
        <v>0</v>
      </c>
      <c r="G440" s="286">
        <f ca="1"/>
        <v>0</v>
      </c>
      <c r="H440" s="286">
        <f ca="1"/>
        <v>0</v>
      </c>
      <c r="I440" s="286">
        <f ca="1"/>
        <v>0</v>
      </c>
      <c r="J440" s="286">
        <f ca="1"/>
        <v>0</v>
      </c>
      <c r="K440" s="286">
        <f ca="1"/>
        <v>0</v>
      </c>
      <c r="L440" s="286">
        <f ca="1"/>
        <v>0</v>
      </c>
      <c r="M440" s="85">
        <f ca="1">SUM(C440:L440)</f>
        <v>0.84425149205787831</v>
      </c>
      <c r="P440" s="292" t="s">
        <v>1059</v>
      </c>
    </row>
    <row r="442" spans="1:25" ht="13.5" thickBot="1" x14ac:dyDescent="0.25">
      <c r="A442" s="2" t="s">
        <v>413</v>
      </c>
      <c r="M442" s="42">
        <f ca="1">td_b/UDFT</f>
        <v>1050323228.1343104</v>
      </c>
      <c r="N442" s="1" t="str">
        <f>CURRENCY_NAME</f>
        <v>$M(2015)</v>
      </c>
    </row>
    <row r="443" spans="1:25" ht="13.5" thickTop="1" x14ac:dyDescent="0.2">
      <c r="A443" s="2" t="s">
        <v>415</v>
      </c>
      <c r="M443" s="40">
        <f>IF(DROP = 0, 0, tdu_b/DROP)</f>
        <v>0</v>
      </c>
      <c r="N443" s="1" t="str">
        <f>CURRENCY_NAME</f>
        <v>$M(2015)</v>
      </c>
      <c r="O443" t="s">
        <v>414</v>
      </c>
    </row>
  </sheetData>
  <phoneticPr fontId="21" type="noConversion"/>
  <conditionalFormatting sqref="M429:M436 P429:Y436 C437:M437">
    <cfRule type="expression" dxfId="2" priority="2" stopIfTrue="1">
      <formula>RiskIsOutput</formula>
    </cfRule>
  </conditionalFormatting>
  <conditionalFormatting sqref="P409:Y416">
    <cfRule type="expression" dxfId="1" priority="1" stopIfTrue="1">
      <formula>RiskIsOutput</formula>
    </cfRule>
  </conditionalFormatting>
  <pageMargins left="0.75" right="0.75" top="1" bottom="1" header="0.5" footer="0.5"/>
  <pageSetup paperSize="9" orientation="portrait" horizontalDpi="360"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O451"/>
  <sheetViews>
    <sheetView topLeftCell="A436" workbookViewId="0">
      <selection activeCell="P123" sqref="P123"/>
    </sheetView>
  </sheetViews>
  <sheetFormatPr defaultRowHeight="12.75" x14ac:dyDescent="0.2"/>
  <cols>
    <col min="1" max="1" width="17.85546875" bestFit="1" customWidth="1"/>
    <col min="2" max="2" width="9.85546875" customWidth="1"/>
    <col min="3" max="3" width="10.140625" bestFit="1" customWidth="1"/>
    <col min="4" max="6" width="9.85546875" bestFit="1" customWidth="1"/>
    <col min="7" max="10" width="10.85546875" bestFit="1" customWidth="1"/>
    <col min="11" max="12" width="11.5703125" bestFit="1" customWidth="1"/>
    <col min="13" max="13" width="11.5703125" customWidth="1"/>
    <col min="14" max="14" width="8.85546875" bestFit="1" customWidth="1"/>
  </cols>
  <sheetData>
    <row r="1" spans="1:4" x14ac:dyDescent="0.2">
      <c r="A1" s="2" t="str">
        <f>MODEL_NAME</f>
        <v>PAGE-ICE Nonlinear Arctic Feedbacks</v>
      </c>
      <c r="B1" s="2"/>
      <c r="C1" t="s">
        <v>37</v>
      </c>
      <c r="D1" s="51" t="str">
        <f>VERSION</f>
        <v>6.22</v>
      </c>
    </row>
    <row r="2" spans="1:4" s="3" customFormat="1" x14ac:dyDescent="0.2"/>
    <row r="3" spans="1:4" s="3" customFormat="1" x14ac:dyDescent="0.2"/>
    <row r="4" spans="1:4" s="3" customFormat="1" x14ac:dyDescent="0.2"/>
    <row r="5" spans="1:4" s="3" customFormat="1" x14ac:dyDescent="0.2"/>
    <row r="6" spans="1:4" s="3" customFormat="1" x14ac:dyDescent="0.2"/>
    <row r="7" spans="1:4" s="3" customFormat="1" x14ac:dyDescent="0.2"/>
    <row r="8" spans="1:4" s="3" customFormat="1" x14ac:dyDescent="0.2"/>
    <row r="9" spans="1:4" s="3" customFormat="1" x14ac:dyDescent="0.2"/>
    <row r="10" spans="1:4" s="3" customFormat="1" x14ac:dyDescent="0.2"/>
    <row r="11" spans="1:4" s="3" customFormat="1" x14ac:dyDescent="0.2"/>
    <row r="12" spans="1:4" s="3" customFormat="1" x14ac:dyDescent="0.2"/>
    <row r="13" spans="1:4" s="3" customFormat="1" x14ac:dyDescent="0.2"/>
    <row r="14" spans="1:4" s="3" customFormat="1" x14ac:dyDescent="0.2"/>
    <row r="15" spans="1:4" s="3" customFormat="1" x14ac:dyDescent="0.2"/>
    <row r="16" spans="1:4" x14ac:dyDescent="0.2">
      <c r="A16" s="1"/>
      <c r="C16" s="3"/>
    </row>
    <row r="17" spans="1:14" x14ac:dyDescent="0.2">
      <c r="A17" s="1"/>
      <c r="C17" s="3"/>
    </row>
    <row r="18" spans="1:14" x14ac:dyDescent="0.2">
      <c r="A18" s="1"/>
      <c r="C18" s="3"/>
    </row>
    <row r="19" spans="1:14" x14ac:dyDescent="0.2">
      <c r="A19" s="1"/>
      <c r="C19" s="3"/>
    </row>
    <row r="20" spans="1:14" x14ac:dyDescent="0.2">
      <c r="A20" s="1"/>
      <c r="C20" s="3"/>
    </row>
    <row r="21" spans="1:14" x14ac:dyDescent="0.2">
      <c r="A21" s="1"/>
      <c r="C21" s="3"/>
    </row>
    <row r="22" spans="1:14" x14ac:dyDescent="0.2">
      <c r="A22" s="1"/>
      <c r="C22" s="3"/>
    </row>
    <row r="23" spans="1:14" x14ac:dyDescent="0.2">
      <c r="A23" s="1"/>
      <c r="C23" s="3"/>
    </row>
    <row r="24" spans="1:14" x14ac:dyDescent="0.2">
      <c r="C24" s="3"/>
    </row>
    <row r="25" spans="1:14" x14ac:dyDescent="0.2">
      <c r="C25" s="3"/>
    </row>
    <row r="26" spans="1:14" x14ac:dyDescent="0.2">
      <c r="B26">
        <f>Y_0</f>
        <v>2015</v>
      </c>
      <c r="C26">
        <f t="array" ref="C26:L26">Y</f>
        <v>2020</v>
      </c>
      <c r="D26">
        <v>2025</v>
      </c>
      <c r="E26">
        <v>2030</v>
      </c>
      <c r="F26">
        <v>2040</v>
      </c>
      <c r="G26">
        <v>2050</v>
      </c>
      <c r="H26">
        <v>2060</v>
      </c>
      <c r="I26">
        <v>2070</v>
      </c>
      <c r="J26">
        <v>2080</v>
      </c>
      <c r="K26">
        <v>2090</v>
      </c>
      <c r="L26">
        <v>2100</v>
      </c>
    </row>
    <row r="27" spans="1:14" s="4" customFormat="1" x14ac:dyDescent="0.2">
      <c r="A27" s="4" t="s">
        <v>57</v>
      </c>
      <c r="C27" s="12">
        <f>'Impacts A'!C27-'Impacts B'!C27</f>
        <v>0</v>
      </c>
      <c r="D27" s="12">
        <f>'Impacts A'!D27-'Impacts B'!D27</f>
        <v>0</v>
      </c>
      <c r="E27" s="12">
        <f>'Impacts A'!E27-'Impacts B'!E27</f>
        <v>0</v>
      </c>
      <c r="F27" s="12">
        <f>'Impacts A'!F27-'Impacts B'!F27</f>
        <v>0</v>
      </c>
      <c r="G27" s="12">
        <f>'Impacts A'!G27-'Impacts B'!G27</f>
        <v>0</v>
      </c>
      <c r="H27" s="12">
        <f>'Impacts A'!H27-'Impacts B'!H27</f>
        <v>0</v>
      </c>
      <c r="I27" s="12">
        <f>'Impacts A'!I27-'Impacts B'!I27</f>
        <v>0</v>
      </c>
      <c r="J27" s="12">
        <f>'Impacts A'!J27-'Impacts B'!J27</f>
        <v>0</v>
      </c>
      <c r="K27" s="12">
        <f>'Impacts A'!K27-'Impacts B'!K27</f>
        <v>0</v>
      </c>
      <c r="L27" s="12">
        <f>'Impacts A'!L27-'Impacts B'!L27</f>
        <v>0</v>
      </c>
      <c r="N27" s="4" t="s">
        <v>39</v>
      </c>
    </row>
    <row r="28" spans="1:14" s="4" customFormat="1" x14ac:dyDescent="0.2">
      <c r="A28" s="4" t="s">
        <v>82</v>
      </c>
      <c r="C28" s="14">
        <f>'Impacts A'!C28-'Impacts B'!C28</f>
        <v>0</v>
      </c>
      <c r="D28" s="14">
        <f>'Impacts A'!D28-'Impacts B'!D28</f>
        <v>0</v>
      </c>
      <c r="E28" s="14">
        <f>'Impacts A'!E28-'Impacts B'!E28</f>
        <v>0</v>
      </c>
      <c r="F28" s="14">
        <f>'Impacts A'!F28-'Impacts B'!F28</f>
        <v>0</v>
      </c>
      <c r="G28" s="14">
        <f>'Impacts A'!G28-'Impacts B'!G28</f>
        <v>0</v>
      </c>
      <c r="H28" s="14">
        <f>'Impacts A'!H28-'Impacts B'!H28</f>
        <v>0</v>
      </c>
      <c r="I28" s="14">
        <f>'Impacts A'!I28-'Impacts B'!I28</f>
        <v>0</v>
      </c>
      <c r="J28" s="14">
        <f>'Impacts A'!J28-'Impacts B'!J28</f>
        <v>0</v>
      </c>
      <c r="K28" s="14">
        <f>'Impacts A'!K28-'Impacts B'!K28</f>
        <v>0</v>
      </c>
      <c r="L28" s="14">
        <f>'Impacts A'!L28-'Impacts B'!L28</f>
        <v>0</v>
      </c>
    </row>
    <row r="29" spans="1:14" s="4" customFormat="1" x14ac:dyDescent="0.2">
      <c r="A29" s="4" t="s">
        <v>83</v>
      </c>
      <c r="C29" s="14">
        <f>'Impacts A'!C29-'Impacts B'!C29</f>
        <v>0</v>
      </c>
      <c r="D29" s="14">
        <f>'Impacts A'!D29-'Impacts B'!D29</f>
        <v>0</v>
      </c>
      <c r="E29" s="14">
        <f>'Impacts A'!E29-'Impacts B'!E29</f>
        <v>0</v>
      </c>
      <c r="F29" s="14">
        <f>'Impacts A'!F29-'Impacts B'!F29</f>
        <v>0</v>
      </c>
      <c r="G29" s="14">
        <f>'Impacts A'!G29-'Impacts B'!G29</f>
        <v>0</v>
      </c>
      <c r="H29" s="14">
        <f>'Impacts A'!H29-'Impacts B'!H29</f>
        <v>0</v>
      </c>
      <c r="I29" s="14">
        <f>'Impacts A'!I29-'Impacts B'!I29</f>
        <v>0</v>
      </c>
      <c r="J29" s="14">
        <f>'Impacts A'!J29-'Impacts B'!J29</f>
        <v>0</v>
      </c>
      <c r="K29" s="14">
        <f>'Impacts A'!K29-'Impacts B'!K29</f>
        <v>0</v>
      </c>
      <c r="L29" s="14">
        <f>'Impacts A'!L29-'Impacts B'!L29</f>
        <v>0</v>
      </c>
    </row>
    <row r="30" spans="1:14" s="4" customFormat="1" ht="13.5" thickBot="1" x14ac:dyDescent="0.25">
      <c r="A30" s="4" t="s">
        <v>81</v>
      </c>
      <c r="C30" s="35">
        <f>'Impacts A'!C30-'Impacts B'!C30</f>
        <v>0</v>
      </c>
      <c r="D30" s="35">
        <f>'Impacts A'!D30-'Impacts B'!D30</f>
        <v>0</v>
      </c>
      <c r="E30" s="35">
        <f>'Impacts A'!E30-'Impacts B'!E30</f>
        <v>0</v>
      </c>
      <c r="F30" s="35">
        <f>'Impacts A'!F30-'Impacts B'!F30</f>
        <v>0</v>
      </c>
      <c r="G30" s="35">
        <f>'Impacts A'!G30-'Impacts B'!G30</f>
        <v>0</v>
      </c>
      <c r="H30" s="35">
        <f>'Impacts A'!H30-'Impacts B'!H30</f>
        <v>0</v>
      </c>
      <c r="I30" s="35">
        <f>'Impacts A'!I30-'Impacts B'!I30</f>
        <v>0</v>
      </c>
      <c r="J30" s="35">
        <f>'Impacts A'!J30-'Impacts B'!J30</f>
        <v>0</v>
      </c>
      <c r="K30" s="35">
        <f>'Impacts A'!K30-'Impacts B'!K30</f>
        <v>0</v>
      </c>
      <c r="L30" s="35">
        <f>'Impacts A'!L30-'Impacts B'!L30</f>
        <v>0</v>
      </c>
      <c r="N30" s="4" t="s">
        <v>39</v>
      </c>
    </row>
    <row r="31" spans="1:14" s="4" customFormat="1" ht="13.5" thickTop="1" x14ac:dyDescent="0.2"/>
    <row r="32" spans="1:14" x14ac:dyDescent="0.2">
      <c r="A32" s="2" t="s">
        <v>77</v>
      </c>
      <c r="B32" s="2"/>
    </row>
    <row r="33" spans="1:14" ht="15.75" x14ac:dyDescent="0.3">
      <c r="C33" s="3" t="s">
        <v>201</v>
      </c>
    </row>
    <row r="34" spans="1:14" x14ac:dyDescent="0.2">
      <c r="A34" t="str">
        <f t="array" ref="A34:A41">R_CODE&amp;" sea level"</f>
        <v>EU sea level</v>
      </c>
      <c r="C34" s="13">
        <f>'Impacts A'!C34-'Impacts B'!C34</f>
        <v>0</v>
      </c>
      <c r="D34" s="13">
        <f>'Impacts A'!D34-'Impacts B'!D34</f>
        <v>0</v>
      </c>
      <c r="E34" s="13">
        <f>'Impacts A'!E34-'Impacts B'!E34</f>
        <v>0</v>
      </c>
      <c r="F34" s="13">
        <f>'Impacts A'!F34-'Impacts B'!F34</f>
        <v>0</v>
      </c>
      <c r="G34" s="13">
        <f>'Impacts A'!G34-'Impacts B'!G34</f>
        <v>0</v>
      </c>
      <c r="H34" s="13">
        <f>'Impacts A'!H34-'Impacts B'!H34</f>
        <v>0</v>
      </c>
      <c r="I34" s="13">
        <f>'Impacts A'!I34-'Impacts B'!I34</f>
        <v>0</v>
      </c>
      <c r="J34" s="13">
        <f>'Impacts A'!J34-'Impacts B'!J34</f>
        <v>0</v>
      </c>
      <c r="K34" s="13">
        <f>'Impacts A'!K34-'Impacts B'!K34</f>
        <v>0</v>
      </c>
      <c r="L34" s="13">
        <f>'Impacts A'!L34-'Impacts B'!L34</f>
        <v>0</v>
      </c>
      <c r="N34" s="59" t="s">
        <v>180</v>
      </c>
    </row>
    <row r="35" spans="1:14" x14ac:dyDescent="0.2">
      <c r="A35" t="str">
        <v>US sea level</v>
      </c>
      <c r="C35" s="13">
        <f>'Impacts A'!C35-'Impacts B'!C35</f>
        <v>0</v>
      </c>
      <c r="D35" s="13">
        <f>'Impacts A'!D35-'Impacts B'!D35</f>
        <v>0</v>
      </c>
      <c r="E35" s="13">
        <f>'Impacts A'!E35-'Impacts B'!E35</f>
        <v>0</v>
      </c>
      <c r="F35" s="13">
        <f>'Impacts A'!F35-'Impacts B'!F35</f>
        <v>0</v>
      </c>
      <c r="G35" s="13">
        <f>'Impacts A'!G35-'Impacts B'!G35</f>
        <v>0</v>
      </c>
      <c r="H35" s="13">
        <f>'Impacts A'!H35-'Impacts B'!H35</f>
        <v>0</v>
      </c>
      <c r="I35" s="13">
        <f>'Impacts A'!I35-'Impacts B'!I35</f>
        <v>0</v>
      </c>
      <c r="J35" s="13">
        <f>'Impacts A'!J35-'Impacts B'!J35</f>
        <v>0</v>
      </c>
      <c r="K35" s="13">
        <f>'Impacts A'!K35-'Impacts B'!K35</f>
        <v>0</v>
      </c>
      <c r="L35" s="13">
        <f>'Impacts A'!L35-'Impacts B'!L35</f>
        <v>0</v>
      </c>
      <c r="N35" s="59" t="s">
        <v>180</v>
      </c>
    </row>
    <row r="36" spans="1:14" x14ac:dyDescent="0.2">
      <c r="A36" t="str">
        <v>OT sea level</v>
      </c>
      <c r="C36" s="13">
        <f>'Impacts A'!C36-'Impacts B'!C36</f>
        <v>0</v>
      </c>
      <c r="D36" s="13">
        <f>'Impacts A'!D36-'Impacts B'!D36</f>
        <v>0</v>
      </c>
      <c r="E36" s="13">
        <f>'Impacts A'!E36-'Impacts B'!E36</f>
        <v>0</v>
      </c>
      <c r="F36" s="13">
        <f>'Impacts A'!F36-'Impacts B'!F36</f>
        <v>0</v>
      </c>
      <c r="G36" s="13">
        <f>'Impacts A'!G36-'Impacts B'!G36</f>
        <v>0</v>
      </c>
      <c r="H36" s="13">
        <f>'Impacts A'!H36-'Impacts B'!H36</f>
        <v>0</v>
      </c>
      <c r="I36" s="13">
        <f>'Impacts A'!I36-'Impacts B'!I36</f>
        <v>0</v>
      </c>
      <c r="J36" s="13">
        <f>'Impacts A'!J36-'Impacts B'!J36</f>
        <v>0</v>
      </c>
      <c r="K36" s="13">
        <f>'Impacts A'!K36-'Impacts B'!K36</f>
        <v>0</v>
      </c>
      <c r="L36" s="13">
        <f>'Impacts A'!L36-'Impacts B'!L36</f>
        <v>0</v>
      </c>
      <c r="N36" s="59" t="s">
        <v>180</v>
      </c>
    </row>
    <row r="37" spans="1:14" x14ac:dyDescent="0.2">
      <c r="A37" t="str">
        <v>EE sea level</v>
      </c>
      <c r="C37" s="13">
        <f>'Impacts A'!C37-'Impacts B'!C37</f>
        <v>0</v>
      </c>
      <c r="D37" s="13">
        <f>'Impacts A'!D37-'Impacts B'!D37</f>
        <v>0</v>
      </c>
      <c r="E37" s="13">
        <f>'Impacts A'!E37-'Impacts B'!E37</f>
        <v>0</v>
      </c>
      <c r="F37" s="13">
        <f>'Impacts A'!F37-'Impacts B'!F37</f>
        <v>0</v>
      </c>
      <c r="G37" s="13">
        <f>'Impacts A'!G37-'Impacts B'!G37</f>
        <v>0</v>
      </c>
      <c r="H37" s="13">
        <f>'Impacts A'!H37-'Impacts B'!H37</f>
        <v>0</v>
      </c>
      <c r="I37" s="13">
        <f>'Impacts A'!I37-'Impacts B'!I37</f>
        <v>0</v>
      </c>
      <c r="J37" s="13">
        <f>'Impacts A'!J37-'Impacts B'!J37</f>
        <v>0</v>
      </c>
      <c r="K37" s="13">
        <f>'Impacts A'!K37-'Impacts B'!K37</f>
        <v>0</v>
      </c>
      <c r="L37" s="13">
        <f>'Impacts A'!L37-'Impacts B'!L37</f>
        <v>0</v>
      </c>
      <c r="N37" s="59" t="s">
        <v>180</v>
      </c>
    </row>
    <row r="38" spans="1:14" x14ac:dyDescent="0.2">
      <c r="A38" t="str">
        <v>CA sea level</v>
      </c>
      <c r="C38" s="13">
        <f>'Impacts A'!C38-'Impacts B'!C38</f>
        <v>0</v>
      </c>
      <c r="D38" s="13">
        <f>'Impacts A'!D38-'Impacts B'!D38</f>
        <v>0</v>
      </c>
      <c r="E38" s="13">
        <f>'Impacts A'!E38-'Impacts B'!E38</f>
        <v>0</v>
      </c>
      <c r="F38" s="13">
        <f>'Impacts A'!F38-'Impacts B'!F38</f>
        <v>0</v>
      </c>
      <c r="G38" s="13">
        <f>'Impacts A'!G38-'Impacts B'!G38</f>
        <v>0</v>
      </c>
      <c r="H38" s="13">
        <f>'Impacts A'!H38-'Impacts B'!H38</f>
        <v>0</v>
      </c>
      <c r="I38" s="13">
        <f>'Impacts A'!I38-'Impacts B'!I38</f>
        <v>0</v>
      </c>
      <c r="J38" s="13">
        <f>'Impacts A'!J38-'Impacts B'!J38</f>
        <v>0</v>
      </c>
      <c r="K38" s="13">
        <f>'Impacts A'!K38-'Impacts B'!K38</f>
        <v>0</v>
      </c>
      <c r="L38" s="13">
        <f>'Impacts A'!L38-'Impacts B'!L38</f>
        <v>0</v>
      </c>
      <c r="N38" s="59" t="s">
        <v>180</v>
      </c>
    </row>
    <row r="39" spans="1:14" x14ac:dyDescent="0.2">
      <c r="A39" t="str">
        <v>IA sea level</v>
      </c>
      <c r="C39" s="13">
        <f>'Impacts A'!C39-'Impacts B'!C39</f>
        <v>0</v>
      </c>
      <c r="D39" s="13">
        <f>'Impacts A'!D39-'Impacts B'!D39</f>
        <v>0</v>
      </c>
      <c r="E39" s="13">
        <f>'Impacts A'!E39-'Impacts B'!E39</f>
        <v>0</v>
      </c>
      <c r="F39" s="13">
        <f>'Impacts A'!F39-'Impacts B'!F39</f>
        <v>0</v>
      </c>
      <c r="G39" s="13">
        <f>'Impacts A'!G39-'Impacts B'!G39</f>
        <v>0</v>
      </c>
      <c r="H39" s="13">
        <f>'Impacts A'!H39-'Impacts B'!H39</f>
        <v>0</v>
      </c>
      <c r="I39" s="13">
        <f>'Impacts A'!I39-'Impacts B'!I39</f>
        <v>0</v>
      </c>
      <c r="J39" s="13">
        <f>'Impacts A'!J39-'Impacts B'!J39</f>
        <v>0</v>
      </c>
      <c r="K39" s="13">
        <f>'Impacts A'!K39-'Impacts B'!K39</f>
        <v>0</v>
      </c>
      <c r="L39" s="13">
        <f>'Impacts A'!L39-'Impacts B'!L39</f>
        <v>0</v>
      </c>
      <c r="N39" s="59" t="s">
        <v>180</v>
      </c>
    </row>
    <row r="40" spans="1:14" x14ac:dyDescent="0.2">
      <c r="A40" t="str">
        <v>AF sea level</v>
      </c>
      <c r="C40" s="13">
        <f>'Impacts A'!C40-'Impacts B'!C40</f>
        <v>0</v>
      </c>
      <c r="D40" s="13">
        <f>'Impacts A'!D40-'Impacts B'!D40</f>
        <v>0</v>
      </c>
      <c r="E40" s="13">
        <f>'Impacts A'!E40-'Impacts B'!E40</f>
        <v>0</v>
      </c>
      <c r="F40" s="13">
        <f>'Impacts A'!F40-'Impacts B'!F40</f>
        <v>0</v>
      </c>
      <c r="G40" s="13">
        <f>'Impacts A'!G40-'Impacts B'!G40</f>
        <v>0</v>
      </c>
      <c r="H40" s="13">
        <f>'Impacts A'!H40-'Impacts B'!H40</f>
        <v>0</v>
      </c>
      <c r="I40" s="13">
        <f>'Impacts A'!I40-'Impacts B'!I40</f>
        <v>0</v>
      </c>
      <c r="J40" s="13">
        <f>'Impacts A'!J40-'Impacts B'!J40</f>
        <v>0</v>
      </c>
      <c r="K40" s="13">
        <f>'Impacts A'!K40-'Impacts B'!K40</f>
        <v>0</v>
      </c>
      <c r="L40" s="13">
        <f>'Impacts A'!L40-'Impacts B'!L40</f>
        <v>0</v>
      </c>
      <c r="N40" s="59" t="s">
        <v>180</v>
      </c>
    </row>
    <row r="41" spans="1:14" x14ac:dyDescent="0.2">
      <c r="A41" t="str">
        <v>LA sea level</v>
      </c>
      <c r="C41" s="13">
        <f>'Impacts A'!C41-'Impacts B'!C41</f>
        <v>0</v>
      </c>
      <c r="D41" s="13">
        <f>'Impacts A'!D41-'Impacts B'!D41</f>
        <v>0</v>
      </c>
      <c r="E41" s="13">
        <f>'Impacts A'!E41-'Impacts B'!E41</f>
        <v>0</v>
      </c>
      <c r="F41" s="13">
        <f>'Impacts A'!F41-'Impacts B'!F41</f>
        <v>0</v>
      </c>
      <c r="G41" s="13">
        <f>'Impacts A'!G41-'Impacts B'!G41</f>
        <v>0</v>
      </c>
      <c r="H41" s="13">
        <f>'Impacts A'!H41-'Impacts B'!H41</f>
        <v>0</v>
      </c>
      <c r="I41" s="13">
        <f>'Impacts A'!I41-'Impacts B'!I41</f>
        <v>0</v>
      </c>
      <c r="J41" s="13">
        <f>'Impacts A'!J41-'Impacts B'!J41</f>
        <v>0</v>
      </c>
      <c r="K41" s="13">
        <f>'Impacts A'!K41-'Impacts B'!K41</f>
        <v>0</v>
      </c>
      <c r="L41" s="13">
        <f>'Impacts A'!L41-'Impacts B'!L41</f>
        <v>0</v>
      </c>
      <c r="N41" s="59" t="s">
        <v>180</v>
      </c>
    </row>
    <row r="42" spans="1:14" ht="15.75" x14ac:dyDescent="0.3">
      <c r="C42" t="s">
        <v>78</v>
      </c>
    </row>
    <row r="43" spans="1:14" x14ac:dyDescent="0.2">
      <c r="A43" t="str">
        <f t="array" ref="A43:A50">R_CODE&amp;" "&amp;I_1_NAME</f>
        <v>EU Economic</v>
      </c>
      <c r="C43" s="13">
        <f>'Impacts A'!C43-'Impacts B'!C43</f>
        <v>0</v>
      </c>
      <c r="D43" s="13">
        <f>'Impacts A'!D43-'Impacts B'!D43</f>
        <v>0</v>
      </c>
      <c r="E43" s="13">
        <f>'Impacts A'!E43-'Impacts B'!E43</f>
        <v>0</v>
      </c>
      <c r="F43" s="13">
        <f>'Impacts A'!F43-'Impacts B'!F43</f>
        <v>0</v>
      </c>
      <c r="G43" s="13">
        <f>'Impacts A'!G43-'Impacts B'!G43</f>
        <v>0</v>
      </c>
      <c r="H43" s="13">
        <f>'Impacts A'!H43-'Impacts B'!H43</f>
        <v>0</v>
      </c>
      <c r="I43" s="13">
        <f>'Impacts A'!I43-'Impacts B'!I43</f>
        <v>0</v>
      </c>
      <c r="J43" s="13">
        <f>'Impacts A'!J43-'Impacts B'!J43</f>
        <v>0</v>
      </c>
      <c r="K43" s="13">
        <f>'Impacts A'!K43-'Impacts B'!K43</f>
        <v>0</v>
      </c>
      <c r="L43" s="13">
        <f>'Impacts A'!L43-'Impacts B'!L43</f>
        <v>0</v>
      </c>
      <c r="N43" s="59" t="s">
        <v>41</v>
      </c>
    </row>
    <row r="44" spans="1:14" x14ac:dyDescent="0.2">
      <c r="A44" t="str">
        <v>US Economic</v>
      </c>
      <c r="C44" s="13">
        <f>'Impacts A'!C44-'Impacts B'!C44</f>
        <v>0</v>
      </c>
      <c r="D44" s="13">
        <f>'Impacts A'!D44-'Impacts B'!D44</f>
        <v>0</v>
      </c>
      <c r="E44" s="13">
        <f>'Impacts A'!E44-'Impacts B'!E44</f>
        <v>0</v>
      </c>
      <c r="F44" s="13">
        <f>'Impacts A'!F44-'Impacts B'!F44</f>
        <v>0</v>
      </c>
      <c r="G44" s="13">
        <f>'Impacts A'!G44-'Impacts B'!G44</f>
        <v>0</v>
      </c>
      <c r="H44" s="13">
        <f>'Impacts A'!H44-'Impacts B'!H44</f>
        <v>0</v>
      </c>
      <c r="I44" s="13">
        <f>'Impacts A'!I44-'Impacts B'!I44</f>
        <v>0</v>
      </c>
      <c r="J44" s="13">
        <f>'Impacts A'!J44-'Impacts B'!J44</f>
        <v>0</v>
      </c>
      <c r="K44" s="13">
        <f>'Impacts A'!K44-'Impacts B'!K44</f>
        <v>0</v>
      </c>
      <c r="L44" s="13">
        <f>'Impacts A'!L44-'Impacts B'!L44</f>
        <v>0</v>
      </c>
      <c r="N44" s="59" t="s">
        <v>41</v>
      </c>
    </row>
    <row r="45" spans="1:14" x14ac:dyDescent="0.2">
      <c r="A45" t="str">
        <v>OT Economic</v>
      </c>
      <c r="C45" s="13">
        <f>'Impacts A'!C45-'Impacts B'!C45</f>
        <v>0</v>
      </c>
      <c r="D45" s="13">
        <f>'Impacts A'!D45-'Impacts B'!D45</f>
        <v>0</v>
      </c>
      <c r="E45" s="13">
        <f>'Impacts A'!E45-'Impacts B'!E45</f>
        <v>0</v>
      </c>
      <c r="F45" s="13">
        <f>'Impacts A'!F45-'Impacts B'!F45</f>
        <v>0</v>
      </c>
      <c r="G45" s="13">
        <f>'Impacts A'!G45-'Impacts B'!G45</f>
        <v>0</v>
      </c>
      <c r="H45" s="13">
        <f>'Impacts A'!H45-'Impacts B'!H45</f>
        <v>0</v>
      </c>
      <c r="I45" s="13">
        <f>'Impacts A'!I45-'Impacts B'!I45</f>
        <v>0</v>
      </c>
      <c r="J45" s="13">
        <f>'Impacts A'!J45-'Impacts B'!J45</f>
        <v>0</v>
      </c>
      <c r="K45" s="13">
        <f>'Impacts A'!K45-'Impacts B'!K45</f>
        <v>0</v>
      </c>
      <c r="L45" s="13">
        <f>'Impacts A'!L45-'Impacts B'!L45</f>
        <v>0</v>
      </c>
      <c r="N45" s="59" t="s">
        <v>41</v>
      </c>
    </row>
    <row r="46" spans="1:14" x14ac:dyDescent="0.2">
      <c r="A46" t="str">
        <v>EE Economic</v>
      </c>
      <c r="C46" s="13">
        <f>'Impacts A'!C46-'Impacts B'!C46</f>
        <v>0</v>
      </c>
      <c r="D46" s="13">
        <f>'Impacts A'!D46-'Impacts B'!D46</f>
        <v>0</v>
      </c>
      <c r="E46" s="13">
        <f>'Impacts A'!E46-'Impacts B'!E46</f>
        <v>0</v>
      </c>
      <c r="F46" s="13">
        <f>'Impacts A'!F46-'Impacts B'!F46</f>
        <v>0</v>
      </c>
      <c r="G46" s="13">
        <f>'Impacts A'!G46-'Impacts B'!G46</f>
        <v>0</v>
      </c>
      <c r="H46" s="13">
        <f>'Impacts A'!H46-'Impacts B'!H46</f>
        <v>0</v>
      </c>
      <c r="I46" s="13">
        <f>'Impacts A'!I46-'Impacts B'!I46</f>
        <v>0</v>
      </c>
      <c r="J46" s="13">
        <f>'Impacts A'!J46-'Impacts B'!J46</f>
        <v>0</v>
      </c>
      <c r="K46" s="13">
        <f>'Impacts A'!K46-'Impacts B'!K46</f>
        <v>0</v>
      </c>
      <c r="L46" s="13">
        <f>'Impacts A'!L46-'Impacts B'!L46</f>
        <v>0</v>
      </c>
      <c r="N46" s="59" t="s">
        <v>41</v>
      </c>
    </row>
    <row r="47" spans="1:14" x14ac:dyDescent="0.2">
      <c r="A47" t="str">
        <v>CA Economic</v>
      </c>
      <c r="C47" s="13">
        <f>'Impacts A'!C47-'Impacts B'!C47</f>
        <v>0</v>
      </c>
      <c r="D47" s="13">
        <f>'Impacts A'!D47-'Impacts B'!D47</f>
        <v>0</v>
      </c>
      <c r="E47" s="13">
        <f>'Impacts A'!E47-'Impacts B'!E47</f>
        <v>0</v>
      </c>
      <c r="F47" s="13">
        <f>'Impacts A'!F47-'Impacts B'!F47</f>
        <v>0</v>
      </c>
      <c r="G47" s="13">
        <f>'Impacts A'!G47-'Impacts B'!G47</f>
        <v>0</v>
      </c>
      <c r="H47" s="13">
        <f>'Impacts A'!H47-'Impacts B'!H47</f>
        <v>0</v>
      </c>
      <c r="I47" s="13">
        <f>'Impacts A'!I47-'Impacts B'!I47</f>
        <v>0</v>
      </c>
      <c r="J47" s="13">
        <f>'Impacts A'!J47-'Impacts B'!J47</f>
        <v>0</v>
      </c>
      <c r="K47" s="13">
        <f>'Impacts A'!K47-'Impacts B'!K47</f>
        <v>0</v>
      </c>
      <c r="L47" s="13">
        <f>'Impacts A'!L47-'Impacts B'!L47</f>
        <v>0</v>
      </c>
      <c r="N47" s="59" t="s">
        <v>41</v>
      </c>
    </row>
    <row r="48" spans="1:14" x14ac:dyDescent="0.2">
      <c r="A48" t="str">
        <v>IA Economic</v>
      </c>
      <c r="C48" s="13">
        <f>'Impacts A'!C48-'Impacts B'!C48</f>
        <v>0</v>
      </c>
      <c r="D48" s="13">
        <f>'Impacts A'!D48-'Impacts B'!D48</f>
        <v>0</v>
      </c>
      <c r="E48" s="13">
        <f>'Impacts A'!E48-'Impacts B'!E48</f>
        <v>0</v>
      </c>
      <c r="F48" s="13">
        <f>'Impacts A'!F48-'Impacts B'!F48</f>
        <v>0</v>
      </c>
      <c r="G48" s="13">
        <f>'Impacts A'!G48-'Impacts B'!G48</f>
        <v>0</v>
      </c>
      <c r="H48" s="13">
        <f>'Impacts A'!H48-'Impacts B'!H48</f>
        <v>0</v>
      </c>
      <c r="I48" s="13">
        <f>'Impacts A'!I48-'Impacts B'!I48</f>
        <v>0</v>
      </c>
      <c r="J48" s="13">
        <f>'Impacts A'!J48-'Impacts B'!J48</f>
        <v>0</v>
      </c>
      <c r="K48" s="13">
        <f>'Impacts A'!K48-'Impacts B'!K48</f>
        <v>0</v>
      </c>
      <c r="L48" s="13">
        <f>'Impacts A'!L48-'Impacts B'!L48</f>
        <v>0</v>
      </c>
      <c r="N48" s="59" t="s">
        <v>41</v>
      </c>
    </row>
    <row r="49" spans="1:14" x14ac:dyDescent="0.2">
      <c r="A49" t="str">
        <v>AF Economic</v>
      </c>
      <c r="C49" s="13">
        <f>'Impacts A'!C49-'Impacts B'!C49</f>
        <v>0</v>
      </c>
      <c r="D49" s="13">
        <f>'Impacts A'!D49-'Impacts B'!D49</f>
        <v>0</v>
      </c>
      <c r="E49" s="13">
        <f>'Impacts A'!E49-'Impacts B'!E49</f>
        <v>0</v>
      </c>
      <c r="F49" s="13">
        <f>'Impacts A'!F49-'Impacts B'!F49</f>
        <v>0</v>
      </c>
      <c r="G49" s="13">
        <f>'Impacts A'!G49-'Impacts B'!G49</f>
        <v>0</v>
      </c>
      <c r="H49" s="13">
        <f>'Impacts A'!H49-'Impacts B'!H49</f>
        <v>0</v>
      </c>
      <c r="I49" s="13">
        <f>'Impacts A'!I49-'Impacts B'!I49</f>
        <v>0</v>
      </c>
      <c r="J49" s="13">
        <f>'Impacts A'!J49-'Impacts B'!J49</f>
        <v>0</v>
      </c>
      <c r="K49" s="13">
        <f>'Impacts A'!K49-'Impacts B'!K49</f>
        <v>0</v>
      </c>
      <c r="L49" s="13">
        <f>'Impacts A'!L49-'Impacts B'!L49</f>
        <v>0</v>
      </c>
      <c r="N49" s="59" t="s">
        <v>41</v>
      </c>
    </row>
    <row r="50" spans="1:14" x14ac:dyDescent="0.2">
      <c r="A50" t="str">
        <v>LA Economic</v>
      </c>
      <c r="C50" s="13">
        <f>'Impacts A'!C50-'Impacts B'!C50</f>
        <v>0</v>
      </c>
      <c r="D50" s="13">
        <f>'Impacts A'!D50-'Impacts B'!D50</f>
        <v>0</v>
      </c>
      <c r="E50" s="13">
        <f>'Impacts A'!E50-'Impacts B'!E50</f>
        <v>0</v>
      </c>
      <c r="F50" s="13">
        <f>'Impacts A'!F50-'Impacts B'!F50</f>
        <v>0</v>
      </c>
      <c r="G50" s="13">
        <f>'Impacts A'!G50-'Impacts B'!G50</f>
        <v>0</v>
      </c>
      <c r="H50" s="13">
        <f>'Impacts A'!H50-'Impacts B'!H50</f>
        <v>0</v>
      </c>
      <c r="I50" s="13">
        <f>'Impacts A'!I50-'Impacts B'!I50</f>
        <v>0</v>
      </c>
      <c r="J50" s="13">
        <f>'Impacts A'!J50-'Impacts B'!J50</f>
        <v>0</v>
      </c>
      <c r="K50" s="13">
        <f>'Impacts A'!K50-'Impacts B'!K50</f>
        <v>0</v>
      </c>
      <c r="L50" s="13">
        <f>'Impacts A'!L50-'Impacts B'!L50</f>
        <v>0</v>
      </c>
      <c r="N50" s="59" t="s">
        <v>41</v>
      </c>
    </row>
    <row r="51" spans="1:14" ht="15.75" x14ac:dyDescent="0.3">
      <c r="C51" t="s">
        <v>79</v>
      </c>
      <c r="N51" s="1"/>
    </row>
    <row r="52" spans="1:14" x14ac:dyDescent="0.2">
      <c r="A52" t="str">
        <f t="array" ref="A52:A59">R_CODE&amp;" "&amp;I_2_NAME</f>
        <v>EU Non-econ</v>
      </c>
      <c r="C52" s="13">
        <f>'Impacts A'!C52-'Impacts B'!C52</f>
        <v>0</v>
      </c>
      <c r="D52" s="13">
        <f>'Impacts A'!D52-'Impacts B'!D52</f>
        <v>0</v>
      </c>
      <c r="E52" s="13">
        <f>'Impacts A'!E52-'Impacts B'!E52</f>
        <v>0</v>
      </c>
      <c r="F52" s="13">
        <f>'Impacts A'!F52-'Impacts B'!F52</f>
        <v>0</v>
      </c>
      <c r="G52" s="13">
        <f>'Impacts A'!G52-'Impacts B'!G52</f>
        <v>0</v>
      </c>
      <c r="H52" s="13">
        <f>'Impacts A'!H52-'Impacts B'!H52</f>
        <v>0</v>
      </c>
      <c r="I52" s="13">
        <f>'Impacts A'!I52-'Impacts B'!I52</f>
        <v>0</v>
      </c>
      <c r="J52" s="13">
        <f>'Impacts A'!J52-'Impacts B'!J52</f>
        <v>0</v>
      </c>
      <c r="K52" s="13">
        <f>'Impacts A'!K52-'Impacts B'!K52</f>
        <v>0</v>
      </c>
      <c r="L52" s="13">
        <f>'Impacts A'!L52-'Impacts B'!L52</f>
        <v>0</v>
      </c>
      <c r="N52" s="59" t="s">
        <v>41</v>
      </c>
    </row>
    <row r="53" spans="1:14" x14ac:dyDescent="0.2">
      <c r="A53" t="str">
        <v>US Non-econ</v>
      </c>
      <c r="C53" s="13">
        <f>'Impacts A'!C53-'Impacts B'!C53</f>
        <v>0</v>
      </c>
      <c r="D53" s="13">
        <f>'Impacts A'!D53-'Impacts B'!D53</f>
        <v>0</v>
      </c>
      <c r="E53" s="13">
        <f>'Impacts A'!E53-'Impacts B'!E53</f>
        <v>0</v>
      </c>
      <c r="F53" s="13">
        <f>'Impacts A'!F53-'Impacts B'!F53</f>
        <v>0</v>
      </c>
      <c r="G53" s="13">
        <f>'Impacts A'!G53-'Impacts B'!G53</f>
        <v>0</v>
      </c>
      <c r="H53" s="13">
        <f>'Impacts A'!H53-'Impacts B'!H53</f>
        <v>0</v>
      </c>
      <c r="I53" s="13">
        <f>'Impacts A'!I53-'Impacts B'!I53</f>
        <v>0</v>
      </c>
      <c r="J53" s="13">
        <f>'Impacts A'!J53-'Impacts B'!J53</f>
        <v>0</v>
      </c>
      <c r="K53" s="13">
        <f>'Impacts A'!K53-'Impacts B'!K53</f>
        <v>0</v>
      </c>
      <c r="L53" s="13">
        <f>'Impacts A'!L53-'Impacts B'!L53</f>
        <v>0</v>
      </c>
      <c r="N53" s="59" t="s">
        <v>41</v>
      </c>
    </row>
    <row r="54" spans="1:14" x14ac:dyDescent="0.2">
      <c r="A54" t="str">
        <v>OT Non-econ</v>
      </c>
      <c r="C54" s="13">
        <f>'Impacts A'!C54-'Impacts B'!C54</f>
        <v>0</v>
      </c>
      <c r="D54" s="13">
        <f>'Impacts A'!D54-'Impacts B'!D54</f>
        <v>0</v>
      </c>
      <c r="E54" s="13">
        <f>'Impacts A'!E54-'Impacts B'!E54</f>
        <v>0</v>
      </c>
      <c r="F54" s="13">
        <f>'Impacts A'!F54-'Impacts B'!F54</f>
        <v>0</v>
      </c>
      <c r="G54" s="13">
        <f>'Impacts A'!G54-'Impacts B'!G54</f>
        <v>0</v>
      </c>
      <c r="H54" s="13">
        <f>'Impacts A'!H54-'Impacts B'!H54</f>
        <v>0</v>
      </c>
      <c r="I54" s="13">
        <f>'Impacts A'!I54-'Impacts B'!I54</f>
        <v>0</v>
      </c>
      <c r="J54" s="13">
        <f>'Impacts A'!J54-'Impacts B'!J54</f>
        <v>0</v>
      </c>
      <c r="K54" s="13">
        <f>'Impacts A'!K54-'Impacts B'!K54</f>
        <v>0</v>
      </c>
      <c r="L54" s="13">
        <f>'Impacts A'!L54-'Impacts B'!L54</f>
        <v>0</v>
      </c>
      <c r="N54" s="59" t="s">
        <v>41</v>
      </c>
    </row>
    <row r="55" spans="1:14" x14ac:dyDescent="0.2">
      <c r="A55" t="str">
        <v>EE Non-econ</v>
      </c>
      <c r="C55" s="13">
        <f>'Impacts A'!C55-'Impacts B'!C55</f>
        <v>0</v>
      </c>
      <c r="D55" s="13">
        <f>'Impacts A'!D55-'Impacts B'!D55</f>
        <v>0</v>
      </c>
      <c r="E55" s="13">
        <f>'Impacts A'!E55-'Impacts B'!E55</f>
        <v>0</v>
      </c>
      <c r="F55" s="13">
        <f>'Impacts A'!F55-'Impacts B'!F55</f>
        <v>0</v>
      </c>
      <c r="G55" s="13">
        <f>'Impacts A'!G55-'Impacts B'!G55</f>
        <v>0</v>
      </c>
      <c r="H55" s="13">
        <f>'Impacts A'!H55-'Impacts B'!H55</f>
        <v>0</v>
      </c>
      <c r="I55" s="13">
        <f>'Impacts A'!I55-'Impacts B'!I55</f>
        <v>0</v>
      </c>
      <c r="J55" s="13">
        <f>'Impacts A'!J55-'Impacts B'!J55</f>
        <v>0</v>
      </c>
      <c r="K55" s="13">
        <f>'Impacts A'!K55-'Impacts B'!K55</f>
        <v>0</v>
      </c>
      <c r="L55" s="13">
        <f>'Impacts A'!L55-'Impacts B'!L55</f>
        <v>0</v>
      </c>
      <c r="N55" s="59" t="s">
        <v>41</v>
      </c>
    </row>
    <row r="56" spans="1:14" x14ac:dyDescent="0.2">
      <c r="A56" t="str">
        <v>CA Non-econ</v>
      </c>
      <c r="C56" s="13">
        <f>'Impacts A'!C56-'Impacts B'!C56</f>
        <v>0</v>
      </c>
      <c r="D56" s="13">
        <f>'Impacts A'!D56-'Impacts B'!D56</f>
        <v>0</v>
      </c>
      <c r="E56" s="13">
        <f>'Impacts A'!E56-'Impacts B'!E56</f>
        <v>0</v>
      </c>
      <c r="F56" s="13">
        <f>'Impacts A'!F56-'Impacts B'!F56</f>
        <v>0</v>
      </c>
      <c r="G56" s="13">
        <f>'Impacts A'!G56-'Impacts B'!G56</f>
        <v>0</v>
      </c>
      <c r="H56" s="13">
        <f>'Impacts A'!H56-'Impacts B'!H56</f>
        <v>0</v>
      </c>
      <c r="I56" s="13">
        <f>'Impacts A'!I56-'Impacts B'!I56</f>
        <v>0</v>
      </c>
      <c r="J56" s="13">
        <f>'Impacts A'!J56-'Impacts B'!J56</f>
        <v>0</v>
      </c>
      <c r="K56" s="13">
        <f>'Impacts A'!K56-'Impacts B'!K56</f>
        <v>0</v>
      </c>
      <c r="L56" s="13">
        <f>'Impacts A'!L56-'Impacts B'!L56</f>
        <v>0</v>
      </c>
      <c r="N56" s="59" t="s">
        <v>41</v>
      </c>
    </row>
    <row r="57" spans="1:14" x14ac:dyDescent="0.2">
      <c r="A57" t="str">
        <v>IA Non-econ</v>
      </c>
      <c r="C57" s="13">
        <f>'Impacts A'!C57-'Impacts B'!C57</f>
        <v>0</v>
      </c>
      <c r="D57" s="13">
        <f>'Impacts A'!D57-'Impacts B'!D57</f>
        <v>0</v>
      </c>
      <c r="E57" s="13">
        <f>'Impacts A'!E57-'Impacts B'!E57</f>
        <v>0</v>
      </c>
      <c r="F57" s="13">
        <f>'Impacts A'!F57-'Impacts B'!F57</f>
        <v>0</v>
      </c>
      <c r="G57" s="13">
        <f>'Impacts A'!G57-'Impacts B'!G57</f>
        <v>0</v>
      </c>
      <c r="H57" s="13">
        <f>'Impacts A'!H57-'Impacts B'!H57</f>
        <v>0</v>
      </c>
      <c r="I57" s="13">
        <f>'Impacts A'!I57-'Impacts B'!I57</f>
        <v>0</v>
      </c>
      <c r="J57" s="13">
        <f>'Impacts A'!J57-'Impacts B'!J57</f>
        <v>0</v>
      </c>
      <c r="K57" s="13">
        <f>'Impacts A'!K57-'Impacts B'!K57</f>
        <v>0</v>
      </c>
      <c r="L57" s="13">
        <f>'Impacts A'!L57-'Impacts B'!L57</f>
        <v>0</v>
      </c>
      <c r="N57" s="59" t="s">
        <v>41</v>
      </c>
    </row>
    <row r="58" spans="1:14" x14ac:dyDescent="0.2">
      <c r="A58" t="str">
        <v>AF Non-econ</v>
      </c>
      <c r="C58" s="13">
        <f>'Impacts A'!C58-'Impacts B'!C58</f>
        <v>0</v>
      </c>
      <c r="D58" s="13">
        <f>'Impacts A'!D58-'Impacts B'!D58</f>
        <v>0</v>
      </c>
      <c r="E58" s="13">
        <f>'Impacts A'!E58-'Impacts B'!E58</f>
        <v>0</v>
      </c>
      <c r="F58" s="13">
        <f>'Impacts A'!F58-'Impacts B'!F58</f>
        <v>0</v>
      </c>
      <c r="G58" s="13">
        <f>'Impacts A'!G58-'Impacts B'!G58</f>
        <v>0</v>
      </c>
      <c r="H58" s="13">
        <f>'Impacts A'!H58-'Impacts B'!H58</f>
        <v>0</v>
      </c>
      <c r="I58" s="13">
        <f>'Impacts A'!I58-'Impacts B'!I58</f>
        <v>0</v>
      </c>
      <c r="J58" s="13">
        <f>'Impacts A'!J58-'Impacts B'!J58</f>
        <v>0</v>
      </c>
      <c r="K58" s="13">
        <f>'Impacts A'!K58-'Impacts B'!K58</f>
        <v>0</v>
      </c>
      <c r="L58" s="13">
        <f>'Impacts A'!L58-'Impacts B'!L58</f>
        <v>0</v>
      </c>
      <c r="N58" s="59" t="s">
        <v>41</v>
      </c>
    </row>
    <row r="59" spans="1:14" x14ac:dyDescent="0.2">
      <c r="A59" t="str">
        <v>LA Non-econ</v>
      </c>
      <c r="C59" s="13">
        <f>'Impacts A'!C59-'Impacts B'!C59</f>
        <v>0</v>
      </c>
      <c r="D59" s="13">
        <f>'Impacts A'!D59-'Impacts B'!D59</f>
        <v>0</v>
      </c>
      <c r="E59" s="13">
        <f>'Impacts A'!E59-'Impacts B'!E59</f>
        <v>0</v>
      </c>
      <c r="F59" s="13">
        <f>'Impacts A'!F59-'Impacts B'!F59</f>
        <v>0</v>
      </c>
      <c r="G59" s="13">
        <f>'Impacts A'!G59-'Impacts B'!G59</f>
        <v>0</v>
      </c>
      <c r="H59" s="13">
        <f>'Impacts A'!H59-'Impacts B'!H59</f>
        <v>0</v>
      </c>
      <c r="I59" s="13">
        <f>'Impacts A'!I59-'Impacts B'!I59</f>
        <v>0</v>
      </c>
      <c r="J59" s="13">
        <f>'Impacts A'!J59-'Impacts B'!J59</f>
        <v>0</v>
      </c>
      <c r="K59" s="13">
        <f>'Impacts A'!K59-'Impacts B'!K59</f>
        <v>0</v>
      </c>
      <c r="L59" s="13">
        <f>'Impacts A'!L59-'Impacts B'!L59</f>
        <v>0</v>
      </c>
      <c r="N59" s="59" t="s">
        <v>41</v>
      </c>
    </row>
    <row r="60" spans="1:14" ht="15.75" x14ac:dyDescent="0.3">
      <c r="C60" s="63" t="s">
        <v>230</v>
      </c>
    </row>
    <row r="61" spans="1:14" x14ac:dyDescent="0.2">
      <c r="A61" t="str">
        <f t="array" ref="A61:A68">R_CODE&amp;" sea level"</f>
        <v>EU sea level</v>
      </c>
      <c r="C61" s="13">
        <f>'Impacts A'!C61-'Impacts B'!C61</f>
        <v>0</v>
      </c>
      <c r="D61" s="13">
        <f>'Impacts A'!D61-'Impacts B'!D61</f>
        <v>0</v>
      </c>
      <c r="E61" s="13">
        <f>'Impacts A'!E61-'Impacts B'!E61</f>
        <v>0</v>
      </c>
      <c r="F61" s="13">
        <f>'Impacts A'!F61-'Impacts B'!F61</f>
        <v>0</v>
      </c>
      <c r="G61" s="13">
        <f>'Impacts A'!G61-'Impacts B'!G61</f>
        <v>0</v>
      </c>
      <c r="H61" s="13">
        <f>'Impacts A'!H61-'Impacts B'!H61</f>
        <v>0</v>
      </c>
      <c r="I61" s="13">
        <f>'Impacts A'!I61-'Impacts B'!I61</f>
        <v>0</v>
      </c>
      <c r="J61" s="13">
        <f>'Impacts A'!J61-'Impacts B'!J61</f>
        <v>0</v>
      </c>
      <c r="K61" s="13">
        <f>'Impacts A'!K61-'Impacts B'!K61</f>
        <v>0</v>
      </c>
      <c r="L61" s="13">
        <f>'Impacts A'!L61-'Impacts B'!L61</f>
        <v>0</v>
      </c>
      <c r="N61" s="59" t="s">
        <v>38</v>
      </c>
    </row>
    <row r="62" spans="1:14" x14ac:dyDescent="0.2">
      <c r="A62" t="str">
        <v>US sea level</v>
      </c>
      <c r="C62" s="13">
        <f>'Impacts A'!C62-'Impacts B'!C62</f>
        <v>0</v>
      </c>
      <c r="D62" s="13">
        <f>'Impacts A'!D62-'Impacts B'!D62</f>
        <v>0</v>
      </c>
      <c r="E62" s="13">
        <f>'Impacts A'!E62-'Impacts B'!E62</f>
        <v>0</v>
      </c>
      <c r="F62" s="13">
        <f>'Impacts A'!F62-'Impacts B'!F62</f>
        <v>0</v>
      </c>
      <c r="G62" s="13">
        <f>'Impacts A'!G62-'Impacts B'!G62</f>
        <v>0</v>
      </c>
      <c r="H62" s="13">
        <f>'Impacts A'!H62-'Impacts B'!H62</f>
        <v>0</v>
      </c>
      <c r="I62" s="13">
        <f>'Impacts A'!I62-'Impacts B'!I62</f>
        <v>0</v>
      </c>
      <c r="J62" s="13">
        <f>'Impacts A'!J62-'Impacts B'!J62</f>
        <v>0</v>
      </c>
      <c r="K62" s="13">
        <f>'Impacts A'!K62-'Impacts B'!K62</f>
        <v>0</v>
      </c>
      <c r="L62" s="13">
        <f>'Impacts A'!L62-'Impacts B'!L62</f>
        <v>0</v>
      </c>
      <c r="N62" s="59" t="s">
        <v>38</v>
      </c>
    </row>
    <row r="63" spans="1:14" x14ac:dyDescent="0.2">
      <c r="A63" t="str">
        <v>OT sea level</v>
      </c>
      <c r="C63" s="13">
        <f>'Impacts A'!C63-'Impacts B'!C63</f>
        <v>0</v>
      </c>
      <c r="D63" s="13">
        <f>'Impacts A'!D63-'Impacts B'!D63</f>
        <v>0</v>
      </c>
      <c r="E63" s="13">
        <f>'Impacts A'!E63-'Impacts B'!E63</f>
        <v>0</v>
      </c>
      <c r="F63" s="13">
        <f>'Impacts A'!F63-'Impacts B'!F63</f>
        <v>0</v>
      </c>
      <c r="G63" s="13">
        <f>'Impacts A'!G63-'Impacts B'!G63</f>
        <v>0</v>
      </c>
      <c r="H63" s="13">
        <f>'Impacts A'!H63-'Impacts B'!H63</f>
        <v>0</v>
      </c>
      <c r="I63" s="13">
        <f>'Impacts A'!I63-'Impacts B'!I63</f>
        <v>0</v>
      </c>
      <c r="J63" s="13">
        <f>'Impacts A'!J63-'Impacts B'!J63</f>
        <v>0</v>
      </c>
      <c r="K63" s="13">
        <f>'Impacts A'!K63-'Impacts B'!K63</f>
        <v>0</v>
      </c>
      <c r="L63" s="13">
        <f>'Impacts A'!L63-'Impacts B'!L63</f>
        <v>0</v>
      </c>
      <c r="N63" s="59" t="s">
        <v>38</v>
      </c>
    </row>
    <row r="64" spans="1:14" x14ac:dyDescent="0.2">
      <c r="A64" t="str">
        <v>EE sea level</v>
      </c>
      <c r="C64" s="13">
        <f>'Impacts A'!C64-'Impacts B'!C64</f>
        <v>0</v>
      </c>
      <c r="D64" s="13">
        <f>'Impacts A'!D64-'Impacts B'!D64</f>
        <v>0</v>
      </c>
      <c r="E64" s="13">
        <f>'Impacts A'!E64-'Impacts B'!E64</f>
        <v>0</v>
      </c>
      <c r="F64" s="13">
        <f>'Impacts A'!F64-'Impacts B'!F64</f>
        <v>0</v>
      </c>
      <c r="G64" s="13">
        <f>'Impacts A'!G64-'Impacts B'!G64</f>
        <v>0</v>
      </c>
      <c r="H64" s="13">
        <f>'Impacts A'!H64-'Impacts B'!H64</f>
        <v>0</v>
      </c>
      <c r="I64" s="13">
        <f>'Impacts A'!I64-'Impacts B'!I64</f>
        <v>0</v>
      </c>
      <c r="J64" s="13">
        <f>'Impacts A'!J64-'Impacts B'!J64</f>
        <v>0</v>
      </c>
      <c r="K64" s="13">
        <f>'Impacts A'!K64-'Impacts B'!K64</f>
        <v>0</v>
      </c>
      <c r="L64" s="13">
        <f>'Impacts A'!L64-'Impacts B'!L64</f>
        <v>0</v>
      </c>
      <c r="N64" s="59" t="s">
        <v>38</v>
      </c>
    </row>
    <row r="65" spans="1:14" x14ac:dyDescent="0.2">
      <c r="A65" t="str">
        <v>CA sea level</v>
      </c>
      <c r="C65" s="13">
        <f>'Impacts A'!C65-'Impacts B'!C65</f>
        <v>0</v>
      </c>
      <c r="D65" s="13">
        <f>'Impacts A'!D65-'Impacts B'!D65</f>
        <v>0</v>
      </c>
      <c r="E65" s="13">
        <f>'Impacts A'!E65-'Impacts B'!E65</f>
        <v>0</v>
      </c>
      <c r="F65" s="13">
        <f>'Impacts A'!F65-'Impacts B'!F65</f>
        <v>0</v>
      </c>
      <c r="G65" s="13">
        <f>'Impacts A'!G65-'Impacts B'!G65</f>
        <v>0</v>
      </c>
      <c r="H65" s="13">
        <f>'Impacts A'!H65-'Impacts B'!H65</f>
        <v>0</v>
      </c>
      <c r="I65" s="13">
        <f>'Impacts A'!I65-'Impacts B'!I65</f>
        <v>0</v>
      </c>
      <c r="J65" s="13">
        <f>'Impacts A'!J65-'Impacts B'!J65</f>
        <v>0</v>
      </c>
      <c r="K65" s="13">
        <f>'Impacts A'!K65-'Impacts B'!K65</f>
        <v>0</v>
      </c>
      <c r="L65" s="13">
        <f>'Impacts A'!L65-'Impacts B'!L65</f>
        <v>0</v>
      </c>
      <c r="N65" s="59" t="s">
        <v>38</v>
      </c>
    </row>
    <row r="66" spans="1:14" x14ac:dyDescent="0.2">
      <c r="A66" t="str">
        <v>IA sea level</v>
      </c>
      <c r="C66" s="13">
        <f>'Impacts A'!C66-'Impacts B'!C66</f>
        <v>0</v>
      </c>
      <c r="D66" s="13">
        <f>'Impacts A'!D66-'Impacts B'!D66</f>
        <v>0</v>
      </c>
      <c r="E66" s="13">
        <f>'Impacts A'!E66-'Impacts B'!E66</f>
        <v>0</v>
      </c>
      <c r="F66" s="13">
        <f>'Impacts A'!F66-'Impacts B'!F66</f>
        <v>0</v>
      </c>
      <c r="G66" s="13">
        <f>'Impacts A'!G66-'Impacts B'!G66</f>
        <v>0</v>
      </c>
      <c r="H66" s="13">
        <f>'Impacts A'!H66-'Impacts B'!H66</f>
        <v>0</v>
      </c>
      <c r="I66" s="13">
        <f>'Impacts A'!I66-'Impacts B'!I66</f>
        <v>0</v>
      </c>
      <c r="J66" s="13">
        <f>'Impacts A'!J66-'Impacts B'!J66</f>
        <v>0</v>
      </c>
      <c r="K66" s="13">
        <f>'Impacts A'!K66-'Impacts B'!K66</f>
        <v>0</v>
      </c>
      <c r="L66" s="13">
        <f>'Impacts A'!L66-'Impacts B'!L66</f>
        <v>0</v>
      </c>
      <c r="N66" s="59" t="s">
        <v>38</v>
      </c>
    </row>
    <row r="67" spans="1:14" x14ac:dyDescent="0.2">
      <c r="A67" t="str">
        <v>AF sea level</v>
      </c>
      <c r="C67" s="13">
        <f>'Impacts A'!C67-'Impacts B'!C67</f>
        <v>0</v>
      </c>
      <c r="D67" s="13">
        <f>'Impacts A'!D67-'Impacts B'!D67</f>
        <v>0</v>
      </c>
      <c r="E67" s="13">
        <f>'Impacts A'!E67-'Impacts B'!E67</f>
        <v>0</v>
      </c>
      <c r="F67" s="13">
        <f>'Impacts A'!F67-'Impacts B'!F67</f>
        <v>0</v>
      </c>
      <c r="G67" s="13">
        <f>'Impacts A'!G67-'Impacts B'!G67</f>
        <v>0</v>
      </c>
      <c r="H67" s="13">
        <f>'Impacts A'!H67-'Impacts B'!H67</f>
        <v>0</v>
      </c>
      <c r="I67" s="13">
        <f>'Impacts A'!I67-'Impacts B'!I67</f>
        <v>0</v>
      </c>
      <c r="J67" s="13">
        <f>'Impacts A'!J67-'Impacts B'!J67</f>
        <v>0</v>
      </c>
      <c r="K67" s="13">
        <f>'Impacts A'!K67-'Impacts B'!K67</f>
        <v>0</v>
      </c>
      <c r="L67" s="13">
        <f>'Impacts A'!L67-'Impacts B'!L67</f>
        <v>0</v>
      </c>
      <c r="N67" s="59" t="s">
        <v>38</v>
      </c>
    </row>
    <row r="68" spans="1:14" x14ac:dyDescent="0.2">
      <c r="A68" t="str">
        <v>LA sea level</v>
      </c>
      <c r="C68" s="13">
        <f>'Impacts A'!C68-'Impacts B'!C68</f>
        <v>0</v>
      </c>
      <c r="D68" s="13">
        <f>'Impacts A'!D68-'Impacts B'!D68</f>
        <v>0</v>
      </c>
      <c r="E68" s="13">
        <f>'Impacts A'!E68-'Impacts B'!E68</f>
        <v>0</v>
      </c>
      <c r="F68" s="13">
        <f>'Impacts A'!F68-'Impacts B'!F68</f>
        <v>0</v>
      </c>
      <c r="G68" s="13">
        <f>'Impacts A'!G68-'Impacts B'!G68</f>
        <v>0</v>
      </c>
      <c r="H68" s="13">
        <f>'Impacts A'!H68-'Impacts B'!H68</f>
        <v>0</v>
      </c>
      <c r="I68" s="13">
        <f>'Impacts A'!I68-'Impacts B'!I68</f>
        <v>0</v>
      </c>
      <c r="J68" s="13">
        <f>'Impacts A'!J68-'Impacts B'!J68</f>
        <v>0</v>
      </c>
      <c r="K68" s="13">
        <f>'Impacts A'!K68-'Impacts B'!K68</f>
        <v>0</v>
      </c>
      <c r="L68" s="13">
        <f>'Impacts A'!L68-'Impacts B'!L68</f>
        <v>0</v>
      </c>
      <c r="N68" s="59" t="s">
        <v>38</v>
      </c>
    </row>
    <row r="69" spans="1:14" ht="15.75" x14ac:dyDescent="0.3">
      <c r="C69" s="63" t="s">
        <v>231</v>
      </c>
    </row>
    <row r="70" spans="1:14" x14ac:dyDescent="0.2">
      <c r="A70" t="str">
        <f t="array" ref="A70:A77">R_CODE&amp;" "&amp;I_1_NAME</f>
        <v>EU Economic</v>
      </c>
      <c r="C70" s="13">
        <f>'Impacts A'!C70-'Impacts B'!C70</f>
        <v>0</v>
      </c>
      <c r="D70" s="13">
        <f>'Impacts A'!D70-'Impacts B'!D70</f>
        <v>0</v>
      </c>
      <c r="E70" s="13">
        <f>'Impacts A'!E70-'Impacts B'!E70</f>
        <v>0</v>
      </c>
      <c r="F70" s="13">
        <f>'Impacts A'!F70-'Impacts B'!F70</f>
        <v>0</v>
      </c>
      <c r="G70" s="13">
        <f>'Impacts A'!G70-'Impacts B'!G70</f>
        <v>0</v>
      </c>
      <c r="H70" s="13">
        <f>'Impacts A'!H70-'Impacts B'!H70</f>
        <v>0</v>
      </c>
      <c r="I70" s="13">
        <f>'Impacts A'!I70-'Impacts B'!I70</f>
        <v>0</v>
      </c>
      <c r="J70" s="13">
        <f>'Impacts A'!J70-'Impacts B'!J70</f>
        <v>0</v>
      </c>
      <c r="K70" s="13">
        <f>'Impacts A'!K70-'Impacts B'!K70</f>
        <v>0</v>
      </c>
      <c r="L70" s="13">
        <f>'Impacts A'!L70-'Impacts B'!L70</f>
        <v>0</v>
      </c>
      <c r="N70" s="59" t="s">
        <v>38</v>
      </c>
    </row>
    <row r="71" spans="1:14" x14ac:dyDescent="0.2">
      <c r="A71" t="str">
        <v>US Economic</v>
      </c>
      <c r="C71" s="13">
        <f>'Impacts A'!C71-'Impacts B'!C71</f>
        <v>0</v>
      </c>
      <c r="D71" s="13">
        <f>'Impacts A'!D71-'Impacts B'!D71</f>
        <v>0</v>
      </c>
      <c r="E71" s="13">
        <f>'Impacts A'!E71-'Impacts B'!E71</f>
        <v>0</v>
      </c>
      <c r="F71" s="13">
        <f>'Impacts A'!F71-'Impacts B'!F71</f>
        <v>0</v>
      </c>
      <c r="G71" s="13">
        <f>'Impacts A'!G71-'Impacts B'!G71</f>
        <v>0</v>
      </c>
      <c r="H71" s="13">
        <f>'Impacts A'!H71-'Impacts B'!H71</f>
        <v>0</v>
      </c>
      <c r="I71" s="13">
        <f>'Impacts A'!I71-'Impacts B'!I71</f>
        <v>0</v>
      </c>
      <c r="J71" s="13">
        <f>'Impacts A'!J71-'Impacts B'!J71</f>
        <v>0</v>
      </c>
      <c r="K71" s="13">
        <f>'Impacts A'!K71-'Impacts B'!K71</f>
        <v>0</v>
      </c>
      <c r="L71" s="13">
        <f>'Impacts A'!L71-'Impacts B'!L71</f>
        <v>0</v>
      </c>
      <c r="N71" s="59" t="s">
        <v>38</v>
      </c>
    </row>
    <row r="72" spans="1:14" x14ac:dyDescent="0.2">
      <c r="A72" t="str">
        <v>OT Economic</v>
      </c>
      <c r="C72" s="13">
        <f>'Impacts A'!C72-'Impacts B'!C72</f>
        <v>0</v>
      </c>
      <c r="D72" s="13">
        <f>'Impacts A'!D72-'Impacts B'!D72</f>
        <v>0</v>
      </c>
      <c r="E72" s="13">
        <f>'Impacts A'!E72-'Impacts B'!E72</f>
        <v>0</v>
      </c>
      <c r="F72" s="13">
        <f>'Impacts A'!F72-'Impacts B'!F72</f>
        <v>0</v>
      </c>
      <c r="G72" s="13">
        <f>'Impacts A'!G72-'Impacts B'!G72</f>
        <v>0</v>
      </c>
      <c r="H72" s="13">
        <f>'Impacts A'!H72-'Impacts B'!H72</f>
        <v>0</v>
      </c>
      <c r="I72" s="13">
        <f>'Impacts A'!I72-'Impacts B'!I72</f>
        <v>0</v>
      </c>
      <c r="J72" s="13">
        <f>'Impacts A'!J72-'Impacts B'!J72</f>
        <v>0</v>
      </c>
      <c r="K72" s="13">
        <f>'Impacts A'!K72-'Impacts B'!K72</f>
        <v>0</v>
      </c>
      <c r="L72" s="13">
        <f>'Impacts A'!L72-'Impacts B'!L72</f>
        <v>0</v>
      </c>
      <c r="N72" s="59" t="s">
        <v>38</v>
      </c>
    </row>
    <row r="73" spans="1:14" x14ac:dyDescent="0.2">
      <c r="A73" t="str">
        <v>EE Economic</v>
      </c>
      <c r="C73" s="13">
        <f>'Impacts A'!C73-'Impacts B'!C73</f>
        <v>0</v>
      </c>
      <c r="D73" s="13">
        <f>'Impacts A'!D73-'Impacts B'!D73</f>
        <v>0</v>
      </c>
      <c r="E73" s="13">
        <f>'Impacts A'!E73-'Impacts B'!E73</f>
        <v>0</v>
      </c>
      <c r="F73" s="13">
        <f>'Impacts A'!F73-'Impacts B'!F73</f>
        <v>0</v>
      </c>
      <c r="G73" s="13">
        <f>'Impacts A'!G73-'Impacts B'!G73</f>
        <v>0</v>
      </c>
      <c r="H73" s="13">
        <f>'Impacts A'!H73-'Impacts B'!H73</f>
        <v>0</v>
      </c>
      <c r="I73" s="13">
        <f>'Impacts A'!I73-'Impacts B'!I73</f>
        <v>0</v>
      </c>
      <c r="J73" s="13">
        <f>'Impacts A'!J73-'Impacts B'!J73</f>
        <v>0</v>
      </c>
      <c r="K73" s="13">
        <f>'Impacts A'!K73-'Impacts B'!K73</f>
        <v>0</v>
      </c>
      <c r="L73" s="13">
        <f>'Impacts A'!L73-'Impacts B'!L73</f>
        <v>0</v>
      </c>
      <c r="N73" s="59" t="s">
        <v>38</v>
      </c>
    </row>
    <row r="74" spans="1:14" x14ac:dyDescent="0.2">
      <c r="A74" t="str">
        <v>CA Economic</v>
      </c>
      <c r="C74" s="13">
        <f>'Impacts A'!C74-'Impacts B'!C74</f>
        <v>0</v>
      </c>
      <c r="D74" s="13">
        <f>'Impacts A'!D74-'Impacts B'!D74</f>
        <v>0</v>
      </c>
      <c r="E74" s="13">
        <f>'Impacts A'!E74-'Impacts B'!E74</f>
        <v>0</v>
      </c>
      <c r="F74" s="13">
        <f>'Impacts A'!F74-'Impacts B'!F74</f>
        <v>0</v>
      </c>
      <c r="G74" s="13">
        <f>'Impacts A'!G74-'Impacts B'!G74</f>
        <v>0</v>
      </c>
      <c r="H74" s="13">
        <f>'Impacts A'!H74-'Impacts B'!H74</f>
        <v>0</v>
      </c>
      <c r="I74" s="13">
        <f>'Impacts A'!I74-'Impacts B'!I74</f>
        <v>0</v>
      </c>
      <c r="J74" s="13">
        <f>'Impacts A'!J74-'Impacts B'!J74</f>
        <v>0</v>
      </c>
      <c r="K74" s="13">
        <f>'Impacts A'!K74-'Impacts B'!K74</f>
        <v>0</v>
      </c>
      <c r="L74" s="13">
        <f>'Impacts A'!L74-'Impacts B'!L74</f>
        <v>0</v>
      </c>
      <c r="N74" s="59" t="s">
        <v>38</v>
      </c>
    </row>
    <row r="75" spans="1:14" x14ac:dyDescent="0.2">
      <c r="A75" t="str">
        <v>IA Economic</v>
      </c>
      <c r="C75" s="13">
        <f>'Impacts A'!C75-'Impacts B'!C75</f>
        <v>0</v>
      </c>
      <c r="D75" s="13">
        <f>'Impacts A'!D75-'Impacts B'!D75</f>
        <v>0</v>
      </c>
      <c r="E75" s="13">
        <f>'Impacts A'!E75-'Impacts B'!E75</f>
        <v>0</v>
      </c>
      <c r="F75" s="13">
        <f>'Impacts A'!F75-'Impacts B'!F75</f>
        <v>0</v>
      </c>
      <c r="G75" s="13">
        <f>'Impacts A'!G75-'Impacts B'!G75</f>
        <v>0</v>
      </c>
      <c r="H75" s="13">
        <f>'Impacts A'!H75-'Impacts B'!H75</f>
        <v>0</v>
      </c>
      <c r="I75" s="13">
        <f>'Impacts A'!I75-'Impacts B'!I75</f>
        <v>0</v>
      </c>
      <c r="J75" s="13">
        <f>'Impacts A'!J75-'Impacts B'!J75</f>
        <v>0</v>
      </c>
      <c r="K75" s="13">
        <f>'Impacts A'!K75-'Impacts B'!K75</f>
        <v>0</v>
      </c>
      <c r="L75" s="13">
        <f>'Impacts A'!L75-'Impacts B'!L75</f>
        <v>0</v>
      </c>
      <c r="N75" s="59" t="s">
        <v>38</v>
      </c>
    </row>
    <row r="76" spans="1:14" x14ac:dyDescent="0.2">
      <c r="A76" t="str">
        <v>AF Economic</v>
      </c>
      <c r="C76" s="13">
        <f>'Impacts A'!C76-'Impacts B'!C76</f>
        <v>0</v>
      </c>
      <c r="D76" s="13">
        <f>'Impacts A'!D76-'Impacts B'!D76</f>
        <v>0</v>
      </c>
      <c r="E76" s="13">
        <f>'Impacts A'!E76-'Impacts B'!E76</f>
        <v>0</v>
      </c>
      <c r="F76" s="13">
        <f>'Impacts A'!F76-'Impacts B'!F76</f>
        <v>0</v>
      </c>
      <c r="G76" s="13">
        <f>'Impacts A'!G76-'Impacts B'!G76</f>
        <v>0</v>
      </c>
      <c r="H76" s="13">
        <f>'Impacts A'!H76-'Impacts B'!H76</f>
        <v>0</v>
      </c>
      <c r="I76" s="13">
        <f>'Impacts A'!I76-'Impacts B'!I76</f>
        <v>0</v>
      </c>
      <c r="J76" s="13">
        <f>'Impacts A'!J76-'Impacts B'!J76</f>
        <v>0</v>
      </c>
      <c r="K76" s="13">
        <f>'Impacts A'!K76-'Impacts B'!K76</f>
        <v>0</v>
      </c>
      <c r="L76" s="13">
        <f>'Impacts A'!L76-'Impacts B'!L76</f>
        <v>0</v>
      </c>
      <c r="N76" s="59" t="s">
        <v>38</v>
      </c>
    </row>
    <row r="77" spans="1:14" x14ac:dyDescent="0.2">
      <c r="A77" t="str">
        <v>LA Economic</v>
      </c>
      <c r="C77" s="13">
        <f>'Impacts A'!C77-'Impacts B'!C77</f>
        <v>0</v>
      </c>
      <c r="D77" s="13">
        <f>'Impacts A'!D77-'Impacts B'!D77</f>
        <v>0</v>
      </c>
      <c r="E77" s="13">
        <f>'Impacts A'!E77-'Impacts B'!E77</f>
        <v>0</v>
      </c>
      <c r="F77" s="13">
        <f>'Impacts A'!F77-'Impacts B'!F77</f>
        <v>0</v>
      </c>
      <c r="G77" s="13">
        <f>'Impacts A'!G77-'Impacts B'!G77</f>
        <v>0</v>
      </c>
      <c r="H77" s="13">
        <f>'Impacts A'!H77-'Impacts B'!H77</f>
        <v>0</v>
      </c>
      <c r="I77" s="13">
        <f>'Impacts A'!I77-'Impacts B'!I77</f>
        <v>0</v>
      </c>
      <c r="J77" s="13">
        <f>'Impacts A'!J77-'Impacts B'!J77</f>
        <v>0</v>
      </c>
      <c r="K77" s="13">
        <f>'Impacts A'!K77-'Impacts B'!K77</f>
        <v>0</v>
      </c>
      <c r="L77" s="13">
        <f>'Impacts A'!L77-'Impacts B'!L77</f>
        <v>0</v>
      </c>
      <c r="N77" s="59" t="s">
        <v>38</v>
      </c>
    </row>
    <row r="78" spans="1:14" ht="15.75" x14ac:dyDescent="0.3">
      <c r="C78" s="63" t="s">
        <v>232</v>
      </c>
    </row>
    <row r="79" spans="1:14" x14ac:dyDescent="0.2">
      <c r="A79" t="str">
        <f t="array" ref="A79:A86">R_CODE&amp;" "&amp;I_2_NAME</f>
        <v>EU Non-econ</v>
      </c>
      <c r="C79" s="13">
        <f>'Impacts A'!C79-'Impacts B'!C79</f>
        <v>0</v>
      </c>
      <c r="D79" s="13">
        <f>'Impacts A'!D79-'Impacts B'!D79</f>
        <v>0</v>
      </c>
      <c r="E79" s="13">
        <f>'Impacts A'!E79-'Impacts B'!E79</f>
        <v>0</v>
      </c>
      <c r="F79" s="13">
        <f>'Impacts A'!F79-'Impacts B'!F79</f>
        <v>0</v>
      </c>
      <c r="G79" s="13">
        <f>'Impacts A'!G79-'Impacts B'!G79</f>
        <v>0</v>
      </c>
      <c r="H79" s="13">
        <f>'Impacts A'!H79-'Impacts B'!H79</f>
        <v>0</v>
      </c>
      <c r="I79" s="13">
        <f>'Impacts A'!I79-'Impacts B'!I79</f>
        <v>0</v>
      </c>
      <c r="J79" s="13">
        <f>'Impacts A'!J79-'Impacts B'!J79</f>
        <v>0</v>
      </c>
      <c r="K79" s="13">
        <f>'Impacts A'!K79-'Impacts B'!K79</f>
        <v>0</v>
      </c>
      <c r="L79" s="13">
        <f>'Impacts A'!L79-'Impacts B'!L79</f>
        <v>0</v>
      </c>
      <c r="N79" s="59" t="s">
        <v>38</v>
      </c>
    </row>
    <row r="80" spans="1:14" x14ac:dyDescent="0.2">
      <c r="A80" t="str">
        <v>US Non-econ</v>
      </c>
      <c r="C80" s="13">
        <f>'Impacts A'!C80-'Impacts B'!C80</f>
        <v>0</v>
      </c>
      <c r="D80" s="13">
        <f>'Impacts A'!D80-'Impacts B'!D80</f>
        <v>0</v>
      </c>
      <c r="E80" s="13">
        <f>'Impacts A'!E80-'Impacts B'!E80</f>
        <v>0</v>
      </c>
      <c r="F80" s="13">
        <f>'Impacts A'!F80-'Impacts B'!F80</f>
        <v>0</v>
      </c>
      <c r="G80" s="13">
        <f>'Impacts A'!G80-'Impacts B'!G80</f>
        <v>0</v>
      </c>
      <c r="H80" s="13">
        <f>'Impacts A'!H80-'Impacts B'!H80</f>
        <v>0</v>
      </c>
      <c r="I80" s="13">
        <f>'Impacts A'!I80-'Impacts B'!I80</f>
        <v>0</v>
      </c>
      <c r="J80" s="13">
        <f>'Impacts A'!J80-'Impacts B'!J80</f>
        <v>0</v>
      </c>
      <c r="K80" s="13">
        <f>'Impacts A'!K80-'Impacts B'!K80</f>
        <v>0</v>
      </c>
      <c r="L80" s="13">
        <f>'Impacts A'!L80-'Impacts B'!L80</f>
        <v>0</v>
      </c>
      <c r="N80" s="59" t="s">
        <v>38</v>
      </c>
    </row>
    <row r="81" spans="1:14" x14ac:dyDescent="0.2">
      <c r="A81" t="str">
        <v>OT Non-econ</v>
      </c>
      <c r="C81" s="13">
        <f>'Impacts A'!C81-'Impacts B'!C81</f>
        <v>0</v>
      </c>
      <c r="D81" s="13">
        <f>'Impacts A'!D81-'Impacts B'!D81</f>
        <v>0</v>
      </c>
      <c r="E81" s="13">
        <f>'Impacts A'!E81-'Impacts B'!E81</f>
        <v>0</v>
      </c>
      <c r="F81" s="13">
        <f>'Impacts A'!F81-'Impacts B'!F81</f>
        <v>0</v>
      </c>
      <c r="G81" s="13">
        <f>'Impacts A'!G81-'Impacts B'!G81</f>
        <v>0</v>
      </c>
      <c r="H81" s="13">
        <f>'Impacts A'!H81-'Impacts B'!H81</f>
        <v>0</v>
      </c>
      <c r="I81" s="13">
        <f>'Impacts A'!I81-'Impacts B'!I81</f>
        <v>0</v>
      </c>
      <c r="J81" s="13">
        <f>'Impacts A'!J81-'Impacts B'!J81</f>
        <v>0</v>
      </c>
      <c r="K81" s="13">
        <f>'Impacts A'!K81-'Impacts B'!K81</f>
        <v>0</v>
      </c>
      <c r="L81" s="13">
        <f>'Impacts A'!L81-'Impacts B'!L81</f>
        <v>0</v>
      </c>
      <c r="N81" s="59" t="s">
        <v>38</v>
      </c>
    </row>
    <row r="82" spans="1:14" x14ac:dyDescent="0.2">
      <c r="A82" t="str">
        <v>EE Non-econ</v>
      </c>
      <c r="C82" s="13">
        <f>'Impacts A'!C82-'Impacts B'!C82</f>
        <v>0</v>
      </c>
      <c r="D82" s="13">
        <f>'Impacts A'!D82-'Impacts B'!D82</f>
        <v>0</v>
      </c>
      <c r="E82" s="13">
        <f>'Impacts A'!E82-'Impacts B'!E82</f>
        <v>0</v>
      </c>
      <c r="F82" s="13">
        <f>'Impacts A'!F82-'Impacts B'!F82</f>
        <v>0</v>
      </c>
      <c r="G82" s="13">
        <f>'Impacts A'!G82-'Impacts B'!G82</f>
        <v>0</v>
      </c>
      <c r="H82" s="13">
        <f>'Impacts A'!H82-'Impacts B'!H82</f>
        <v>0</v>
      </c>
      <c r="I82" s="13">
        <f>'Impacts A'!I82-'Impacts B'!I82</f>
        <v>0</v>
      </c>
      <c r="J82" s="13">
        <f>'Impacts A'!J82-'Impacts B'!J82</f>
        <v>0</v>
      </c>
      <c r="K82" s="13">
        <f>'Impacts A'!K82-'Impacts B'!K82</f>
        <v>0</v>
      </c>
      <c r="L82" s="13">
        <f>'Impacts A'!L82-'Impacts B'!L82</f>
        <v>0</v>
      </c>
      <c r="N82" s="59" t="s">
        <v>38</v>
      </c>
    </row>
    <row r="83" spans="1:14" x14ac:dyDescent="0.2">
      <c r="A83" t="str">
        <v>CA Non-econ</v>
      </c>
      <c r="C83" s="13">
        <f>'Impacts A'!C83-'Impacts B'!C83</f>
        <v>0</v>
      </c>
      <c r="D83" s="13">
        <f>'Impacts A'!D83-'Impacts B'!D83</f>
        <v>0</v>
      </c>
      <c r="E83" s="13">
        <f>'Impacts A'!E83-'Impacts B'!E83</f>
        <v>0</v>
      </c>
      <c r="F83" s="13">
        <f>'Impacts A'!F83-'Impacts B'!F83</f>
        <v>0</v>
      </c>
      <c r="G83" s="13">
        <f>'Impacts A'!G83-'Impacts B'!G83</f>
        <v>0</v>
      </c>
      <c r="H83" s="13">
        <f>'Impacts A'!H83-'Impacts B'!H83</f>
        <v>0</v>
      </c>
      <c r="I83" s="13">
        <f>'Impacts A'!I83-'Impacts B'!I83</f>
        <v>0</v>
      </c>
      <c r="J83" s="13">
        <f>'Impacts A'!J83-'Impacts B'!J83</f>
        <v>0</v>
      </c>
      <c r="K83" s="13">
        <f>'Impacts A'!K83-'Impacts B'!K83</f>
        <v>0</v>
      </c>
      <c r="L83" s="13">
        <f>'Impacts A'!L83-'Impacts B'!L83</f>
        <v>0</v>
      </c>
      <c r="N83" s="59" t="s">
        <v>38</v>
      </c>
    </row>
    <row r="84" spans="1:14" x14ac:dyDescent="0.2">
      <c r="A84" t="str">
        <v>IA Non-econ</v>
      </c>
      <c r="C84" s="13">
        <f>'Impacts A'!C84-'Impacts B'!C84</f>
        <v>0</v>
      </c>
      <c r="D84" s="13">
        <f>'Impacts A'!D84-'Impacts B'!D84</f>
        <v>0</v>
      </c>
      <c r="E84" s="13">
        <f>'Impacts A'!E84-'Impacts B'!E84</f>
        <v>0</v>
      </c>
      <c r="F84" s="13">
        <f>'Impacts A'!F84-'Impacts B'!F84</f>
        <v>0</v>
      </c>
      <c r="G84" s="13">
        <f>'Impacts A'!G84-'Impacts B'!G84</f>
        <v>0</v>
      </c>
      <c r="H84" s="13">
        <f>'Impacts A'!H84-'Impacts B'!H84</f>
        <v>0</v>
      </c>
      <c r="I84" s="13">
        <f>'Impacts A'!I84-'Impacts B'!I84</f>
        <v>0</v>
      </c>
      <c r="J84" s="13">
        <f>'Impacts A'!J84-'Impacts B'!J84</f>
        <v>0</v>
      </c>
      <c r="K84" s="13">
        <f>'Impacts A'!K84-'Impacts B'!K84</f>
        <v>0</v>
      </c>
      <c r="L84" s="13">
        <f>'Impacts A'!L84-'Impacts B'!L84</f>
        <v>0</v>
      </c>
      <c r="N84" s="59" t="s">
        <v>38</v>
      </c>
    </row>
    <row r="85" spans="1:14" x14ac:dyDescent="0.2">
      <c r="A85" t="str">
        <v>AF Non-econ</v>
      </c>
      <c r="C85" s="13">
        <f>'Impacts A'!C85-'Impacts B'!C85</f>
        <v>0</v>
      </c>
      <c r="D85" s="13">
        <f>'Impacts A'!D85-'Impacts B'!D85</f>
        <v>0</v>
      </c>
      <c r="E85" s="13">
        <f>'Impacts A'!E85-'Impacts B'!E85</f>
        <v>0</v>
      </c>
      <c r="F85" s="13">
        <f>'Impacts A'!F85-'Impacts B'!F85</f>
        <v>0</v>
      </c>
      <c r="G85" s="13">
        <f>'Impacts A'!G85-'Impacts B'!G85</f>
        <v>0</v>
      </c>
      <c r="H85" s="13">
        <f>'Impacts A'!H85-'Impacts B'!H85</f>
        <v>0</v>
      </c>
      <c r="I85" s="13">
        <f>'Impacts A'!I85-'Impacts B'!I85</f>
        <v>0</v>
      </c>
      <c r="J85" s="13">
        <f>'Impacts A'!J85-'Impacts B'!J85</f>
        <v>0</v>
      </c>
      <c r="K85" s="13">
        <f>'Impacts A'!K85-'Impacts B'!K85</f>
        <v>0</v>
      </c>
      <c r="L85" s="13">
        <f>'Impacts A'!L85-'Impacts B'!L85</f>
        <v>0</v>
      </c>
      <c r="N85" s="59" t="s">
        <v>38</v>
      </c>
    </row>
    <row r="86" spans="1:14" x14ac:dyDescent="0.2">
      <c r="A86" t="str">
        <v>LA Non-econ</v>
      </c>
      <c r="C86" s="13">
        <f>'Impacts A'!C86-'Impacts B'!C86</f>
        <v>0</v>
      </c>
      <c r="D86" s="13">
        <f>'Impacts A'!D86-'Impacts B'!D86</f>
        <v>0</v>
      </c>
      <c r="E86" s="13">
        <f>'Impacts A'!E86-'Impacts B'!E86</f>
        <v>0</v>
      </c>
      <c r="F86" s="13">
        <f>'Impacts A'!F86-'Impacts B'!F86</f>
        <v>0</v>
      </c>
      <c r="G86" s="13">
        <f>'Impacts A'!G86-'Impacts B'!G86</f>
        <v>0</v>
      </c>
      <c r="H86" s="13">
        <f>'Impacts A'!H86-'Impacts B'!H86</f>
        <v>0</v>
      </c>
      <c r="I86" s="13">
        <f>'Impacts A'!I86-'Impacts B'!I86</f>
        <v>0</v>
      </c>
      <c r="J86" s="13">
        <f>'Impacts A'!J86-'Impacts B'!J86</f>
        <v>0</v>
      </c>
      <c r="K86" s="13">
        <f>'Impacts A'!K86-'Impacts B'!K86</f>
        <v>0</v>
      </c>
      <c r="L86" s="13">
        <f>'Impacts A'!L86-'Impacts B'!L86</f>
        <v>0</v>
      </c>
      <c r="N86" s="59" t="s">
        <v>38</v>
      </c>
    </row>
    <row r="87" spans="1:14" s="2" customFormat="1" ht="14.25" x14ac:dyDescent="0.25">
      <c r="A87" s="2" t="s">
        <v>951</v>
      </c>
      <c r="C87" s="2" t="s">
        <v>202</v>
      </c>
    </row>
    <row r="88" spans="1:14" x14ac:dyDescent="0.2">
      <c r="A88" t="str">
        <f t="array" ref="A88:A95">R_CODE&amp;" sea level"</f>
        <v>EU sea level</v>
      </c>
      <c r="C88" s="29">
        <f ca="1">'Impacts A'!C88-'Impacts B'!C88</f>
        <v>-1.5169244431301188E-4</v>
      </c>
      <c r="D88" s="29">
        <f ca="1">'Impacts A'!D88-'Impacts B'!D88</f>
        <v>-3.8479655327205986E-4</v>
      </c>
      <c r="E88" s="29">
        <f ca="1">'Impacts A'!E88-'Impacts B'!E88</f>
        <v>-4.4431357431135021E-4</v>
      </c>
      <c r="F88" s="29">
        <f ca="1">'Impacts A'!F88-'Impacts B'!F88</f>
        <v>-3.2710718987923326E-3</v>
      </c>
      <c r="G88" s="29">
        <f ca="1">'Impacts A'!G88-'Impacts B'!G88</f>
        <v>-4.2894196299178011E-3</v>
      </c>
      <c r="H88" s="29">
        <f ca="1">'Impacts A'!H88-'Impacts B'!H88</f>
        <v>-2.3007292713620675E-2</v>
      </c>
      <c r="I88" s="29">
        <f ca="1">'Impacts A'!I88-'Impacts B'!I88</f>
        <v>-6.4226279606161008E-2</v>
      </c>
      <c r="J88" s="29">
        <f ca="1">'Impacts A'!J88-'Impacts B'!J88</f>
        <v>-0.13668343122048976</v>
      </c>
      <c r="K88" s="29">
        <f ca="1">'Impacts A'!K88-'Impacts B'!K88</f>
        <v>-0.23935334386501261</v>
      </c>
      <c r="L88" s="29">
        <f ca="1">'Impacts A'!L88-'Impacts B'!L88</f>
        <v>-0.36954881481916191</v>
      </c>
      <c r="M88" s="6"/>
      <c r="N88" s="59" t="s">
        <v>180</v>
      </c>
    </row>
    <row r="89" spans="1:14" x14ac:dyDescent="0.2">
      <c r="A89" t="str">
        <v>US sea level</v>
      </c>
      <c r="C89" s="26">
        <f ca="1">'Impacts A'!C89-'Impacts B'!C89</f>
        <v>-1.5169244431301188E-4</v>
      </c>
      <c r="D89" s="26">
        <f ca="1">'Impacts A'!D89-'Impacts B'!D89</f>
        <v>-3.8479655327205986E-4</v>
      </c>
      <c r="E89" s="26">
        <f ca="1">'Impacts A'!E89-'Impacts B'!E89</f>
        <v>-4.4431357431135021E-4</v>
      </c>
      <c r="F89" s="26">
        <f ca="1">'Impacts A'!F89-'Impacts B'!F89</f>
        <v>-3.2710718987923326E-3</v>
      </c>
      <c r="G89" s="26">
        <f ca="1">'Impacts A'!G89-'Impacts B'!G89</f>
        <v>-4.2894196299178011E-3</v>
      </c>
      <c r="H89" s="26">
        <f ca="1">'Impacts A'!H89-'Impacts B'!H89</f>
        <v>-2.3007292713620675E-2</v>
      </c>
      <c r="I89" s="26">
        <f ca="1">'Impacts A'!I89-'Impacts B'!I89</f>
        <v>-6.4226279606161008E-2</v>
      </c>
      <c r="J89" s="26">
        <f ca="1">'Impacts A'!J89-'Impacts B'!J89</f>
        <v>-0.13668343122048976</v>
      </c>
      <c r="K89" s="26">
        <f ca="1">'Impacts A'!K89-'Impacts B'!K89</f>
        <v>-0.23935334386501261</v>
      </c>
      <c r="L89" s="26">
        <f ca="1">'Impacts A'!L89-'Impacts B'!L89</f>
        <v>-0.36954881481916191</v>
      </c>
      <c r="M89" s="6"/>
      <c r="N89" s="59" t="s">
        <v>180</v>
      </c>
    </row>
    <row r="90" spans="1:14" x14ac:dyDescent="0.2">
      <c r="A90" t="str">
        <v>OT sea level</v>
      </c>
      <c r="C90" s="26">
        <f ca="1">'Impacts A'!C90-'Impacts B'!C90</f>
        <v>-1.5169244431301188E-4</v>
      </c>
      <c r="D90" s="26">
        <f ca="1">'Impacts A'!D90-'Impacts B'!D90</f>
        <v>-3.8479655327205986E-4</v>
      </c>
      <c r="E90" s="26">
        <f ca="1">'Impacts A'!E90-'Impacts B'!E90</f>
        <v>-4.4431357431135021E-4</v>
      </c>
      <c r="F90" s="26">
        <f ca="1">'Impacts A'!F90-'Impacts B'!F90</f>
        <v>-3.2710718987923326E-3</v>
      </c>
      <c r="G90" s="26">
        <f ca="1">'Impacts A'!G90-'Impacts B'!G90</f>
        <v>-4.2894196299178011E-3</v>
      </c>
      <c r="H90" s="26">
        <f ca="1">'Impacts A'!H90-'Impacts B'!H90</f>
        <v>-2.3007292713620675E-2</v>
      </c>
      <c r="I90" s="26">
        <f ca="1">'Impacts A'!I90-'Impacts B'!I90</f>
        <v>-6.4226279606161008E-2</v>
      </c>
      <c r="J90" s="26">
        <f ca="1">'Impacts A'!J90-'Impacts B'!J90</f>
        <v>-0.13668343122048976</v>
      </c>
      <c r="K90" s="26">
        <f ca="1">'Impacts A'!K90-'Impacts B'!K90</f>
        <v>-0.23935334386501261</v>
      </c>
      <c r="L90" s="26">
        <f ca="1">'Impacts A'!L90-'Impacts B'!L90</f>
        <v>-0.36954881481916191</v>
      </c>
      <c r="M90" s="6"/>
      <c r="N90" s="59" t="s">
        <v>180</v>
      </c>
    </row>
    <row r="91" spans="1:14" x14ac:dyDescent="0.2">
      <c r="A91" t="str">
        <v>EE sea level</v>
      </c>
      <c r="C91" s="26">
        <f ca="1">'Impacts A'!C91-'Impacts B'!C91</f>
        <v>-1.5169244431301188E-4</v>
      </c>
      <c r="D91" s="26">
        <f ca="1">'Impacts A'!D91-'Impacts B'!D91</f>
        <v>-3.8479655327205986E-4</v>
      </c>
      <c r="E91" s="26">
        <f ca="1">'Impacts A'!E91-'Impacts B'!E91</f>
        <v>-4.4431357431135021E-4</v>
      </c>
      <c r="F91" s="26">
        <f ca="1">'Impacts A'!F91-'Impacts B'!F91</f>
        <v>-3.2710718987923326E-3</v>
      </c>
      <c r="G91" s="26">
        <f ca="1">'Impacts A'!G91-'Impacts B'!G91</f>
        <v>-4.2894196299178011E-3</v>
      </c>
      <c r="H91" s="26">
        <f ca="1">'Impacts A'!H91-'Impacts B'!H91</f>
        <v>-2.3007292713620675E-2</v>
      </c>
      <c r="I91" s="26">
        <f ca="1">'Impacts A'!I91-'Impacts B'!I91</f>
        <v>-6.4226279606161008E-2</v>
      </c>
      <c r="J91" s="26">
        <f ca="1">'Impacts A'!J91-'Impacts B'!J91</f>
        <v>-0.13668343122048976</v>
      </c>
      <c r="K91" s="26">
        <f ca="1">'Impacts A'!K91-'Impacts B'!K91</f>
        <v>-0.23935334386501261</v>
      </c>
      <c r="L91" s="26">
        <f ca="1">'Impacts A'!L91-'Impacts B'!L91</f>
        <v>-0.36954881481916191</v>
      </c>
      <c r="M91" s="6"/>
      <c r="N91" s="59" t="s">
        <v>180</v>
      </c>
    </row>
    <row r="92" spans="1:14" x14ac:dyDescent="0.2">
      <c r="A92" t="str">
        <v>CA sea level</v>
      </c>
      <c r="C92" s="26">
        <f ca="1">'Impacts A'!C92-'Impacts B'!C92</f>
        <v>-1.5169244431301188E-4</v>
      </c>
      <c r="D92" s="26">
        <f ca="1">'Impacts A'!D92-'Impacts B'!D92</f>
        <v>-3.8479655327205986E-4</v>
      </c>
      <c r="E92" s="26">
        <f ca="1">'Impacts A'!E92-'Impacts B'!E92</f>
        <v>-4.4431357431135021E-4</v>
      </c>
      <c r="F92" s="26">
        <f ca="1">'Impacts A'!F92-'Impacts B'!F92</f>
        <v>-3.2710718987923326E-3</v>
      </c>
      <c r="G92" s="26">
        <f ca="1">'Impacts A'!G92-'Impacts B'!G92</f>
        <v>-4.2894196299178011E-3</v>
      </c>
      <c r="H92" s="26">
        <f ca="1">'Impacts A'!H92-'Impacts B'!H92</f>
        <v>-2.3007292713620675E-2</v>
      </c>
      <c r="I92" s="26">
        <f ca="1">'Impacts A'!I92-'Impacts B'!I92</f>
        <v>-6.4226279606161008E-2</v>
      </c>
      <c r="J92" s="26">
        <f ca="1">'Impacts A'!J92-'Impacts B'!J92</f>
        <v>-0.13668343122048987</v>
      </c>
      <c r="K92" s="26">
        <f ca="1">'Impacts A'!K92-'Impacts B'!K92</f>
        <v>-0.23935334386501261</v>
      </c>
      <c r="L92" s="26">
        <f ca="1">'Impacts A'!L92-'Impacts B'!L92</f>
        <v>-0.36954881481916191</v>
      </c>
      <c r="M92" s="6"/>
      <c r="N92" s="59" t="s">
        <v>180</v>
      </c>
    </row>
    <row r="93" spans="1:14" x14ac:dyDescent="0.2">
      <c r="A93" t="str">
        <v>IA sea level</v>
      </c>
      <c r="C93" s="26">
        <f ca="1">'Impacts A'!C93-'Impacts B'!C93</f>
        <v>-1.5169244431301188E-4</v>
      </c>
      <c r="D93" s="26">
        <f ca="1">'Impacts A'!D93-'Impacts B'!D93</f>
        <v>-3.8479655327205986E-4</v>
      </c>
      <c r="E93" s="26">
        <f ca="1">'Impacts A'!E93-'Impacts B'!E93</f>
        <v>-4.4431357431135021E-4</v>
      </c>
      <c r="F93" s="26">
        <f ca="1">'Impacts A'!F93-'Impacts B'!F93</f>
        <v>-3.2710718987923326E-3</v>
      </c>
      <c r="G93" s="26">
        <f ca="1">'Impacts A'!G93-'Impacts B'!G93</f>
        <v>-4.2894196299178011E-3</v>
      </c>
      <c r="H93" s="26">
        <f ca="1">'Impacts A'!H93-'Impacts B'!H93</f>
        <v>-2.3007292713620675E-2</v>
      </c>
      <c r="I93" s="26">
        <f ca="1">'Impacts A'!I93-'Impacts B'!I93</f>
        <v>-6.4226279606161008E-2</v>
      </c>
      <c r="J93" s="26">
        <f ca="1">'Impacts A'!J93-'Impacts B'!J93</f>
        <v>-0.13668343122048987</v>
      </c>
      <c r="K93" s="26">
        <f ca="1">'Impacts A'!K93-'Impacts B'!K93</f>
        <v>-0.23935334386501261</v>
      </c>
      <c r="L93" s="26">
        <f ca="1">'Impacts A'!L93-'Impacts B'!L93</f>
        <v>-0.36954881481916191</v>
      </c>
      <c r="M93" s="6"/>
      <c r="N93" s="59" t="s">
        <v>180</v>
      </c>
    </row>
    <row r="94" spans="1:14" x14ac:dyDescent="0.2">
      <c r="A94" t="str">
        <v>AF sea level</v>
      </c>
      <c r="C94" s="26">
        <f ca="1">'Impacts A'!C94-'Impacts B'!C94</f>
        <v>-1.5169244431301188E-4</v>
      </c>
      <c r="D94" s="26">
        <f ca="1">'Impacts A'!D94-'Impacts B'!D94</f>
        <v>-3.8479655327205986E-4</v>
      </c>
      <c r="E94" s="26">
        <f ca="1">'Impacts A'!E94-'Impacts B'!E94</f>
        <v>-4.4431357431135021E-4</v>
      </c>
      <c r="F94" s="26">
        <f ca="1">'Impacts A'!F94-'Impacts B'!F94</f>
        <v>-3.2710718987923326E-3</v>
      </c>
      <c r="G94" s="26">
        <f ca="1">'Impacts A'!G94-'Impacts B'!G94</f>
        <v>-4.2894196299178011E-3</v>
      </c>
      <c r="H94" s="26">
        <f ca="1">'Impacts A'!H94-'Impacts B'!H94</f>
        <v>-2.3007292713620675E-2</v>
      </c>
      <c r="I94" s="26">
        <f ca="1">'Impacts A'!I94-'Impacts B'!I94</f>
        <v>-6.4226279606161008E-2</v>
      </c>
      <c r="J94" s="26">
        <f ca="1">'Impacts A'!J94-'Impacts B'!J94</f>
        <v>-0.13668343122048987</v>
      </c>
      <c r="K94" s="26">
        <f ca="1">'Impacts A'!K94-'Impacts B'!K94</f>
        <v>-0.23935334386501261</v>
      </c>
      <c r="L94" s="26">
        <f ca="1">'Impacts A'!L94-'Impacts B'!L94</f>
        <v>-0.36954881481916191</v>
      </c>
      <c r="M94" s="6"/>
      <c r="N94" s="59" t="s">
        <v>180</v>
      </c>
    </row>
    <row r="95" spans="1:14" x14ac:dyDescent="0.2">
      <c r="A95" t="str">
        <v>LA sea level</v>
      </c>
      <c r="C95" s="26">
        <f ca="1">'Impacts A'!C95-'Impacts B'!C95</f>
        <v>-1.5169244431301188E-4</v>
      </c>
      <c r="D95" s="26">
        <f ca="1">'Impacts A'!D95-'Impacts B'!D95</f>
        <v>-3.8479655327205986E-4</v>
      </c>
      <c r="E95" s="26">
        <f ca="1">'Impacts A'!E95-'Impacts B'!E95</f>
        <v>-4.4431357431135021E-4</v>
      </c>
      <c r="F95" s="26">
        <f ca="1">'Impacts A'!F95-'Impacts B'!F95</f>
        <v>-3.2710718987923326E-3</v>
      </c>
      <c r="G95" s="26">
        <f ca="1">'Impacts A'!G95-'Impacts B'!G95</f>
        <v>-4.2894196299178011E-3</v>
      </c>
      <c r="H95" s="26">
        <f ca="1">'Impacts A'!H95-'Impacts B'!H95</f>
        <v>-2.3007292713620675E-2</v>
      </c>
      <c r="I95" s="26">
        <f ca="1">'Impacts A'!I95-'Impacts B'!I95</f>
        <v>-6.4226279606161008E-2</v>
      </c>
      <c r="J95" s="26">
        <f ca="1">'Impacts A'!J95-'Impacts B'!J95</f>
        <v>-0.13668343122048987</v>
      </c>
      <c r="K95" s="26">
        <f ca="1">'Impacts A'!K95-'Impacts B'!K95</f>
        <v>-0.23935334386501261</v>
      </c>
      <c r="L95" s="26">
        <f ca="1">'Impacts A'!L95-'Impacts B'!L95</f>
        <v>-0.36954881481916191</v>
      </c>
      <c r="M95" s="6"/>
      <c r="N95" s="59" t="s">
        <v>180</v>
      </c>
    </row>
    <row r="96" spans="1:14" ht="14.25" x14ac:dyDescent="0.25">
      <c r="A96" s="2" t="s">
        <v>952</v>
      </c>
      <c r="C96" s="2" t="s">
        <v>698</v>
      </c>
      <c r="D96" s="6"/>
      <c r="E96" s="6"/>
      <c r="F96" s="6"/>
      <c r="G96" s="6"/>
      <c r="H96" s="6"/>
      <c r="I96" s="6"/>
      <c r="J96" s="6"/>
      <c r="K96" s="6"/>
      <c r="L96" s="6"/>
      <c r="M96" s="6"/>
      <c r="N96" s="59"/>
    </row>
    <row r="97" spans="1:15" x14ac:dyDescent="0.2">
      <c r="A97" t="str">
        <f t="array" ref="A97:A104">R_CODE&amp;" "&amp;I_1_NAME</f>
        <v>EU Economic</v>
      </c>
      <c r="C97" s="29">
        <f ca="1">'Impacts A'!C97-'Impacts B'!C97</f>
        <v>0.1587246000000011</v>
      </c>
      <c r="D97" s="29">
        <f ca="1">'Impacts A'!D97-'Impacts B'!D97</f>
        <v>0.11088499999999968</v>
      </c>
      <c r="E97" s="29">
        <f ca="1">'Impacts A'!E97-'Impacts B'!E97</f>
        <v>-8.4313000000001637E-2</v>
      </c>
      <c r="F97" s="29">
        <f ca="1">'Impacts A'!F97-'Impacts B'!F97</f>
        <v>3.157000000000032E-2</v>
      </c>
      <c r="G97" s="29">
        <f ca="1">'Impacts A'!G97-'Impacts B'!G97</f>
        <v>-8.2319999999999283E-2</v>
      </c>
      <c r="H97" s="29">
        <f ca="1">'Impacts A'!H97-'Impacts B'!H97</f>
        <v>-0.71825000000000117</v>
      </c>
      <c r="I97" s="29">
        <f ca="1">'Impacts A'!I97-'Impacts B'!I97</f>
        <v>-1.4068900000000006</v>
      </c>
      <c r="J97" s="29">
        <f ca="1">'Impacts A'!J97-'Impacts B'!J97</f>
        <v>-2.1996900000000004</v>
      </c>
      <c r="K97" s="29">
        <f ca="1">'Impacts A'!K97-'Impacts B'!K97</f>
        <v>-3.1856600000000004</v>
      </c>
      <c r="L97" s="29">
        <f ca="1">'Impacts A'!L97-'Impacts B'!L97</f>
        <v>-4.0264700000000033</v>
      </c>
      <c r="M97" s="6"/>
      <c r="N97" s="59" t="s">
        <v>41</v>
      </c>
      <c r="O97" s="3" t="s">
        <v>700</v>
      </c>
    </row>
    <row r="98" spans="1:15" x14ac:dyDescent="0.2">
      <c r="A98" t="str">
        <v>US Economic</v>
      </c>
      <c r="C98" s="26">
        <f ca="1">'Impacts A'!C98-'Impacts B'!C98</f>
        <v>-7.7738000000000085E-2</v>
      </c>
      <c r="D98" s="26">
        <f ca="1">'Impacts A'!D98-'Impacts B'!D98</f>
        <v>-1.9750000000000156E-2</v>
      </c>
      <c r="E98" s="26">
        <f ca="1">'Impacts A'!E98-'Impacts B'!E98</f>
        <v>-0.14484100000000133</v>
      </c>
      <c r="F98" s="26">
        <f ca="1">'Impacts A'!F98-'Impacts B'!F98</f>
        <v>-0.16053999999999924</v>
      </c>
      <c r="G98" s="26">
        <f ca="1">'Impacts A'!G98-'Impacts B'!G98</f>
        <v>3.5550000000000637E-2</v>
      </c>
      <c r="H98" s="26">
        <f ca="1">'Impacts A'!H98-'Impacts B'!H98</f>
        <v>-0.50611999999999924</v>
      </c>
      <c r="I98" s="26">
        <f ca="1">'Impacts A'!I98-'Impacts B'!I98</f>
        <v>-1.2853299999999983</v>
      </c>
      <c r="J98" s="26">
        <f ca="1">'Impacts A'!J98-'Impacts B'!J98</f>
        <v>-2.3397800000000011</v>
      </c>
      <c r="K98" s="26">
        <f ca="1">'Impacts A'!K98-'Impacts B'!K98</f>
        <v>-3.3633200000000016</v>
      </c>
      <c r="L98" s="26">
        <f ca="1">'Impacts A'!L98-'Impacts B'!L98</f>
        <v>-4.20242</v>
      </c>
      <c r="M98" s="6"/>
      <c r="N98" s="59" t="s">
        <v>41</v>
      </c>
      <c r="O98" s="3" t="s">
        <v>700</v>
      </c>
    </row>
    <row r="99" spans="1:15" x14ac:dyDescent="0.2">
      <c r="A99" t="str">
        <v>OT Economic</v>
      </c>
      <c r="C99" s="26">
        <f ca="1">'Impacts A'!C99-'Impacts B'!C99</f>
        <v>1.9420000000000215E-2</v>
      </c>
      <c r="D99" s="26">
        <f ca="1">'Impacts A'!D99-'Impacts B'!D99</f>
        <v>8.5727000000000331E-2</v>
      </c>
      <c r="E99" s="26">
        <f ca="1">'Impacts A'!E99-'Impacts B'!E99</f>
        <v>-5.6069999999994735E-3</v>
      </c>
      <c r="F99" s="26">
        <f ca="1">'Impacts A'!F99-'Impacts B'!F99</f>
        <v>-0.11545000000000094</v>
      </c>
      <c r="G99" s="26">
        <f ca="1">'Impacts A'!G99-'Impacts B'!G99</f>
        <v>-5.3339999999998611E-2</v>
      </c>
      <c r="H99" s="26">
        <f ca="1">'Impacts A'!H99-'Impacts B'!H99</f>
        <v>-0.75448000000000093</v>
      </c>
      <c r="I99" s="26">
        <f ca="1">'Impacts A'!I99-'Impacts B'!I99</f>
        <v>-1.3233499999999996</v>
      </c>
      <c r="J99" s="26">
        <f ca="1">'Impacts A'!J99-'Impacts B'!J99</f>
        <v>-2.5651599999999988</v>
      </c>
      <c r="K99" s="26">
        <f ca="1">'Impacts A'!K99-'Impacts B'!K99</f>
        <v>-3.7017199999999999</v>
      </c>
      <c r="L99" s="26">
        <f ca="1">'Impacts A'!L99-'Impacts B'!L99</f>
        <v>-4.6545299999999976</v>
      </c>
      <c r="M99" s="6"/>
      <c r="N99" s="59" t="s">
        <v>41</v>
      </c>
      <c r="O99" s="3" t="s">
        <v>700</v>
      </c>
    </row>
    <row r="100" spans="1:15" x14ac:dyDescent="0.2">
      <c r="A100" t="str">
        <v>EE Economic</v>
      </c>
      <c r="C100" s="26">
        <f ca="1">'Impacts A'!C100-'Impacts B'!C100</f>
        <v>0.13209800000000094</v>
      </c>
      <c r="D100" s="26">
        <f ca="1">'Impacts A'!D100-'Impacts B'!D100</f>
        <v>0.1043769999999995</v>
      </c>
      <c r="E100" s="26">
        <f ca="1">'Impacts A'!E100-'Impacts B'!E100</f>
        <v>-9.0607999999999578E-2</v>
      </c>
      <c r="F100" s="26">
        <f ca="1">'Impacts A'!F100-'Impacts B'!F100</f>
        <v>1.6890000000000072E-2</v>
      </c>
      <c r="G100" s="26">
        <f ca="1">'Impacts A'!G100-'Impacts B'!G100</f>
        <v>-0.13378000000000156</v>
      </c>
      <c r="H100" s="26">
        <f ca="1">'Impacts A'!H100-'Impacts B'!H100</f>
        <v>-0.91502000000000017</v>
      </c>
      <c r="I100" s="26">
        <f ca="1">'Impacts A'!I100-'Impacts B'!I100</f>
        <v>-1.9881700000000002</v>
      </c>
      <c r="J100" s="26">
        <f ca="1">'Impacts A'!J100-'Impacts B'!J100</f>
        <v>-3.0276300000000003</v>
      </c>
      <c r="K100" s="26">
        <f ca="1">'Impacts A'!K100-'Impacts B'!K100</f>
        <v>-4.4876599999999982</v>
      </c>
      <c r="L100" s="26">
        <f ca="1">'Impacts A'!L100-'Impacts B'!L100</f>
        <v>-5.7320700000000002</v>
      </c>
      <c r="M100" s="6"/>
      <c r="N100" s="59" t="s">
        <v>41</v>
      </c>
      <c r="O100" s="3" t="s">
        <v>700</v>
      </c>
    </row>
    <row r="101" spans="1:15" x14ac:dyDescent="0.2">
      <c r="A101" t="str">
        <v>CA Economic</v>
      </c>
      <c r="C101" s="26">
        <f ca="1">'Impacts A'!C101-'Impacts B'!C101</f>
        <v>4.8704999999998222E-2</v>
      </c>
      <c r="D101" s="26">
        <f ca="1">'Impacts A'!D101-'Impacts B'!D101</f>
        <v>-4.0049999999993702E-3</v>
      </c>
      <c r="E101" s="26">
        <f ca="1">'Impacts A'!E101-'Impacts B'!E101</f>
        <v>-0.10158200000000051</v>
      </c>
      <c r="F101" s="26">
        <f ca="1">'Impacts A'!F101-'Impacts B'!F101</f>
        <v>-0.12235000000000085</v>
      </c>
      <c r="G101" s="26">
        <f ca="1">'Impacts A'!G101-'Impacts B'!G101</f>
        <v>3.1340000000000146E-2</v>
      </c>
      <c r="H101" s="26">
        <f ca="1">'Impacts A'!H101-'Impacts B'!H101</f>
        <v>-0.61551000000000045</v>
      </c>
      <c r="I101" s="26">
        <f ca="1">'Impacts A'!I101-'Impacts B'!I101</f>
        <v>-1.5577700000000014</v>
      </c>
      <c r="J101" s="26">
        <f ca="1">'Impacts A'!J101-'Impacts B'!J101</f>
        <v>-2.4101900000000001</v>
      </c>
      <c r="K101" s="26">
        <f ca="1">'Impacts A'!K101-'Impacts B'!K101</f>
        <v>-3.4679699999999976</v>
      </c>
      <c r="L101" s="26">
        <f ca="1">'Impacts A'!L101-'Impacts B'!L101</f>
        <v>-4.4094500000000032</v>
      </c>
      <c r="M101" s="6"/>
      <c r="N101" s="59" t="s">
        <v>41</v>
      </c>
      <c r="O101" s="3" t="s">
        <v>700</v>
      </c>
    </row>
    <row r="102" spans="1:15" x14ac:dyDescent="0.2">
      <c r="A102" t="str">
        <v>IA Economic</v>
      </c>
      <c r="C102" s="26">
        <f ca="1">'Impacts A'!C102-'Impacts B'!C102</f>
        <v>-6.498900000000063E-2</v>
      </c>
      <c r="D102" s="26">
        <f ca="1">'Impacts A'!D102-'Impacts B'!D102</f>
        <v>-4.1225999999998209E-2</v>
      </c>
      <c r="E102" s="26">
        <f ca="1">'Impacts A'!E102-'Impacts B'!E102</f>
        <v>-3.3577999999998553E-2</v>
      </c>
      <c r="F102" s="26">
        <f ca="1">'Impacts A'!F102-'Impacts B'!F102</f>
        <v>-9.4359999999998223E-2</v>
      </c>
      <c r="G102" s="26">
        <f ca="1">'Impacts A'!G102-'Impacts B'!G102</f>
        <v>6.8370000000001596E-2</v>
      </c>
      <c r="H102" s="26">
        <f ca="1">'Impacts A'!H102-'Impacts B'!H102</f>
        <v>-0.44459999999999766</v>
      </c>
      <c r="I102" s="26">
        <f ca="1">'Impacts A'!I102-'Impacts B'!I102</f>
        <v>-1.0731099999999998</v>
      </c>
      <c r="J102" s="26">
        <f ca="1">'Impacts A'!J102-'Impacts B'!J102</f>
        <v>-1.8842300000000023</v>
      </c>
      <c r="K102" s="26">
        <f ca="1">'Impacts A'!K102-'Impacts B'!K102</f>
        <v>-2.6662800000000004</v>
      </c>
      <c r="L102" s="26">
        <f ca="1">'Impacts A'!L102-'Impacts B'!L102</f>
        <v>-3.4329099999999997</v>
      </c>
      <c r="M102" s="6"/>
      <c r="N102" s="59" t="s">
        <v>41</v>
      </c>
      <c r="O102" s="3" t="s">
        <v>700</v>
      </c>
    </row>
    <row r="103" spans="1:15" x14ac:dyDescent="0.2">
      <c r="A103" t="str">
        <v>AF Economic</v>
      </c>
      <c r="C103" s="26">
        <f ca="1">'Impacts A'!C103-'Impacts B'!C103</f>
        <v>-4.5916999999999319E-2</v>
      </c>
      <c r="D103" s="26">
        <f ca="1">'Impacts A'!D103-'Impacts B'!D103</f>
        <v>-7.1886000000002781E-2</v>
      </c>
      <c r="E103" s="26">
        <f ca="1">'Impacts A'!E103-'Impacts B'!E103</f>
        <v>-4.0360000000028151E-3</v>
      </c>
      <c r="F103" s="26">
        <f ca="1">'Impacts A'!F103-'Impacts B'!F103</f>
        <v>-0.1256900000000023</v>
      </c>
      <c r="G103" s="26">
        <f ca="1">'Impacts A'!G103-'Impacts B'!G103</f>
        <v>6.232999999999933E-2</v>
      </c>
      <c r="H103" s="26">
        <f ca="1">'Impacts A'!H103-'Impacts B'!H103</f>
        <v>-0.42980000000000018</v>
      </c>
      <c r="I103" s="26">
        <f ca="1">'Impacts A'!I103-'Impacts B'!I103</f>
        <v>-1.1513500000000008</v>
      </c>
      <c r="J103" s="26">
        <f ca="1">'Impacts A'!J103-'Impacts B'!J103</f>
        <v>-2.064429999999998</v>
      </c>
      <c r="K103" s="26">
        <f ca="1">'Impacts A'!K103-'Impacts B'!K103</f>
        <v>-2.9593600000000002</v>
      </c>
      <c r="L103" s="26">
        <f ca="1">'Impacts A'!L103-'Impacts B'!L103</f>
        <v>-3.8357599999999969</v>
      </c>
      <c r="M103" s="6"/>
      <c r="N103" s="59" t="s">
        <v>41</v>
      </c>
      <c r="O103" s="3" t="s">
        <v>700</v>
      </c>
    </row>
    <row r="104" spans="1:15" x14ac:dyDescent="0.2">
      <c r="A104" t="str">
        <v>LA Economic</v>
      </c>
      <c r="C104" s="26">
        <f ca="1">'Impacts A'!C104-'Impacts B'!C104</f>
        <v>-0.16292699999999982</v>
      </c>
      <c r="D104" s="26">
        <f ca="1">'Impacts A'!D104-'Impacts B'!D104</f>
        <v>-5.0371999999999417E-2</v>
      </c>
      <c r="E104" s="26">
        <f ca="1">'Impacts A'!E104-'Impacts B'!E104</f>
        <v>-1.4945999999998349E-2</v>
      </c>
      <c r="F104" s="26">
        <f ca="1">'Impacts A'!F104-'Impacts B'!F104</f>
        <v>-0.14605999999999852</v>
      </c>
      <c r="G104" s="26">
        <f ca="1">'Impacts A'!G104-'Impacts B'!G104</f>
        <v>2.0780000000002019E-2</v>
      </c>
      <c r="H104" s="26">
        <f ca="1">'Impacts A'!H104-'Impacts B'!H104</f>
        <v>-0.47827000000000197</v>
      </c>
      <c r="I104" s="26">
        <f ca="1">'Impacts A'!I104-'Impacts B'!I104</f>
        <v>-1.0907599999999995</v>
      </c>
      <c r="J104" s="26">
        <f ca="1">'Impacts A'!J104-'Impacts B'!J104</f>
        <v>-2.0611700000000006</v>
      </c>
      <c r="K104" s="26">
        <f ca="1">'Impacts A'!K104-'Impacts B'!K104</f>
        <v>-2.8057400000000001</v>
      </c>
      <c r="L104" s="26">
        <f ca="1">'Impacts A'!L104-'Impacts B'!L104</f>
        <v>-3.5599199999999982</v>
      </c>
      <c r="M104" s="6"/>
      <c r="N104" s="59" t="s">
        <v>41</v>
      </c>
      <c r="O104" s="3" t="s">
        <v>700</v>
      </c>
    </row>
    <row r="105" spans="1:15" s="2" customFormat="1" ht="14.25" x14ac:dyDescent="0.25">
      <c r="A105" s="2" t="s">
        <v>953</v>
      </c>
      <c r="C105" s="2" t="s">
        <v>697</v>
      </c>
    </row>
    <row r="106" spans="1:15" x14ac:dyDescent="0.2">
      <c r="A106" t="str">
        <f t="array" ref="A106:A113">R_CODE&amp;" "&amp;I_1_NAME</f>
        <v>EU Economic</v>
      </c>
      <c r="C106" s="29">
        <f ca="1">'Impacts A'!C106-'Impacts B'!C106</f>
        <v>0.15872459999999977</v>
      </c>
      <c r="D106" s="29">
        <f ca="1">'Impacts A'!D106-'Impacts B'!D106</f>
        <v>0.11088500000000012</v>
      </c>
      <c r="E106" s="29">
        <f ca="1">'Impacts A'!E106-'Impacts B'!E106</f>
        <v>-8.4313000000000304E-2</v>
      </c>
      <c r="F106" s="29">
        <f ca="1">'Impacts A'!F106-'Impacts B'!F106</f>
        <v>3.157000000000032E-2</v>
      </c>
      <c r="G106" s="29">
        <f ca="1">'Impacts A'!G106-'Impacts B'!G106</f>
        <v>-8.2319999999999727E-2</v>
      </c>
      <c r="H106" s="29">
        <f ca="1">'Impacts A'!H106-'Impacts B'!H106</f>
        <v>-0.71825000000000028</v>
      </c>
      <c r="I106" s="29">
        <f ca="1">'Impacts A'!I106-'Impacts B'!I106</f>
        <v>-1.4068899999999998</v>
      </c>
      <c r="J106" s="29">
        <f ca="1">'Impacts A'!J106-'Impacts B'!J106</f>
        <v>-2.1996899999999999</v>
      </c>
      <c r="K106" s="29">
        <f ca="1">'Impacts A'!K106-'Impacts B'!K106</f>
        <v>-3.1856599999999995</v>
      </c>
      <c r="L106" s="29">
        <f ca="1">'Impacts A'!L106-'Impacts B'!L106</f>
        <v>-4.0264700000000007</v>
      </c>
      <c r="M106" s="6"/>
      <c r="N106" s="59" t="s">
        <v>41</v>
      </c>
    </row>
    <row r="107" spans="1:15" x14ac:dyDescent="0.2">
      <c r="A107" t="str">
        <v>US Economic</v>
      </c>
      <c r="C107" s="26">
        <f ca="1">'Impacts A'!C107-'Impacts B'!C107</f>
        <v>-7.7737999999999863E-2</v>
      </c>
      <c r="D107" s="26">
        <f ca="1">'Impacts A'!D107-'Impacts B'!D107</f>
        <v>-1.9750000000000156E-2</v>
      </c>
      <c r="E107" s="26">
        <f ca="1">'Impacts A'!E107-'Impacts B'!E107</f>
        <v>-0.144841</v>
      </c>
      <c r="F107" s="26">
        <f ca="1">'Impacts A'!F107-'Impacts B'!F107</f>
        <v>-0.16053999999999968</v>
      </c>
      <c r="G107" s="26">
        <f ca="1">'Impacts A'!G107-'Impacts B'!G107</f>
        <v>3.5550000000000193E-2</v>
      </c>
      <c r="H107" s="26">
        <f ca="1">'Impacts A'!H107-'Impacts B'!H107</f>
        <v>-0.50611999999999924</v>
      </c>
      <c r="I107" s="26">
        <f ca="1">'Impacts A'!I107-'Impacts B'!I107</f>
        <v>-1.2853300000000001</v>
      </c>
      <c r="J107" s="26">
        <f ca="1">'Impacts A'!J107-'Impacts B'!J107</f>
        <v>-2.3397800000000002</v>
      </c>
      <c r="K107" s="26">
        <f ca="1">'Impacts A'!K107-'Impacts B'!K107</f>
        <v>-3.3633200000000003</v>
      </c>
      <c r="L107" s="26">
        <f ca="1">'Impacts A'!L107-'Impacts B'!L107</f>
        <v>-4.20242</v>
      </c>
      <c r="M107" s="6"/>
      <c r="N107" s="59" t="s">
        <v>41</v>
      </c>
    </row>
    <row r="108" spans="1:15" x14ac:dyDescent="0.2">
      <c r="A108" t="str">
        <v>OT Economic</v>
      </c>
      <c r="C108" s="26">
        <f ca="1">'Impacts A'!C108-'Impacts B'!C108</f>
        <v>1.9420000000000215E-2</v>
      </c>
      <c r="D108" s="26">
        <f ca="1">'Impacts A'!D108-'Impacts B'!D108</f>
        <v>8.5726999999999887E-2</v>
      </c>
      <c r="E108" s="26">
        <f ca="1">'Impacts A'!E108-'Impacts B'!E108</f>
        <v>-5.6070000000003617E-3</v>
      </c>
      <c r="F108" s="26">
        <f ca="1">'Impacts A'!F108-'Impacts B'!F108</f>
        <v>-0.11545000000000005</v>
      </c>
      <c r="G108" s="26">
        <f ca="1">'Impacts A'!G108-'Impacts B'!G108</f>
        <v>-5.3340000000000387E-2</v>
      </c>
      <c r="H108" s="26">
        <f ca="1">'Impacts A'!H108-'Impacts B'!H108</f>
        <v>-0.75448000000000004</v>
      </c>
      <c r="I108" s="26">
        <f ca="1">'Impacts A'!I108-'Impacts B'!I108</f>
        <v>-1.3233499999999996</v>
      </c>
      <c r="J108" s="26">
        <f ca="1">'Impacts A'!J108-'Impacts B'!J108</f>
        <v>-2.5651599999999997</v>
      </c>
      <c r="K108" s="26">
        <f ca="1">'Impacts A'!K108-'Impacts B'!K108</f>
        <v>-3.7017199999999999</v>
      </c>
      <c r="L108" s="26">
        <f ca="1">'Impacts A'!L108-'Impacts B'!L108</f>
        <v>-4.6545299999999994</v>
      </c>
      <c r="M108" s="6"/>
      <c r="N108" s="59" t="s">
        <v>41</v>
      </c>
    </row>
    <row r="109" spans="1:15" x14ac:dyDescent="0.2">
      <c r="A109" t="str">
        <v>EE Economic</v>
      </c>
      <c r="C109" s="26">
        <f ca="1">'Impacts A'!C109-'Impacts B'!C109</f>
        <v>0.13209800000000005</v>
      </c>
      <c r="D109" s="26">
        <f ca="1">'Impacts A'!D109-'Impacts B'!D109</f>
        <v>0.10437699999999994</v>
      </c>
      <c r="E109" s="26">
        <f ca="1">'Impacts A'!E109-'Impacts B'!E109</f>
        <v>-9.0608000000000022E-2</v>
      </c>
      <c r="F109" s="26">
        <f ca="1">'Impacts A'!F109-'Impacts B'!F109</f>
        <v>1.6890000000000072E-2</v>
      </c>
      <c r="G109" s="26">
        <f ca="1">'Impacts A'!G109-'Impacts B'!G109</f>
        <v>-0.13378000000000068</v>
      </c>
      <c r="H109" s="26">
        <f ca="1">'Impacts A'!H109-'Impacts B'!H109</f>
        <v>-0.91502000000000017</v>
      </c>
      <c r="I109" s="26">
        <f ca="1">'Impacts A'!I109-'Impacts B'!I109</f>
        <v>-1.9881699999999993</v>
      </c>
      <c r="J109" s="26">
        <f ca="1">'Impacts A'!J109-'Impacts B'!J109</f>
        <v>-3.0276300000000003</v>
      </c>
      <c r="K109" s="26">
        <f ca="1">'Impacts A'!K109-'Impacts B'!K109</f>
        <v>-4.4876599999999991</v>
      </c>
      <c r="L109" s="26">
        <f ca="1">'Impacts A'!L109-'Impacts B'!L109</f>
        <v>-5.7320700000000002</v>
      </c>
      <c r="M109" s="6"/>
      <c r="N109" s="59" t="s">
        <v>41</v>
      </c>
    </row>
    <row r="110" spans="1:15" x14ac:dyDescent="0.2">
      <c r="A110" t="str">
        <v>CA Economic</v>
      </c>
      <c r="C110" s="26">
        <f ca="1">'Impacts A'!C110-'Impacts B'!C110</f>
        <v>4.8704999999999998E-2</v>
      </c>
      <c r="D110" s="26">
        <f ca="1">'Impacts A'!D110-'Impacts B'!D110</f>
        <v>-4.0050000000002584E-3</v>
      </c>
      <c r="E110" s="26">
        <f ca="1">'Impacts A'!E110-'Impacts B'!E110</f>
        <v>-0.10158200000000006</v>
      </c>
      <c r="F110" s="26">
        <f ca="1">'Impacts A'!F110-'Impacts B'!F110</f>
        <v>-0.12234999999999996</v>
      </c>
      <c r="G110" s="26">
        <f ca="1">'Impacts A'!G110-'Impacts B'!G110</f>
        <v>3.1340000000000146E-2</v>
      </c>
      <c r="H110" s="26">
        <f ca="1">'Impacts A'!H110-'Impacts B'!H110</f>
        <v>-0.61551</v>
      </c>
      <c r="I110" s="26">
        <f ca="1">'Impacts A'!I110-'Impacts B'!I110</f>
        <v>-1.5577699999999997</v>
      </c>
      <c r="J110" s="26">
        <f ca="1">'Impacts A'!J110-'Impacts B'!J110</f>
        <v>-2.4101900000000001</v>
      </c>
      <c r="K110" s="26">
        <f ca="1">'Impacts A'!K110-'Impacts B'!K110</f>
        <v>-3.4679699999999993</v>
      </c>
      <c r="L110" s="26">
        <f ca="1">'Impacts A'!L110-'Impacts B'!L110</f>
        <v>-4.4094499999999996</v>
      </c>
      <c r="M110" s="6"/>
      <c r="N110" s="59" t="s">
        <v>41</v>
      </c>
    </row>
    <row r="111" spans="1:15" x14ac:dyDescent="0.2">
      <c r="A111" t="str">
        <v>IA Economic</v>
      </c>
      <c r="C111" s="26">
        <f ca="1">'Impacts A'!C111-'Impacts B'!C111</f>
        <v>-6.4988999999999963E-2</v>
      </c>
      <c r="D111" s="26">
        <f ca="1">'Impacts A'!D111-'Impacts B'!D111</f>
        <v>-4.1225999999999985E-2</v>
      </c>
      <c r="E111" s="26">
        <f ca="1">'Impacts A'!E111-'Impacts B'!E111</f>
        <v>-3.3578000000000108E-2</v>
      </c>
      <c r="F111" s="26">
        <f ca="1">'Impacts A'!F111-'Impacts B'!F111</f>
        <v>-9.4359999999999999E-2</v>
      </c>
      <c r="G111" s="26">
        <f ca="1">'Impacts A'!G111-'Impacts B'!G111</f>
        <v>6.836999999999982E-2</v>
      </c>
      <c r="H111" s="26">
        <f ca="1">'Impacts A'!H111-'Impacts B'!H111</f>
        <v>-0.44459999999999944</v>
      </c>
      <c r="I111" s="26">
        <f ca="1">'Impacts A'!I111-'Impacts B'!I111</f>
        <v>-1.0731100000000002</v>
      </c>
      <c r="J111" s="26">
        <f ca="1">'Impacts A'!J111-'Impacts B'!J111</f>
        <v>-1.8842299999999996</v>
      </c>
      <c r="K111" s="26">
        <f ca="1">'Impacts A'!K111-'Impacts B'!K111</f>
        <v>-2.66628</v>
      </c>
      <c r="L111" s="26">
        <f ca="1">'Impacts A'!L111-'Impacts B'!L111</f>
        <v>-3.4329099999999997</v>
      </c>
      <c r="M111" s="6"/>
      <c r="N111" s="59" t="s">
        <v>41</v>
      </c>
    </row>
    <row r="112" spans="1:15" x14ac:dyDescent="0.2">
      <c r="A112" t="str">
        <v>AF Economic</v>
      </c>
      <c r="C112" s="26">
        <f ca="1">'Impacts A'!C112-'Impacts B'!C112</f>
        <v>-4.5916999999999986E-2</v>
      </c>
      <c r="D112" s="26">
        <f ca="1">'Impacts A'!D112-'Impacts B'!D112</f>
        <v>-7.1886000000000116E-2</v>
      </c>
      <c r="E112" s="26">
        <f ca="1">'Impacts A'!E112-'Impacts B'!E112</f>
        <v>-4.0360000000001506E-3</v>
      </c>
      <c r="F112" s="26">
        <f ca="1">'Impacts A'!F112-'Impacts B'!F112</f>
        <v>-0.12569000000000008</v>
      </c>
      <c r="G112" s="26">
        <f ca="1">'Impacts A'!G112-'Impacts B'!G112</f>
        <v>6.2329999999999774E-2</v>
      </c>
      <c r="H112" s="26">
        <f ca="1">'Impacts A'!H112-'Impacts B'!H112</f>
        <v>-0.42980000000000018</v>
      </c>
      <c r="I112" s="26">
        <f ca="1">'Impacts A'!I112-'Impacts B'!I112</f>
        <v>-1.1513499999999999</v>
      </c>
      <c r="J112" s="26">
        <f ca="1">'Impacts A'!J112-'Impacts B'!J112</f>
        <v>-2.0644299999999998</v>
      </c>
      <c r="K112" s="26">
        <f ca="1">'Impacts A'!K112-'Impacts B'!K112</f>
        <v>-2.9593600000000002</v>
      </c>
      <c r="L112" s="26">
        <f ca="1">'Impacts A'!L112-'Impacts B'!L112</f>
        <v>-3.8357600000000001</v>
      </c>
      <c r="M112" s="6"/>
      <c r="N112" s="59" t="s">
        <v>41</v>
      </c>
    </row>
    <row r="113" spans="1:14" x14ac:dyDescent="0.2">
      <c r="A113" t="str">
        <v>LA Economic</v>
      </c>
      <c r="C113" s="26">
        <f ca="1">'Impacts A'!C113-'Impacts B'!C113</f>
        <v>-0.16292700000000004</v>
      </c>
      <c r="D113" s="26">
        <f ca="1">'Impacts A'!D113-'Impacts B'!D113</f>
        <v>-5.0371999999999861E-2</v>
      </c>
      <c r="E113" s="26">
        <f ca="1">'Impacts A'!E113-'Impacts B'!E113</f>
        <v>-1.4946000000000126E-2</v>
      </c>
      <c r="F113" s="26">
        <f ca="1">'Impacts A'!F113-'Impacts B'!F113</f>
        <v>-0.14605999999999986</v>
      </c>
      <c r="G113" s="26">
        <f ca="1">'Impacts A'!G113-'Impacts B'!G113</f>
        <v>2.0779999999999355E-2</v>
      </c>
      <c r="H113" s="26">
        <f ca="1">'Impacts A'!H113-'Impacts B'!H113</f>
        <v>-0.47827000000000019</v>
      </c>
      <c r="I113" s="26">
        <f ca="1">'Impacts A'!I113-'Impacts B'!I113</f>
        <v>-1.0907599999999995</v>
      </c>
      <c r="J113" s="26">
        <f ca="1">'Impacts A'!J113-'Impacts B'!J113</f>
        <v>-2.0611699999999997</v>
      </c>
      <c r="K113" s="26">
        <f ca="1">'Impacts A'!K113-'Impacts B'!K113</f>
        <v>-2.8057400000000001</v>
      </c>
      <c r="L113" s="26">
        <f ca="1">'Impacts A'!L113-'Impacts B'!L113</f>
        <v>-3.55992</v>
      </c>
      <c r="M113" s="6"/>
      <c r="N113" s="59" t="s">
        <v>41</v>
      </c>
    </row>
    <row r="114" spans="1:14" s="2" customFormat="1" ht="14.25" x14ac:dyDescent="0.25">
      <c r="A114" s="2" t="s">
        <v>954</v>
      </c>
      <c r="C114" s="2" t="s">
        <v>80</v>
      </c>
    </row>
    <row r="115" spans="1:14" x14ac:dyDescent="0.2">
      <c r="A115" t="str">
        <f t="array" ref="A115:A122">R_CODE&amp;" "&amp;I_2_NAME</f>
        <v>EU Non-econ</v>
      </c>
      <c r="C115" s="29">
        <f ca="1">'Impacts A'!C115-'Impacts B'!C115</f>
        <v>0.15872459999999977</v>
      </c>
      <c r="D115" s="29">
        <f ca="1">'Impacts A'!D115-'Impacts B'!D115</f>
        <v>0.11088500000000012</v>
      </c>
      <c r="E115" s="29">
        <f ca="1">'Impacts A'!E115-'Impacts B'!E115</f>
        <v>-8.4313000000000304E-2</v>
      </c>
      <c r="F115" s="29">
        <f ca="1">'Impacts A'!F115-'Impacts B'!F115</f>
        <v>3.157000000000032E-2</v>
      </c>
      <c r="G115" s="29">
        <f ca="1">'Impacts A'!G115-'Impacts B'!G115</f>
        <v>-8.2319999999999727E-2</v>
      </c>
      <c r="H115" s="29">
        <f ca="1">'Impacts A'!H115-'Impacts B'!H115</f>
        <v>-0.71825000000000028</v>
      </c>
      <c r="I115" s="29">
        <f ca="1">'Impacts A'!I115-'Impacts B'!I115</f>
        <v>-1.4068899999999998</v>
      </c>
      <c r="J115" s="29">
        <f ca="1">'Impacts A'!J115-'Impacts B'!J115</f>
        <v>-2.1996899999999999</v>
      </c>
      <c r="K115" s="29">
        <f ca="1">'Impacts A'!K115-'Impacts B'!K115</f>
        <v>-3.1856599999999995</v>
      </c>
      <c r="L115" s="29">
        <f ca="1">'Impacts A'!L115-'Impacts B'!L115</f>
        <v>-4.0264700000000007</v>
      </c>
      <c r="M115" s="6"/>
      <c r="N115" s="59" t="s">
        <v>41</v>
      </c>
    </row>
    <row r="116" spans="1:14" x14ac:dyDescent="0.2">
      <c r="A116" t="str">
        <v>US Non-econ</v>
      </c>
      <c r="C116" s="26">
        <f ca="1">'Impacts A'!C116-'Impacts B'!C116</f>
        <v>-7.7737999999999863E-2</v>
      </c>
      <c r="D116" s="26">
        <f ca="1">'Impacts A'!D116-'Impacts B'!D116</f>
        <v>-1.9750000000000156E-2</v>
      </c>
      <c r="E116" s="26">
        <f ca="1">'Impacts A'!E116-'Impacts B'!E116</f>
        <v>-0.144841</v>
      </c>
      <c r="F116" s="26">
        <f ca="1">'Impacts A'!F116-'Impacts B'!F116</f>
        <v>-0.16053999999999968</v>
      </c>
      <c r="G116" s="26">
        <f ca="1">'Impacts A'!G116-'Impacts B'!G116</f>
        <v>3.5550000000000193E-2</v>
      </c>
      <c r="H116" s="26">
        <f ca="1">'Impacts A'!H116-'Impacts B'!H116</f>
        <v>-0.50611999999999924</v>
      </c>
      <c r="I116" s="26">
        <f ca="1">'Impacts A'!I116-'Impacts B'!I116</f>
        <v>-1.2853300000000001</v>
      </c>
      <c r="J116" s="26">
        <f ca="1">'Impacts A'!J116-'Impacts B'!J116</f>
        <v>-2.3397800000000002</v>
      </c>
      <c r="K116" s="26">
        <f ca="1">'Impacts A'!K116-'Impacts B'!K116</f>
        <v>-3.3633200000000003</v>
      </c>
      <c r="L116" s="26">
        <f ca="1">'Impacts A'!L116-'Impacts B'!L116</f>
        <v>-4.20242</v>
      </c>
      <c r="M116" s="6"/>
      <c r="N116" s="59" t="s">
        <v>41</v>
      </c>
    </row>
    <row r="117" spans="1:14" x14ac:dyDescent="0.2">
      <c r="A117" t="str">
        <v>OT Non-econ</v>
      </c>
      <c r="C117" s="26">
        <f ca="1">'Impacts A'!C117-'Impacts B'!C117</f>
        <v>1.9420000000000215E-2</v>
      </c>
      <c r="D117" s="26">
        <f ca="1">'Impacts A'!D117-'Impacts B'!D117</f>
        <v>8.5726999999999887E-2</v>
      </c>
      <c r="E117" s="26">
        <f ca="1">'Impacts A'!E117-'Impacts B'!E117</f>
        <v>-5.6070000000003617E-3</v>
      </c>
      <c r="F117" s="26">
        <f ca="1">'Impacts A'!F117-'Impacts B'!F117</f>
        <v>-0.11545000000000005</v>
      </c>
      <c r="G117" s="26">
        <f ca="1">'Impacts A'!G117-'Impacts B'!G117</f>
        <v>-5.3340000000000387E-2</v>
      </c>
      <c r="H117" s="26">
        <f ca="1">'Impacts A'!H117-'Impacts B'!H117</f>
        <v>-0.75448000000000004</v>
      </c>
      <c r="I117" s="26">
        <f ca="1">'Impacts A'!I117-'Impacts B'!I117</f>
        <v>-1.3233499999999996</v>
      </c>
      <c r="J117" s="26">
        <f ca="1">'Impacts A'!J117-'Impacts B'!J117</f>
        <v>-2.5651599999999997</v>
      </c>
      <c r="K117" s="26">
        <f ca="1">'Impacts A'!K117-'Impacts B'!K117</f>
        <v>-3.7017199999999999</v>
      </c>
      <c r="L117" s="26">
        <f ca="1">'Impacts A'!L117-'Impacts B'!L117</f>
        <v>-4.6545299999999994</v>
      </c>
      <c r="M117" s="6"/>
      <c r="N117" s="59" t="s">
        <v>41</v>
      </c>
    </row>
    <row r="118" spans="1:14" x14ac:dyDescent="0.2">
      <c r="A118" t="str">
        <v>EE Non-econ</v>
      </c>
      <c r="C118" s="26">
        <f ca="1">'Impacts A'!C118-'Impacts B'!C118</f>
        <v>0.13209800000000005</v>
      </c>
      <c r="D118" s="26">
        <f ca="1">'Impacts A'!D118-'Impacts B'!D118</f>
        <v>0.10437699999999994</v>
      </c>
      <c r="E118" s="26">
        <f ca="1">'Impacts A'!E118-'Impacts B'!E118</f>
        <v>-9.0608000000000022E-2</v>
      </c>
      <c r="F118" s="26">
        <f ca="1">'Impacts A'!F118-'Impacts B'!F118</f>
        <v>1.6890000000000072E-2</v>
      </c>
      <c r="G118" s="26">
        <f ca="1">'Impacts A'!G118-'Impacts B'!G118</f>
        <v>-0.13378000000000068</v>
      </c>
      <c r="H118" s="26">
        <f ca="1">'Impacts A'!H118-'Impacts B'!H118</f>
        <v>-0.91502000000000017</v>
      </c>
      <c r="I118" s="26">
        <f ca="1">'Impacts A'!I118-'Impacts B'!I118</f>
        <v>-1.9881699999999993</v>
      </c>
      <c r="J118" s="26">
        <f ca="1">'Impacts A'!J118-'Impacts B'!J118</f>
        <v>-3.0276300000000003</v>
      </c>
      <c r="K118" s="26">
        <f ca="1">'Impacts A'!K118-'Impacts B'!K118</f>
        <v>-4.4876599999999991</v>
      </c>
      <c r="L118" s="26">
        <f ca="1">'Impacts A'!L118-'Impacts B'!L118</f>
        <v>-5.7320700000000002</v>
      </c>
      <c r="M118" s="6"/>
      <c r="N118" s="59" t="s">
        <v>41</v>
      </c>
    </row>
    <row r="119" spans="1:14" x14ac:dyDescent="0.2">
      <c r="A119" t="str">
        <v>CA Non-econ</v>
      </c>
      <c r="C119" s="26">
        <f ca="1">'Impacts A'!C119-'Impacts B'!C119</f>
        <v>4.8704999999999998E-2</v>
      </c>
      <c r="D119" s="26">
        <f ca="1">'Impacts A'!D119-'Impacts B'!D119</f>
        <v>-4.0050000000002584E-3</v>
      </c>
      <c r="E119" s="26">
        <f ca="1">'Impacts A'!E119-'Impacts B'!E119</f>
        <v>-0.10158200000000006</v>
      </c>
      <c r="F119" s="26">
        <f ca="1">'Impacts A'!F119-'Impacts B'!F119</f>
        <v>-0.12234999999999996</v>
      </c>
      <c r="G119" s="26">
        <f ca="1">'Impacts A'!G119-'Impacts B'!G119</f>
        <v>3.1340000000000146E-2</v>
      </c>
      <c r="H119" s="26">
        <f ca="1">'Impacts A'!H119-'Impacts B'!H119</f>
        <v>-0.61551</v>
      </c>
      <c r="I119" s="26">
        <f ca="1">'Impacts A'!I119-'Impacts B'!I119</f>
        <v>-1.5577699999999997</v>
      </c>
      <c r="J119" s="26">
        <f ca="1">'Impacts A'!J119-'Impacts B'!J119</f>
        <v>-2.4101900000000001</v>
      </c>
      <c r="K119" s="26">
        <f ca="1">'Impacts A'!K119-'Impacts B'!K119</f>
        <v>-3.4679699999999993</v>
      </c>
      <c r="L119" s="26">
        <f ca="1">'Impacts A'!L119-'Impacts B'!L119</f>
        <v>-4.4094499999999996</v>
      </c>
      <c r="M119" s="6"/>
      <c r="N119" s="59" t="s">
        <v>41</v>
      </c>
    </row>
    <row r="120" spans="1:14" x14ac:dyDescent="0.2">
      <c r="A120" t="str">
        <v>IA Non-econ</v>
      </c>
      <c r="C120" s="26">
        <f ca="1">'Impacts A'!C120-'Impacts B'!C120</f>
        <v>-6.4988999999999963E-2</v>
      </c>
      <c r="D120" s="26">
        <f ca="1">'Impacts A'!D120-'Impacts B'!D120</f>
        <v>-4.1225999999999985E-2</v>
      </c>
      <c r="E120" s="26">
        <f ca="1">'Impacts A'!E120-'Impacts B'!E120</f>
        <v>-3.3578000000000108E-2</v>
      </c>
      <c r="F120" s="26">
        <f ca="1">'Impacts A'!F120-'Impacts B'!F120</f>
        <v>-9.4359999999999999E-2</v>
      </c>
      <c r="G120" s="26">
        <f ca="1">'Impacts A'!G120-'Impacts B'!G120</f>
        <v>6.836999999999982E-2</v>
      </c>
      <c r="H120" s="26">
        <f ca="1">'Impacts A'!H120-'Impacts B'!H120</f>
        <v>-0.44459999999999944</v>
      </c>
      <c r="I120" s="26">
        <f ca="1">'Impacts A'!I120-'Impacts B'!I120</f>
        <v>-1.0731100000000002</v>
      </c>
      <c r="J120" s="26">
        <f ca="1">'Impacts A'!J120-'Impacts B'!J120</f>
        <v>-1.8842299999999996</v>
      </c>
      <c r="K120" s="26">
        <f ca="1">'Impacts A'!K120-'Impacts B'!K120</f>
        <v>-2.66628</v>
      </c>
      <c r="L120" s="26">
        <f ca="1">'Impacts A'!L120-'Impacts B'!L120</f>
        <v>-3.4329099999999997</v>
      </c>
      <c r="M120" s="6"/>
      <c r="N120" s="59" t="s">
        <v>41</v>
      </c>
    </row>
    <row r="121" spans="1:14" x14ac:dyDescent="0.2">
      <c r="A121" t="str">
        <v>AF Non-econ</v>
      </c>
      <c r="C121" s="26">
        <f ca="1">'Impacts A'!C121-'Impacts B'!C121</f>
        <v>-4.5916999999999986E-2</v>
      </c>
      <c r="D121" s="26">
        <f ca="1">'Impacts A'!D121-'Impacts B'!D121</f>
        <v>-7.1886000000000116E-2</v>
      </c>
      <c r="E121" s="26">
        <f ca="1">'Impacts A'!E121-'Impacts B'!E121</f>
        <v>-4.0360000000001506E-3</v>
      </c>
      <c r="F121" s="26">
        <f ca="1">'Impacts A'!F121-'Impacts B'!F121</f>
        <v>-0.12569000000000008</v>
      </c>
      <c r="G121" s="26">
        <f ca="1">'Impacts A'!G121-'Impacts B'!G121</f>
        <v>6.2329999999999774E-2</v>
      </c>
      <c r="H121" s="26">
        <f ca="1">'Impacts A'!H121-'Impacts B'!H121</f>
        <v>-0.42980000000000018</v>
      </c>
      <c r="I121" s="26">
        <f ca="1">'Impacts A'!I121-'Impacts B'!I121</f>
        <v>-1.1513499999999999</v>
      </c>
      <c r="J121" s="26">
        <f ca="1">'Impacts A'!J121-'Impacts B'!J121</f>
        <v>-2.0644299999999998</v>
      </c>
      <c r="K121" s="26">
        <f ca="1">'Impacts A'!K121-'Impacts B'!K121</f>
        <v>-2.9593600000000002</v>
      </c>
      <c r="L121" s="26">
        <f ca="1">'Impacts A'!L121-'Impacts B'!L121</f>
        <v>-3.8357600000000001</v>
      </c>
      <c r="M121" s="6"/>
      <c r="N121" s="59" t="s">
        <v>41</v>
      </c>
    </row>
    <row r="122" spans="1:14" x14ac:dyDescent="0.2">
      <c r="A122" t="str">
        <v>LA Non-econ</v>
      </c>
      <c r="C122" s="26">
        <f ca="1">'Impacts A'!C122-'Impacts B'!C122</f>
        <v>-0.16292700000000004</v>
      </c>
      <c r="D122" s="26">
        <f ca="1">'Impacts A'!D122-'Impacts B'!D122</f>
        <v>-5.0371999999999861E-2</v>
      </c>
      <c r="E122" s="26">
        <f ca="1">'Impacts A'!E122-'Impacts B'!E122</f>
        <v>-1.4946000000000126E-2</v>
      </c>
      <c r="F122" s="26">
        <f ca="1">'Impacts A'!F122-'Impacts B'!F122</f>
        <v>-0.14605999999999986</v>
      </c>
      <c r="G122" s="26">
        <f ca="1">'Impacts A'!G122-'Impacts B'!G122</f>
        <v>2.0779999999999355E-2</v>
      </c>
      <c r="H122" s="26">
        <f ca="1">'Impacts A'!H122-'Impacts B'!H122</f>
        <v>-0.47827000000000019</v>
      </c>
      <c r="I122" s="26">
        <f ca="1">'Impacts A'!I122-'Impacts B'!I122</f>
        <v>-1.0907599999999995</v>
      </c>
      <c r="J122" s="26">
        <f ca="1">'Impacts A'!J122-'Impacts B'!J122</f>
        <v>-2.0611699999999997</v>
      </c>
      <c r="K122" s="26">
        <f ca="1">'Impacts A'!K122-'Impacts B'!K122</f>
        <v>-2.8057400000000001</v>
      </c>
      <c r="L122" s="26">
        <f ca="1">'Impacts A'!L122-'Impacts B'!L122</f>
        <v>-3.55992</v>
      </c>
      <c r="M122" s="6"/>
      <c r="N122" s="59" t="s">
        <v>41</v>
      </c>
    </row>
    <row r="123" spans="1:14" s="2" customFormat="1" ht="14.25" x14ac:dyDescent="0.25">
      <c r="A123" s="2" t="s">
        <v>955</v>
      </c>
      <c r="C123" s="2" t="s">
        <v>133</v>
      </c>
    </row>
    <row r="124" spans="1:14" x14ac:dyDescent="0.2">
      <c r="A124" t="s">
        <v>134</v>
      </c>
      <c r="C124" s="26">
        <f ca="1">'Impacts A'!C124-'Impacts B'!C124</f>
        <v>-6.7999999999996952E-3</v>
      </c>
      <c r="D124" s="26">
        <f ca="1">'Impacts A'!D124-'Impacts B'!D124</f>
        <v>-1.0536999999999797E-2</v>
      </c>
      <c r="E124" s="26">
        <f ca="1">'Impacts A'!E124-'Impacts B'!E124</f>
        <v>-2.8899999999998371E-3</v>
      </c>
      <c r="F124" s="26">
        <f ca="1">'Impacts A'!F124-'Impacts B'!F124</f>
        <v>-6.4024999999999999E-2</v>
      </c>
      <c r="G124" s="26">
        <f ca="1">'Impacts A'!G124-'Impacts B'!G124</f>
        <v>-2.4860000000000326E-2</v>
      </c>
      <c r="H124" s="26">
        <f ca="1">'Impacts A'!H124-'Impacts B'!H124</f>
        <v>-0.42472999999999939</v>
      </c>
      <c r="I124" s="26">
        <f ca="1">'Impacts A'!I124-'Impacts B'!I124</f>
        <v>-0.94313000000000002</v>
      </c>
      <c r="J124" s="26">
        <f ca="1">'Impacts A'!J124-'Impacts B'!J124</f>
        <v>-1.6716099999999994</v>
      </c>
      <c r="K124" s="26">
        <f ca="1">'Impacts A'!K124-'Impacts B'!K124</f>
        <v>-2.3949799999999994</v>
      </c>
      <c r="L124" s="26">
        <f ca="1">'Impacts A'!L124-'Impacts B'!L124</f>
        <v>-3.0751599999999994</v>
      </c>
      <c r="M124" s="6"/>
      <c r="N124" s="1" t="s">
        <v>41</v>
      </c>
    </row>
    <row r="125" spans="1:14" x14ac:dyDescent="0.2">
      <c r="A125" t="s">
        <v>135</v>
      </c>
      <c r="C125" s="26">
        <f ca="1">'Impacts A'!C125-'Impacts B'!C125</f>
        <v>-1.3599999999999376E-3</v>
      </c>
      <c r="D125" s="26">
        <f ca="1">'Impacts A'!D125-'Impacts B'!D125</f>
        <v>-2.107399999999959E-3</v>
      </c>
      <c r="E125" s="26">
        <f ca="1">'Impacts A'!E125-'Impacts B'!E125</f>
        <v>-5.7799999999996743E-4</v>
      </c>
      <c r="F125" s="26">
        <f ca="1">'Impacts A'!F125-'Impacts B'!F125</f>
        <v>-1.2804999999999997E-2</v>
      </c>
      <c r="G125" s="26">
        <f ca="1">'Impacts A'!G125-'Impacts B'!G125</f>
        <v>-4.9720000000000597E-3</v>
      </c>
      <c r="H125" s="26">
        <f ca="1">'Impacts A'!H125-'Impacts B'!H125</f>
        <v>-8.494599999999991E-2</v>
      </c>
      <c r="I125" s="26">
        <f ca="1">'Impacts A'!I125-'Impacts B'!I125</f>
        <v>-0.18862599999999999</v>
      </c>
      <c r="J125" s="26">
        <f ca="1">'Impacts A'!J125-'Impacts B'!J125</f>
        <v>-0.3343219999999999</v>
      </c>
      <c r="K125" s="26">
        <f ca="1">'Impacts A'!K125-'Impacts B'!K125</f>
        <v>-0.47899599999999987</v>
      </c>
      <c r="L125" s="26">
        <f ca="1">'Impacts A'!L125-'Impacts B'!L125</f>
        <v>-0.6150319999999998</v>
      </c>
      <c r="M125" s="6"/>
      <c r="N125" s="1"/>
    </row>
    <row r="126" spans="1:14" x14ac:dyDescent="0.2">
      <c r="A126" s="3" t="s">
        <v>248</v>
      </c>
      <c r="C126" s="26">
        <f ca="1">'Impacts A'!C126-'Impacts B'!C126</f>
        <v>0</v>
      </c>
      <c r="D126" s="26">
        <f ca="1">'Impacts A'!D126-'Impacts B'!D126</f>
        <v>0</v>
      </c>
      <c r="E126" s="26">
        <f ca="1">'Impacts A'!E126-'Impacts B'!E126</f>
        <v>0</v>
      </c>
      <c r="F126" s="26">
        <f ca="1">'Impacts A'!F126-'Impacts B'!F126</f>
        <v>0</v>
      </c>
      <c r="G126" s="26">
        <f ca="1">'Impacts A'!G126-'Impacts B'!G126</f>
        <v>0</v>
      </c>
      <c r="H126" s="26">
        <f ca="1">'Impacts A'!H126-'Impacts B'!H126</f>
        <v>0</v>
      </c>
      <c r="I126" s="26">
        <f ca="1">'Impacts A'!I126-'Impacts B'!I126</f>
        <v>0</v>
      </c>
      <c r="J126" s="26">
        <f ca="1">'Impacts A'!J126-'Impacts B'!J126</f>
        <v>0</v>
      </c>
      <c r="K126" s="26">
        <f ca="1">'Impacts A'!K126-'Impacts B'!K126</f>
        <v>0</v>
      </c>
      <c r="L126" s="26">
        <f ca="1">'Impacts A'!L126-'Impacts B'!L126</f>
        <v>0</v>
      </c>
      <c r="M126" s="6"/>
      <c r="N126" s="1"/>
    </row>
    <row r="127" spans="1:14" x14ac:dyDescent="0.2">
      <c r="A127" t="s">
        <v>203</v>
      </c>
      <c r="B127" s="14">
        <f>'Impacts A'!B127-'Impacts B'!B127</f>
        <v>0</v>
      </c>
      <c r="C127" s="14">
        <f ca="1">'Impacts A'!C127-'Impacts B'!C127</f>
        <v>0</v>
      </c>
      <c r="D127" s="14">
        <f ca="1">'Impacts A'!D127-'Impacts B'!D127</f>
        <v>0</v>
      </c>
      <c r="E127" s="14">
        <f ca="1">'Impacts A'!E127-'Impacts B'!E127</f>
        <v>0</v>
      </c>
      <c r="F127" s="14">
        <f ca="1">'Impacts A'!F127-'Impacts B'!F127</f>
        <v>0</v>
      </c>
      <c r="G127" s="14">
        <f ca="1">'Impacts A'!G127-'Impacts B'!G127</f>
        <v>0</v>
      </c>
      <c r="H127" s="14">
        <f ca="1">'Impacts A'!H127-'Impacts B'!H127</f>
        <v>0</v>
      </c>
      <c r="I127" s="14">
        <f ca="1">'Impacts A'!I127-'Impacts B'!I127</f>
        <v>0</v>
      </c>
      <c r="J127" s="14">
        <f ca="1">'Impacts A'!J127-'Impacts B'!J127</f>
        <v>-1</v>
      </c>
      <c r="K127" s="14">
        <f ca="1">'Impacts A'!K127-'Impacts B'!K127</f>
        <v>-1</v>
      </c>
      <c r="L127" s="14">
        <f ca="1">'Impacts A'!L127-'Impacts B'!L127</f>
        <v>-1</v>
      </c>
      <c r="M127" s="6"/>
      <c r="N127" s="1"/>
    </row>
    <row r="129" spans="1:14" s="1" customFormat="1" x14ac:dyDescent="0.2">
      <c r="A129" s="44" t="s">
        <v>403</v>
      </c>
      <c r="B129" s="6"/>
      <c r="C129" s="6"/>
      <c r="D129" s="6"/>
      <c r="E129" s="6"/>
      <c r="F129" s="6"/>
      <c r="G129" s="6"/>
      <c r="H129" s="6"/>
      <c r="I129" s="6"/>
      <c r="J129" s="6"/>
      <c r="K129" s="6"/>
      <c r="L129" s="6"/>
    </row>
    <row r="130" spans="1:14" s="1" customFormat="1" x14ac:dyDescent="0.2">
      <c r="A130" s="1" t="str">
        <f t="array" ref="A130:A137">R_CODE</f>
        <v>EU</v>
      </c>
      <c r="B130" s="6"/>
      <c r="C130" s="29">
        <f ca="1">'Impacts A'!C130-'Impacts B'!C130</f>
        <v>0</v>
      </c>
      <c r="D130" s="29">
        <f ca="1">'Impacts A'!D130-'Impacts B'!D130</f>
        <v>0</v>
      </c>
      <c r="E130" s="29">
        <f ca="1">'Impacts A'!E130-'Impacts B'!E130</f>
        <v>0</v>
      </c>
      <c r="F130" s="29">
        <f ca="1">'Impacts A'!F130-'Impacts B'!F130</f>
        <v>0</v>
      </c>
      <c r="G130" s="29">
        <f ca="1">'Impacts A'!G130-'Impacts B'!G130</f>
        <v>-8.028354031710478</v>
      </c>
      <c r="H130" s="29">
        <f ca="1">'Impacts A'!H130-'Impacts B'!H130</f>
        <v>-282.7698229924863</v>
      </c>
      <c r="I130" s="29">
        <f ca="1">'Impacts A'!I130-'Impacts B'!I130</f>
        <v>-496.29890505605727</v>
      </c>
      <c r="J130" s="29">
        <f ca="1">'Impacts A'!J130-'Impacts B'!J130</f>
        <v>-455.89890977309551</v>
      </c>
      <c r="K130" s="29">
        <f ca="1">'Impacts A'!K130-'Impacts B'!K130</f>
        <v>-377.23250421605189</v>
      </c>
      <c r="L130" s="29">
        <f ca="1">'Impacts A'!L130-'Impacts B'!L130</f>
        <v>-298.11857439141022</v>
      </c>
      <c r="N130" s="1" t="str">
        <f t="shared" ref="N130:N137" si="0">CURRENCY_NAME&amp;"/"&amp;POP_UNIT_NAME</f>
        <v>$M(2015)/million</v>
      </c>
    </row>
    <row r="131" spans="1:14" s="1" customFormat="1" x14ac:dyDescent="0.2">
      <c r="A131" s="1" t="str">
        <v>US</v>
      </c>
      <c r="B131" s="6"/>
      <c r="C131" s="26">
        <f ca="1">'Impacts A'!C131-'Impacts B'!C131</f>
        <v>0</v>
      </c>
      <c r="D131" s="26">
        <f ca="1">'Impacts A'!D131-'Impacts B'!D131</f>
        <v>0</v>
      </c>
      <c r="E131" s="26">
        <f ca="1">'Impacts A'!E131-'Impacts B'!E131</f>
        <v>0</v>
      </c>
      <c r="F131" s="26">
        <f ca="1">'Impacts A'!F131-'Impacts B'!F131</f>
        <v>0</v>
      </c>
      <c r="G131" s="26">
        <f ca="1">'Impacts A'!G131-'Impacts B'!G131</f>
        <v>-38.409994570509298</v>
      </c>
      <c r="H131" s="26">
        <f ca="1">'Impacts A'!H131-'Impacts B'!H131</f>
        <v>-825.69864588043129</v>
      </c>
      <c r="I131" s="26">
        <f ca="1">'Impacts A'!I131-'Impacts B'!I131</f>
        <v>-1191.605153272365</v>
      </c>
      <c r="J131" s="26">
        <f ca="1">'Impacts A'!J131-'Impacts B'!J131</f>
        <v>-1004.3380280296551</v>
      </c>
      <c r="K131" s="26">
        <f ca="1">'Impacts A'!K131-'Impacts B'!K131</f>
        <v>-718.83009480623878</v>
      </c>
      <c r="L131" s="26">
        <f ca="1">'Impacts A'!L131-'Impacts B'!L131</f>
        <v>-519.24742250191048</v>
      </c>
      <c r="N131" s="1" t="str">
        <f t="shared" si="0"/>
        <v>$M(2015)/million</v>
      </c>
    </row>
    <row r="132" spans="1:14" s="1" customFormat="1" x14ac:dyDescent="0.2">
      <c r="A132" s="1" t="str">
        <v>OT</v>
      </c>
      <c r="B132" s="6"/>
      <c r="C132" s="26">
        <f ca="1">'Impacts A'!C132-'Impacts B'!C132</f>
        <v>0</v>
      </c>
      <c r="D132" s="26">
        <f ca="1">'Impacts A'!D132-'Impacts B'!D132</f>
        <v>0</v>
      </c>
      <c r="E132" s="26">
        <f ca="1">'Impacts A'!E132-'Impacts B'!E132</f>
        <v>0</v>
      </c>
      <c r="F132" s="26">
        <f ca="1">'Impacts A'!F132-'Impacts B'!F132</f>
        <v>0</v>
      </c>
      <c r="G132" s="26">
        <f ca="1">'Impacts A'!G132-'Impacts B'!G132</f>
        <v>-17.01701382639294</v>
      </c>
      <c r="H132" s="26">
        <f ca="1">'Impacts A'!H132-'Impacts B'!H132</f>
        <v>-643.91943180579983</v>
      </c>
      <c r="I132" s="26">
        <f ca="1">'Impacts A'!I132-'Impacts B'!I132</f>
        <v>-1099.4263564221474</v>
      </c>
      <c r="J132" s="26">
        <f ca="1">'Impacts A'!J132-'Impacts B'!J132</f>
        <v>-1026.4395593751979</v>
      </c>
      <c r="K132" s="26">
        <f ca="1">'Impacts A'!K132-'Impacts B'!K132</f>
        <v>-875.66696403369133</v>
      </c>
      <c r="L132" s="26">
        <f ca="1">'Impacts A'!L132-'Impacts B'!L132</f>
        <v>-740.125442393095</v>
      </c>
      <c r="N132" s="1" t="str">
        <f t="shared" si="0"/>
        <v>$M(2015)/million</v>
      </c>
    </row>
    <row r="133" spans="1:14" s="1" customFormat="1" x14ac:dyDescent="0.2">
      <c r="A133" s="1" t="str">
        <v>EE</v>
      </c>
      <c r="B133" s="6"/>
      <c r="C133" s="26">
        <f ca="1">'Impacts A'!C133-'Impacts B'!C133</f>
        <v>0</v>
      </c>
      <c r="D133" s="26">
        <f ca="1">'Impacts A'!D133-'Impacts B'!D133</f>
        <v>0</v>
      </c>
      <c r="E133" s="26">
        <f ca="1">'Impacts A'!E133-'Impacts B'!E133</f>
        <v>0</v>
      </c>
      <c r="F133" s="26">
        <f ca="1">'Impacts A'!F133-'Impacts B'!F133</f>
        <v>0</v>
      </c>
      <c r="G133" s="26">
        <f ca="1">'Impacts A'!G133-'Impacts B'!G133</f>
        <v>-157.99280600908241</v>
      </c>
      <c r="H133" s="26">
        <f ca="1">'Impacts A'!H133-'Impacts B'!H133</f>
        <v>-1216.7623718696268</v>
      </c>
      <c r="I133" s="26">
        <f ca="1">'Impacts A'!I133-'Impacts B'!I133</f>
        <v>-1649.3218991655012</v>
      </c>
      <c r="J133" s="26">
        <f ca="1">'Impacts A'!J133-'Impacts B'!J133</f>
        <v>-1475.8812003733328</v>
      </c>
      <c r="K133" s="26">
        <f ca="1">'Impacts A'!K133-'Impacts B'!K133</f>
        <v>-1254.1767034522491</v>
      </c>
      <c r="L133" s="26">
        <f ca="1">'Impacts A'!L133-'Impacts B'!L133</f>
        <v>-1103.9820796935819</v>
      </c>
      <c r="N133" s="1" t="str">
        <f t="shared" si="0"/>
        <v>$M(2015)/million</v>
      </c>
    </row>
    <row r="134" spans="1:14" s="1" customFormat="1" x14ac:dyDescent="0.2">
      <c r="A134" s="1" t="str">
        <v>CA</v>
      </c>
      <c r="B134" s="6"/>
      <c r="C134" s="26">
        <f ca="1">'Impacts A'!C134-'Impacts B'!C134</f>
        <v>0</v>
      </c>
      <c r="D134" s="26">
        <f ca="1">'Impacts A'!D134-'Impacts B'!D134</f>
        <v>0</v>
      </c>
      <c r="E134" s="26">
        <f ca="1">'Impacts A'!E134-'Impacts B'!E134</f>
        <v>0</v>
      </c>
      <c r="F134" s="26">
        <f ca="1">'Impacts A'!F134-'Impacts B'!F134</f>
        <v>0</v>
      </c>
      <c r="G134" s="26">
        <f ca="1">'Impacts A'!G134-'Impacts B'!G134</f>
        <v>-33.712349210501998</v>
      </c>
      <c r="H134" s="26">
        <f ca="1">'Impacts A'!H134-'Impacts B'!H134</f>
        <v>-455.35547516348015</v>
      </c>
      <c r="I134" s="26">
        <f ca="1">'Impacts A'!I134-'Impacts B'!I134</f>
        <v>-756.00116702982632</v>
      </c>
      <c r="J134" s="26">
        <f ca="1">'Impacts A'!J134-'Impacts B'!J134</f>
        <v>-712.76985516290006</v>
      </c>
      <c r="K134" s="26">
        <f ca="1">'Impacts A'!K134-'Impacts B'!K134</f>
        <v>-592.8416837125551</v>
      </c>
      <c r="L134" s="26">
        <f ca="1">'Impacts A'!L134-'Impacts B'!L134</f>
        <v>-509.34430267012795</v>
      </c>
      <c r="N134" s="1" t="str">
        <f t="shared" si="0"/>
        <v>$M(2015)/million</v>
      </c>
    </row>
    <row r="135" spans="1:14" s="1" customFormat="1" x14ac:dyDescent="0.2">
      <c r="A135" s="1" t="str">
        <v>IA</v>
      </c>
      <c r="B135" s="6"/>
      <c r="C135" s="26">
        <f ca="1">'Impacts A'!C135-'Impacts B'!C135</f>
        <v>0</v>
      </c>
      <c r="D135" s="26">
        <f ca="1">'Impacts A'!D135-'Impacts B'!D135</f>
        <v>0</v>
      </c>
      <c r="E135" s="26">
        <f ca="1">'Impacts A'!E135-'Impacts B'!E135</f>
        <v>0</v>
      </c>
      <c r="F135" s="26">
        <f ca="1">'Impacts A'!F135-'Impacts B'!F135</f>
        <v>0</v>
      </c>
      <c r="G135" s="26">
        <f ca="1">'Impacts A'!G135-'Impacts B'!G135</f>
        <v>-36.601575119591871</v>
      </c>
      <c r="H135" s="26">
        <f ca="1">'Impacts A'!H135-'Impacts B'!H135</f>
        <v>-274.1118866927718</v>
      </c>
      <c r="I135" s="26">
        <f ca="1">'Impacts A'!I135-'Impacts B'!I135</f>
        <v>-428.1279694035984</v>
      </c>
      <c r="J135" s="26">
        <f ca="1">'Impacts A'!J135-'Impacts B'!J135</f>
        <v>-422.52503611241991</v>
      </c>
      <c r="K135" s="26">
        <f ca="1">'Impacts A'!K135-'Impacts B'!K135</f>
        <v>-370.46493378128798</v>
      </c>
      <c r="L135" s="26">
        <f ca="1">'Impacts A'!L135-'Impacts B'!L135</f>
        <v>-307.06944948062301</v>
      </c>
      <c r="N135" s="1" t="str">
        <f t="shared" si="0"/>
        <v>$M(2015)/million</v>
      </c>
    </row>
    <row r="136" spans="1:14" s="1" customFormat="1" x14ac:dyDescent="0.2">
      <c r="A136" s="1" t="str">
        <v>AF</v>
      </c>
      <c r="B136" s="6"/>
      <c r="C136" s="26">
        <f ca="1">'Impacts A'!C136-'Impacts B'!C136</f>
        <v>0</v>
      </c>
      <c r="D136" s="26">
        <f ca="1">'Impacts A'!D136-'Impacts B'!D136</f>
        <v>0</v>
      </c>
      <c r="E136" s="26">
        <f ca="1">'Impacts A'!E136-'Impacts B'!E136</f>
        <v>0</v>
      </c>
      <c r="F136" s="26">
        <f ca="1">'Impacts A'!F136-'Impacts B'!F136</f>
        <v>0</v>
      </c>
      <c r="G136" s="26">
        <f ca="1">'Impacts A'!G136-'Impacts B'!G136</f>
        <v>-92.835287105812313</v>
      </c>
      <c r="H136" s="26">
        <f ca="1">'Impacts A'!H136-'Impacts B'!H136</f>
        <v>-843.73904023984142</v>
      </c>
      <c r="I136" s="26">
        <f ca="1">'Impacts A'!I136-'Impacts B'!I136</f>
        <v>-1115.4943634179072</v>
      </c>
      <c r="J136" s="26">
        <f ca="1">'Impacts A'!J136-'Impacts B'!J136</f>
        <v>-996.17898576489097</v>
      </c>
      <c r="K136" s="26">
        <f ca="1">'Impacts A'!K136-'Impacts B'!K136</f>
        <v>-820.15640898889978</v>
      </c>
      <c r="L136" s="26">
        <f ca="1">'Impacts A'!L136-'Impacts B'!L136</f>
        <v>-671.50865604303544</v>
      </c>
      <c r="N136" s="1" t="str">
        <f t="shared" si="0"/>
        <v>$M(2015)/million</v>
      </c>
    </row>
    <row r="137" spans="1:14" s="1" customFormat="1" x14ac:dyDescent="0.2">
      <c r="A137" s="1" t="str">
        <v>LA</v>
      </c>
      <c r="B137" s="6"/>
      <c r="C137" s="26">
        <f ca="1">'Impacts A'!C137-'Impacts B'!C137</f>
        <v>0</v>
      </c>
      <c r="D137" s="26">
        <f ca="1">'Impacts A'!D137-'Impacts B'!D137</f>
        <v>0</v>
      </c>
      <c r="E137" s="26">
        <f ca="1">'Impacts A'!E137-'Impacts B'!E137</f>
        <v>0</v>
      </c>
      <c r="F137" s="26">
        <f ca="1">'Impacts A'!F137-'Impacts B'!F137</f>
        <v>0</v>
      </c>
      <c r="G137" s="26">
        <f ca="1">'Impacts A'!G137-'Impacts B'!G137</f>
        <v>-10.39411613408447</v>
      </c>
      <c r="H137" s="26">
        <f ca="1">'Impacts A'!H137-'Impacts B'!H137</f>
        <v>-400.78649622029479</v>
      </c>
      <c r="I137" s="26">
        <f ca="1">'Impacts A'!I137-'Impacts B'!I137</f>
        <v>-793.4203565802818</v>
      </c>
      <c r="J137" s="26">
        <f ca="1">'Impacts A'!J137-'Impacts B'!J137</f>
        <v>-951.42744647985091</v>
      </c>
      <c r="K137" s="26">
        <f ca="1">'Impacts A'!K137-'Impacts B'!K137</f>
        <v>-884.00950247887522</v>
      </c>
      <c r="L137" s="26">
        <f ca="1">'Impacts A'!L137-'Impacts B'!L137</f>
        <v>-951.40864170865098</v>
      </c>
      <c r="N137" s="1" t="str">
        <f t="shared" si="0"/>
        <v>$M(2015)/million</v>
      </c>
    </row>
    <row r="138" spans="1:14" s="1" customFormat="1" x14ac:dyDescent="0.2">
      <c r="A138" s="44" t="s">
        <v>404</v>
      </c>
      <c r="B138" s="6"/>
      <c r="C138" s="6"/>
      <c r="D138" s="6"/>
      <c r="E138" s="6"/>
      <c r="F138" s="6"/>
      <c r="G138" s="6"/>
      <c r="H138" s="6"/>
      <c r="I138" s="6"/>
      <c r="J138" s="6"/>
      <c r="K138" s="6"/>
      <c r="L138" s="6"/>
    </row>
    <row r="139" spans="1:14" s="1" customFormat="1" x14ac:dyDescent="0.2">
      <c r="A139" s="1" t="str">
        <f t="array" ref="A139:A146">R_CODE</f>
        <v>EU</v>
      </c>
      <c r="B139" s="6"/>
      <c r="C139" s="29">
        <f ca="1">'Impacts A'!C139-'Impacts B'!C139</f>
        <v>0</v>
      </c>
      <c r="D139" s="29">
        <f ca="1">'Impacts A'!D139-'Impacts B'!D139</f>
        <v>0</v>
      </c>
      <c r="E139" s="29">
        <f ca="1">'Impacts A'!E139-'Impacts B'!E139</f>
        <v>0</v>
      </c>
      <c r="F139" s="29">
        <f ca="1">'Impacts A'!F139-'Impacts B'!F139</f>
        <v>0</v>
      </c>
      <c r="G139" s="29">
        <f ca="1">'Impacts A'!G139-'Impacts B'!G139</f>
        <v>-9.4451223902433412</v>
      </c>
      <c r="H139" s="29">
        <f ca="1">'Impacts A'!H139-'Impacts B'!H139</f>
        <v>-332.67037999116292</v>
      </c>
      <c r="I139" s="29">
        <f ca="1">'Impacts A'!I139-'Impacts B'!I139</f>
        <v>-583.88106477183464</v>
      </c>
      <c r="J139" s="29">
        <f ca="1">'Impacts A'!J139-'Impacts B'!J139</f>
        <v>-536.35165855658124</v>
      </c>
      <c r="K139" s="29">
        <f ca="1">'Impacts A'!K139-'Impacts B'!K139</f>
        <v>-443.80294613653678</v>
      </c>
      <c r="L139" s="29">
        <f ca="1">'Impacts A'!L139-'Impacts B'!L139</f>
        <v>-350.7277345781331</v>
      </c>
      <c r="N139" s="1" t="str">
        <f t="shared" ref="N139:N146" si="1">CURRENCY_NAME&amp;"/"&amp;POP_UNIT_NAME</f>
        <v>$M(2015)/million</v>
      </c>
    </row>
    <row r="140" spans="1:14" s="1" customFormat="1" x14ac:dyDescent="0.2">
      <c r="A140" s="1" t="str">
        <v>US</v>
      </c>
      <c r="B140" s="6"/>
      <c r="C140" s="26">
        <f ca="1">'Impacts A'!C140-'Impacts B'!C140</f>
        <v>0</v>
      </c>
      <c r="D140" s="26">
        <f ca="1">'Impacts A'!D140-'Impacts B'!D140</f>
        <v>0</v>
      </c>
      <c r="E140" s="26">
        <f ca="1">'Impacts A'!E140-'Impacts B'!E140</f>
        <v>0</v>
      </c>
      <c r="F140" s="26">
        <f ca="1">'Impacts A'!F140-'Impacts B'!F140</f>
        <v>0</v>
      </c>
      <c r="G140" s="26">
        <f ca="1">'Impacts A'!G140-'Impacts B'!G140</f>
        <v>-45.188228906481527</v>
      </c>
      <c r="H140" s="26">
        <f ca="1">'Impacts A'!H140-'Impacts B'!H140</f>
        <v>-971.41017162404023</v>
      </c>
      <c r="I140" s="26">
        <f ca="1">'Impacts A'!I140-'Impacts B'!I140</f>
        <v>-1401.8884156145505</v>
      </c>
      <c r="J140" s="26">
        <f ca="1">'Impacts A'!J140-'Impacts B'!J140</f>
        <v>-1181.5741506231425</v>
      </c>
      <c r="K140" s="26">
        <f ca="1">'Impacts A'!K140-'Impacts B'!K140</f>
        <v>-845.68246447792626</v>
      </c>
      <c r="L140" s="26">
        <f ca="1">'Impacts A'!L140-'Impacts B'!L140</f>
        <v>-610.8793205904949</v>
      </c>
      <c r="N140" s="1" t="str">
        <f t="shared" si="1"/>
        <v>$M(2015)/million</v>
      </c>
    </row>
    <row r="141" spans="1:14" s="1" customFormat="1" x14ac:dyDescent="0.2">
      <c r="A141" s="1" t="str">
        <v>OT</v>
      </c>
      <c r="B141" s="6"/>
      <c r="C141" s="26">
        <f ca="1">'Impacts A'!C141-'Impacts B'!C141</f>
        <v>0</v>
      </c>
      <c r="D141" s="26">
        <f ca="1">'Impacts A'!D141-'Impacts B'!D141</f>
        <v>0</v>
      </c>
      <c r="E141" s="26">
        <f ca="1">'Impacts A'!E141-'Impacts B'!E141</f>
        <v>0</v>
      </c>
      <c r="F141" s="26">
        <f ca="1">'Impacts A'!F141-'Impacts B'!F141</f>
        <v>0</v>
      </c>
      <c r="G141" s="26">
        <f ca="1">'Impacts A'!G141-'Impacts B'!G141</f>
        <v>-20.020016266353196</v>
      </c>
      <c r="H141" s="26">
        <f ca="1">'Impacts A'!H141-'Impacts B'!H141</f>
        <v>-757.55227271270996</v>
      </c>
      <c r="I141" s="26">
        <f ca="1">'Impacts A'!I141-'Impacts B'!I141</f>
        <v>-1293.4427722613473</v>
      </c>
      <c r="J141" s="26">
        <f ca="1">'Impacts A'!J141-'Impacts B'!J141</f>
        <v>-1207.5759522061126</v>
      </c>
      <c r="K141" s="26">
        <f ca="1">'Impacts A'!K141-'Impacts B'!K141</f>
        <v>-1030.1964282749395</v>
      </c>
      <c r="L141" s="26">
        <f ca="1">'Impacts A'!L141-'Impacts B'!L141</f>
        <v>-870.73581458011176</v>
      </c>
      <c r="N141" s="1" t="str">
        <f t="shared" si="1"/>
        <v>$M(2015)/million</v>
      </c>
    </row>
    <row r="142" spans="1:14" s="1" customFormat="1" x14ac:dyDescent="0.2">
      <c r="A142" s="1" t="str">
        <v>EE</v>
      </c>
      <c r="B142" s="6"/>
      <c r="C142" s="26">
        <f ca="1">'Impacts A'!C142-'Impacts B'!C142</f>
        <v>0</v>
      </c>
      <c r="D142" s="26">
        <f ca="1">'Impacts A'!D142-'Impacts B'!D142</f>
        <v>0</v>
      </c>
      <c r="E142" s="26">
        <f ca="1">'Impacts A'!E142-'Impacts B'!E142</f>
        <v>0</v>
      </c>
      <c r="F142" s="26">
        <f ca="1">'Impacts A'!F142-'Impacts B'!F142</f>
        <v>0</v>
      </c>
      <c r="G142" s="26">
        <f ca="1">'Impacts A'!G142-'Impacts B'!G142</f>
        <v>-185.87388942245161</v>
      </c>
      <c r="H142" s="26">
        <f ca="1">'Impacts A'!H142-'Impacts B'!H142</f>
        <v>-1431.4851433760341</v>
      </c>
      <c r="I142" s="26">
        <f ca="1">'Impacts A'!I142-'Impacts B'!I142</f>
        <v>-1940.3787049005914</v>
      </c>
      <c r="J142" s="26">
        <f ca="1">'Impacts A'!J142-'Impacts B'!J142</f>
        <v>-1736.3308239686303</v>
      </c>
      <c r="K142" s="26">
        <f ca="1">'Impacts A'!K142-'Impacts B'!K142</f>
        <v>-1475.5020040614618</v>
      </c>
      <c r="L142" s="26">
        <f ca="1">'Impacts A'!L142-'Impacts B'!L142</f>
        <v>-1298.8024466983334</v>
      </c>
      <c r="N142" s="1" t="str">
        <f t="shared" si="1"/>
        <v>$M(2015)/million</v>
      </c>
    </row>
    <row r="143" spans="1:14" s="1" customFormat="1" x14ac:dyDescent="0.2">
      <c r="A143" s="1" t="str">
        <v>CA</v>
      </c>
      <c r="B143" s="6"/>
      <c r="C143" s="26">
        <f ca="1">'Impacts A'!C143-'Impacts B'!C143</f>
        <v>0</v>
      </c>
      <c r="D143" s="26">
        <f ca="1">'Impacts A'!D143-'Impacts B'!D143</f>
        <v>0</v>
      </c>
      <c r="E143" s="26">
        <f ca="1">'Impacts A'!E143-'Impacts B'!E143</f>
        <v>0</v>
      </c>
      <c r="F143" s="26">
        <f ca="1">'Impacts A'!F143-'Impacts B'!F143</f>
        <v>0</v>
      </c>
      <c r="G143" s="26">
        <f ca="1">'Impacts A'!G143-'Impacts B'!G143</f>
        <v>-39.661587306472939</v>
      </c>
      <c r="H143" s="26">
        <f ca="1">'Impacts A'!H143-'Impacts B'!H143</f>
        <v>-535.71232372174563</v>
      </c>
      <c r="I143" s="26">
        <f ca="1">'Impacts A'!I143-'Impacts B'!I143</f>
        <v>-889.4131376821606</v>
      </c>
      <c r="J143" s="26">
        <f ca="1">'Impacts A'!J143-'Impacts B'!J143</f>
        <v>-838.55277077987557</v>
      </c>
      <c r="K143" s="26">
        <f ca="1">'Impacts A'!K143-'Impacts B'!K143</f>
        <v>-697.46080436769989</v>
      </c>
      <c r="L143" s="26">
        <f ca="1">'Impacts A'!L143-'Impacts B'!L143</f>
        <v>-599.22859137662454</v>
      </c>
      <c r="N143" s="1" t="str">
        <f t="shared" si="1"/>
        <v>$M(2015)/million</v>
      </c>
    </row>
    <row r="144" spans="1:14" s="1" customFormat="1" x14ac:dyDescent="0.2">
      <c r="A144" s="1" t="str">
        <v>IA</v>
      </c>
      <c r="B144" s="6"/>
      <c r="C144" s="26">
        <f ca="1">'Impacts A'!C144-'Impacts B'!C144</f>
        <v>0</v>
      </c>
      <c r="D144" s="26">
        <f ca="1">'Impacts A'!D144-'Impacts B'!D144</f>
        <v>0</v>
      </c>
      <c r="E144" s="26">
        <f ca="1">'Impacts A'!E144-'Impacts B'!E144</f>
        <v>0</v>
      </c>
      <c r="F144" s="26">
        <f ca="1">'Impacts A'!F144-'Impacts B'!F144</f>
        <v>0</v>
      </c>
      <c r="G144" s="26">
        <f ca="1">'Impacts A'!G144-'Impacts B'!G144</f>
        <v>-43.06067661128327</v>
      </c>
      <c r="H144" s="26">
        <f ca="1">'Impacts A'!H144-'Impacts B'!H144</f>
        <v>-322.48457257972768</v>
      </c>
      <c r="I144" s="26">
        <f ca="1">'Impacts A'!I144-'Impacts B'!I144</f>
        <v>-503.67996400423726</v>
      </c>
      <c r="J144" s="26">
        <f ca="1">'Impacts A'!J144-'Impacts B'!J144</f>
        <v>-497.08827777931583</v>
      </c>
      <c r="K144" s="26">
        <f ca="1">'Impacts A'!K144-'Impacts B'!K144</f>
        <v>-435.84109856621944</v>
      </c>
      <c r="L144" s="26">
        <f ca="1">'Impacts A'!L144-'Impacts B'!L144</f>
        <v>-361.25817585954792</v>
      </c>
      <c r="N144" s="1" t="str">
        <f t="shared" si="1"/>
        <v>$M(2015)/million</v>
      </c>
    </row>
    <row r="145" spans="1:14" s="1" customFormat="1" x14ac:dyDescent="0.2">
      <c r="A145" s="1" t="str">
        <v>AF</v>
      </c>
      <c r="B145" s="6"/>
      <c r="C145" s="26">
        <f ca="1">'Impacts A'!C145-'Impacts B'!C145</f>
        <v>0</v>
      </c>
      <c r="D145" s="26">
        <f ca="1">'Impacts A'!D145-'Impacts B'!D145</f>
        <v>0</v>
      </c>
      <c r="E145" s="26">
        <f ca="1">'Impacts A'!E145-'Impacts B'!E145</f>
        <v>0</v>
      </c>
      <c r="F145" s="26">
        <f ca="1">'Impacts A'!F145-'Impacts B'!F145</f>
        <v>0</v>
      </c>
      <c r="G145" s="26">
        <f ca="1">'Impacts A'!G145-'Impacts B'!G145</f>
        <v>-109.21798483036764</v>
      </c>
      <c r="H145" s="26">
        <f ca="1">'Impacts A'!H145-'Impacts B'!H145</f>
        <v>-992.63416498804872</v>
      </c>
      <c r="I145" s="26">
        <f ca="1">'Impacts A'!I145-'Impacts B'!I145</f>
        <v>-1312.3463099034198</v>
      </c>
      <c r="J145" s="26">
        <f ca="1">'Impacts A'!J145-'Impacts B'!J145</f>
        <v>-1171.9752773704604</v>
      </c>
      <c r="K145" s="26">
        <f ca="1">'Impacts A'!K145-'Impacts B'!K145</f>
        <v>-964.88989292811311</v>
      </c>
      <c r="L145" s="26">
        <f ca="1">'Impacts A'!L145-'Impacts B'!L145</f>
        <v>-790.01018358003057</v>
      </c>
      <c r="N145" s="1" t="str">
        <f t="shared" si="1"/>
        <v>$M(2015)/million</v>
      </c>
    </row>
    <row r="146" spans="1:14" s="1" customFormat="1" x14ac:dyDescent="0.2">
      <c r="A146" s="1" t="str">
        <v>LA</v>
      </c>
      <c r="B146" s="6"/>
      <c r="C146" s="26">
        <f ca="1">'Impacts A'!C146-'Impacts B'!C146</f>
        <v>0</v>
      </c>
      <c r="D146" s="26">
        <f ca="1">'Impacts A'!D146-'Impacts B'!D146</f>
        <v>0</v>
      </c>
      <c r="E146" s="26">
        <f ca="1">'Impacts A'!E146-'Impacts B'!E146</f>
        <v>0</v>
      </c>
      <c r="F146" s="26">
        <f ca="1">'Impacts A'!F146-'Impacts B'!F146</f>
        <v>0</v>
      </c>
      <c r="G146" s="26">
        <f ca="1">'Impacts A'!G146-'Impacts B'!G146</f>
        <v>-12.228371922457882</v>
      </c>
      <c r="H146" s="26">
        <f ca="1">'Impacts A'!H146-'Impacts B'!H146</f>
        <v>-471.51352496504842</v>
      </c>
      <c r="I146" s="26">
        <f ca="1">'Impacts A'!I146-'Impacts B'!I146</f>
        <v>-933.4357136238541</v>
      </c>
      <c r="J146" s="26">
        <f ca="1">'Impacts A'!J146-'Impacts B'!J146</f>
        <v>-1119.3264076233463</v>
      </c>
      <c r="K146" s="26">
        <f ca="1">'Impacts A'!K146-'Impacts B'!K146</f>
        <v>-1040.0111793869146</v>
      </c>
      <c r="L146" s="26">
        <f ca="1">'Impacts A'!L146-'Impacts B'!L146</f>
        <v>-1119.3042843631119</v>
      </c>
      <c r="N146" s="1" t="str">
        <f t="shared" si="1"/>
        <v>$M(2015)/million</v>
      </c>
    </row>
    <row r="147" spans="1:14" s="2" customFormat="1" ht="14.25" x14ac:dyDescent="0.25">
      <c r="A147" s="2" t="s">
        <v>220</v>
      </c>
      <c r="C147" s="2" t="s">
        <v>218</v>
      </c>
    </row>
    <row r="148" spans="1:14" x14ac:dyDescent="0.2">
      <c r="A148" t="str">
        <f t="array" ref="A148:A155">R_CODE&amp;" sea level"</f>
        <v>EU sea level</v>
      </c>
      <c r="C148" s="29">
        <f ca="1">'Impacts A'!C148-'Impacts B'!C148</f>
        <v>-3.1964790198629744E-4</v>
      </c>
      <c r="D148" s="29">
        <f ca="1">'Impacts A'!D148-'Impacts B'!D148</f>
        <v>-7.8437361894606594E-4</v>
      </c>
      <c r="E148" s="29">
        <f ca="1">'Impacts A'!E148-'Impacts B'!E148</f>
        <v>-8.7445164493166194E-4</v>
      </c>
      <c r="F148" s="29">
        <f ca="1">'Impacts A'!F148-'Impacts B'!F148</f>
        <v>-5.9373558441162544E-3</v>
      </c>
      <c r="G148" s="29">
        <f ca="1">'Impacts A'!G148-'Impacts B'!G148</f>
        <v>-7.2023736638856528E-3</v>
      </c>
      <c r="H148" s="29">
        <f ca="1">'Impacts A'!H148-'Impacts B'!H148</f>
        <v>-3.4931427098513823E-2</v>
      </c>
      <c r="I148" s="29">
        <f ca="1">'Impacts A'!I148-'Impacts B'!I148</f>
        <v>-9.0206414932605616E-2</v>
      </c>
      <c r="J148" s="29">
        <f ca="1">'Impacts A'!J148-'Impacts B'!J148</f>
        <v>-0.18037165304175717</v>
      </c>
      <c r="K148" s="29">
        <f ca="1">'Impacts A'!K148-'Impacts B'!K148</f>
        <v>-0.29968238183808071</v>
      </c>
      <c r="L148" s="29">
        <f ca="1">'Impacts A'!L148-'Impacts B'!L148</f>
        <v>-0.44233487476406297</v>
      </c>
      <c r="M148" s="6"/>
      <c r="N148" s="59" t="s">
        <v>132</v>
      </c>
    </row>
    <row r="149" spans="1:14" x14ac:dyDescent="0.2">
      <c r="A149" t="str">
        <v>US sea level</v>
      </c>
      <c r="C149" s="26">
        <f ca="1">'Impacts A'!C149-'Impacts B'!C149</f>
        <v>-2.5571832158904906E-4</v>
      </c>
      <c r="D149" s="26">
        <f ca="1">'Impacts A'!D149-'Impacts B'!D149</f>
        <v>-6.2749889515684165E-4</v>
      </c>
      <c r="E149" s="26">
        <f ca="1">'Impacts A'!E149-'Impacts B'!E149</f>
        <v>-6.9956131594534066E-4</v>
      </c>
      <c r="F149" s="26">
        <f ca="1">'Impacts A'!F149-'Impacts B'!F149</f>
        <v>-4.7498846752929702E-3</v>
      </c>
      <c r="G149" s="26">
        <f ca="1">'Impacts A'!G149-'Impacts B'!G149</f>
        <v>-5.7618989311085667E-3</v>
      </c>
      <c r="H149" s="26">
        <f ca="1">'Impacts A'!H149-'Impacts B'!H149</f>
        <v>-2.7945141678811125E-2</v>
      </c>
      <c r="I149" s="26">
        <f ca="1">'Impacts A'!I149-'Impacts B'!I149</f>
        <v>-7.2165131946084426E-2</v>
      </c>
      <c r="J149" s="26">
        <f ca="1">'Impacts A'!J149-'Impacts B'!J149</f>
        <v>-0.14429732243340565</v>
      </c>
      <c r="K149" s="26">
        <f ca="1">'Impacts A'!K149-'Impacts B'!K149</f>
        <v>-0.23974590547046448</v>
      </c>
      <c r="L149" s="26">
        <f ca="1">'Impacts A'!L149-'Impacts B'!L149</f>
        <v>-0.35386789981125033</v>
      </c>
      <c r="M149" s="6"/>
      <c r="N149" s="59" t="s">
        <v>132</v>
      </c>
    </row>
    <row r="150" spans="1:14" x14ac:dyDescent="0.2">
      <c r="A150" t="str">
        <v>OT sea level</v>
      </c>
      <c r="C150" s="26">
        <f ca="1">'Impacts A'!C150-'Impacts B'!C150</f>
        <v>-2.5571832158904906E-4</v>
      </c>
      <c r="D150" s="26">
        <f ca="1">'Impacts A'!D150-'Impacts B'!D150</f>
        <v>-6.2749889515684165E-4</v>
      </c>
      <c r="E150" s="26">
        <f ca="1">'Impacts A'!E150-'Impacts B'!E150</f>
        <v>-6.9956131594528514E-4</v>
      </c>
      <c r="F150" s="26">
        <f ca="1">'Impacts A'!F150-'Impacts B'!F150</f>
        <v>-4.7498846752930257E-3</v>
      </c>
      <c r="G150" s="26">
        <f ca="1">'Impacts A'!G150-'Impacts B'!G150</f>
        <v>-5.7618989311085667E-3</v>
      </c>
      <c r="H150" s="26">
        <f ca="1">'Impacts A'!H150-'Impacts B'!H150</f>
        <v>-2.7945141678811014E-2</v>
      </c>
      <c r="I150" s="26">
        <f ca="1">'Impacts A'!I150-'Impacts B'!I150</f>
        <v>-7.2165131946084426E-2</v>
      </c>
      <c r="J150" s="26">
        <f ca="1">'Impacts A'!J150-'Impacts B'!J150</f>
        <v>-0.14429732243340576</v>
      </c>
      <c r="K150" s="26">
        <f ca="1">'Impacts A'!K150-'Impacts B'!K150</f>
        <v>-0.2397459054704647</v>
      </c>
      <c r="L150" s="26">
        <f ca="1">'Impacts A'!L150-'Impacts B'!L150</f>
        <v>-0.35386789981125055</v>
      </c>
      <c r="M150" s="6"/>
      <c r="N150" s="59" t="s">
        <v>132</v>
      </c>
    </row>
    <row r="151" spans="1:14" x14ac:dyDescent="0.2">
      <c r="A151" t="str">
        <v>EE sea level</v>
      </c>
      <c r="C151" s="26">
        <f ca="1">'Impacts A'!C151-'Impacts B'!C151</f>
        <v>-1.2785916079452453E-4</v>
      </c>
      <c r="D151" s="26">
        <f ca="1">'Impacts A'!D151-'Impacts B'!D151</f>
        <v>-3.1374944757842083E-4</v>
      </c>
      <c r="E151" s="26">
        <f ca="1">'Impacts A'!E151-'Impacts B'!E151</f>
        <v>-3.4978065797264257E-4</v>
      </c>
      <c r="F151" s="26">
        <f ca="1">'Impacts A'!F151-'Impacts B'!F151</f>
        <v>-2.3749423376465129E-3</v>
      </c>
      <c r="G151" s="26">
        <f ca="1">'Impacts A'!G151-'Impacts B'!G151</f>
        <v>-2.8809494655542833E-3</v>
      </c>
      <c r="H151" s="26">
        <f ca="1">'Impacts A'!H151-'Impacts B'!H151</f>
        <v>-1.3972570839405507E-2</v>
      </c>
      <c r="I151" s="26">
        <f ca="1">'Impacts A'!I151-'Impacts B'!I151</f>
        <v>-3.6082565973042213E-2</v>
      </c>
      <c r="J151" s="26">
        <f ca="1">'Impacts A'!J151-'Impacts B'!J151</f>
        <v>-7.2148661216702881E-2</v>
      </c>
      <c r="K151" s="26">
        <f ca="1">'Impacts A'!K151-'Impacts B'!K151</f>
        <v>-0.11987295273523235</v>
      </c>
      <c r="L151" s="26">
        <f ca="1">'Impacts A'!L151-'Impacts B'!L151</f>
        <v>-0.17693394990562528</v>
      </c>
      <c r="M151" s="6"/>
      <c r="N151" s="59" t="s">
        <v>132</v>
      </c>
    </row>
    <row r="152" spans="1:14" x14ac:dyDescent="0.2">
      <c r="A152" t="str">
        <v>CA sea level</v>
      </c>
      <c r="C152" s="26">
        <f ca="1">'Impacts A'!C152-'Impacts B'!C152</f>
        <v>-2.3543744750159634E-4</v>
      </c>
      <c r="D152" s="26">
        <f ca="1">'Impacts A'!D152-'Impacts B'!D152</f>
        <v>-5.7354846947460514E-4</v>
      </c>
      <c r="E152" s="26">
        <f ca="1">'Impacts A'!E152-'Impacts B'!E152</f>
        <v>-6.3690204382771398E-4</v>
      </c>
      <c r="F152" s="26">
        <f ca="1">'Impacts A'!F152-'Impacts B'!F152</f>
        <v>-4.3298056642230298E-3</v>
      </c>
      <c r="G152" s="26">
        <f ca="1">'Impacts A'!G152-'Impacts B'!G152</f>
        <v>-5.280031122484985E-3</v>
      </c>
      <c r="H152" s="26">
        <f ca="1">'Impacts A'!H152-'Impacts B'!H152</f>
        <v>-2.6589771066509171E-2</v>
      </c>
      <c r="I152" s="26">
        <f ca="1">'Impacts A'!I152-'Impacts B'!I152</f>
        <v>-7.0222638267172233E-2</v>
      </c>
      <c r="J152" s="26">
        <f ca="1">'Impacts A'!J152-'Impacts B'!J152</f>
        <v>-0.14180906417081829</v>
      </c>
      <c r="K152" s="26">
        <f ca="1">'Impacts A'!K152-'Impacts B'!K152</f>
        <v>-0.23632066689862219</v>
      </c>
      <c r="L152" s="26">
        <f ca="1">'Impacts A'!L152-'Impacts B'!L152</f>
        <v>-0.34956434729687591</v>
      </c>
      <c r="M152" s="6"/>
      <c r="N152" s="59" t="s">
        <v>132</v>
      </c>
    </row>
    <row r="153" spans="1:14" x14ac:dyDescent="0.2">
      <c r="A153" t="str">
        <v>IA sea level</v>
      </c>
      <c r="C153" s="26">
        <f ca="1">'Impacts A'!C153-'Impacts B'!C153</f>
        <v>-2.3543744750159634E-4</v>
      </c>
      <c r="D153" s="26">
        <f ca="1">'Impacts A'!D153-'Impacts B'!D153</f>
        <v>-5.7354846947460514E-4</v>
      </c>
      <c r="E153" s="26">
        <f ca="1">'Impacts A'!E153-'Impacts B'!E153</f>
        <v>-6.3690204382771398E-4</v>
      </c>
      <c r="F153" s="26">
        <f ca="1">'Impacts A'!F153-'Impacts B'!F153</f>
        <v>-4.3298056642230298E-3</v>
      </c>
      <c r="G153" s="26">
        <f ca="1">'Impacts A'!G153-'Impacts B'!G153</f>
        <v>-5.280031122484985E-3</v>
      </c>
      <c r="H153" s="26">
        <f ca="1">'Impacts A'!H153-'Impacts B'!H153</f>
        <v>-2.6589771066509171E-2</v>
      </c>
      <c r="I153" s="26">
        <f ca="1">'Impacts A'!I153-'Impacts B'!I153</f>
        <v>-7.0222638267172233E-2</v>
      </c>
      <c r="J153" s="26">
        <f ca="1">'Impacts A'!J153-'Impacts B'!J153</f>
        <v>-0.14180906417081829</v>
      </c>
      <c r="K153" s="26">
        <f ca="1">'Impacts A'!K153-'Impacts B'!K153</f>
        <v>-0.23632066689862219</v>
      </c>
      <c r="L153" s="26">
        <f ca="1">'Impacts A'!L153-'Impacts B'!L153</f>
        <v>-0.34956434729687591</v>
      </c>
      <c r="M153" s="6"/>
      <c r="N153" s="59" t="s">
        <v>132</v>
      </c>
    </row>
    <row r="154" spans="1:14" x14ac:dyDescent="0.2">
      <c r="A154" t="str">
        <v>AF sea level</v>
      </c>
      <c r="C154" s="26">
        <f ca="1">'Impacts A'!C154-'Impacts B'!C154</f>
        <v>-1.7657808562621113E-4</v>
      </c>
      <c r="D154" s="26">
        <f ca="1">'Impacts A'!D154-'Impacts B'!D154</f>
        <v>-4.3016135210599549E-4</v>
      </c>
      <c r="E154" s="26">
        <f ca="1">'Impacts A'!E154-'Impacts B'!E154</f>
        <v>-4.7767653287078549E-4</v>
      </c>
      <c r="F154" s="26">
        <f ca="1">'Impacts A'!F154-'Impacts B'!F154</f>
        <v>-3.2473542481673001E-3</v>
      </c>
      <c r="G154" s="26">
        <f ca="1">'Impacts A'!G154-'Impacts B'!G154</f>
        <v>-3.9600233418637387E-3</v>
      </c>
      <c r="H154" s="26">
        <f ca="1">'Impacts A'!H154-'Impacts B'!H154</f>
        <v>-1.9942328299881962E-2</v>
      </c>
      <c r="I154" s="26">
        <f ca="1">'Impacts A'!I154-'Impacts B'!I154</f>
        <v>-5.2666978700379175E-2</v>
      </c>
      <c r="J154" s="26">
        <f ca="1">'Impacts A'!J154-'Impacts B'!J154</f>
        <v>-0.10635679812811372</v>
      </c>
      <c r="K154" s="26">
        <f ca="1">'Impacts A'!K154-'Impacts B'!K154</f>
        <v>-0.17724050017396664</v>
      </c>
      <c r="L154" s="26">
        <f ca="1">'Impacts A'!L154-'Impacts B'!L154</f>
        <v>-0.26217326047265699</v>
      </c>
      <c r="M154" s="6"/>
      <c r="N154" s="59" t="s">
        <v>132</v>
      </c>
    </row>
    <row r="155" spans="1:14" x14ac:dyDescent="0.2">
      <c r="A155" t="str">
        <v>LA sea level</v>
      </c>
      <c r="C155" s="26">
        <f ca="1">'Impacts A'!C155-'Impacts B'!C155</f>
        <v>-1.7657808562621113E-4</v>
      </c>
      <c r="D155" s="26">
        <f ca="1">'Impacts A'!D155-'Impacts B'!D155</f>
        <v>-4.3016135210599549E-4</v>
      </c>
      <c r="E155" s="26">
        <f ca="1">'Impacts A'!E155-'Impacts B'!E155</f>
        <v>-4.7767653287078549E-4</v>
      </c>
      <c r="F155" s="26">
        <f ca="1">'Impacts A'!F155-'Impacts B'!F155</f>
        <v>-3.2473542481673001E-3</v>
      </c>
      <c r="G155" s="26">
        <f ca="1">'Impacts A'!G155-'Impacts B'!G155</f>
        <v>-3.9600233418637387E-3</v>
      </c>
      <c r="H155" s="26">
        <f ca="1">'Impacts A'!H155-'Impacts B'!H155</f>
        <v>-1.9942328299881962E-2</v>
      </c>
      <c r="I155" s="26">
        <f ca="1">'Impacts A'!I155-'Impacts B'!I155</f>
        <v>-5.2666978700379175E-2</v>
      </c>
      <c r="J155" s="26">
        <f ca="1">'Impacts A'!J155-'Impacts B'!J155</f>
        <v>-0.10635679812811372</v>
      </c>
      <c r="K155" s="26">
        <f ca="1">'Impacts A'!K155-'Impacts B'!K155</f>
        <v>-0.17724050017396664</v>
      </c>
      <c r="L155" s="26">
        <f ca="1">'Impacts A'!L155-'Impacts B'!L155</f>
        <v>-0.26217326047265699</v>
      </c>
      <c r="M155" s="6"/>
      <c r="N155" s="59" t="s">
        <v>132</v>
      </c>
    </row>
    <row r="156" spans="1:14" s="2" customFormat="1" ht="14.25" x14ac:dyDescent="0.25">
      <c r="A156" s="2" t="s">
        <v>219</v>
      </c>
      <c r="C156" s="2" t="s">
        <v>221</v>
      </c>
    </row>
    <row r="157" spans="1:14" x14ac:dyDescent="0.2">
      <c r="A157" t="str">
        <f t="array" ref="A157:A164">R_CODE&amp;" sea level"</f>
        <v>EU sea level</v>
      </c>
      <c r="C157" s="29">
        <f ca="1">'Impacts A'!C157-'Impacts B'!C157</f>
        <v>-3.1010468729214535E-4</v>
      </c>
      <c r="D157" s="29">
        <f ca="1">'Impacts A'!D157-'Impacts B'!D157</f>
        <v>-7.3585578531548679E-4</v>
      </c>
      <c r="E157" s="29">
        <f ca="1">'Impacts A'!E157-'Impacts B'!E157</f>
        <v>-7.9293844092764854E-4</v>
      </c>
      <c r="F157" s="29">
        <f ca="1">'Impacts A'!F157-'Impacts B'!F157</f>
        <v>-5.0410522261236657E-3</v>
      </c>
      <c r="G157" s="29">
        <f ca="1">'Impacts A'!G157-'Impacts B'!G157</f>
        <v>-5.7537160397658216E-3</v>
      </c>
      <c r="H157" s="29">
        <f ca="1">'Impacts A'!H157-'Impacts B'!H157</f>
        <v>-2.5800219935996349E-2</v>
      </c>
      <c r="I157" s="29">
        <f ca="1">'Impacts A'!I157-'Impacts B'!I157</f>
        <v>-6.3645230564428057E-2</v>
      </c>
      <c r="J157" s="29">
        <f ca="1">'Impacts A'!J157-'Impacts B'!J157</f>
        <v>-0.12202212731119499</v>
      </c>
      <c r="K157" s="29">
        <f ca="1">'Impacts A'!K157-'Impacts B'!K157</f>
        <v>-0.19318599054312591</v>
      </c>
      <c r="L157" s="29">
        <f ca="1">'Impacts A'!L157-'Impacts B'!L157</f>
        <v>-0.27077384389181081</v>
      </c>
      <c r="M157" s="6"/>
      <c r="N157" s="59" t="s">
        <v>132</v>
      </c>
    </row>
    <row r="158" spans="1:14" x14ac:dyDescent="0.2">
      <c r="A158" t="str">
        <v>US sea level</v>
      </c>
      <c r="C158" s="26">
        <f ca="1">'Impacts A'!C158-'Impacts B'!C158</f>
        <v>-2.2332163712118769E-4</v>
      </c>
      <c r="D158" s="26">
        <f ca="1">'Impacts A'!D158-'Impacts B'!D158</f>
        <v>-5.3466786195610627E-4</v>
      </c>
      <c r="E158" s="26">
        <f ca="1">'Impacts A'!E158-'Impacts B'!E158</f>
        <v>-5.8150039906595952E-4</v>
      </c>
      <c r="F158" s="26">
        <f ca="1">'Impacts A'!F158-'Impacts B'!F158</f>
        <v>-3.7570138550754306E-3</v>
      </c>
      <c r="G158" s="26">
        <f ca="1">'Impacts A'!G158-'Impacts B'!G158</f>
        <v>-4.2976824875007313E-3</v>
      </c>
      <c r="H158" s="26">
        <f ca="1">'Impacts A'!H158-'Impacts B'!H158</f>
        <v>-1.8843897756946282E-2</v>
      </c>
      <c r="I158" s="26">
        <f ca="1">'Impacts A'!I158-'Impacts B'!I158</f>
        <v>-4.8081344496237577E-2</v>
      </c>
      <c r="J158" s="26">
        <f ca="1">'Impacts A'!J158-'Impacts B'!J158</f>
        <v>-9.428850438221581E-2</v>
      </c>
      <c r="K158" s="26">
        <f ca="1">'Impacts A'!K158-'Impacts B'!K158</f>
        <v>-0.15116927237915323</v>
      </c>
      <c r="L158" s="26">
        <f ca="1">'Impacts A'!L158-'Impacts B'!L158</f>
        <v>-0.21353656142942989</v>
      </c>
      <c r="M158" s="6"/>
      <c r="N158" s="59" t="s">
        <v>132</v>
      </c>
    </row>
    <row r="159" spans="1:14" x14ac:dyDescent="0.2">
      <c r="A159" t="str">
        <v>OT sea level</v>
      </c>
      <c r="C159" s="26">
        <f ca="1">'Impacts A'!C159-'Impacts B'!C159</f>
        <v>-2.5417932087529183E-4</v>
      </c>
      <c r="D159" s="26">
        <f ca="1">'Impacts A'!D159-'Impacts B'!D159</f>
        <v>-6.0434381205809462E-4</v>
      </c>
      <c r="E159" s="26">
        <f ca="1">'Impacts A'!E159-'Impacts B'!E159</f>
        <v>-6.5132605144696543E-4</v>
      </c>
      <c r="F159" s="26">
        <f ca="1">'Impacts A'!F159-'Impacts B'!F159</f>
        <v>-4.1344675155108868E-3</v>
      </c>
      <c r="G159" s="26">
        <f ca="1">'Impacts A'!G159-'Impacts B'!G159</f>
        <v>-4.6784529354790827E-3</v>
      </c>
      <c r="H159" s="26">
        <f ca="1">'Impacts A'!H159-'Impacts B'!H159</f>
        <v>-2.0114208699139602E-2</v>
      </c>
      <c r="I159" s="26">
        <f ca="1">'Impacts A'!I159-'Impacts B'!I159</f>
        <v>-5.0221984896427707E-2</v>
      </c>
      <c r="J159" s="26">
        <f ca="1">'Impacts A'!J159-'Impacts B'!J159</f>
        <v>-9.7471140111554222E-2</v>
      </c>
      <c r="K159" s="26">
        <f ca="1">'Impacts A'!K159-'Impacts B'!K159</f>
        <v>-0.15495798164013908</v>
      </c>
      <c r="L159" s="26">
        <f ca="1">'Impacts A'!L159-'Impacts B'!L159</f>
        <v>-0.21747745813997876</v>
      </c>
      <c r="M159" s="6"/>
      <c r="N159" s="59" t="s">
        <v>132</v>
      </c>
    </row>
    <row r="160" spans="1:14" x14ac:dyDescent="0.2">
      <c r="A160" t="str">
        <v>EE sea level</v>
      </c>
      <c r="C160" s="26">
        <f ca="1">'Impacts A'!C160-'Impacts B'!C160</f>
        <v>-1.5583999246226998E-4</v>
      </c>
      <c r="D160" s="26">
        <f ca="1">'Impacts A'!D160-'Impacts B'!D160</f>
        <v>-3.5979704597730033E-4</v>
      </c>
      <c r="E160" s="26">
        <f ca="1">'Impacts A'!E160-'Impacts B'!E160</f>
        <v>-3.7792192940688807E-4</v>
      </c>
      <c r="F160" s="26">
        <f ca="1">'Impacts A'!F160-'Impacts B'!F160</f>
        <v>-2.3220258517073766E-3</v>
      </c>
      <c r="G160" s="26">
        <f ca="1">'Impacts A'!G160-'Impacts B'!G160</f>
        <v>-2.3376165427270723E-3</v>
      </c>
      <c r="H160" s="26">
        <f ca="1">'Impacts A'!H160-'Impacts B'!H160</f>
        <v>-9.7480157062797557E-3</v>
      </c>
      <c r="I160" s="26">
        <f ca="1">'Impacts A'!I160-'Impacts B'!I160</f>
        <v>-2.6103691054608635E-2</v>
      </c>
      <c r="J160" s="26">
        <f ca="1">'Impacts A'!J160-'Impacts B'!J160</f>
        <v>-5.2103563893678151E-2</v>
      </c>
      <c r="K160" s="26">
        <f ca="1">'Impacts A'!K160-'Impacts B'!K160</f>
        <v>-8.3196224016449272E-2</v>
      </c>
      <c r="L160" s="26">
        <f ca="1">'Impacts A'!L160-'Impacts B'!L160</f>
        <v>-0.11647582995313516</v>
      </c>
      <c r="M160" s="6"/>
      <c r="N160" s="59" t="s">
        <v>132</v>
      </c>
    </row>
    <row r="161" spans="1:15" x14ac:dyDescent="0.2">
      <c r="A161" t="str">
        <v>CA sea level</v>
      </c>
      <c r="C161" s="26">
        <f ca="1">'Impacts A'!C161-'Impacts B'!C161</f>
        <v>-2.8254472567246225E-4</v>
      </c>
      <c r="D161" s="26">
        <f ca="1">'Impacts A'!D161-'Impacts B'!D161</f>
        <v>-6.2589811362856462E-4</v>
      </c>
      <c r="E161" s="26">
        <f ca="1">'Impacts A'!E161-'Impacts B'!E161</f>
        <v>-6.4130400109868591E-4</v>
      </c>
      <c r="F161" s="26">
        <f ca="1">'Impacts A'!F161-'Impacts B'!F161</f>
        <v>-3.871204422617458E-3</v>
      </c>
      <c r="G161" s="26">
        <f ca="1">'Impacts A'!G161-'Impacts B'!G161</f>
        <v>-4.2446473540248553E-3</v>
      </c>
      <c r="H161" s="26">
        <f ca="1">'Impacts A'!H161-'Impacts B'!H161</f>
        <v>-1.9361468709699348E-2</v>
      </c>
      <c r="I161" s="26">
        <f ca="1">'Impacts A'!I161-'Impacts B'!I161</f>
        <v>-4.9630839513968517E-2</v>
      </c>
      <c r="J161" s="26">
        <f ca="1">'Impacts A'!J161-'Impacts B'!J161</f>
        <v>-9.7338449519768E-2</v>
      </c>
      <c r="K161" s="26">
        <f ca="1">'Impacts A'!K161-'Impacts B'!K161</f>
        <v>-0.15569175883615505</v>
      </c>
      <c r="L161" s="26">
        <f ca="1">'Impacts A'!L161-'Impacts B'!L161</f>
        <v>-0.21995219244072872</v>
      </c>
      <c r="M161" s="6"/>
      <c r="N161" s="59" t="s">
        <v>132</v>
      </c>
    </row>
    <row r="162" spans="1:15" x14ac:dyDescent="0.2">
      <c r="A162" t="str">
        <v>IA sea level</v>
      </c>
      <c r="C162" s="26">
        <f ca="1">'Impacts A'!C162-'Impacts B'!C162</f>
        <v>-3.689159599128411E-4</v>
      </c>
      <c r="D162" s="26">
        <f ca="1">'Impacts A'!D162-'Impacts B'!D162</f>
        <v>-8.2545364638009211E-4</v>
      </c>
      <c r="E162" s="26">
        <f ca="1">'Impacts A'!E162-'Impacts B'!E162</f>
        <v>-8.455901251089859E-4</v>
      </c>
      <c r="F162" s="26">
        <f ca="1">'Impacts A'!F162-'Impacts B'!F162</f>
        <v>-4.9914136280079235E-3</v>
      </c>
      <c r="G162" s="26">
        <f ca="1">'Impacts A'!G162-'Impacts B'!G162</f>
        <v>-5.137931758910641E-3</v>
      </c>
      <c r="H162" s="26">
        <f ca="1">'Impacts A'!H162-'Impacts B'!H162</f>
        <v>-2.3121365702708063E-2</v>
      </c>
      <c r="I162" s="26">
        <f ca="1">'Impacts A'!I162-'Impacts B'!I162</f>
        <v>-5.7926687184499781E-2</v>
      </c>
      <c r="J162" s="26">
        <f ca="1">'Impacts A'!J162-'Impacts B'!J162</f>
        <v>-0.11020171159035519</v>
      </c>
      <c r="K162" s="26">
        <f ca="1">'Impacts A'!K162-'Impacts B'!K162</f>
        <v>-0.17140777790660555</v>
      </c>
      <c r="L162" s="26">
        <f ca="1">'Impacts A'!L162-'Impacts B'!L162</f>
        <v>-0.23638647525162715</v>
      </c>
      <c r="M162" s="6"/>
      <c r="N162" s="59" t="s">
        <v>132</v>
      </c>
    </row>
    <row r="163" spans="1:15" x14ac:dyDescent="0.2">
      <c r="A163" t="str">
        <v>AF sea level</v>
      </c>
      <c r="C163" s="26">
        <f ca="1">'Impacts A'!C163-'Impacts B'!C163</f>
        <v>-2.9807350708299651E-4</v>
      </c>
      <c r="D163" s="26">
        <f ca="1">'Impacts A'!D163-'Impacts B'!D163</f>
        <v>-6.8629315348145425E-4</v>
      </c>
      <c r="E163" s="26">
        <f ca="1">'Impacts A'!E163-'Impacts B'!E163</f>
        <v>-7.155684929340822E-4</v>
      </c>
      <c r="F163" s="26">
        <f ca="1">'Impacts A'!F163-'Impacts B'!F163</f>
        <v>-4.2771070011035084E-3</v>
      </c>
      <c r="G163" s="26">
        <f ca="1">'Impacts A'!G163-'Impacts B'!G163</f>
        <v>-3.6887000153025262E-3</v>
      </c>
      <c r="H163" s="26">
        <f ca="1">'Impacts A'!H163-'Impacts B'!H163</f>
        <v>-1.4552416547831348E-2</v>
      </c>
      <c r="I163" s="26">
        <f ca="1">'Impacts A'!I163-'Impacts B'!I163</f>
        <v>-4.3589699652471836E-2</v>
      </c>
      <c r="J163" s="26">
        <f ca="1">'Impacts A'!J163-'Impacts B'!J163</f>
        <v>-8.7153575040991194E-2</v>
      </c>
      <c r="K163" s="26">
        <f ca="1">'Impacts A'!K163-'Impacts B'!K163</f>
        <v>-0.13596590729376279</v>
      </c>
      <c r="L163" s="26">
        <f ca="1">'Impacts A'!L163-'Impacts B'!L163</f>
        <v>-0.18562517897122133</v>
      </c>
      <c r="M163" s="6"/>
      <c r="N163" s="59" t="s">
        <v>132</v>
      </c>
    </row>
    <row r="164" spans="1:15" x14ac:dyDescent="0.2">
      <c r="A164" t="str">
        <v>LA sea level</v>
      </c>
      <c r="C164" s="26">
        <f ca="1">'Impacts A'!C164-'Impacts B'!C164</f>
        <v>-2.2913096188281745E-4</v>
      </c>
      <c r="D164" s="26">
        <f ca="1">'Impacts A'!D164-'Impacts B'!D164</f>
        <v>-5.3128904261945387E-4</v>
      </c>
      <c r="E164" s="26">
        <f ca="1">'Impacts A'!E164-'Impacts B'!E164</f>
        <v>-5.5989706266929007E-4</v>
      </c>
      <c r="F164" s="26">
        <f ca="1">'Impacts A'!F164-'Impacts B'!F164</f>
        <v>-3.4149283860985813E-3</v>
      </c>
      <c r="G164" s="26">
        <f ca="1">'Impacts A'!G164-'Impacts B'!G164</f>
        <v>-3.7233120444347678E-3</v>
      </c>
      <c r="H164" s="26">
        <f ca="1">'Impacts A'!H164-'Impacts B'!H164</f>
        <v>-1.605191617831625E-2</v>
      </c>
      <c r="I164" s="26">
        <f ca="1">'Impacts A'!I164-'Impacts B'!I164</f>
        <v>-4.038362808475815E-2</v>
      </c>
      <c r="J164" s="26">
        <f ca="1">'Impacts A'!J164-'Impacts B'!J164</f>
        <v>-7.7928774584720362E-2</v>
      </c>
      <c r="K164" s="26">
        <f ca="1">'Impacts A'!K164-'Impacts B'!K164</f>
        <v>-0.12288145566306996</v>
      </c>
      <c r="L164" s="26">
        <f ca="1">'Impacts A'!L164-'Impacts B'!L164</f>
        <v>-0.17065821509071399</v>
      </c>
      <c r="M164" s="6"/>
      <c r="N164" s="59" t="s">
        <v>132</v>
      </c>
    </row>
    <row r="165" spans="1:15" s="2" customFormat="1" ht="14.25" x14ac:dyDescent="0.25">
      <c r="A165" s="2" t="s">
        <v>223</v>
      </c>
      <c r="C165" s="2" t="s">
        <v>222</v>
      </c>
    </row>
    <row r="166" spans="1:15" x14ac:dyDescent="0.2">
      <c r="A166" t="str">
        <f t="array" ref="A166:A173">R_CODE&amp;" sea level"</f>
        <v>EU sea level</v>
      </c>
      <c r="C166" s="29">
        <f ca="1">'Impacts A'!C166-'Impacts B'!C166</f>
        <v>-3.1010468729214535E-4</v>
      </c>
      <c r="D166" s="29">
        <f ca="1">'Impacts A'!D166-'Impacts B'!D166</f>
        <v>-6.9906299604971522E-4</v>
      </c>
      <c r="E166" s="29">
        <f ca="1">'Impacts A'!E166-'Impacts B'!E166</f>
        <v>-7.1364459683487258E-4</v>
      </c>
      <c r="F166" s="29">
        <f ca="1">'Impacts A'!F166-'Impacts B'!F166</f>
        <v>-4.0328417808989658E-3</v>
      </c>
      <c r="G166" s="29">
        <f ca="1">'Impacts A'!G166-'Impacts B'!G166</f>
        <v>-4.0276012278360751E-3</v>
      </c>
      <c r="H166" s="29">
        <f ca="1">'Impacts A'!H166-'Impacts B'!H166</f>
        <v>-1.5480131961597809E-2</v>
      </c>
      <c r="I166" s="29">
        <f ca="1">'Impacts A'!I166-'Impacts B'!I166</f>
        <v>-3.1822615282214028E-2</v>
      </c>
      <c r="J166" s="29">
        <f ca="1">'Impacts A'!J166-'Impacts B'!J166</f>
        <v>-6.1011063655597497E-2</v>
      </c>
      <c r="K166" s="29">
        <f ca="1">'Impacts A'!K166-'Impacts B'!K166</f>
        <v>-0.11153838678521766</v>
      </c>
      <c r="L166" s="29">
        <f ca="1">'Impacts A'!L166-'Impacts B'!L166</f>
        <v>-0.26130063843306295</v>
      </c>
      <c r="M166" s="6"/>
      <c r="N166" s="59" t="s">
        <v>132</v>
      </c>
    </row>
    <row r="167" spans="1:15" x14ac:dyDescent="0.2">
      <c r="A167" t="str">
        <v>US sea level</v>
      </c>
      <c r="C167" s="26">
        <f ca="1">'Impacts A'!C167-'Impacts B'!C167</f>
        <v>-2.2332163712118769E-4</v>
      </c>
      <c r="D167" s="26">
        <f ca="1">'Impacts A'!D167-'Impacts B'!D167</f>
        <v>-5.079344688582732E-4</v>
      </c>
      <c r="E167" s="26">
        <f ca="1">'Impacts A'!E167-'Impacts B'!E167</f>
        <v>-5.2335035915934691E-4</v>
      </c>
      <c r="F167" s="26">
        <f ca="1">'Impacts A'!F167-'Impacts B'!F167</f>
        <v>-3.0056110840603334E-3</v>
      </c>
      <c r="G167" s="26">
        <f ca="1">'Impacts A'!G167-'Impacts B'!G167</f>
        <v>-3.0083777412505119E-3</v>
      </c>
      <c r="H167" s="26">
        <f ca="1">'Impacts A'!H167-'Impacts B'!H167</f>
        <v>-1.1306338654167747E-2</v>
      </c>
      <c r="I167" s="26">
        <f ca="1">'Impacts A'!I167-'Impacts B'!I167</f>
        <v>-2.4040672248118788E-2</v>
      </c>
      <c r="J167" s="26">
        <f ca="1">'Impacts A'!J167-'Impacts B'!J167</f>
        <v>-4.7144252191107905E-2</v>
      </c>
      <c r="K167" s="26">
        <f ca="1">'Impacts A'!K167-'Impacts B'!K167</f>
        <v>-8.7317249855311863E-2</v>
      </c>
      <c r="L167" s="26">
        <f ca="1">'Impacts A'!L167-'Impacts B'!L167</f>
        <v>-0.20619805320815787</v>
      </c>
      <c r="M167" s="6"/>
      <c r="N167" s="59" t="s">
        <v>132</v>
      </c>
    </row>
    <row r="168" spans="1:15" x14ac:dyDescent="0.2">
      <c r="A168" t="str">
        <v>OT sea level</v>
      </c>
      <c r="C168" s="26">
        <f ca="1">'Impacts A'!C168-'Impacts B'!C168</f>
        <v>-2.5417932087529183E-4</v>
      </c>
      <c r="D168" s="26">
        <f ca="1">'Impacts A'!D168-'Impacts B'!D168</f>
        <v>-5.7412662145517324E-4</v>
      </c>
      <c r="E168" s="26">
        <f ca="1">'Impacts A'!E168-'Impacts B'!E168</f>
        <v>-5.8619344630228554E-4</v>
      </c>
      <c r="F168" s="26">
        <f ca="1">'Impacts A'!F168-'Impacts B'!F168</f>
        <v>-3.3075740124087205E-3</v>
      </c>
      <c r="G168" s="26">
        <f ca="1">'Impacts A'!G168-'Impacts B'!G168</f>
        <v>-3.2749170548353468E-3</v>
      </c>
      <c r="H168" s="26">
        <f ca="1">'Impacts A'!H168-'Impacts B'!H168</f>
        <v>-1.2068525219483761E-2</v>
      </c>
      <c r="I168" s="26">
        <f ca="1">'Impacts A'!I168-'Impacts B'!I168</f>
        <v>-2.5110992448213854E-2</v>
      </c>
      <c r="J168" s="26">
        <f ca="1">'Impacts A'!J168-'Impacts B'!J168</f>
        <v>-4.8735570055777111E-2</v>
      </c>
      <c r="K168" s="26">
        <f ca="1">'Impacts A'!K168-'Impacts B'!K168</f>
        <v>-8.9535182669818636E-2</v>
      </c>
      <c r="L168" s="26">
        <f ca="1">'Impacts A'!L168-'Impacts B'!L168</f>
        <v>-0.21018053874725262</v>
      </c>
      <c r="M168" s="6"/>
      <c r="N168" s="59" t="s">
        <v>132</v>
      </c>
    </row>
    <row r="169" spans="1:15" x14ac:dyDescent="0.2">
      <c r="A169" t="str">
        <v>EE sea level</v>
      </c>
      <c r="C169" s="26">
        <f ca="1">'Impacts A'!C169-'Impacts B'!C169</f>
        <v>-1.5583999246226998E-4</v>
      </c>
      <c r="D169" s="26">
        <f ca="1">'Impacts A'!D169-'Impacts B'!D169</f>
        <v>-3.4180719367843393E-4</v>
      </c>
      <c r="E169" s="26">
        <f ca="1">'Impacts A'!E169-'Impacts B'!E169</f>
        <v>-3.4012973646618816E-4</v>
      </c>
      <c r="F169" s="26">
        <f ca="1">'Impacts A'!F169-'Impacts B'!F169</f>
        <v>-1.8576206813659124E-3</v>
      </c>
      <c r="G169" s="26">
        <f ca="1">'Impacts A'!G169-'Impacts B'!G169</f>
        <v>-1.6363315799089728E-3</v>
      </c>
      <c r="H169" s="26">
        <f ca="1">'Impacts A'!H169-'Impacts B'!H169</f>
        <v>-5.8488094237678367E-3</v>
      </c>
      <c r="I169" s="26">
        <f ca="1">'Impacts A'!I169-'Impacts B'!I169</f>
        <v>-1.3051845527304318E-2</v>
      </c>
      <c r="J169" s="26">
        <f ca="1">'Impacts A'!J169-'Impacts B'!J169</f>
        <v>-2.6051781946839075E-2</v>
      </c>
      <c r="K169" s="26">
        <f ca="1">'Impacts A'!K169-'Impacts B'!K169</f>
        <v>-4.8126944877743022E-2</v>
      </c>
      <c r="L169" s="26">
        <f ca="1">'Impacts A'!L169-'Impacts B'!L169</f>
        <v>-0.11281993419755645</v>
      </c>
      <c r="M169" s="6"/>
      <c r="N169" s="59" t="s">
        <v>132</v>
      </c>
    </row>
    <row r="170" spans="1:15" x14ac:dyDescent="0.2">
      <c r="A170" t="str">
        <v>CA sea level</v>
      </c>
      <c r="C170" s="26">
        <f ca="1">'Impacts A'!C170-'Impacts B'!C170</f>
        <v>-2.8254472567246225E-4</v>
      </c>
      <c r="D170" s="26">
        <f ca="1">'Impacts A'!D170-'Impacts B'!D170</f>
        <v>-6.1546647840143853E-4</v>
      </c>
      <c r="E170" s="26">
        <f ca="1">'Impacts A'!E170-'Impacts B'!E170</f>
        <v>-6.1992720106207599E-4</v>
      </c>
      <c r="F170" s="26">
        <f ca="1">'Impacts A'!F170-'Impacts B'!F170</f>
        <v>-3.6131241277762571E-3</v>
      </c>
      <c r="G170" s="26">
        <f ca="1">'Impacts A'!G170-'Impacts B'!G170</f>
        <v>-3.8201826186223808E-3</v>
      </c>
      <c r="H170" s="26">
        <f ca="1">'Impacts A'!H170-'Impacts B'!H170</f>
        <v>-1.6779939548406064E-2</v>
      </c>
      <c r="I170" s="26">
        <f ca="1">'Impacts A'!I170-'Impacts B'!I170</f>
        <v>-4.1359032928307116E-2</v>
      </c>
      <c r="J170" s="26">
        <f ca="1">'Impacts A'!J170-'Impacts B'!J170</f>
        <v>-7.7870759615814467E-2</v>
      </c>
      <c r="K170" s="26">
        <f ca="1">'Impacts A'!K170-'Impacts B'!K170</f>
        <v>-0.13510695479496049</v>
      </c>
      <c r="L170" s="26">
        <f ca="1">'Impacts A'!L170-'Impacts B'!L170</f>
        <v>-0.22606844797799164</v>
      </c>
      <c r="M170" s="6"/>
      <c r="N170" s="59" t="s">
        <v>132</v>
      </c>
    </row>
    <row r="171" spans="1:15" x14ac:dyDescent="0.2">
      <c r="A171" t="str">
        <v>IA sea level</v>
      </c>
      <c r="C171" s="26">
        <f ca="1">'Impacts A'!C171-'Impacts B'!C171</f>
        <v>-3.689159599128411E-4</v>
      </c>
      <c r="D171" s="26">
        <f ca="1">'Impacts A'!D171-'Impacts B'!D171</f>
        <v>-8.1169608560704987E-4</v>
      </c>
      <c r="E171" s="26">
        <f ca="1">'Impacts A'!E171-'Impacts B'!E171</f>
        <v>-8.1740378760541965E-4</v>
      </c>
      <c r="F171" s="26">
        <f ca="1">'Impacts A'!F171-'Impacts B'!F171</f>
        <v>-4.6586527194740768E-3</v>
      </c>
      <c r="G171" s="26">
        <f ca="1">'Impacts A'!G171-'Impacts B'!G171</f>
        <v>-4.6241385830195769E-3</v>
      </c>
      <c r="H171" s="26">
        <f ca="1">'Impacts A'!H171-'Impacts B'!H171</f>
        <v>-2.0038516942346929E-2</v>
      </c>
      <c r="I171" s="26">
        <f ca="1">'Impacts A'!I171-'Impacts B'!I171</f>
        <v>-4.8272239320416466E-2</v>
      </c>
      <c r="J171" s="26">
        <f ca="1">'Impacts A'!J171-'Impacts B'!J171</f>
        <v>-8.8161369272284129E-2</v>
      </c>
      <c r="K171" s="26">
        <f ca="1">'Impacts A'!K171-'Impacts B'!K171</f>
        <v>-0.14872683456058966</v>
      </c>
      <c r="L171" s="26">
        <f ca="1">'Impacts A'!L171-'Impacts B'!L171</f>
        <v>-0.24289837644936285</v>
      </c>
      <c r="M171" s="6"/>
      <c r="N171" s="59" t="s">
        <v>132</v>
      </c>
    </row>
    <row r="172" spans="1:15" x14ac:dyDescent="0.2">
      <c r="A172" t="str">
        <v>AF sea level</v>
      </c>
      <c r="C172" s="26">
        <f ca="1">'Impacts A'!C172-'Impacts B'!C172</f>
        <v>-2.9807350708299651E-4</v>
      </c>
      <c r="D172" s="26">
        <f ca="1">'Impacts A'!D172-'Impacts B'!D172</f>
        <v>-6.7485493425678555E-4</v>
      </c>
      <c r="E172" s="26">
        <f ca="1">'Impacts A'!E172-'Impacts B'!E172</f>
        <v>-6.9171620983621285E-4</v>
      </c>
      <c r="F172" s="26">
        <f ca="1">'Impacts A'!F172-'Impacts B'!F172</f>
        <v>-3.9919665343632893E-3</v>
      </c>
      <c r="G172" s="26">
        <f ca="1">'Impacts A'!G172-'Impacts B'!G172</f>
        <v>-3.3198300137722292E-3</v>
      </c>
      <c r="H172" s="26">
        <f ca="1">'Impacts A'!H172-'Impacts B'!H172</f>
        <v>-1.2612094341453939E-2</v>
      </c>
      <c r="I172" s="26">
        <f ca="1">'Impacts A'!I172-'Impacts B'!I172</f>
        <v>-3.6324749710393234E-2</v>
      </c>
      <c r="J172" s="26">
        <f ca="1">'Impacts A'!J172-'Impacts B'!J172</f>
        <v>-6.9722860032793044E-2</v>
      </c>
      <c r="K172" s="26">
        <f ca="1">'Impacts A'!K172-'Impacts B'!K172</f>
        <v>-0.11813195637380847</v>
      </c>
      <c r="L172" s="26">
        <f ca="1">'Impacts A'!L172-'Impacts B'!L172</f>
        <v>-0.19098847571397992</v>
      </c>
      <c r="M172" s="6"/>
      <c r="N172" s="59" t="s">
        <v>132</v>
      </c>
    </row>
    <row r="173" spans="1:15" x14ac:dyDescent="0.2">
      <c r="A173" t="str">
        <v>LA sea level</v>
      </c>
      <c r="C173" s="26">
        <f ca="1">'Impacts A'!C173-'Impacts B'!C173</f>
        <v>-2.2913096188281745E-4</v>
      </c>
      <c r="D173" s="26">
        <f ca="1">'Impacts A'!D173-'Impacts B'!D173</f>
        <v>-5.2243422524245187E-4</v>
      </c>
      <c r="E173" s="26">
        <f ca="1">'Impacts A'!E173-'Impacts B'!E173</f>
        <v>-5.4123382724696745E-4</v>
      </c>
      <c r="F173" s="26">
        <f ca="1">'Impacts A'!F173-'Impacts B'!F173</f>
        <v>-3.1872664936919981E-3</v>
      </c>
      <c r="G173" s="26">
        <f ca="1">'Impacts A'!G173-'Impacts B'!G173</f>
        <v>-3.3509808399913021E-3</v>
      </c>
      <c r="H173" s="26">
        <f ca="1">'Impacts A'!H173-'Impacts B'!H173</f>
        <v>-1.3911660687874083E-2</v>
      </c>
      <c r="I173" s="26">
        <f ca="1">'Impacts A'!I173-'Impacts B'!I173</f>
        <v>-3.3653023403965143E-2</v>
      </c>
      <c r="J173" s="26">
        <f ca="1">'Impacts A'!J173-'Impacts B'!J173</f>
        <v>-6.2343019667776223E-2</v>
      </c>
      <c r="K173" s="26">
        <f ca="1">'Impacts A'!K173-'Impacts B'!K173</f>
        <v>-0.10670942231090769</v>
      </c>
      <c r="L173" s="26">
        <f ca="1">'Impacts A'!L173-'Impacts B'!L173</f>
        <v>-0.1756164680351181</v>
      </c>
      <c r="M173" s="6"/>
      <c r="N173" s="59" t="s">
        <v>132</v>
      </c>
    </row>
    <row r="174" spans="1:15" s="2" customFormat="1" ht="14.25" x14ac:dyDescent="0.25">
      <c r="A174" s="2" t="s">
        <v>224</v>
      </c>
      <c r="C174" s="2" t="s">
        <v>225</v>
      </c>
    </row>
    <row r="175" spans="1:15" x14ac:dyDescent="0.2">
      <c r="A175" t="str">
        <f t="array" ref="A175:A182">R_CODE&amp;" sea level"</f>
        <v>EU sea level</v>
      </c>
      <c r="C175" s="29">
        <f ca="1">'Impacts A'!C175-'Impacts B'!C175</f>
        <v>-0.12364252882110804</v>
      </c>
      <c r="D175" s="29">
        <f ca="1">'Impacts A'!D175-'Impacts B'!D175</f>
        <v>-0.311696316366465</v>
      </c>
      <c r="E175" s="29">
        <f ca="1">'Impacts A'!E175-'Impacts B'!E175</f>
        <v>-0.35638344912354114</v>
      </c>
      <c r="F175" s="29">
        <f ca="1">'Impacts A'!F175-'Impacts B'!F175</f>
        <v>-2.5078328017988838</v>
      </c>
      <c r="G175" s="29">
        <f ca="1">'Impacts A'!G175-'Impacts B'!G175</f>
        <v>-3.0682905473768756</v>
      </c>
      <c r="H175" s="29">
        <f ca="1">'Impacts A'!H175-'Impacts B'!H175</f>
        <v>-15.269237734470494</v>
      </c>
      <c r="I175" s="29">
        <f ca="1">'Impacts A'!I175-'Impacts B'!I175</f>
        <v>-36.621622711315865</v>
      </c>
      <c r="J175" s="29">
        <f ca="1">'Impacts A'!J175-'Impacts B'!J175</f>
        <v>-80.874502781805745</v>
      </c>
      <c r="K175" s="29">
        <f ca="1">'Impacts A'!K175-'Impacts B'!K175</f>
        <v>-173.38566681273824</v>
      </c>
      <c r="L175" s="29">
        <f ca="1">'Impacts A'!L175-'Impacts B'!L175</f>
        <v>-481.96610499892711</v>
      </c>
      <c r="M175" s="6"/>
      <c r="N175" s="1" t="str">
        <f t="shared" ref="N175:N182" si="2">CURRENCY_NAME&amp;"/"&amp;POP_UNIT_NAME</f>
        <v>$M(2015)/million</v>
      </c>
      <c r="O175" s="1"/>
    </row>
    <row r="176" spans="1:15" x14ac:dyDescent="0.2">
      <c r="A176" t="str">
        <v>US sea level</v>
      </c>
      <c r="C176" s="26">
        <f ca="1">'Impacts A'!C176-'Impacts B'!C176</f>
        <v>-0.12641988779614621</v>
      </c>
      <c r="D176" s="26">
        <f ca="1">'Impacts A'!D176-'Impacts B'!D176</f>
        <v>-0.31214167726707842</v>
      </c>
      <c r="E176" s="26">
        <f ca="1">'Impacts A'!E176-'Impacts B'!E176</f>
        <v>-0.34926860213349187</v>
      </c>
      <c r="F176" s="26">
        <f ca="1">'Impacts A'!F176-'Impacts B'!F176</f>
        <v>-2.366908497939562</v>
      </c>
      <c r="G176" s="26">
        <f ca="1">'Impacts A'!G176-'Impacts B'!G176</f>
        <v>-2.8788185200047565</v>
      </c>
      <c r="H176" s="26">
        <f ca="1">'Impacts A'!H176-'Impacts B'!H176</f>
        <v>-14.862617119694278</v>
      </c>
      <c r="I176" s="26">
        <f ca="1">'Impacts A'!I176-'Impacts B'!I176</f>
        <v>-33.301006218410066</v>
      </c>
      <c r="J176" s="26">
        <f ca="1">'Impacts A'!J176-'Impacts B'!J176</f>
        <v>-70.084608906007645</v>
      </c>
      <c r="K176" s="26">
        <f ca="1">'Impacts A'!K176-'Impacts B'!K176</f>
        <v>-145.88583743160814</v>
      </c>
      <c r="L176" s="26">
        <f ca="1">'Impacts A'!L176-'Impacts B'!L176</f>
        <v>-398.08452253465543</v>
      </c>
      <c r="M176" s="6"/>
      <c r="N176" s="1" t="str">
        <f t="shared" si="2"/>
        <v>$M(2015)/million</v>
      </c>
      <c r="O176" s="1"/>
    </row>
    <row r="177" spans="1:15" x14ac:dyDescent="0.2">
      <c r="A177" t="str">
        <v>OT sea level</v>
      </c>
      <c r="C177" s="26">
        <f ca="1">'Impacts A'!C177-'Impacts B'!C177</f>
        <v>-9.346738786956621E-2</v>
      </c>
      <c r="D177" s="26">
        <f ca="1">'Impacts A'!D177-'Impacts B'!D177</f>
        <v>-0.23454081363104251</v>
      </c>
      <c r="E177" s="26">
        <f ca="1">'Impacts A'!E177-'Impacts B'!E177</f>
        <v>-0.26806896510788647</v>
      </c>
      <c r="F177" s="26">
        <f ca="1">'Impacts A'!F177-'Impacts B'!F177</f>
        <v>-1.8930799902034039</v>
      </c>
      <c r="G177" s="26">
        <f ca="1">'Impacts A'!G177-'Impacts B'!G177</f>
        <v>-2.3627273089940104</v>
      </c>
      <c r="H177" s="26">
        <f ca="1">'Impacts A'!H177-'Impacts B'!H177</f>
        <v>-12.783552606653359</v>
      </c>
      <c r="I177" s="26">
        <f ca="1">'Impacts A'!I177-'Impacts B'!I177</f>
        <v>-30.047631348060747</v>
      </c>
      <c r="J177" s="26">
        <f ca="1">'Impacts A'!J177-'Impacts B'!J177</f>
        <v>-64.832306144828635</v>
      </c>
      <c r="K177" s="26">
        <f ca="1">'Impacts A'!K177-'Impacts B'!K177</f>
        <v>-137.57208013761806</v>
      </c>
      <c r="L177" s="26">
        <f ca="1">'Impacts A'!L177-'Impacts B'!L177</f>
        <v>-380.69736435900597</v>
      </c>
      <c r="M177" s="6"/>
      <c r="N177" s="1" t="str">
        <f t="shared" si="2"/>
        <v>$M(2015)/million</v>
      </c>
      <c r="O177" s="1"/>
    </row>
    <row r="178" spans="1:15" x14ac:dyDescent="0.2">
      <c r="A178" t="str">
        <v>EE sea level</v>
      </c>
      <c r="C178" s="26">
        <f ca="1">'Impacts A'!C178-'Impacts B'!C178</f>
        <v>-2.9038208007165167E-2</v>
      </c>
      <c r="D178" s="26">
        <f ca="1">'Impacts A'!D178-'Impacts B'!D178</f>
        <v>-7.8039337989288526E-2</v>
      </c>
      <c r="E178" s="26">
        <f ca="1">'Impacts A'!E178-'Impacts B'!E178</f>
        <v>-9.4711936505049721E-2</v>
      </c>
      <c r="F178" s="26">
        <f ca="1">'Impacts A'!F178-'Impacts B'!F178</f>
        <v>-0.72170252423087788</v>
      </c>
      <c r="G178" s="26">
        <f ca="1">'Impacts A'!G178-'Impacts B'!G178</f>
        <v>-1.1349602116341373</v>
      </c>
      <c r="H178" s="26">
        <f ca="1">'Impacts A'!H178-'Impacts B'!H178</f>
        <v>-6.2257103976676973</v>
      </c>
      <c r="I178" s="26">
        <f ca="1">'Impacts A'!I178-'Impacts B'!I178</f>
        <v>-13.385719773219051</v>
      </c>
      <c r="J178" s="26">
        <f ca="1">'Impacts A'!J178-'Impacts B'!J178</f>
        <v>-27.605085838648989</v>
      </c>
      <c r="K178" s="26">
        <f ca="1">'Impacts A'!K178-'Impacts B'!K178</f>
        <v>-58.051174324286791</v>
      </c>
      <c r="L178" s="26">
        <f ca="1">'Impacts A'!L178-'Impacts B'!L178</f>
        <v>-161.2803439955822</v>
      </c>
      <c r="M178" s="6"/>
      <c r="N178" s="1" t="str">
        <f t="shared" si="2"/>
        <v>$M(2015)/million</v>
      </c>
      <c r="O178" s="1"/>
    </row>
    <row r="179" spans="1:15" x14ac:dyDescent="0.2">
      <c r="A179" t="str">
        <v>CA sea level</v>
      </c>
      <c r="C179" s="26">
        <f ca="1">'Impacts A'!C179-'Impacts B'!C179</f>
        <v>-5.5440794831852713E-2</v>
      </c>
      <c r="D179" s="26">
        <f ca="1">'Impacts A'!D179-'Impacts B'!D179</f>
        <v>-0.16578318109051793</v>
      </c>
      <c r="E179" s="26">
        <f ca="1">'Impacts A'!E179-'Impacts B'!E179</f>
        <v>-0.2183487915125113</v>
      </c>
      <c r="F179" s="26">
        <f ca="1">'Impacts A'!F179-'Impacts B'!F179</f>
        <v>-1.8912038133572082</v>
      </c>
      <c r="G179" s="26">
        <f ca="1">'Impacts A'!G179-'Impacts B'!G179</f>
        <v>-2.8443375235962662</v>
      </c>
      <c r="H179" s="26">
        <f ca="1">'Impacts A'!H179-'Impacts B'!H179</f>
        <v>-17.183028940867075</v>
      </c>
      <c r="I179" s="26">
        <f ca="1">'Impacts A'!I179-'Impacts B'!I179</f>
        <v>-47.162314718050084</v>
      </c>
      <c r="J179" s="26">
        <f ca="1">'Impacts A'!J179-'Impacts B'!J179</f>
        <v>-98.271259446278691</v>
      </c>
      <c r="K179" s="26">
        <f ca="1">'Impacts A'!K179-'Impacts B'!K179</f>
        <v>-195.09778537289139</v>
      </c>
      <c r="L179" s="26">
        <f ca="1">'Impacts A'!L179-'Impacts B'!L179</f>
        <v>-380.29567357587553</v>
      </c>
      <c r="M179" s="6"/>
      <c r="N179" s="1" t="str">
        <f t="shared" si="2"/>
        <v>$M(2015)/million</v>
      </c>
      <c r="O179" s="1"/>
    </row>
    <row r="180" spans="1:15" x14ac:dyDescent="0.2">
      <c r="A180" t="str">
        <v>IA sea level</v>
      </c>
      <c r="C180" s="26">
        <f ca="1">'Impacts A'!C180-'Impacts B'!C180</f>
        <v>-2.9753328433379522E-2</v>
      </c>
      <c r="D180" s="26">
        <f ca="1">'Impacts A'!D180-'Impacts B'!D180</f>
        <v>-8.6915925195810928E-2</v>
      </c>
      <c r="E180" s="26">
        <f ca="1">'Impacts A'!E180-'Impacts B'!E180</f>
        <v>-0.11453201514405009</v>
      </c>
      <c r="F180" s="26">
        <f ca="1">'Impacts A'!F180-'Impacts B'!F180</f>
        <v>-1.0451796360614765</v>
      </c>
      <c r="G180" s="26">
        <f ca="1">'Impacts A'!G180-'Impacts B'!G180</f>
        <v>-1.8069257160071004</v>
      </c>
      <c r="H180" s="26">
        <f ca="1">'Impacts A'!H180-'Impacts B'!H180</f>
        <v>-11.321569262007415</v>
      </c>
      <c r="I180" s="26">
        <f ca="1">'Impacts A'!I180-'Impacts B'!I180</f>
        <v>-32.901159392813724</v>
      </c>
      <c r="J180" s="26">
        <f ca="1">'Impacts A'!J180-'Impacts B'!J180</f>
        <v>-73.577513039536939</v>
      </c>
      <c r="K180" s="26">
        <f ca="1">'Impacts A'!K180-'Impacts B'!K180</f>
        <v>-155.93661908019033</v>
      </c>
      <c r="L180" s="26">
        <f ca="1">'Impacts A'!L180-'Impacts B'!L180</f>
        <v>-321.63637868466401</v>
      </c>
      <c r="M180" s="6"/>
      <c r="N180" s="1" t="str">
        <f t="shared" si="2"/>
        <v>$M(2015)/million</v>
      </c>
      <c r="O180" s="1"/>
    </row>
    <row r="181" spans="1:15" x14ac:dyDescent="0.2">
      <c r="A181" t="str">
        <v>AF sea level</v>
      </c>
      <c r="C181" s="26">
        <f ca="1">'Impacts A'!C181-'Impacts B'!C181</f>
        <v>-1.8756390070063134E-2</v>
      </c>
      <c r="D181" s="26">
        <f ca="1">'Impacts A'!D181-'Impacts B'!D181</f>
        <v>-5.1254337549444529E-2</v>
      </c>
      <c r="E181" s="26">
        <f ca="1">'Impacts A'!E181-'Impacts B'!E181</f>
        <v>-6.4811398998521952E-2</v>
      </c>
      <c r="F181" s="26">
        <f ca="1">'Impacts A'!F181-'Impacts B'!F181</f>
        <v>-0.57442481049906746</v>
      </c>
      <c r="G181" s="26">
        <f ca="1">'Impacts A'!G181-'Impacts B'!G181</f>
        <v>-1.31518568744589</v>
      </c>
      <c r="H181" s="26">
        <f ca="1">'Impacts A'!H181-'Impacts B'!H181</f>
        <v>-9.5111901217379682</v>
      </c>
      <c r="I181" s="26">
        <f ca="1">'Impacts A'!I181-'Impacts B'!I181</f>
        <v>-23.24390147055891</v>
      </c>
      <c r="J181" s="26">
        <f ca="1">'Impacts A'!J181-'Impacts B'!J181</f>
        <v>-48.406402983135024</v>
      </c>
      <c r="K181" s="26">
        <f ca="1">'Impacts A'!K181-'Impacts B'!K181</f>
        <v>-102.19826248843947</v>
      </c>
      <c r="L181" s="26">
        <f ca="1">'Impacts A'!L181-'Impacts B'!L181</f>
        <v>-216.01276565007367</v>
      </c>
      <c r="M181" s="6"/>
      <c r="N181" s="1" t="str">
        <f t="shared" si="2"/>
        <v>$M(2015)/million</v>
      </c>
      <c r="O181" s="1"/>
    </row>
    <row r="182" spans="1:15" x14ac:dyDescent="0.2">
      <c r="A182" t="str">
        <v>LA sea level</v>
      </c>
      <c r="C182" s="26">
        <f ca="1">'Impacts A'!C182-'Impacts B'!C182</f>
        <v>-3.4650405455245448E-2</v>
      </c>
      <c r="D182" s="26">
        <f ca="1">'Impacts A'!D182-'Impacts B'!D182</f>
        <v>-9.3142489555120278E-2</v>
      </c>
      <c r="E182" s="26">
        <f ca="1">'Impacts A'!E182-'Impacts B'!E182</f>
        <v>-0.11488194457045608</v>
      </c>
      <c r="F182" s="26">
        <f ca="1">'Impacts A'!F182-'Impacts B'!F182</f>
        <v>-0.97131416836083417</v>
      </c>
      <c r="G182" s="26">
        <f ca="1">'Impacts A'!G182-'Impacts B'!G182</f>
        <v>-1.4823884069151632</v>
      </c>
      <c r="H182" s="26">
        <f ca="1">'Impacts A'!H182-'Impacts B'!H182</f>
        <v>-10.105354498898635</v>
      </c>
      <c r="I182" s="26">
        <f ca="1">'Impacts A'!I182-'Impacts B'!I182</f>
        <v>-29.085098448145743</v>
      </c>
      <c r="J182" s="26">
        <f ca="1">'Impacts A'!J182-'Impacts B'!J182</f>
        <v>-63.158011670536439</v>
      </c>
      <c r="K182" s="26">
        <f ca="1">'Impacts A'!K182-'Impacts B'!K182</f>
        <v>-129.6291540193921</v>
      </c>
      <c r="L182" s="26">
        <f ca="1">'Impacts A'!L182-'Impacts B'!L182</f>
        <v>-262.72369552588953</v>
      </c>
      <c r="M182" s="6"/>
      <c r="N182" s="1" t="str">
        <f t="shared" si="2"/>
        <v>$M(2015)/million</v>
      </c>
      <c r="O182" s="1"/>
    </row>
    <row r="183" spans="1:15" s="2" customFormat="1" ht="14.25" x14ac:dyDescent="0.25">
      <c r="A183" s="2" t="s">
        <v>226</v>
      </c>
      <c r="C183" s="2" t="s">
        <v>227</v>
      </c>
    </row>
    <row r="184" spans="1:15" x14ac:dyDescent="0.2">
      <c r="A184" t="str">
        <f t="array" ref="A184:A191">R_CODE&amp;" sea level"</f>
        <v>EU sea level</v>
      </c>
      <c r="C184" s="29">
        <f ca="1">'Impacts A'!C184-'Impacts B'!C184</f>
        <v>0.12364252882252913</v>
      </c>
      <c r="D184" s="29">
        <f ca="1">'Impacts A'!D184-'Impacts B'!D184</f>
        <v>0.31169631637021666</v>
      </c>
      <c r="E184" s="29">
        <f ca="1">'Impacts A'!E184-'Impacts B'!E184</f>
        <v>0.35638344912149478</v>
      </c>
      <c r="F184" s="29">
        <f ca="1">'Impacts A'!F184-'Impacts B'!F184</f>
        <v>2.5078328017989406</v>
      </c>
      <c r="G184" s="29">
        <f ca="1">'Impacts A'!G184-'Impacts B'!G184</f>
        <v>-4.9600634843372973</v>
      </c>
      <c r="H184" s="29">
        <f ca="1">'Impacts A'!H184-'Impacts B'!H184</f>
        <v>-267.5005852580216</v>
      </c>
      <c r="I184" s="29">
        <f ca="1">'Impacts A'!I184-'Impacts B'!I184</f>
        <v>-459.67728234475362</v>
      </c>
      <c r="J184" s="29">
        <f ca="1">'Impacts A'!J184-'Impacts B'!J184</f>
        <v>-375.02440699128783</v>
      </c>
      <c r="K184" s="29">
        <f ca="1">'Impacts A'!K184-'Impacts B'!K184</f>
        <v>-203.84683740331093</v>
      </c>
      <c r="L184" s="29">
        <f ca="1">'Impacts A'!L184-'Impacts B'!L184</f>
        <v>183.84753060751245</v>
      </c>
      <c r="M184" s="6"/>
      <c r="N184" s="1" t="str">
        <f t="shared" ref="N184:N191" si="3">CURRENCY_NAME&amp;"/"&amp;POP_UNIT_NAME</f>
        <v>$M(2015)/million</v>
      </c>
      <c r="O184" s="1"/>
    </row>
    <row r="185" spans="1:15" x14ac:dyDescent="0.2">
      <c r="A185" t="str">
        <v>US sea level</v>
      </c>
      <c r="C185" s="26">
        <f ca="1">'Impacts A'!C185-'Impacts B'!C185</f>
        <v>0.12641988779068924</v>
      </c>
      <c r="D185" s="26">
        <f ca="1">'Impacts A'!D185-'Impacts B'!D185</f>
        <v>0.31214167727011954</v>
      </c>
      <c r="E185" s="26">
        <f ca="1">'Impacts A'!E185-'Impacts B'!E185</f>
        <v>0.34926860213454347</v>
      </c>
      <c r="F185" s="26">
        <f ca="1">'Impacts A'!F185-'Impacts B'!F185</f>
        <v>2.366908497933764</v>
      </c>
      <c r="G185" s="26">
        <f ca="1">'Impacts A'!G185-'Impacts B'!G185</f>
        <v>-35.531176050499198</v>
      </c>
      <c r="H185" s="26">
        <f ca="1">'Impacts A'!H185-'Impacts B'!H185</f>
        <v>-810.83602876073564</v>
      </c>
      <c r="I185" s="26">
        <f ca="1">'Impacts A'!I185-'Impacts B'!I185</f>
        <v>-1158.3041470539465</v>
      </c>
      <c r="J185" s="26">
        <f ca="1">'Impacts A'!J185-'Impacts B'!J185</f>
        <v>-934.2534191236482</v>
      </c>
      <c r="K185" s="26">
        <f ca="1">'Impacts A'!K185-'Impacts B'!K185</f>
        <v>-572.94425737464917</v>
      </c>
      <c r="L185" s="26">
        <f ca="1">'Impacts A'!L185-'Impacts B'!L185</f>
        <v>-121.16289996725391</v>
      </c>
      <c r="M185" s="6"/>
      <c r="N185" s="1" t="str">
        <f t="shared" si="3"/>
        <v>$M(2015)/million</v>
      </c>
      <c r="O185" s="1"/>
    </row>
    <row r="186" spans="1:15" x14ac:dyDescent="0.2">
      <c r="A186" t="str">
        <v>OT sea level</v>
      </c>
      <c r="C186" s="26">
        <f ca="1">'Impacts A'!C186-'Impacts B'!C186</f>
        <v>9.3467387869168306E-2</v>
      </c>
      <c r="D186" s="26">
        <f ca="1">'Impacts A'!D186-'Impacts B'!D186</f>
        <v>0.23454081363161094</v>
      </c>
      <c r="E186" s="26">
        <f ca="1">'Impacts A'!E186-'Impacts B'!E186</f>
        <v>0.26806896510970546</v>
      </c>
      <c r="F186" s="26">
        <f ca="1">'Impacts A'!F186-'Impacts B'!F186</f>
        <v>1.8930799902082072</v>
      </c>
      <c r="G186" s="26">
        <f ca="1">'Impacts A'!G186-'Impacts B'!G186</f>
        <v>-14.65428651739785</v>
      </c>
      <c r="H186" s="26">
        <f ca="1">'Impacts A'!H186-'Impacts B'!H186</f>
        <v>-631.13587919913698</v>
      </c>
      <c r="I186" s="26">
        <f ca="1">'Impacts A'!I186-'Impacts B'!I186</f>
        <v>-1069.3787250740861</v>
      </c>
      <c r="J186" s="26">
        <f ca="1">'Impacts A'!J186-'Impacts B'!J186</f>
        <v>-961.60725323036604</v>
      </c>
      <c r="K186" s="26">
        <f ca="1">'Impacts A'!K186-'Impacts B'!K186</f>
        <v>-738.09488389607577</v>
      </c>
      <c r="L186" s="26">
        <f ca="1">'Impacts A'!L186-'Impacts B'!L186</f>
        <v>-359.42807803407777</v>
      </c>
      <c r="M186" s="6"/>
      <c r="N186" s="1" t="str">
        <f t="shared" si="3"/>
        <v>$M(2015)/million</v>
      </c>
      <c r="O186" s="1"/>
    </row>
    <row r="187" spans="1:15" x14ac:dyDescent="0.2">
      <c r="A187" t="str">
        <v>EE sea level</v>
      </c>
      <c r="C187" s="26">
        <f ca="1">'Impacts A'!C187-'Impacts B'!C187</f>
        <v>2.9038208007477806E-2</v>
      </c>
      <c r="D187" s="26">
        <f ca="1">'Impacts A'!D187-'Impacts B'!D187</f>
        <v>7.8039337986410828E-2</v>
      </c>
      <c r="E187" s="26">
        <f ca="1">'Impacts A'!E187-'Impacts B'!E187</f>
        <v>9.4711936508247163E-2</v>
      </c>
      <c r="F187" s="26">
        <f ca="1">'Impacts A'!F187-'Impacts B'!F187</f>
        <v>0.7217025242280215</v>
      </c>
      <c r="G187" s="26">
        <f ca="1">'Impacts A'!G187-'Impacts B'!G187</f>
        <v>-156.85784579744359</v>
      </c>
      <c r="H187" s="26">
        <f ca="1">'Impacts A'!H187-'Impacts B'!H187</f>
        <v>-1210.5366614719605</v>
      </c>
      <c r="I187" s="26">
        <f ca="1">'Impacts A'!I187-'Impacts B'!I187</f>
        <v>-1635.9361793922799</v>
      </c>
      <c r="J187" s="26">
        <f ca="1">'Impacts A'!J187-'Impacts B'!J187</f>
        <v>-1448.2761145346885</v>
      </c>
      <c r="K187" s="26">
        <f ca="1">'Impacts A'!K187-'Impacts B'!K187</f>
        <v>-1196.1255291279667</v>
      </c>
      <c r="L187" s="26">
        <f ca="1">'Impacts A'!L187-'Impacts B'!L187</f>
        <v>-942.70173569800681</v>
      </c>
      <c r="M187" s="6"/>
      <c r="N187" s="1" t="str">
        <f t="shared" si="3"/>
        <v>$M(2015)/million</v>
      </c>
      <c r="O187" s="1"/>
    </row>
    <row r="188" spans="1:15" x14ac:dyDescent="0.2">
      <c r="A188" t="str">
        <v>CA sea level</v>
      </c>
      <c r="C188" s="26">
        <f ca="1">'Impacts A'!C188-'Impacts B'!C188</f>
        <v>5.5440794829337392E-2</v>
      </c>
      <c r="D188" s="26">
        <f ca="1">'Impacts A'!D188-'Impacts B'!D188</f>
        <v>0.16578318109168322</v>
      </c>
      <c r="E188" s="26">
        <f ca="1">'Impacts A'!E188-'Impacts B'!E188</f>
        <v>0.2183487915135629</v>
      </c>
      <c r="F188" s="26">
        <f ca="1">'Impacts A'!F188-'Impacts B'!F188</f>
        <v>1.8912038133566966</v>
      </c>
      <c r="G188" s="26">
        <f ca="1">'Impacts A'!G188-'Impacts B'!G188</f>
        <v>-30.868011686907266</v>
      </c>
      <c r="H188" s="26">
        <f ca="1">'Impacts A'!H188-'Impacts B'!H188</f>
        <v>-438.17244622261205</v>
      </c>
      <c r="I188" s="26">
        <f ca="1">'Impacts A'!I188-'Impacts B'!I188</f>
        <v>-708.83885231177555</v>
      </c>
      <c r="J188" s="26">
        <f ca="1">'Impacts A'!J188-'Impacts B'!J188</f>
        <v>-614.49859571662091</v>
      </c>
      <c r="K188" s="26">
        <f ca="1">'Impacts A'!K188-'Impacts B'!K188</f>
        <v>-397.74389833967143</v>
      </c>
      <c r="L188" s="26">
        <f ca="1">'Impacts A'!L188-'Impacts B'!L188</f>
        <v>-129.04862909426447</v>
      </c>
      <c r="M188" s="6"/>
      <c r="N188" s="1" t="str">
        <f t="shared" si="3"/>
        <v>$M(2015)/million</v>
      </c>
      <c r="O188" s="1"/>
    </row>
    <row r="189" spans="1:15" x14ac:dyDescent="0.2">
      <c r="A189" t="str">
        <v>IA sea level</v>
      </c>
      <c r="C189" s="26">
        <f ca="1">'Impacts A'!C189-'Impacts B'!C189</f>
        <v>2.9753328433798742E-2</v>
      </c>
      <c r="D189" s="26">
        <f ca="1">'Impacts A'!D189-'Impacts B'!D189</f>
        <v>8.6915925196080934E-2</v>
      </c>
      <c r="E189" s="26">
        <f ca="1">'Impacts A'!E189-'Impacts B'!E189</f>
        <v>0.11453201514450484</v>
      </c>
      <c r="F189" s="26">
        <f ca="1">'Impacts A'!F189-'Impacts B'!F189</f>
        <v>1.0451796360612207</v>
      </c>
      <c r="G189" s="26">
        <f ca="1">'Impacts A'!G189-'Impacts B'!G189</f>
        <v>-34.794649403585936</v>
      </c>
      <c r="H189" s="26">
        <f ca="1">'Impacts A'!H189-'Impacts B'!H189</f>
        <v>-262.79031743076484</v>
      </c>
      <c r="I189" s="26">
        <f ca="1">'Impacts A'!I189-'Impacts B'!I189</f>
        <v>-395.22681001078308</v>
      </c>
      <c r="J189" s="26">
        <f ca="1">'Impacts A'!J189-'Impacts B'!J189</f>
        <v>-348.94752307288582</v>
      </c>
      <c r="K189" s="26">
        <f ca="1">'Impacts A'!K189-'Impacts B'!K189</f>
        <v>-214.52831470109231</v>
      </c>
      <c r="L189" s="26">
        <f ca="1">'Impacts A'!L189-'Impacts B'!L189</f>
        <v>14.566929204040207</v>
      </c>
      <c r="M189" s="6"/>
      <c r="N189" s="1" t="str">
        <f t="shared" si="3"/>
        <v>$M(2015)/million</v>
      </c>
      <c r="O189" s="1"/>
    </row>
    <row r="190" spans="1:15" x14ac:dyDescent="0.2">
      <c r="A190" t="str">
        <v>AF sea level</v>
      </c>
      <c r="C190" s="26">
        <f ca="1">'Impacts A'!C190-'Impacts B'!C190</f>
        <v>1.8756390069938789E-2</v>
      </c>
      <c r="D190" s="26">
        <f ca="1">'Impacts A'!D190-'Impacts B'!D190</f>
        <v>5.1254337548925832E-2</v>
      </c>
      <c r="E190" s="26">
        <f ca="1">'Impacts A'!E190-'Impacts B'!E190</f>
        <v>6.481139899824484E-2</v>
      </c>
      <c r="F190" s="26">
        <f ca="1">'Impacts A'!F190-'Impacts B'!F190</f>
        <v>0.57442481049838534</v>
      </c>
      <c r="G190" s="26">
        <f ca="1">'Impacts A'!G190-'Impacts B'!G190</f>
        <v>-91.520101418365812</v>
      </c>
      <c r="H190" s="26">
        <f ca="1">'Impacts A'!H190-'Impacts B'!H190</f>
        <v>-834.22785011810265</v>
      </c>
      <c r="I190" s="26">
        <f ca="1">'Impacts A'!I190-'Impacts B'!I190</f>
        <v>-1092.2504619473475</v>
      </c>
      <c r="J190" s="26">
        <f ca="1">'Impacts A'!J190-'Impacts B'!J190</f>
        <v>-947.77258278175577</v>
      </c>
      <c r="K190" s="26">
        <f ca="1">'Impacts A'!K190-'Impacts B'!K190</f>
        <v>-717.95814650045941</v>
      </c>
      <c r="L190" s="26">
        <f ca="1">'Impacts A'!L190-'Impacts B'!L190</f>
        <v>-455.49589039295097</v>
      </c>
      <c r="M190" s="6"/>
      <c r="N190" s="1" t="str">
        <f t="shared" si="3"/>
        <v>$M(2015)/million</v>
      </c>
      <c r="O190" s="1"/>
    </row>
    <row r="191" spans="1:15" x14ac:dyDescent="0.2">
      <c r="A191" t="str">
        <v>LA sea level</v>
      </c>
      <c r="C191" s="26">
        <f ca="1">'Impacts A'!C191-'Impacts B'!C191</f>
        <v>3.4650405454158317E-2</v>
      </c>
      <c r="D191" s="26">
        <f ca="1">'Impacts A'!D191-'Impacts B'!D191</f>
        <v>9.3142489555248176E-2</v>
      </c>
      <c r="E191" s="26">
        <f ca="1">'Impacts A'!E191-'Impacts B'!E191</f>
        <v>0.11488194456978817</v>
      </c>
      <c r="F191" s="26">
        <f ca="1">'Impacts A'!F191-'Impacts B'!F191</f>
        <v>0.97131416836054996</v>
      </c>
      <c r="G191" s="26">
        <f ca="1">'Impacts A'!G191-'Impacts B'!G191</f>
        <v>-8.9117277271652711</v>
      </c>
      <c r="H191" s="26">
        <f ca="1">'Impacts A'!H191-'Impacts B'!H191</f>
        <v>-390.6811417213903</v>
      </c>
      <c r="I191" s="26">
        <f ca="1">'Impacts A'!I191-'Impacts B'!I191</f>
        <v>-764.33525813213782</v>
      </c>
      <c r="J191" s="26">
        <f ca="1">'Impacts A'!J191-'Impacts B'!J191</f>
        <v>-888.26943480932096</v>
      </c>
      <c r="K191" s="26">
        <f ca="1">'Impacts A'!K191-'Impacts B'!K191</f>
        <v>-754.38034845948278</v>
      </c>
      <c r="L191" s="26">
        <f ca="1">'Impacts A'!L191-'Impacts B'!L191</f>
        <v>-688.684946182766</v>
      </c>
      <c r="M191" s="6"/>
      <c r="N191" s="1" t="str">
        <f t="shared" si="3"/>
        <v>$M(2015)/million</v>
      </c>
      <c r="O191" s="1"/>
    </row>
    <row r="192" spans="1:15" s="2" customFormat="1" ht="14.25" x14ac:dyDescent="0.25">
      <c r="A192" s="2" t="s">
        <v>228</v>
      </c>
      <c r="C192" s="2" t="s">
        <v>229</v>
      </c>
    </row>
    <row r="193" spans="1:15" x14ac:dyDescent="0.2">
      <c r="A193" t="str">
        <f t="array" ref="A193:A200">R_CODE&amp;" sea level"</f>
        <v>EU sea level</v>
      </c>
      <c r="C193" s="29">
        <f ca="1">'Impacts A'!C193-'Impacts B'!C193</f>
        <v>0.14546179861645214</v>
      </c>
      <c r="D193" s="29">
        <f ca="1">'Impacts A'!D193-'Impacts B'!D193</f>
        <v>0.36670154867169913</v>
      </c>
      <c r="E193" s="29">
        <f ca="1">'Impacts A'!E193-'Impacts B'!E193</f>
        <v>0.41927464602485998</v>
      </c>
      <c r="F193" s="29">
        <f ca="1">'Impacts A'!F193-'Impacts B'!F193</f>
        <v>2.9503915315290214</v>
      </c>
      <c r="G193" s="29">
        <f ca="1">'Impacts A'!G193-'Impacts B'!G193</f>
        <v>-5.8353688051138306</v>
      </c>
      <c r="H193" s="29">
        <f ca="1">'Impacts A'!H193-'Impacts B'!H193</f>
        <v>-314.7065708917944</v>
      </c>
      <c r="I193" s="29">
        <f ca="1">'Impacts A'!I193-'Impacts B'!I193</f>
        <v>-540.7968027585448</v>
      </c>
      <c r="J193" s="29">
        <f ca="1">'Impacts A'!J193-'Impacts B'!J193</f>
        <v>-441.20518469563103</v>
      </c>
      <c r="K193" s="29">
        <f ca="1">'Impacts A'!K193-'Impacts B'!K193</f>
        <v>-239.81980870978441</v>
      </c>
      <c r="L193" s="29">
        <f ca="1">'Impacts A'!L193-'Impacts B'!L193</f>
        <v>216.2912124794093</v>
      </c>
      <c r="M193" s="6"/>
      <c r="N193" s="1" t="str">
        <f t="shared" ref="N193:N200" si="4">CURRENCY_NAME&amp;"/"&amp;POP_UNIT_NAME</f>
        <v>$M(2015)/million</v>
      </c>
      <c r="O193" s="1"/>
    </row>
    <row r="194" spans="1:15" x14ac:dyDescent="0.2">
      <c r="A194" t="str">
        <v>US sea level</v>
      </c>
      <c r="C194" s="26">
        <f ca="1">'Impacts A'!C194-'Impacts B'!C194</f>
        <v>0.14872927975375205</v>
      </c>
      <c r="D194" s="26">
        <f ca="1">'Impacts A'!D194-'Impacts B'!D194</f>
        <v>0.36722550266858889</v>
      </c>
      <c r="E194" s="26">
        <f ca="1">'Impacts A'!E194-'Impacts B'!E194</f>
        <v>0.41090423779678531</v>
      </c>
      <c r="F194" s="26">
        <f ca="1">'Impacts A'!F194-'Impacts B'!F194</f>
        <v>2.7845982328581158</v>
      </c>
      <c r="G194" s="26">
        <f ca="1">'Impacts A'!G194-'Impacts B'!G194</f>
        <v>-41.801383588826866</v>
      </c>
      <c r="H194" s="26">
        <f ca="1">'Impacts A'!H194-'Impacts B'!H194</f>
        <v>-953.92473971852451</v>
      </c>
      <c r="I194" s="26">
        <f ca="1">'Impacts A'!I194-'Impacts B'!I194</f>
        <v>-1362.7107612399413</v>
      </c>
      <c r="J194" s="26">
        <f ca="1">'Impacts A'!J194-'Impacts B'!J194</f>
        <v>-1099.1216695572075</v>
      </c>
      <c r="K194" s="26">
        <f ca="1">'Impacts A'!K194-'Impacts B'!K194</f>
        <v>-674.0520674996078</v>
      </c>
      <c r="L194" s="26">
        <f ca="1">'Impacts A'!L194-'Impacts B'!L194</f>
        <v>-142.54458819678985</v>
      </c>
      <c r="M194" s="6"/>
      <c r="N194" s="1" t="str">
        <f t="shared" si="4"/>
        <v>$M(2015)/million</v>
      </c>
      <c r="O194" s="1"/>
    </row>
    <row r="195" spans="1:15" x14ac:dyDescent="0.2">
      <c r="A195" t="str">
        <v>OT sea level</v>
      </c>
      <c r="C195" s="26">
        <f ca="1">'Impacts A'!C195-'Impacts B'!C195</f>
        <v>0.10996163278468885</v>
      </c>
      <c r="D195" s="26">
        <f ca="1">'Impacts A'!D195-'Impacts B'!D195</f>
        <v>0.2759303689817898</v>
      </c>
      <c r="E195" s="26">
        <f ca="1">'Impacts A'!E195-'Impacts B'!E195</f>
        <v>0.31537525307066971</v>
      </c>
      <c r="F195" s="26">
        <f ca="1">'Impacts A'!F195-'Impacts B'!F195</f>
        <v>2.2271529296558583</v>
      </c>
      <c r="G195" s="26">
        <f ca="1">'Impacts A'!G195-'Impacts B'!G195</f>
        <v>-17.24033707928902</v>
      </c>
      <c r="H195" s="26">
        <f ca="1">'Impacts A'!H195-'Impacts B'!H195</f>
        <v>-742.51279905780393</v>
      </c>
      <c r="I195" s="26">
        <f ca="1">'Impacts A'!I195-'Impacts B'!I195</f>
        <v>-1258.0926177342189</v>
      </c>
      <c r="J195" s="26">
        <f ca="1">'Impacts A'!J195-'Impacts B'!J195</f>
        <v>-1131.3026508592447</v>
      </c>
      <c r="K195" s="26">
        <f ca="1">'Impacts A'!K195-'Impacts B'!K195</f>
        <v>-868.34692223067395</v>
      </c>
      <c r="L195" s="26">
        <f ca="1">'Impacts A'!L195-'Impacts B'!L195</f>
        <v>-422.85656239301898</v>
      </c>
      <c r="M195" s="6"/>
      <c r="N195" s="1" t="str">
        <f t="shared" si="4"/>
        <v>$M(2015)/million</v>
      </c>
      <c r="O195" s="1"/>
    </row>
    <row r="196" spans="1:15" x14ac:dyDescent="0.2">
      <c r="A196" t="str">
        <v>EE sea level</v>
      </c>
      <c r="C196" s="26">
        <f ca="1">'Impacts A'!C196-'Impacts B'!C196</f>
        <v>3.416259765799623E-2</v>
      </c>
      <c r="D196" s="26">
        <f ca="1">'Impacts A'!D196-'Impacts B'!D196</f>
        <v>9.1810985868505668E-2</v>
      </c>
      <c r="E196" s="26">
        <f ca="1">'Impacts A'!E196-'Impacts B'!E196</f>
        <v>0.11142580765590537</v>
      </c>
      <c r="F196" s="26">
        <f ca="1">'Impacts A'!F196-'Impacts B'!F196</f>
        <v>0.84906179320387309</v>
      </c>
      <c r="G196" s="26">
        <f ca="1">'Impacts A'!G196-'Impacts B'!G196</f>
        <v>-184.53864211463952</v>
      </c>
      <c r="H196" s="26">
        <f ca="1">'Impacts A'!H196-'Impacts B'!H196</f>
        <v>-1424.1607782023057</v>
      </c>
      <c r="I196" s="26">
        <f ca="1">'Impacts A'!I196-'Impacts B'!I196</f>
        <v>-1924.6307992850343</v>
      </c>
      <c r="J196" s="26">
        <f ca="1">'Impacts A'!J196-'Impacts B'!J196</f>
        <v>-1703.8542523937504</v>
      </c>
      <c r="K196" s="26">
        <f ca="1">'Impacts A'!K196-'Impacts B'!K196</f>
        <v>-1407.20650485644</v>
      </c>
      <c r="L196" s="26">
        <f ca="1">'Impacts A'!L196-'Impacts B'!L196</f>
        <v>-1109.0608655270771</v>
      </c>
      <c r="M196" s="6"/>
      <c r="N196" s="1" t="str">
        <f t="shared" si="4"/>
        <v>$M(2015)/million</v>
      </c>
      <c r="O196" s="1"/>
    </row>
    <row r="197" spans="1:15" x14ac:dyDescent="0.2">
      <c r="A197" t="str">
        <v>CA sea level</v>
      </c>
      <c r="C197" s="26">
        <f ca="1">'Impacts A'!C197-'Impacts B'!C197</f>
        <v>6.5224464506172808E-2</v>
      </c>
      <c r="D197" s="26">
        <f ca="1">'Impacts A'!D197-'Impacts B'!D197</f>
        <v>0.19503903657823685</v>
      </c>
      <c r="E197" s="26">
        <f ca="1">'Impacts A'!E197-'Impacts B'!E197</f>
        <v>0.25688093119242694</v>
      </c>
      <c r="F197" s="26">
        <f ca="1">'Impacts A'!F197-'Impacts B'!F197</f>
        <v>2.2249456627760082</v>
      </c>
      <c r="G197" s="26">
        <f ca="1">'Impacts A'!G197-'Impacts B'!G197</f>
        <v>-36.315307866942021</v>
      </c>
      <c r="H197" s="26">
        <f ca="1">'Impacts A'!H197-'Impacts B'!H197</f>
        <v>-515.49699555602274</v>
      </c>
      <c r="I197" s="26">
        <f ca="1">'Impacts A'!I197-'Impacts B'!I197</f>
        <v>-833.92806154326536</v>
      </c>
      <c r="J197" s="26">
        <f ca="1">'Impacts A'!J197-'Impacts B'!J197</f>
        <v>-722.93952437248663</v>
      </c>
      <c r="K197" s="26">
        <f ca="1">'Impacts A'!K197-'Impacts B'!K197</f>
        <v>-467.9339980466757</v>
      </c>
      <c r="L197" s="26">
        <f ca="1">'Impacts A'!L197-'Impacts B'!L197</f>
        <v>-151.82191658148076</v>
      </c>
      <c r="M197" s="6"/>
      <c r="N197" s="1" t="str">
        <f t="shared" si="4"/>
        <v>$M(2015)/million</v>
      </c>
      <c r="O197" s="1"/>
    </row>
    <row r="198" spans="1:15" x14ac:dyDescent="0.2">
      <c r="A198" t="str">
        <v>IA sea level</v>
      </c>
      <c r="C198" s="26">
        <f ca="1">'Impacts A'!C198-'Impacts B'!C198</f>
        <v>3.5003915804736607E-2</v>
      </c>
      <c r="D198" s="26">
        <f ca="1">'Impacts A'!D198-'Impacts B'!D198</f>
        <v>0.10225402964351815</v>
      </c>
      <c r="E198" s="26">
        <f ca="1">'Impacts A'!E198-'Impacts B'!E198</f>
        <v>0.13474354722711723</v>
      </c>
      <c r="F198" s="26">
        <f ca="1">'Impacts A'!F198-'Impacts B'!F198</f>
        <v>1.2296231012478529</v>
      </c>
      <c r="G198" s="26">
        <f ca="1">'Impacts A'!G198-'Impacts B'!G198</f>
        <v>-40.934881651279284</v>
      </c>
      <c r="H198" s="26">
        <f ca="1">'Impacts A'!H198-'Impacts B'!H198</f>
        <v>-309.16507933031244</v>
      </c>
      <c r="I198" s="26">
        <f ca="1">'Impacts A'!I198-'Impacts B'!I198</f>
        <v>-464.97271765974438</v>
      </c>
      <c r="J198" s="26">
        <f ca="1">'Impacts A'!J198-'Impacts B'!J198</f>
        <v>-410.52649773280427</v>
      </c>
      <c r="K198" s="26">
        <f ca="1">'Impacts A'!K198-'Impacts B'!K198</f>
        <v>-252.38625258952379</v>
      </c>
      <c r="L198" s="26">
        <f ca="1">'Impacts A'!L198-'Impacts B'!L198</f>
        <v>17.137563769458211</v>
      </c>
      <c r="M198" s="6"/>
      <c r="N198" s="1" t="str">
        <f t="shared" si="4"/>
        <v>$M(2015)/million</v>
      </c>
      <c r="O198" s="1"/>
    </row>
    <row r="199" spans="1:15" x14ac:dyDescent="0.2">
      <c r="A199" t="str">
        <v>AF sea level</v>
      </c>
      <c r="C199" s="26">
        <f ca="1">'Impacts A'!C199-'Impacts B'!C199</f>
        <v>2.2066341259233013E-2</v>
      </c>
      <c r="D199" s="26">
        <f ca="1">'Impacts A'!D199-'Impacts B'!D199</f>
        <v>6.0299220645902096E-2</v>
      </c>
      <c r="E199" s="26">
        <f ca="1">'Impacts A'!E199-'Impacts B'!E199</f>
        <v>7.6248704703175463E-2</v>
      </c>
      <c r="F199" s="26">
        <f ca="1">'Impacts A'!F199-'Impacts B'!F199</f>
        <v>0.67579389470483875</v>
      </c>
      <c r="G199" s="26">
        <f ca="1">'Impacts A'!G199-'Impacts B'!G199</f>
        <v>-107.67070755102031</v>
      </c>
      <c r="H199" s="26">
        <f ca="1">'Impacts A'!H199-'Impacts B'!H199</f>
        <v>-981.44452955071029</v>
      </c>
      <c r="I199" s="26">
        <f ca="1">'Impacts A'!I199-'Impacts B'!I199</f>
        <v>-1285.0005434674677</v>
      </c>
      <c r="J199" s="26">
        <f ca="1">'Impacts A'!J199-'Impacts B'!J199</f>
        <v>-1115.0265679785371</v>
      </c>
      <c r="K199" s="26">
        <f ca="1">'Impacts A'!K199-'Impacts B'!K199</f>
        <v>-844.65664294171438</v>
      </c>
      <c r="L199" s="26">
        <f ca="1">'Impacts A'!L199-'Impacts B'!L199</f>
        <v>-535.87751810935151</v>
      </c>
      <c r="M199" s="6"/>
      <c r="N199" s="1" t="str">
        <f t="shared" si="4"/>
        <v>$M(2015)/million</v>
      </c>
      <c r="O199" s="1"/>
    </row>
    <row r="200" spans="1:15" x14ac:dyDescent="0.2">
      <c r="A200" t="str">
        <v>LA sea level</v>
      </c>
      <c r="C200" s="26">
        <f ca="1">'Impacts A'!C200-'Impacts B'!C200</f>
        <v>4.0765182888208074E-2</v>
      </c>
      <c r="D200" s="26">
        <f ca="1">'Impacts A'!D200-'Impacts B'!D200</f>
        <v>0.10957939947547857</v>
      </c>
      <c r="E200" s="26">
        <f ca="1">'Impacts A'!E200-'Impacts B'!E200</f>
        <v>0.13515522890884313</v>
      </c>
      <c r="F200" s="26">
        <f ca="1">'Impacts A'!F200-'Impacts B'!F200</f>
        <v>1.1427225510124117</v>
      </c>
      <c r="G200" s="26">
        <f ca="1">'Impacts A'!G200-'Impacts B'!G200</f>
        <v>-10.484385561372619</v>
      </c>
      <c r="H200" s="26">
        <f ca="1">'Impacts A'!H200-'Impacts B'!H200</f>
        <v>-459.62487261339993</v>
      </c>
      <c r="I200" s="26">
        <f ca="1">'Impacts A'!I200-'Impacts B'!I200</f>
        <v>-899.21795074368129</v>
      </c>
      <c r="J200" s="26">
        <f ca="1">'Impacts A'!J200-'Impacts B'!J200</f>
        <v>-1045.0228644815506</v>
      </c>
      <c r="K200" s="26">
        <f ca="1">'Impacts A'!K200-'Impacts B'!K200</f>
        <v>-887.50629230527557</v>
      </c>
      <c r="L200" s="26">
        <f ca="1">'Impacts A'!L200-'Impacts B'!L200</f>
        <v>-810.21758374443743</v>
      </c>
      <c r="M200" s="6"/>
      <c r="N200" s="1" t="str">
        <f t="shared" si="4"/>
        <v>$M(2015)/million</v>
      </c>
      <c r="O200" s="1"/>
    </row>
    <row r="201" spans="1:15" ht="14.25" x14ac:dyDescent="0.25">
      <c r="A201" s="2" t="s">
        <v>950</v>
      </c>
      <c r="C201" s="2" t="s">
        <v>714</v>
      </c>
      <c r="D201" s="6"/>
      <c r="E201" s="6"/>
      <c r="F201" s="6"/>
      <c r="G201" s="6"/>
      <c r="H201" s="6"/>
      <c r="I201" s="6"/>
      <c r="J201" s="6"/>
      <c r="K201" s="6"/>
      <c r="L201" s="6"/>
      <c r="M201" s="6"/>
      <c r="N201" s="1"/>
      <c r="O201" s="1"/>
    </row>
    <row r="202" spans="1:15" x14ac:dyDescent="0.2">
      <c r="A202" t="str">
        <f t="array" ref="A202:A209">R_CODE&amp;" "&amp;I_1_NAME</f>
        <v>EU Economic</v>
      </c>
      <c r="C202" s="29">
        <f ca="1">'Impacts A'!C202-'Impacts B'!C202</f>
        <v>4.9067252426852372E-4</v>
      </c>
      <c r="D202" s="29">
        <f ca="1">'Impacts A'!D202-'Impacts B'!D202</f>
        <v>2.8878581658628617E-4</v>
      </c>
      <c r="E202" s="29">
        <f ca="1">'Impacts A'!E202-'Impacts B'!E202</f>
        <v>-1.6868182676754023E-4</v>
      </c>
      <c r="F202" s="29">
        <f ca="1">'Impacts A'!F202-'Impacts B'!F202</f>
        <v>2.8807553323434432E-5</v>
      </c>
      <c r="G202" s="29">
        <f ca="1">'Impacts A'!G202-'Impacts B'!G202</f>
        <v>9.4206399763874238E-6</v>
      </c>
      <c r="H202" s="29">
        <f ca="1">'Impacts A'!H202-'Impacts B'!H202</f>
        <v>5.5258830893824967E-4</v>
      </c>
      <c r="I202" s="29">
        <f ca="1">'Impacts A'!I202-'Impacts B'!I202</f>
        <v>2.0701802474493505E-3</v>
      </c>
      <c r="J202" s="29">
        <f ca="1">'Impacts A'!J202-'Impacts B'!J202</f>
        <v>4.470655053558481E-3</v>
      </c>
      <c r="K202" s="29">
        <f ca="1">'Impacts A'!K202-'Impacts B'!K202</f>
        <v>8.8446580840740932E-3</v>
      </c>
      <c r="L202" s="29">
        <f ca="1">'Impacts A'!L202-'Impacts B'!L202</f>
        <v>1.2950377242422591E-2</v>
      </c>
      <c r="M202" s="6"/>
      <c r="N202" s="59" t="s">
        <v>703</v>
      </c>
      <c r="O202" s="1"/>
    </row>
    <row r="203" spans="1:15" x14ac:dyDescent="0.2">
      <c r="A203" t="str">
        <v>US Economic</v>
      </c>
      <c r="C203" s="26">
        <f ca="1">'Impacts A'!C203-'Impacts B'!C203</f>
        <v>2.6127593947567179E-4</v>
      </c>
      <c r="D203" s="26">
        <f ca="1">'Impacts A'!D203-'Impacts B'!D203</f>
        <v>7.5546833774531308E-5</v>
      </c>
      <c r="E203" s="26">
        <f ca="1">'Impacts A'!E203-'Impacts B'!E203</f>
        <v>6.3577942207614958E-4</v>
      </c>
      <c r="F203" s="26">
        <f ca="1">'Impacts A'!F203-'Impacts B'!F203</f>
        <v>9.1307651865827483E-4</v>
      </c>
      <c r="G203" s="26">
        <f ca="1">'Impacts A'!G203-'Impacts B'!G203</f>
        <v>-2.4760047130569993E-4</v>
      </c>
      <c r="H203" s="26">
        <f ca="1">'Impacts A'!H203-'Impacts B'!H203</f>
        <v>4.0362403890765348E-3</v>
      </c>
      <c r="I203" s="26">
        <f ca="1">'Impacts A'!I203-'Impacts B'!I203</f>
        <v>1.1373479439456234E-2</v>
      </c>
      <c r="J203" s="26">
        <f ca="1">'Impacts A'!J203-'Impacts B'!J203</f>
        <v>2.2134455675482331E-2</v>
      </c>
      <c r="K203" s="26">
        <f ca="1">'Impacts A'!K203-'Impacts B'!K203</f>
        <v>3.3774131382162648E-2</v>
      </c>
      <c r="L203" s="26">
        <f ca="1">'Impacts A'!L203-'Impacts B'!L203</f>
        <v>4.4946003558698364E-2</v>
      </c>
      <c r="M203" s="6"/>
      <c r="N203" s="59" t="s">
        <v>703</v>
      </c>
      <c r="O203" s="1"/>
    </row>
    <row r="204" spans="1:15" x14ac:dyDescent="0.2">
      <c r="A204" t="str">
        <v>OT Economic</v>
      </c>
      <c r="C204" s="26">
        <f ca="1">'Impacts A'!C204-'Impacts B'!C204</f>
        <v>-2.1606189758271999E-5</v>
      </c>
      <c r="D204" s="26">
        <f ca="1">'Impacts A'!D204-'Impacts B'!D204</f>
        <v>-1.2376076012999247E-4</v>
      </c>
      <c r="E204" s="26">
        <f ca="1">'Impacts A'!E204-'Impacts B'!E204</f>
        <v>1.1897403636499521E-5</v>
      </c>
      <c r="F204" s="26">
        <f ca="1">'Impacts A'!F204-'Impacts B'!F204</f>
        <v>3.9863916021973603E-4</v>
      </c>
      <c r="G204" s="26">
        <f ca="1">'Impacts A'!G204-'Impacts B'!G204</f>
        <v>2.5485505766580097E-4</v>
      </c>
      <c r="H204" s="26">
        <f ca="1">'Impacts A'!H204-'Impacts B'!H204</f>
        <v>4.2688335653426543E-3</v>
      </c>
      <c r="I204" s="26">
        <f ca="1">'Impacts A'!I204-'Impacts B'!I204</f>
        <v>9.093583923166719E-3</v>
      </c>
      <c r="J204" s="26">
        <f ca="1">'Impacts A'!J204-'Impacts B'!J204</f>
        <v>1.8965235715235708E-2</v>
      </c>
      <c r="K204" s="26">
        <f ca="1">'Impacts A'!K204-'Impacts B'!K204</f>
        <v>3.0159238152838573E-2</v>
      </c>
      <c r="L204" s="26">
        <f ca="1">'Impacts A'!L204-'Impacts B'!L204</f>
        <v>4.1199911238197856E-2</v>
      </c>
      <c r="M204" s="6"/>
      <c r="N204" s="59" t="s">
        <v>703</v>
      </c>
      <c r="O204" s="1"/>
    </row>
    <row r="205" spans="1:15" x14ac:dyDescent="0.2">
      <c r="A205" t="str">
        <v>EE Economic</v>
      </c>
      <c r="C205" s="26">
        <f ca="1">'Impacts A'!C205-'Impacts B'!C205</f>
        <v>1.1298214215511252E-3</v>
      </c>
      <c r="D205" s="26">
        <f ca="1">'Impacts A'!D205-'Impacts B'!D205</f>
        <v>8.0726828652506397E-4</v>
      </c>
      <c r="E205" s="26">
        <f ca="1">'Impacts A'!E205-'Impacts B'!E205</f>
        <v>-6.5824723535783808E-4</v>
      </c>
      <c r="F205" s="26">
        <f ca="1">'Impacts A'!F205-'Impacts B'!F205</f>
        <v>9.5477034584789955E-5</v>
      </c>
      <c r="G205" s="26">
        <f ca="1">'Impacts A'!G205-'Impacts B'!G205</f>
        <v>-5.4252240783303485E-4</v>
      </c>
      <c r="H205" s="26">
        <f ca="1">'Impacts A'!H205-'Impacts B'!H205</f>
        <v>-2.7713262947397857E-3</v>
      </c>
      <c r="I205" s="26">
        <f ca="1">'Impacts A'!I205-'Impacts B'!I205</f>
        <v>-4.0791066278768537E-3</v>
      </c>
      <c r="J205" s="26">
        <f ca="1">'Impacts A'!J205-'Impacts B'!J205</f>
        <v>-3.7068588767381755E-3</v>
      </c>
      <c r="K205" s="26">
        <f ca="1">'Impacts A'!K205-'Impacts B'!K205</f>
        <v>-9.8013444983336556E-4</v>
      </c>
      <c r="L205" s="26">
        <f ca="1">'Impacts A'!L205-'Impacts B'!L205</f>
        <v>1.6490412785203704E-3</v>
      </c>
      <c r="M205" s="6"/>
      <c r="N205" s="59" t="s">
        <v>703</v>
      </c>
      <c r="O205" s="1"/>
    </row>
    <row r="206" spans="1:15" x14ac:dyDescent="0.2">
      <c r="A206" t="str">
        <v>CA Economic</v>
      </c>
      <c r="C206" s="26">
        <f ca="1">'Impacts A'!C206-'Impacts B'!C206</f>
        <v>-3.2773307911050566E-4</v>
      </c>
      <c r="D206" s="26">
        <f ca="1">'Impacts A'!D206-'Impacts B'!D206</f>
        <v>2.9463917645784418E-5</v>
      </c>
      <c r="E206" s="26">
        <f ca="1">'Impacts A'!E206-'Impacts B'!E206</f>
        <v>8.014744691743278E-4</v>
      </c>
      <c r="F206" s="26">
        <f ca="1">'Impacts A'!F206-'Impacts B'!F206</f>
        <v>1.1012426952085978E-3</v>
      </c>
      <c r="G206" s="26">
        <f ca="1">'Impacts A'!G206-'Impacts B'!G206</f>
        <v>-3.2685543249071081E-4</v>
      </c>
      <c r="H206" s="26">
        <f ca="1">'Impacts A'!H206-'Impacts B'!H206</f>
        <v>6.8181222991627391E-3</v>
      </c>
      <c r="I206" s="26">
        <f ca="1">'Impacts A'!I206-'Impacts B'!I206</f>
        <v>1.8507300254134867E-2</v>
      </c>
      <c r="J206" s="26">
        <f ca="1">'Impacts A'!J206-'Impacts B'!J206</f>
        <v>3.0369556019857424E-2</v>
      </c>
      <c r="K206" s="26">
        <f ca="1">'Impacts A'!K206-'Impacts B'!K206</f>
        <v>4.6422896582827944E-2</v>
      </c>
      <c r="L206" s="26">
        <f ca="1">'Impacts A'!L206-'Impacts B'!L206</f>
        <v>6.1317507512184503E-2</v>
      </c>
      <c r="M206" s="6"/>
      <c r="N206" s="59" t="s">
        <v>703</v>
      </c>
      <c r="O206" s="1"/>
    </row>
    <row r="207" spans="1:15" x14ac:dyDescent="0.2">
      <c r="A207" t="str">
        <v>IA Economic</v>
      </c>
      <c r="C207" s="26">
        <f ca="1">'Impacts A'!C207-'Impacts B'!C207</f>
        <v>1.6828792636900021E-3</v>
      </c>
      <c r="D207" s="26">
        <f ca="1">'Impacts A'!D207-'Impacts B'!D207</f>
        <v>1.0830863380003348E-3</v>
      </c>
      <c r="E207" s="26">
        <f ca="1">'Impacts A'!E207-'Impacts B'!E207</f>
        <v>8.9365181947919509E-4</v>
      </c>
      <c r="F207" s="26">
        <f ca="1">'Impacts A'!F207-'Impacts B'!F207</f>
        <v>2.6042275815765271E-3</v>
      </c>
      <c r="G207" s="26">
        <f ca="1">'Impacts A'!G207-'Impacts B'!G207</f>
        <v>-1.9673924911653082E-3</v>
      </c>
      <c r="H207" s="26">
        <f ca="1">'Impacts A'!H207-'Impacts B'!H207</f>
        <v>1.3060793284489752E-2</v>
      </c>
      <c r="I207" s="26">
        <f ca="1">'Impacts A'!I207-'Impacts B'!I207</f>
        <v>3.2338554323650251E-2</v>
      </c>
      <c r="J207" s="26">
        <f ca="1">'Impacts A'!J207-'Impacts B'!J207</f>
        <v>5.7740874990947065E-2</v>
      </c>
      <c r="K207" s="26">
        <f ca="1">'Impacts A'!K207-'Impacts B'!K207</f>
        <v>8.3436423061839765E-2</v>
      </c>
      <c r="L207" s="26">
        <f ca="1">'Impacts A'!L207-'Impacts B'!L207</f>
        <v>0.10898256576749511</v>
      </c>
      <c r="M207" s="6"/>
      <c r="N207" s="59" t="s">
        <v>703</v>
      </c>
      <c r="O207" s="1"/>
    </row>
    <row r="208" spans="1:15" x14ac:dyDescent="0.2">
      <c r="A208" t="str">
        <v>AF Economic</v>
      </c>
      <c r="C208" s="26">
        <f ca="1">'Impacts A'!C208-'Impacts B'!C208</f>
        <v>9.0263386675915915E-4</v>
      </c>
      <c r="D208" s="26">
        <f ca="1">'Impacts A'!D208-'Impacts B'!D208</f>
        <v>1.4481371044843139E-3</v>
      </c>
      <c r="E208" s="26">
        <f ca="1">'Impacts A'!E208-'Impacts B'!E208</f>
        <v>8.2882150220838641E-5</v>
      </c>
      <c r="F208" s="26">
        <f ca="1">'Impacts A'!F208-'Impacts B'!F208</f>
        <v>2.7132269515547786E-3</v>
      </c>
      <c r="G208" s="26">
        <f ca="1">'Impacts A'!G208-'Impacts B'!G208</f>
        <v>-1.4190188225802272E-3</v>
      </c>
      <c r="H208" s="26">
        <f ca="1">'Impacts A'!H208-'Impacts B'!H208</f>
        <v>1.0131495220635112E-2</v>
      </c>
      <c r="I208" s="26">
        <f ca="1">'Impacts A'!I208-'Impacts B'!I208</f>
        <v>2.7960184314589957E-2</v>
      </c>
      <c r="J208" s="26">
        <f ca="1">'Impacts A'!J208-'Impacts B'!J208</f>
        <v>5.1206574175845378E-2</v>
      </c>
      <c r="K208" s="26">
        <f ca="1">'Impacts A'!K208-'Impacts B'!K208</f>
        <v>7.5519061555572892E-2</v>
      </c>
      <c r="L208" s="26">
        <f ca="1">'Impacts A'!L208-'Impacts B'!L208</f>
        <v>9.9934503934993341E-2</v>
      </c>
      <c r="M208" s="6"/>
      <c r="N208" s="59" t="s">
        <v>703</v>
      </c>
      <c r="O208" s="1"/>
    </row>
    <row r="209" spans="1:15" x14ac:dyDescent="0.2">
      <c r="A209" t="str">
        <v>LA Economic</v>
      </c>
      <c r="C209" s="26">
        <f ca="1">'Impacts A'!C209-'Impacts B'!C209</f>
        <v>3.0061751489938674E-3</v>
      </c>
      <c r="D209" s="26">
        <f ca="1">'Impacts A'!D209-'Impacts B'!D209</f>
        <v>9.4482089259124123E-4</v>
      </c>
      <c r="E209" s="26">
        <f ca="1">'Impacts A'!E209-'Impacts B'!E209</f>
        <v>2.8715011265537799E-4</v>
      </c>
      <c r="F209" s="26">
        <f ca="1">'Impacts A'!F209-'Impacts B'!F209</f>
        <v>2.9617595643894358E-3</v>
      </c>
      <c r="G209" s="26">
        <f ca="1">'Impacts A'!G209-'Impacts B'!G209</f>
        <v>-4.4284004794010318E-4</v>
      </c>
      <c r="H209" s="26">
        <f ca="1">'Impacts A'!H209-'Impacts B'!H209</f>
        <v>1.0533405568373726E-2</v>
      </c>
      <c r="I209" s="26">
        <f ca="1">'Impacts A'!I209-'Impacts B'!I209</f>
        <v>2.4908822819082944E-2</v>
      </c>
      <c r="J209" s="26">
        <f ca="1">'Impacts A'!J209-'Impacts B'!J209</f>
        <v>4.8045793876052512E-2</v>
      </c>
      <c r="K209" s="26">
        <f ca="1">'Impacts A'!K209-'Impacts B'!K209</f>
        <v>6.7012899265027875E-2</v>
      </c>
      <c r="L209" s="26">
        <f ca="1">'Impacts A'!L209-'Impacts B'!L209</f>
        <v>8.6814057025281527E-2</v>
      </c>
      <c r="M209" s="6"/>
      <c r="N209" s="59" t="s">
        <v>703</v>
      </c>
      <c r="O209" s="1"/>
    </row>
    <row r="210" spans="1:15" ht="14.25" x14ac:dyDescent="0.25">
      <c r="A210" s="2" t="s">
        <v>704</v>
      </c>
      <c r="C210" s="2" t="s">
        <v>702</v>
      </c>
      <c r="D210" s="6"/>
      <c r="E210" s="6"/>
      <c r="F210" s="6"/>
      <c r="G210" s="6"/>
      <c r="H210" s="6"/>
      <c r="I210" s="6"/>
      <c r="J210" s="6"/>
      <c r="K210" s="6"/>
      <c r="L210" s="6"/>
      <c r="M210" s="6"/>
      <c r="N210" s="1"/>
      <c r="O210" s="1"/>
    </row>
    <row r="211" spans="1:15" x14ac:dyDescent="0.2">
      <c r="A211" t="str">
        <f t="array" ref="A211:A218">R_CODE&amp;" "&amp;I_1_NAME</f>
        <v>EU Economic</v>
      </c>
      <c r="C211" s="29">
        <f ca="1">'Impacts A'!C211-'Impacts B'!C211</f>
        <v>-4.9164301828530377E-2</v>
      </c>
      <c r="D211" s="29">
        <f ca="1">'Impacts A'!D211-'Impacts B'!D211</f>
        <v>-2.895586463305122E-2</v>
      </c>
      <c r="E211" s="29">
        <f ca="1">'Impacts A'!E211-'Impacts B'!E211</f>
        <v>1.6925105327580958E-2</v>
      </c>
      <c r="F211" s="29">
        <f ca="1">'Impacts A'!F211-'Impacts B'!F211</f>
        <v>-2.8927726162475409E-3</v>
      </c>
      <c r="G211" s="29">
        <f ca="1">'Impacts A'!G211-'Impacts B'!G211</f>
        <v>-9.4618636223842145E-4</v>
      </c>
      <c r="H211" s="29">
        <f ca="1">'Impacts A'!H211-'Impacts B'!H211</f>
        <v>-5.548554500161007E-2</v>
      </c>
      <c r="I211" s="29">
        <f ca="1">'Impacts A'!I211-'Impacts B'!I211</f>
        <v>-0.20770965597782798</v>
      </c>
      <c r="J211" s="29">
        <f ca="1">'Impacts A'!J211-'Impacts B'!J211</f>
        <v>-0.44801868711442649</v>
      </c>
      <c r="K211" s="29">
        <f ca="1">'Impacts A'!K211-'Impacts B'!K211</f>
        <v>-0.88438652855969968</v>
      </c>
      <c r="L211" s="29">
        <f ca="1">'Impacts A'!L211-'Impacts B'!L211</f>
        <v>-1.2921129613911009</v>
      </c>
      <c r="M211" s="6"/>
      <c r="N211" s="59" t="s">
        <v>132</v>
      </c>
      <c r="O211" s="1"/>
    </row>
    <row r="212" spans="1:15" x14ac:dyDescent="0.2">
      <c r="A212" t="str">
        <v>US Economic</v>
      </c>
      <c r="C212" s="26">
        <f ca="1">'Impacts A'!C212-'Impacts B'!C212</f>
        <v>-2.6094127927323019E-2</v>
      </c>
      <c r="D212" s="26">
        <f ca="1">'Impacts A'!D212-'Impacts B'!D212</f>
        <v>-7.5387282884920026E-3</v>
      </c>
      <c r="E212" s="26">
        <f ca="1">'Impacts A'!E212-'Impacts B'!E212</f>
        <v>-6.3369857605344304E-2</v>
      </c>
      <c r="F212" s="26">
        <f ca="1">'Impacts A'!F212-'Impacts B'!F212</f>
        <v>-9.0711585251612714E-2</v>
      </c>
      <c r="G212" s="26">
        <f ca="1">'Impacts A'!G212-'Impacts B'!G212</f>
        <v>2.4499376751641044E-2</v>
      </c>
      <c r="H212" s="26">
        <f ca="1">'Impacts A'!H212-'Impacts B'!H212</f>
        <v>-0.39784592646794348</v>
      </c>
      <c r="I212" s="26">
        <f ca="1">'Impacts A'!I212-'Impacts B'!I212</f>
        <v>-1.1165691587120441</v>
      </c>
      <c r="J212" s="26">
        <f ca="1">'Impacts A'!J212-'Impacts B'!J212</f>
        <v>-2.164897392303522</v>
      </c>
      <c r="K212" s="26">
        <f ca="1">'Impacts A'!K212-'Impacts B'!K212</f>
        <v>-3.2892634656146895</v>
      </c>
      <c r="L212" s="26">
        <f ca="1">'Impacts A'!L212-'Impacts B'!L212</f>
        <v>-4.3557319675420869</v>
      </c>
      <c r="M212" s="6"/>
      <c r="N212" s="59" t="s">
        <v>132</v>
      </c>
      <c r="O212" s="1"/>
    </row>
    <row r="213" spans="1:15" x14ac:dyDescent="0.2">
      <c r="A213" t="str">
        <v>OT Economic</v>
      </c>
      <c r="C213" s="26">
        <f ca="1">'Impacts A'!C213-'Impacts B'!C213</f>
        <v>2.1600118015219216E-3</v>
      </c>
      <c r="D213" s="26">
        <f ca="1">'Impacts A'!D213-'Impacts B'!D213</f>
        <v>1.2369958998958985E-2</v>
      </c>
      <c r="E213" s="26">
        <f ca="1">'Impacts A'!E213-'Impacts B'!E213</f>
        <v>-1.1884358047220545E-3</v>
      </c>
      <c r="F213" s="26">
        <f ca="1">'Impacts A'!F213-'Impacts B'!F213</f>
        <v>-3.974627321138291E-2</v>
      </c>
      <c r="G213" s="26">
        <f ca="1">'Impacts A'!G213-'Impacts B'!G213</f>
        <v>-2.5341174991810878E-2</v>
      </c>
      <c r="H213" s="26">
        <f ca="1">'Impacts A'!H213-'Impacts B'!H213</f>
        <v>-0.42343270979995351</v>
      </c>
      <c r="I213" s="26">
        <f ca="1">'Impacts A'!I213-'Impacts B'!I213</f>
        <v>-0.8983220452814078</v>
      </c>
      <c r="J213" s="26">
        <f ca="1">'Impacts A'!J213-'Impacts B'!J213</f>
        <v>-1.8677892134897123</v>
      </c>
      <c r="K213" s="26">
        <f ca="1">'Impacts A'!K213-'Impacts B'!K213</f>
        <v>-2.9563403170036473</v>
      </c>
      <c r="L213" s="26">
        <f ca="1">'Impacts A'!L213-'Impacts B'!L213</f>
        <v>-4.0186521982036307</v>
      </c>
      <c r="M213" s="6"/>
      <c r="N213" s="59" t="s">
        <v>132</v>
      </c>
      <c r="O213" s="1"/>
    </row>
    <row r="214" spans="1:15" x14ac:dyDescent="0.2">
      <c r="A214" t="str">
        <v>EE Economic</v>
      </c>
      <c r="C214" s="26">
        <f ca="1">'Impacts A'!C214-'Impacts B'!C214</f>
        <v>-0.11369047104528018</v>
      </c>
      <c r="D214" s="26">
        <f ca="1">'Impacts A'!D214-'Impacts B'!D214</f>
        <v>-8.1504327130343945E-2</v>
      </c>
      <c r="E214" s="26">
        <f ca="1">'Impacts A'!E214-'Impacts B'!E214</f>
        <v>6.6575812936808809E-2</v>
      </c>
      <c r="F214" s="26">
        <f ca="1">'Impacts A'!F214-'Impacts B'!F214</f>
        <v>-9.7070645963537316E-3</v>
      </c>
      <c r="G214" s="26">
        <f ca="1">'Impacts A'!G214-'Impacts B'!G214</f>
        <v>5.5371801845849333E-2</v>
      </c>
      <c r="H214" s="26">
        <f ca="1">'Impacts A'!H214-'Impacts B'!H214</f>
        <v>0.28330838198398212</v>
      </c>
      <c r="I214" s="26">
        <f ca="1">'Impacts A'!I214-'Impacts B'!I214</f>
        <v>0.41719359021128444</v>
      </c>
      <c r="J214" s="26">
        <f ca="1">'Impacts A'!J214-'Impacts B'!J214</f>
        <v>0.37888443972713404</v>
      </c>
      <c r="K214" s="26">
        <f ca="1">'Impacts A'!K214-'Impacts B'!K214</f>
        <v>9.9942998766433533E-2</v>
      </c>
      <c r="L214" s="26">
        <f ca="1">'Impacts A'!L214-'Impacts B'!L214</f>
        <v>-0.16761530666711266</v>
      </c>
      <c r="M214" s="6"/>
      <c r="N214" s="59" t="s">
        <v>132</v>
      </c>
      <c r="O214" s="1"/>
    </row>
    <row r="215" spans="1:15" x14ac:dyDescent="0.2">
      <c r="A215" t="str">
        <v>CA Economic</v>
      </c>
      <c r="C215" s="26">
        <f ca="1">'Impacts A'!C215-'Impacts B'!C215</f>
        <v>3.2652483304873581E-2</v>
      </c>
      <c r="D215" s="26">
        <f ca="1">'Impacts A'!D215-'Impacts B'!D215</f>
        <v>-2.9290481233124055E-3</v>
      </c>
      <c r="E215" s="26">
        <f ca="1">'Impacts A'!E215-'Impacts B'!E215</f>
        <v>-7.9513715474166524E-2</v>
      </c>
      <c r="F215" s="26">
        <f ca="1">'Impacts A'!F215-'Impacts B'!F215</f>
        <v>-0.10874211609662732</v>
      </c>
      <c r="G215" s="26">
        <f ca="1">'Impacts A'!G215-'Impacts B'!G215</f>
        <v>3.2052229251611219E-2</v>
      </c>
      <c r="H215" s="26">
        <f ca="1">'Impacts A'!H215-'Impacts B'!H215</f>
        <v>-0.66621495184303603</v>
      </c>
      <c r="I215" s="26">
        <f ca="1">'Impacts A'!I215-'Impacts B'!I215</f>
        <v>-1.7991733587912617</v>
      </c>
      <c r="J215" s="26">
        <f ca="1">'Impacts A'!J215-'Impacts B'!J215</f>
        <v>-2.9369618103231798</v>
      </c>
      <c r="K215" s="26">
        <f ca="1">'Impacts A'!K215-'Impacts B'!K215</f>
        <v>-4.4598728638610137</v>
      </c>
      <c r="L215" s="26">
        <f ca="1">'Impacts A'!L215-'Impacts B'!L215</f>
        <v>-5.859471467860411</v>
      </c>
      <c r="M215" s="6"/>
      <c r="N215" s="59" t="s">
        <v>132</v>
      </c>
      <c r="O215" s="1"/>
    </row>
    <row r="216" spans="1:15" x14ac:dyDescent="0.2">
      <c r="A216" t="str">
        <v>IA Economic</v>
      </c>
      <c r="C216" s="26">
        <f ca="1">'Impacts A'!C216-'Impacts B'!C216</f>
        <v>-0.16695810183191551</v>
      </c>
      <c r="D216" s="26">
        <f ca="1">'Impacts A'!D216-'Impacts B'!D216</f>
        <v>-0.10692568817848302</v>
      </c>
      <c r="E216" s="26">
        <f ca="1">'Impacts A'!E216-'Impacts B'!E216</f>
        <v>-8.7825774967287273E-2</v>
      </c>
      <c r="F216" s="26">
        <f ca="1">'Impacts A'!F216-'Impacts B'!F216</f>
        <v>-0.25254347927022858</v>
      </c>
      <c r="G216" s="26">
        <f ca="1">'Impacts A'!G216-'Impacts B'!G216</f>
        <v>0.18764873426034878</v>
      </c>
      <c r="H216" s="26">
        <f ca="1">'Impacts A'!H216-'Impacts B'!H216</f>
        <v>-1.2348458104343596</v>
      </c>
      <c r="I216" s="26">
        <f ca="1">'Impacts A'!I216-'Impacts B'!I216</f>
        <v>-3.0225451646828221</v>
      </c>
      <c r="J216" s="26">
        <f ca="1">'Impacts A'!J216-'Impacts B'!J216</f>
        <v>-5.3525178469633339</v>
      </c>
      <c r="K216" s="26">
        <f ca="1">'Impacts A'!K216-'Impacts B'!K216</f>
        <v>-7.6514882962528841</v>
      </c>
      <c r="L216" s="26">
        <f ca="1">'Impacts A'!L216-'Impacts B'!L216</f>
        <v>-9.913489773544736</v>
      </c>
      <c r="M216" s="6"/>
      <c r="N216" s="59" t="s">
        <v>132</v>
      </c>
      <c r="O216" s="1"/>
    </row>
    <row r="217" spans="1:15" x14ac:dyDescent="0.2">
      <c r="A217" t="str">
        <v>AF Economic</v>
      </c>
      <c r="C217" s="26">
        <f ca="1">'Impacts A'!C217-'Impacts B'!C217</f>
        <v>-8.9960225998908516E-2</v>
      </c>
      <c r="D217" s="26">
        <f ca="1">'Impacts A'!D217-'Impacts B'!D217</f>
        <v>-0.1436295684960287</v>
      </c>
      <c r="E217" s="26">
        <f ca="1">'Impacts A'!E217-'Impacts B'!E217</f>
        <v>-8.1878446549166206E-3</v>
      </c>
      <c r="F217" s="26">
        <f ca="1">'Impacts A'!F217-'Impacts B'!F217</f>
        <v>-0.26508600971890672</v>
      </c>
      <c r="G217" s="26">
        <f ca="1">'Impacts A'!G217-'Impacts B'!G217</f>
        <v>0.13683897251555166</v>
      </c>
      <c r="H217" s="26">
        <f ca="1">'Impacts A'!H217-'Impacts B'!H217</f>
        <v>-0.96787772018813722</v>
      </c>
      <c r="I217" s="26">
        <f ca="1">'Impacts A'!I217-'Impacts B'!I217</f>
        <v>-2.647739456758103</v>
      </c>
      <c r="J217" s="26">
        <f ca="1">'Impacts A'!J217-'Impacts B'!J217</f>
        <v>-4.8151134000385847</v>
      </c>
      <c r="K217" s="26">
        <f ca="1">'Impacts A'!K217-'Impacts B'!K217</f>
        <v>-7.030742590447181</v>
      </c>
      <c r="L217" s="26">
        <f ca="1">'Impacts A'!L217-'Impacts B'!L217</f>
        <v>-9.227780097487015</v>
      </c>
      <c r="M217" s="6"/>
      <c r="N217" s="59" t="s">
        <v>132</v>
      </c>
      <c r="O217" s="1"/>
    </row>
    <row r="218" spans="1:15" x14ac:dyDescent="0.2">
      <c r="A218" t="str">
        <v>LA Economic</v>
      </c>
      <c r="C218" s="26">
        <f ca="1">'Impacts A'!C218-'Impacts B'!C218</f>
        <v>-0.29841992901383785</v>
      </c>
      <c r="D218" s="26">
        <f ca="1">'Impacts A'!D218-'Impacts B'!D218</f>
        <v>-9.3525509541891871E-2</v>
      </c>
      <c r="E218" s="26">
        <f ca="1">'Impacts A'!E218-'Impacts B'!E218</f>
        <v>-2.83016317395135E-2</v>
      </c>
      <c r="F218" s="26">
        <f ca="1">'Impacts A'!F218-'Impacts B'!F218</f>
        <v>-0.28885713472186492</v>
      </c>
      <c r="G218" s="26">
        <f ca="1">'Impacts A'!G218-'Impacts B'!G218</f>
        <v>4.2728442197548233E-2</v>
      </c>
      <c r="H218" s="26">
        <f ca="1">'Impacts A'!H218-'Impacts B'!H218</f>
        <v>-1.0084655993659148</v>
      </c>
      <c r="I218" s="26">
        <f ca="1">'Impacts A'!I218-'Impacts B'!I218</f>
        <v>-2.3626222508394519</v>
      </c>
      <c r="J218" s="26">
        <f ca="1">'Impacts A'!J218-'Impacts B'!J218</f>
        <v>-4.5291979505697526</v>
      </c>
      <c r="K218" s="26">
        <f ca="1">'Impacts A'!K218-'Impacts B'!K218</f>
        <v>-6.2694276664102446</v>
      </c>
      <c r="L218" s="26">
        <f ca="1">'Impacts A'!L218-'Impacts B'!L218</f>
        <v>-8.0641924852253855</v>
      </c>
      <c r="M218" s="6"/>
      <c r="N218" s="59" t="s">
        <v>132</v>
      </c>
      <c r="O218" s="1"/>
    </row>
    <row r="219" spans="1:15" s="2" customFormat="1" ht="14.25" x14ac:dyDescent="0.25">
      <c r="A219" s="2" t="s">
        <v>705</v>
      </c>
      <c r="C219" s="2" t="s">
        <v>701</v>
      </c>
    </row>
    <row r="220" spans="1:15" x14ac:dyDescent="0.2">
      <c r="A220" t="str">
        <f t="array" ref="A220:A227">R_CODE&amp;" "&amp;I_1_NAME</f>
        <v>EU Economic</v>
      </c>
      <c r="C220" s="29">
        <f>'Impacts A'!C220-'Impacts B'!C220</f>
        <v>0</v>
      </c>
      <c r="D220" s="29">
        <f>'Impacts A'!D220-'Impacts B'!D220</f>
        <v>0</v>
      </c>
      <c r="E220" s="29">
        <f>'Impacts A'!E220-'Impacts B'!E220</f>
        <v>0</v>
      </c>
      <c r="F220" s="29">
        <f>'Impacts A'!F220-'Impacts B'!F220</f>
        <v>0</v>
      </c>
      <c r="G220" s="29">
        <f>'Impacts A'!G220-'Impacts B'!G220</f>
        <v>0</v>
      </c>
      <c r="H220" s="29">
        <f>'Impacts A'!H220-'Impacts B'!H220</f>
        <v>0</v>
      </c>
      <c r="I220" s="29">
        <f>'Impacts A'!I220-'Impacts B'!I220</f>
        <v>0</v>
      </c>
      <c r="J220" s="29">
        <f>'Impacts A'!J220-'Impacts B'!J220</f>
        <v>0</v>
      </c>
      <c r="K220" s="29">
        <f>'Impacts A'!K220-'Impacts B'!K220</f>
        <v>0</v>
      </c>
      <c r="L220" s="29">
        <f>'Impacts A'!L220-'Impacts B'!L220</f>
        <v>0</v>
      </c>
      <c r="M220" s="6"/>
      <c r="N220" s="59" t="s">
        <v>132</v>
      </c>
    </row>
    <row r="221" spans="1:15" x14ac:dyDescent="0.2">
      <c r="A221" t="str">
        <v>US Economic</v>
      </c>
      <c r="C221" s="26">
        <f>'Impacts A'!C221-'Impacts B'!C221</f>
        <v>0</v>
      </c>
      <c r="D221" s="26">
        <f>'Impacts A'!D221-'Impacts B'!D221</f>
        <v>0</v>
      </c>
      <c r="E221" s="26">
        <f>'Impacts A'!E221-'Impacts B'!E221</f>
        <v>0</v>
      </c>
      <c r="F221" s="26">
        <f>'Impacts A'!F221-'Impacts B'!F221</f>
        <v>0</v>
      </c>
      <c r="G221" s="26">
        <f>'Impacts A'!G221-'Impacts B'!G221</f>
        <v>0</v>
      </c>
      <c r="H221" s="26">
        <f>'Impacts A'!H221-'Impacts B'!H221</f>
        <v>0</v>
      </c>
      <c r="I221" s="26">
        <f>'Impacts A'!I221-'Impacts B'!I221</f>
        <v>0</v>
      </c>
      <c r="J221" s="26">
        <f>'Impacts A'!J221-'Impacts B'!J221</f>
        <v>0</v>
      </c>
      <c r="K221" s="26">
        <f>'Impacts A'!K221-'Impacts B'!K221</f>
        <v>0</v>
      </c>
      <c r="L221" s="26">
        <f>'Impacts A'!L221-'Impacts B'!L221</f>
        <v>0</v>
      </c>
      <c r="M221" s="6"/>
      <c r="N221" s="59" t="s">
        <v>132</v>
      </c>
    </row>
    <row r="222" spans="1:15" x14ac:dyDescent="0.2">
      <c r="A222" t="str">
        <v>OT Economic</v>
      </c>
      <c r="C222" s="26">
        <f>'Impacts A'!C222-'Impacts B'!C222</f>
        <v>0</v>
      </c>
      <c r="D222" s="26">
        <f>'Impacts A'!D222-'Impacts B'!D222</f>
        <v>0</v>
      </c>
      <c r="E222" s="26">
        <f>'Impacts A'!E222-'Impacts B'!E222</f>
        <v>0</v>
      </c>
      <c r="F222" s="26">
        <f>'Impacts A'!F222-'Impacts B'!F222</f>
        <v>0</v>
      </c>
      <c r="G222" s="26">
        <f>'Impacts A'!G222-'Impacts B'!G222</f>
        <v>0</v>
      </c>
      <c r="H222" s="26">
        <f>'Impacts A'!H222-'Impacts B'!H222</f>
        <v>0</v>
      </c>
      <c r="I222" s="26">
        <f>'Impacts A'!I222-'Impacts B'!I222</f>
        <v>0</v>
      </c>
      <c r="J222" s="26">
        <f>'Impacts A'!J222-'Impacts B'!J222</f>
        <v>0</v>
      </c>
      <c r="K222" s="26">
        <f>'Impacts A'!K222-'Impacts B'!K222</f>
        <v>0</v>
      </c>
      <c r="L222" s="26">
        <f>'Impacts A'!L222-'Impacts B'!L222</f>
        <v>0</v>
      </c>
      <c r="M222" s="6"/>
      <c r="N222" s="59" t="s">
        <v>132</v>
      </c>
    </row>
    <row r="223" spans="1:15" x14ac:dyDescent="0.2">
      <c r="A223" t="str">
        <v>EE Economic</v>
      </c>
      <c r="C223" s="26">
        <f>'Impacts A'!C223-'Impacts B'!C223</f>
        <v>0</v>
      </c>
      <c r="D223" s="26">
        <f>'Impacts A'!D223-'Impacts B'!D223</f>
        <v>0</v>
      </c>
      <c r="E223" s="26">
        <f>'Impacts A'!E223-'Impacts B'!E223</f>
        <v>0</v>
      </c>
      <c r="F223" s="26">
        <f>'Impacts A'!F223-'Impacts B'!F223</f>
        <v>0</v>
      </c>
      <c r="G223" s="26">
        <f>'Impacts A'!G223-'Impacts B'!G223</f>
        <v>0</v>
      </c>
      <c r="H223" s="26">
        <f>'Impacts A'!H223-'Impacts B'!H223</f>
        <v>0</v>
      </c>
      <c r="I223" s="26">
        <f>'Impacts A'!I223-'Impacts B'!I223</f>
        <v>0</v>
      </c>
      <c r="J223" s="26">
        <f>'Impacts A'!J223-'Impacts B'!J223</f>
        <v>0</v>
      </c>
      <c r="K223" s="26">
        <f>'Impacts A'!K223-'Impacts B'!K223</f>
        <v>0</v>
      </c>
      <c r="L223" s="26">
        <f>'Impacts A'!L223-'Impacts B'!L223</f>
        <v>0</v>
      </c>
      <c r="M223" s="6"/>
      <c r="N223" s="59" t="s">
        <v>132</v>
      </c>
    </row>
    <row r="224" spans="1:15" x14ac:dyDescent="0.2">
      <c r="A224" t="str">
        <v>CA Economic</v>
      </c>
      <c r="C224" s="26">
        <f>'Impacts A'!C224-'Impacts B'!C224</f>
        <v>0</v>
      </c>
      <c r="D224" s="26">
        <f>'Impacts A'!D224-'Impacts B'!D224</f>
        <v>0</v>
      </c>
      <c r="E224" s="26">
        <f>'Impacts A'!E224-'Impacts B'!E224</f>
        <v>0</v>
      </c>
      <c r="F224" s="26">
        <f>'Impacts A'!F224-'Impacts B'!F224</f>
        <v>0</v>
      </c>
      <c r="G224" s="26">
        <f>'Impacts A'!G224-'Impacts B'!G224</f>
        <v>0</v>
      </c>
      <c r="H224" s="26">
        <f>'Impacts A'!H224-'Impacts B'!H224</f>
        <v>0</v>
      </c>
      <c r="I224" s="26">
        <f>'Impacts A'!I224-'Impacts B'!I224</f>
        <v>0</v>
      </c>
      <c r="J224" s="26">
        <f>'Impacts A'!J224-'Impacts B'!J224</f>
        <v>0</v>
      </c>
      <c r="K224" s="26">
        <f>'Impacts A'!K224-'Impacts B'!K224</f>
        <v>0</v>
      </c>
      <c r="L224" s="26">
        <f>'Impacts A'!L224-'Impacts B'!L224</f>
        <v>0</v>
      </c>
      <c r="M224" s="6"/>
      <c r="N224" s="59" t="s">
        <v>132</v>
      </c>
    </row>
    <row r="225" spans="1:14" x14ac:dyDescent="0.2">
      <c r="A225" t="str">
        <v>IA Economic</v>
      </c>
      <c r="C225" s="26">
        <f>'Impacts A'!C225-'Impacts B'!C225</f>
        <v>0</v>
      </c>
      <c r="D225" s="26">
        <f>'Impacts A'!D225-'Impacts B'!D225</f>
        <v>0</v>
      </c>
      <c r="E225" s="26">
        <f>'Impacts A'!E225-'Impacts B'!E225</f>
        <v>0</v>
      </c>
      <c r="F225" s="26">
        <f>'Impacts A'!F225-'Impacts B'!F225</f>
        <v>0</v>
      </c>
      <c r="G225" s="26">
        <f>'Impacts A'!G225-'Impacts B'!G225</f>
        <v>0</v>
      </c>
      <c r="H225" s="26">
        <f>'Impacts A'!H225-'Impacts B'!H225</f>
        <v>0</v>
      </c>
      <c r="I225" s="26">
        <f>'Impacts A'!I225-'Impacts B'!I225</f>
        <v>0</v>
      </c>
      <c r="J225" s="26">
        <f>'Impacts A'!J225-'Impacts B'!J225</f>
        <v>0</v>
      </c>
      <c r="K225" s="26">
        <f>'Impacts A'!K225-'Impacts B'!K225</f>
        <v>0</v>
      </c>
      <c r="L225" s="26">
        <f>'Impacts A'!L225-'Impacts B'!L225</f>
        <v>0</v>
      </c>
      <c r="M225" s="6"/>
      <c r="N225" s="59" t="s">
        <v>132</v>
      </c>
    </row>
    <row r="226" spans="1:14" x14ac:dyDescent="0.2">
      <c r="A226" t="str">
        <v>AF Economic</v>
      </c>
      <c r="C226" s="26">
        <f>'Impacts A'!C226-'Impacts B'!C226</f>
        <v>0</v>
      </c>
      <c r="D226" s="26">
        <f>'Impacts A'!D226-'Impacts B'!D226</f>
        <v>0</v>
      </c>
      <c r="E226" s="26">
        <f>'Impacts A'!E226-'Impacts B'!E226</f>
        <v>0</v>
      </c>
      <c r="F226" s="26">
        <f>'Impacts A'!F226-'Impacts B'!F226</f>
        <v>0</v>
      </c>
      <c r="G226" s="26">
        <f>'Impacts A'!G226-'Impacts B'!G226</f>
        <v>0</v>
      </c>
      <c r="H226" s="26">
        <f>'Impacts A'!H226-'Impacts B'!H226</f>
        <v>0</v>
      </c>
      <c r="I226" s="26">
        <f>'Impacts A'!I226-'Impacts B'!I226</f>
        <v>0</v>
      </c>
      <c r="J226" s="26">
        <f>'Impacts A'!J226-'Impacts B'!J226</f>
        <v>0</v>
      </c>
      <c r="K226" s="26">
        <f>'Impacts A'!K226-'Impacts B'!K226</f>
        <v>0</v>
      </c>
      <c r="L226" s="26">
        <f>'Impacts A'!L226-'Impacts B'!L226</f>
        <v>0</v>
      </c>
      <c r="M226" s="6"/>
      <c r="N226" s="59" t="s">
        <v>132</v>
      </c>
    </row>
    <row r="227" spans="1:14" x14ac:dyDescent="0.2">
      <c r="A227" t="str">
        <v>LA Economic</v>
      </c>
      <c r="C227" s="26">
        <f>'Impacts A'!C227-'Impacts B'!C227</f>
        <v>0</v>
      </c>
      <c r="D227" s="26">
        <f>'Impacts A'!D227-'Impacts B'!D227</f>
        <v>0</v>
      </c>
      <c r="E227" s="26">
        <f>'Impacts A'!E227-'Impacts B'!E227</f>
        <v>0</v>
      </c>
      <c r="F227" s="26">
        <f>'Impacts A'!F227-'Impacts B'!F227</f>
        <v>0</v>
      </c>
      <c r="G227" s="26">
        <f>'Impacts A'!G227-'Impacts B'!G227</f>
        <v>0</v>
      </c>
      <c r="H227" s="26">
        <f>'Impacts A'!H227-'Impacts B'!H227</f>
        <v>0</v>
      </c>
      <c r="I227" s="26">
        <f>'Impacts A'!I227-'Impacts B'!I227</f>
        <v>0</v>
      </c>
      <c r="J227" s="26">
        <f>'Impacts A'!J227-'Impacts B'!J227</f>
        <v>0</v>
      </c>
      <c r="K227" s="26">
        <f>'Impacts A'!K227-'Impacts B'!K227</f>
        <v>0</v>
      </c>
      <c r="L227" s="26">
        <f>'Impacts A'!L227-'Impacts B'!L227</f>
        <v>0</v>
      </c>
      <c r="M227" s="6"/>
      <c r="N227" s="59" t="s">
        <v>132</v>
      </c>
    </row>
    <row r="228" spans="1:14" ht="14.25" x14ac:dyDescent="0.25">
      <c r="A228" s="2" t="s">
        <v>720</v>
      </c>
      <c r="C228" s="2" t="s">
        <v>721</v>
      </c>
      <c r="D228" s="6"/>
      <c r="E228" s="6"/>
      <c r="F228" s="6"/>
      <c r="G228" s="6"/>
      <c r="H228" s="6"/>
      <c r="I228" s="6"/>
      <c r="J228" s="6"/>
      <c r="K228" s="6"/>
      <c r="L228" s="6"/>
      <c r="M228" s="6"/>
      <c r="N228" s="59"/>
    </row>
    <row r="229" spans="1:14" x14ac:dyDescent="0.2">
      <c r="A229" t="str">
        <f t="array" ref="A229:A236">R_CODE&amp;" "&amp;I_1_NAME</f>
        <v>EU Economic</v>
      </c>
      <c r="C229" s="26">
        <f ca="1">'Impacts A'!C229-'Impacts B'!C229</f>
        <v>-4.9164301828530377E-2</v>
      </c>
      <c r="D229" s="26">
        <f ca="1">'Impacts A'!D229-'Impacts B'!D229</f>
        <v>-2.895586463305122E-2</v>
      </c>
      <c r="E229" s="26">
        <f ca="1">'Impacts A'!E229-'Impacts B'!E229</f>
        <v>1.6925105327580958E-2</v>
      </c>
      <c r="F229" s="26">
        <f ca="1">'Impacts A'!F229-'Impacts B'!F229</f>
        <v>-2.8927726162475409E-3</v>
      </c>
      <c r="G229" s="26">
        <f ca="1">'Impacts A'!G229-'Impacts B'!G229</f>
        <v>-9.4618636223842145E-4</v>
      </c>
      <c r="H229" s="26">
        <f ca="1">'Impacts A'!H229-'Impacts B'!H229</f>
        <v>-5.548554500161007E-2</v>
      </c>
      <c r="I229" s="26">
        <f ca="1">'Impacts A'!I229-'Impacts B'!I229</f>
        <v>-0.20770965597782798</v>
      </c>
      <c r="J229" s="26">
        <f ca="1">'Impacts A'!J229-'Impacts B'!J229</f>
        <v>-0.44801868711442649</v>
      </c>
      <c r="K229" s="26">
        <f ca="1">'Impacts A'!K229-'Impacts B'!K229</f>
        <v>-0.88438652855969968</v>
      </c>
      <c r="L229" s="26">
        <f ca="1">'Impacts A'!L229-'Impacts B'!L229</f>
        <v>-1.2921129613911009</v>
      </c>
      <c r="M229" s="6"/>
      <c r="N229" s="59" t="s">
        <v>132</v>
      </c>
    </row>
    <row r="230" spans="1:14" x14ac:dyDescent="0.2">
      <c r="A230" t="str">
        <v>US Economic</v>
      </c>
      <c r="C230" s="26">
        <f ca="1">'Impacts A'!C230-'Impacts B'!C230</f>
        <v>-2.6094127927323019E-2</v>
      </c>
      <c r="D230" s="26">
        <f ca="1">'Impacts A'!D230-'Impacts B'!D230</f>
        <v>-7.5387282884920026E-3</v>
      </c>
      <c r="E230" s="26">
        <f ca="1">'Impacts A'!E230-'Impacts B'!E230</f>
        <v>-6.3369857605344304E-2</v>
      </c>
      <c r="F230" s="26">
        <f ca="1">'Impacts A'!F230-'Impacts B'!F230</f>
        <v>-9.0711585251612714E-2</v>
      </c>
      <c r="G230" s="26">
        <f ca="1">'Impacts A'!G230-'Impacts B'!G230</f>
        <v>2.4499376751641044E-2</v>
      </c>
      <c r="H230" s="26">
        <f ca="1">'Impacts A'!H230-'Impacts B'!H230</f>
        <v>-0.39784592646794348</v>
      </c>
      <c r="I230" s="26">
        <f ca="1">'Impacts A'!I230-'Impacts B'!I230</f>
        <v>-1.1165691587120441</v>
      </c>
      <c r="J230" s="26">
        <f ca="1">'Impacts A'!J230-'Impacts B'!J230</f>
        <v>-2.164897392303522</v>
      </c>
      <c r="K230" s="26">
        <f ca="1">'Impacts A'!K230-'Impacts B'!K230</f>
        <v>-3.2892634656146895</v>
      </c>
      <c r="L230" s="26">
        <f ca="1">'Impacts A'!L230-'Impacts B'!L230</f>
        <v>-4.3557319675420869</v>
      </c>
      <c r="M230" s="6"/>
      <c r="N230" s="59" t="s">
        <v>132</v>
      </c>
    </row>
    <row r="231" spans="1:14" x14ac:dyDescent="0.2">
      <c r="A231" t="str">
        <v>OT Economic</v>
      </c>
      <c r="C231" s="26">
        <f ca="1">'Impacts A'!C231-'Impacts B'!C231</f>
        <v>2.1600118015219216E-3</v>
      </c>
      <c r="D231" s="26">
        <f ca="1">'Impacts A'!D231-'Impacts B'!D231</f>
        <v>1.2369958998958985E-2</v>
      </c>
      <c r="E231" s="26">
        <f ca="1">'Impacts A'!E231-'Impacts B'!E231</f>
        <v>-1.1884358047220545E-3</v>
      </c>
      <c r="F231" s="26">
        <f ca="1">'Impacts A'!F231-'Impacts B'!F231</f>
        <v>-3.974627321138291E-2</v>
      </c>
      <c r="G231" s="26">
        <f ca="1">'Impacts A'!G231-'Impacts B'!G231</f>
        <v>-2.5341174991810878E-2</v>
      </c>
      <c r="H231" s="26">
        <f ca="1">'Impacts A'!H231-'Impacts B'!H231</f>
        <v>-0.42343270979995351</v>
      </c>
      <c r="I231" s="26">
        <f ca="1">'Impacts A'!I231-'Impacts B'!I231</f>
        <v>-0.8983220452814078</v>
      </c>
      <c r="J231" s="26">
        <f ca="1">'Impacts A'!J231-'Impacts B'!J231</f>
        <v>-1.8677892134897123</v>
      </c>
      <c r="K231" s="26">
        <f ca="1">'Impacts A'!K231-'Impacts B'!K231</f>
        <v>-2.9563403170036473</v>
      </c>
      <c r="L231" s="26">
        <f ca="1">'Impacts A'!L231-'Impacts B'!L231</f>
        <v>-4.0186521982036307</v>
      </c>
      <c r="M231" s="6"/>
      <c r="N231" s="59" t="s">
        <v>132</v>
      </c>
    </row>
    <row r="232" spans="1:14" x14ac:dyDescent="0.2">
      <c r="A232" t="str">
        <v>EE Economic</v>
      </c>
      <c r="C232" s="26">
        <f ca="1">'Impacts A'!C232-'Impacts B'!C232</f>
        <v>-0.11369047104528018</v>
      </c>
      <c r="D232" s="26">
        <f ca="1">'Impacts A'!D232-'Impacts B'!D232</f>
        <v>-8.1504327130343945E-2</v>
      </c>
      <c r="E232" s="26">
        <f ca="1">'Impacts A'!E232-'Impacts B'!E232</f>
        <v>6.6575812936808809E-2</v>
      </c>
      <c r="F232" s="26">
        <f ca="1">'Impacts A'!F232-'Impacts B'!F232</f>
        <v>-9.7070645963537316E-3</v>
      </c>
      <c r="G232" s="26">
        <f ca="1">'Impacts A'!G232-'Impacts B'!G232</f>
        <v>5.5371801845849333E-2</v>
      </c>
      <c r="H232" s="26">
        <f ca="1">'Impacts A'!H232-'Impacts B'!H232</f>
        <v>0.28330838198398212</v>
      </c>
      <c r="I232" s="26">
        <f ca="1">'Impacts A'!I232-'Impacts B'!I232</f>
        <v>0.41719359021128444</v>
      </c>
      <c r="J232" s="26">
        <f ca="1">'Impacts A'!J232-'Impacts B'!J232</f>
        <v>0.37888443972713404</v>
      </c>
      <c r="K232" s="26">
        <f ca="1">'Impacts A'!K232-'Impacts B'!K232</f>
        <v>9.9942998766433533E-2</v>
      </c>
      <c r="L232" s="26">
        <f ca="1">'Impacts A'!L232-'Impacts B'!L232</f>
        <v>-0.16761530666711266</v>
      </c>
      <c r="M232" s="6"/>
      <c r="N232" s="59" t="s">
        <v>132</v>
      </c>
    </row>
    <row r="233" spans="1:14" x14ac:dyDescent="0.2">
      <c r="A233" t="str">
        <v>CA Economic</v>
      </c>
      <c r="C233" s="26">
        <f ca="1">'Impacts A'!C233-'Impacts B'!C233</f>
        <v>3.2652483304873581E-2</v>
      </c>
      <c r="D233" s="26">
        <f ca="1">'Impacts A'!D233-'Impacts B'!D233</f>
        <v>-2.9290481233124055E-3</v>
      </c>
      <c r="E233" s="26">
        <f ca="1">'Impacts A'!E233-'Impacts B'!E233</f>
        <v>-7.9513715474166524E-2</v>
      </c>
      <c r="F233" s="26">
        <f ca="1">'Impacts A'!F233-'Impacts B'!F233</f>
        <v>-0.10874211609662732</v>
      </c>
      <c r="G233" s="26">
        <f ca="1">'Impacts A'!G233-'Impacts B'!G233</f>
        <v>3.2052229251611219E-2</v>
      </c>
      <c r="H233" s="26">
        <f ca="1">'Impacts A'!H233-'Impacts B'!H233</f>
        <v>-0.66621495184303603</v>
      </c>
      <c r="I233" s="26">
        <f ca="1">'Impacts A'!I233-'Impacts B'!I233</f>
        <v>-1.7991733587912617</v>
      </c>
      <c r="J233" s="26">
        <f ca="1">'Impacts A'!J233-'Impacts B'!J233</f>
        <v>-2.9369618103231798</v>
      </c>
      <c r="K233" s="26">
        <f ca="1">'Impacts A'!K233-'Impacts B'!K233</f>
        <v>-4.4598728638610137</v>
      </c>
      <c r="L233" s="26">
        <f ca="1">'Impacts A'!L233-'Impacts B'!L233</f>
        <v>-5.859471467860411</v>
      </c>
      <c r="M233" s="6"/>
      <c r="N233" s="59" t="s">
        <v>132</v>
      </c>
    </row>
    <row r="234" spans="1:14" x14ac:dyDescent="0.2">
      <c r="A234" t="str">
        <v>IA Economic</v>
      </c>
      <c r="C234" s="26">
        <f ca="1">'Impacts A'!C234-'Impacts B'!C234</f>
        <v>-0.16695810183191551</v>
      </c>
      <c r="D234" s="26">
        <f ca="1">'Impacts A'!D234-'Impacts B'!D234</f>
        <v>-0.10692568817848302</v>
      </c>
      <c r="E234" s="26">
        <f ca="1">'Impacts A'!E234-'Impacts B'!E234</f>
        <v>-8.7825774967287273E-2</v>
      </c>
      <c r="F234" s="26">
        <f ca="1">'Impacts A'!F234-'Impacts B'!F234</f>
        <v>-0.25254347927022858</v>
      </c>
      <c r="G234" s="26">
        <f ca="1">'Impacts A'!G234-'Impacts B'!G234</f>
        <v>0.18764873426034878</v>
      </c>
      <c r="H234" s="26">
        <f ca="1">'Impacts A'!H234-'Impacts B'!H234</f>
        <v>-1.2348458104343596</v>
      </c>
      <c r="I234" s="26">
        <f ca="1">'Impacts A'!I234-'Impacts B'!I234</f>
        <v>-3.0225451646828221</v>
      </c>
      <c r="J234" s="26">
        <f ca="1">'Impacts A'!J234-'Impacts B'!J234</f>
        <v>-5.3525178469633339</v>
      </c>
      <c r="K234" s="26">
        <f ca="1">'Impacts A'!K234-'Impacts B'!K234</f>
        <v>-7.6514882962528841</v>
      </c>
      <c r="L234" s="26">
        <f ca="1">'Impacts A'!L234-'Impacts B'!L234</f>
        <v>-9.913489773544736</v>
      </c>
      <c r="M234" s="6"/>
      <c r="N234" s="59" t="s">
        <v>132</v>
      </c>
    </row>
    <row r="235" spans="1:14" x14ac:dyDescent="0.2">
      <c r="A235" t="str">
        <v>AF Economic</v>
      </c>
      <c r="C235" s="26">
        <f ca="1">'Impacts A'!C235-'Impacts B'!C235</f>
        <v>-8.9960225998908516E-2</v>
      </c>
      <c r="D235" s="26">
        <f ca="1">'Impacts A'!D235-'Impacts B'!D235</f>
        <v>-0.1436295684960287</v>
      </c>
      <c r="E235" s="26">
        <f ca="1">'Impacts A'!E235-'Impacts B'!E235</f>
        <v>-8.1878446549166206E-3</v>
      </c>
      <c r="F235" s="26">
        <f ca="1">'Impacts A'!F235-'Impacts B'!F235</f>
        <v>-0.26508600971890672</v>
      </c>
      <c r="G235" s="26">
        <f ca="1">'Impacts A'!G235-'Impacts B'!G235</f>
        <v>0.13683897251555166</v>
      </c>
      <c r="H235" s="26">
        <f ca="1">'Impacts A'!H235-'Impacts B'!H235</f>
        <v>-0.96787772018813722</v>
      </c>
      <c r="I235" s="26">
        <f ca="1">'Impacts A'!I235-'Impacts B'!I235</f>
        <v>-2.647739456758103</v>
      </c>
      <c r="J235" s="26">
        <f ca="1">'Impacts A'!J235-'Impacts B'!J235</f>
        <v>-4.8151134000385847</v>
      </c>
      <c r="K235" s="26">
        <f ca="1">'Impacts A'!K235-'Impacts B'!K235</f>
        <v>-7.030742590447181</v>
      </c>
      <c r="L235" s="26">
        <f ca="1">'Impacts A'!L235-'Impacts B'!L235</f>
        <v>-9.227780097487015</v>
      </c>
      <c r="M235" s="6"/>
      <c r="N235" s="59" t="s">
        <v>132</v>
      </c>
    </row>
    <row r="236" spans="1:14" x14ac:dyDescent="0.2">
      <c r="A236" t="str">
        <v>LA Economic</v>
      </c>
      <c r="C236" s="26">
        <f ca="1">'Impacts A'!C236-'Impacts B'!C236</f>
        <v>-0.29841992901383785</v>
      </c>
      <c r="D236" s="26">
        <f ca="1">'Impacts A'!D236-'Impacts B'!D236</f>
        <v>-9.3525509541891871E-2</v>
      </c>
      <c r="E236" s="26">
        <f ca="1">'Impacts A'!E236-'Impacts B'!E236</f>
        <v>-2.83016317395135E-2</v>
      </c>
      <c r="F236" s="26">
        <f ca="1">'Impacts A'!F236-'Impacts B'!F236</f>
        <v>-0.28885713472186492</v>
      </c>
      <c r="G236" s="26">
        <f ca="1">'Impacts A'!G236-'Impacts B'!G236</f>
        <v>4.2728442197548233E-2</v>
      </c>
      <c r="H236" s="26">
        <f ca="1">'Impacts A'!H236-'Impacts B'!H236</f>
        <v>-1.0084655993659148</v>
      </c>
      <c r="I236" s="26">
        <f ca="1">'Impacts A'!I236-'Impacts B'!I236</f>
        <v>-2.3626222508394519</v>
      </c>
      <c r="J236" s="26">
        <f ca="1">'Impacts A'!J236-'Impacts B'!J236</f>
        <v>-4.5291979505697526</v>
      </c>
      <c r="K236" s="26">
        <f ca="1">'Impacts A'!K236-'Impacts B'!K236</f>
        <v>-6.2694276664102446</v>
      </c>
      <c r="L236" s="26">
        <f ca="1">'Impacts A'!L236-'Impacts B'!L236</f>
        <v>-8.0641924852253855</v>
      </c>
      <c r="M236" s="6"/>
      <c r="N236" s="59" t="s">
        <v>132</v>
      </c>
    </row>
    <row r="237" spans="1:14" s="2" customFormat="1" ht="14.25" x14ac:dyDescent="0.25">
      <c r="A237" s="2" t="s">
        <v>219</v>
      </c>
      <c r="C237" s="2" t="s">
        <v>233</v>
      </c>
    </row>
    <row r="238" spans="1:14" x14ac:dyDescent="0.2">
      <c r="A238" t="str">
        <f t="array" ref="A238:A245">R_CODE&amp;" "&amp;I_1_NAME</f>
        <v>EU Economic</v>
      </c>
      <c r="C238" s="29">
        <f ca="1">'Impacts A'!C238-'Impacts B'!C238</f>
        <v>-4.9164301828530377E-2</v>
      </c>
      <c r="D238" s="29">
        <f ca="1">'Impacts A'!D238-'Impacts B'!D238</f>
        <v>-2.895586463305122E-2</v>
      </c>
      <c r="E238" s="29">
        <f ca="1">'Impacts A'!E238-'Impacts B'!E238</f>
        <v>1.6925105327580958E-2</v>
      </c>
      <c r="F238" s="29">
        <f ca="1">'Impacts A'!F238-'Impacts B'!F238</f>
        <v>-2.8927726162475409E-3</v>
      </c>
      <c r="G238" s="29">
        <f ca="1">'Impacts A'!G238-'Impacts B'!G238</f>
        <v>-9.4618636223842145E-4</v>
      </c>
      <c r="H238" s="29">
        <f ca="1">'Impacts A'!H238-'Impacts B'!H238</f>
        <v>-5.548554500161007E-2</v>
      </c>
      <c r="I238" s="29">
        <f ca="1">'Impacts A'!I238-'Impacts B'!I238</f>
        <v>-0.20770965597782798</v>
      </c>
      <c r="J238" s="29">
        <f ca="1">'Impacts A'!J238-'Impacts B'!J238</f>
        <v>-0.44801868711442649</v>
      </c>
      <c r="K238" s="29">
        <f ca="1">'Impacts A'!K238-'Impacts B'!K238</f>
        <v>-0.88438652855969968</v>
      </c>
      <c r="L238" s="29">
        <f ca="1">'Impacts A'!L238-'Impacts B'!L238</f>
        <v>-1.2921129613911009</v>
      </c>
      <c r="M238" s="6"/>
      <c r="N238" s="59" t="s">
        <v>132</v>
      </c>
    </row>
    <row r="239" spans="1:14" x14ac:dyDescent="0.2">
      <c r="A239" t="str">
        <v>US Economic</v>
      </c>
      <c r="C239" s="26">
        <f ca="1">'Impacts A'!C239-'Impacts B'!C239</f>
        <v>-2.6094127927323019E-2</v>
      </c>
      <c r="D239" s="26">
        <f ca="1">'Impacts A'!D239-'Impacts B'!D239</f>
        <v>-7.5387282884920026E-3</v>
      </c>
      <c r="E239" s="26">
        <f ca="1">'Impacts A'!E239-'Impacts B'!E239</f>
        <v>-6.3369857605344304E-2</v>
      </c>
      <c r="F239" s="26">
        <f ca="1">'Impacts A'!F239-'Impacts B'!F239</f>
        <v>-9.0711585251612714E-2</v>
      </c>
      <c r="G239" s="26">
        <f ca="1">'Impacts A'!G239-'Impacts B'!G239</f>
        <v>2.4499376751641044E-2</v>
      </c>
      <c r="H239" s="26">
        <f ca="1">'Impacts A'!H239-'Impacts B'!H239</f>
        <v>-0.39784592646794348</v>
      </c>
      <c r="I239" s="26">
        <f ca="1">'Impacts A'!I239-'Impacts B'!I239</f>
        <v>-1.1165691587120441</v>
      </c>
      <c r="J239" s="26">
        <f ca="1">'Impacts A'!J239-'Impacts B'!J239</f>
        <v>-2.164897392303522</v>
      </c>
      <c r="K239" s="26">
        <f ca="1">'Impacts A'!K239-'Impacts B'!K239</f>
        <v>-3.2892634656146895</v>
      </c>
      <c r="L239" s="26">
        <f ca="1">'Impacts A'!L239-'Impacts B'!L239</f>
        <v>-4.3557319675420869</v>
      </c>
      <c r="M239" s="6"/>
      <c r="N239" s="59" t="s">
        <v>132</v>
      </c>
    </row>
    <row r="240" spans="1:14" x14ac:dyDescent="0.2">
      <c r="A240" t="str">
        <v>OT Economic</v>
      </c>
      <c r="C240" s="26">
        <f ca="1">'Impacts A'!C240-'Impacts B'!C240</f>
        <v>2.1600118015219216E-3</v>
      </c>
      <c r="D240" s="26">
        <f ca="1">'Impacts A'!D240-'Impacts B'!D240</f>
        <v>1.2369958998958985E-2</v>
      </c>
      <c r="E240" s="26">
        <f ca="1">'Impacts A'!E240-'Impacts B'!E240</f>
        <v>-1.1884358047220545E-3</v>
      </c>
      <c r="F240" s="26">
        <f ca="1">'Impacts A'!F240-'Impacts B'!F240</f>
        <v>-3.974627321138291E-2</v>
      </c>
      <c r="G240" s="26">
        <f ca="1">'Impacts A'!G240-'Impacts B'!G240</f>
        <v>-2.5341174991810878E-2</v>
      </c>
      <c r="H240" s="26">
        <f ca="1">'Impacts A'!H240-'Impacts B'!H240</f>
        <v>-0.42343270979995351</v>
      </c>
      <c r="I240" s="26">
        <f ca="1">'Impacts A'!I240-'Impacts B'!I240</f>
        <v>-0.8983220452814078</v>
      </c>
      <c r="J240" s="26">
        <f ca="1">'Impacts A'!J240-'Impacts B'!J240</f>
        <v>-1.8677892134897123</v>
      </c>
      <c r="K240" s="26">
        <f ca="1">'Impacts A'!K240-'Impacts B'!K240</f>
        <v>-2.9563403170036473</v>
      </c>
      <c r="L240" s="26">
        <f ca="1">'Impacts A'!L240-'Impacts B'!L240</f>
        <v>-4.0186521982036307</v>
      </c>
      <c r="M240" s="6"/>
      <c r="N240" s="59" t="s">
        <v>132</v>
      </c>
    </row>
    <row r="241" spans="1:14" x14ac:dyDescent="0.2">
      <c r="A241" t="str">
        <v>EE Economic</v>
      </c>
      <c r="C241" s="26">
        <f ca="1">'Impacts A'!C241-'Impacts B'!C241</f>
        <v>-0.11369047104528018</v>
      </c>
      <c r="D241" s="26">
        <f ca="1">'Impacts A'!D241-'Impacts B'!D241</f>
        <v>-8.1504327130343945E-2</v>
      </c>
      <c r="E241" s="26">
        <f ca="1">'Impacts A'!E241-'Impacts B'!E241</f>
        <v>6.6575812936808809E-2</v>
      </c>
      <c r="F241" s="26">
        <f ca="1">'Impacts A'!F241-'Impacts B'!F241</f>
        <v>-9.7070645963537316E-3</v>
      </c>
      <c r="G241" s="26">
        <f ca="1">'Impacts A'!G241-'Impacts B'!G241</f>
        <v>5.5371801845849333E-2</v>
      </c>
      <c r="H241" s="26">
        <f ca="1">'Impacts A'!H241-'Impacts B'!H241</f>
        <v>0.28330838198398212</v>
      </c>
      <c r="I241" s="26">
        <f ca="1">'Impacts A'!I241-'Impacts B'!I241</f>
        <v>0.41719359021128444</v>
      </c>
      <c r="J241" s="26">
        <f ca="1">'Impacts A'!J241-'Impacts B'!J241</f>
        <v>0.37888443972713404</v>
      </c>
      <c r="K241" s="26">
        <f ca="1">'Impacts A'!K241-'Impacts B'!K241</f>
        <v>9.9942998766433533E-2</v>
      </c>
      <c r="L241" s="26">
        <f ca="1">'Impacts A'!L241-'Impacts B'!L241</f>
        <v>-0.16761530666711266</v>
      </c>
      <c r="M241" s="6"/>
      <c r="N241" s="59" t="s">
        <v>132</v>
      </c>
    </row>
    <row r="242" spans="1:14" x14ac:dyDescent="0.2">
      <c r="A242" t="str">
        <v>CA Economic</v>
      </c>
      <c r="C242" s="26">
        <f ca="1">'Impacts A'!C242-'Impacts B'!C242</f>
        <v>3.2652483304873581E-2</v>
      </c>
      <c r="D242" s="26">
        <f ca="1">'Impacts A'!D242-'Impacts B'!D242</f>
        <v>-2.9290481233124055E-3</v>
      </c>
      <c r="E242" s="26">
        <f ca="1">'Impacts A'!E242-'Impacts B'!E242</f>
        <v>-7.9513715474166524E-2</v>
      </c>
      <c r="F242" s="26">
        <f ca="1">'Impacts A'!F242-'Impacts B'!F242</f>
        <v>-0.10874211609662732</v>
      </c>
      <c r="G242" s="26">
        <f ca="1">'Impacts A'!G242-'Impacts B'!G242</f>
        <v>3.2052229251611219E-2</v>
      </c>
      <c r="H242" s="26">
        <f ca="1">'Impacts A'!H242-'Impacts B'!H242</f>
        <v>-0.66621495184303603</v>
      </c>
      <c r="I242" s="26">
        <f ca="1">'Impacts A'!I242-'Impacts B'!I242</f>
        <v>-1.7991733587912617</v>
      </c>
      <c r="J242" s="26">
        <f ca="1">'Impacts A'!J242-'Impacts B'!J242</f>
        <v>-2.9369618103231798</v>
      </c>
      <c r="K242" s="26">
        <f ca="1">'Impacts A'!K242-'Impacts B'!K242</f>
        <v>-4.4598728638610137</v>
      </c>
      <c r="L242" s="26">
        <f ca="1">'Impacts A'!L242-'Impacts B'!L242</f>
        <v>-5.859471467860411</v>
      </c>
      <c r="M242" s="6"/>
      <c r="N242" s="59" t="s">
        <v>132</v>
      </c>
    </row>
    <row r="243" spans="1:14" x14ac:dyDescent="0.2">
      <c r="A243" t="str">
        <v>IA Economic</v>
      </c>
      <c r="C243" s="26">
        <f ca="1">'Impacts A'!C243-'Impacts B'!C243</f>
        <v>-0.16695810183191551</v>
      </c>
      <c r="D243" s="26">
        <f ca="1">'Impacts A'!D243-'Impacts B'!D243</f>
        <v>-0.10692568817848302</v>
      </c>
      <c r="E243" s="26">
        <f ca="1">'Impacts A'!E243-'Impacts B'!E243</f>
        <v>-8.7825774967287273E-2</v>
      </c>
      <c r="F243" s="26">
        <f ca="1">'Impacts A'!F243-'Impacts B'!F243</f>
        <v>-0.25254347927022858</v>
      </c>
      <c r="G243" s="26">
        <f ca="1">'Impacts A'!G243-'Impacts B'!G243</f>
        <v>0.18764873426034878</v>
      </c>
      <c r="H243" s="26">
        <f ca="1">'Impacts A'!H243-'Impacts B'!H243</f>
        <v>-1.2348458104343596</v>
      </c>
      <c r="I243" s="26">
        <f ca="1">'Impacts A'!I243-'Impacts B'!I243</f>
        <v>-3.0225451646828221</v>
      </c>
      <c r="J243" s="26">
        <f ca="1">'Impacts A'!J243-'Impacts B'!J243</f>
        <v>-5.3525178469633339</v>
      </c>
      <c r="K243" s="26">
        <f ca="1">'Impacts A'!K243-'Impacts B'!K243</f>
        <v>-7.6514882962528841</v>
      </c>
      <c r="L243" s="26">
        <f ca="1">'Impacts A'!L243-'Impacts B'!L243</f>
        <v>-9.913489773544736</v>
      </c>
      <c r="M243" s="6"/>
      <c r="N243" s="59" t="s">
        <v>132</v>
      </c>
    </row>
    <row r="244" spans="1:14" x14ac:dyDescent="0.2">
      <c r="A244" t="str">
        <v>AF Economic</v>
      </c>
      <c r="C244" s="26">
        <f ca="1">'Impacts A'!C244-'Impacts B'!C244</f>
        <v>-8.9960225998908516E-2</v>
      </c>
      <c r="D244" s="26">
        <f ca="1">'Impacts A'!D244-'Impacts B'!D244</f>
        <v>-0.1436295684960287</v>
      </c>
      <c r="E244" s="26">
        <f ca="1">'Impacts A'!E244-'Impacts B'!E244</f>
        <v>-8.1878446549166206E-3</v>
      </c>
      <c r="F244" s="26">
        <f ca="1">'Impacts A'!F244-'Impacts B'!F244</f>
        <v>-0.26508600971890672</v>
      </c>
      <c r="G244" s="26">
        <f ca="1">'Impacts A'!G244-'Impacts B'!G244</f>
        <v>0.13683897251555166</v>
      </c>
      <c r="H244" s="26">
        <f ca="1">'Impacts A'!H244-'Impacts B'!H244</f>
        <v>-0.96787772018813722</v>
      </c>
      <c r="I244" s="26">
        <f ca="1">'Impacts A'!I244-'Impacts B'!I244</f>
        <v>-2.647739456758103</v>
      </c>
      <c r="J244" s="26">
        <f ca="1">'Impacts A'!J244-'Impacts B'!J244</f>
        <v>-4.8151134000385847</v>
      </c>
      <c r="K244" s="26">
        <f ca="1">'Impacts A'!K244-'Impacts B'!K244</f>
        <v>-7.030742590447181</v>
      </c>
      <c r="L244" s="26">
        <f ca="1">'Impacts A'!L244-'Impacts B'!L244</f>
        <v>-9.227780097487015</v>
      </c>
      <c r="M244" s="6"/>
      <c r="N244" s="59" t="s">
        <v>132</v>
      </c>
    </row>
    <row r="245" spans="1:14" x14ac:dyDescent="0.2">
      <c r="A245" t="str">
        <v>LA Economic</v>
      </c>
      <c r="C245" s="26">
        <f ca="1">'Impacts A'!C245-'Impacts B'!C245</f>
        <v>-0.29841992901383785</v>
      </c>
      <c r="D245" s="26">
        <f ca="1">'Impacts A'!D245-'Impacts B'!D245</f>
        <v>-9.3525509541891871E-2</v>
      </c>
      <c r="E245" s="26">
        <f ca="1">'Impacts A'!E245-'Impacts B'!E245</f>
        <v>-2.83016317395135E-2</v>
      </c>
      <c r="F245" s="26">
        <f ca="1">'Impacts A'!F245-'Impacts B'!F245</f>
        <v>-0.28885713472186492</v>
      </c>
      <c r="G245" s="26">
        <f ca="1">'Impacts A'!G245-'Impacts B'!G245</f>
        <v>4.2728442197548233E-2</v>
      </c>
      <c r="H245" s="26">
        <f ca="1">'Impacts A'!H245-'Impacts B'!H245</f>
        <v>-1.0084655993659148</v>
      </c>
      <c r="I245" s="26">
        <f ca="1">'Impacts A'!I245-'Impacts B'!I245</f>
        <v>-2.3626222508394519</v>
      </c>
      <c r="J245" s="26">
        <f ca="1">'Impacts A'!J245-'Impacts B'!J245</f>
        <v>-4.5291979505697526</v>
      </c>
      <c r="K245" s="26">
        <f ca="1">'Impacts A'!K245-'Impacts B'!K245</f>
        <v>-6.2694276664102446</v>
      </c>
      <c r="L245" s="26">
        <f ca="1">'Impacts A'!L245-'Impacts B'!L245</f>
        <v>-8.0641924852253855</v>
      </c>
      <c r="M245" s="6"/>
      <c r="N245" s="59" t="s">
        <v>132</v>
      </c>
    </row>
    <row r="246" spans="1:14" s="2" customFormat="1" ht="14.25" x14ac:dyDescent="0.25">
      <c r="A246" s="2" t="s">
        <v>223</v>
      </c>
      <c r="C246" s="2" t="s">
        <v>234</v>
      </c>
    </row>
    <row r="247" spans="1:14" x14ac:dyDescent="0.2">
      <c r="A247" t="str">
        <f t="array" ref="A247:A254">R_CODE&amp;" "&amp;I_1_NAME</f>
        <v>EU Economic</v>
      </c>
      <c r="C247" s="29">
        <f ca="1">'Impacts A'!C247-'Impacts B'!C247</f>
        <v>-4.9164301828530377E-2</v>
      </c>
      <c r="D247" s="29">
        <f ca="1">'Impacts A'!D247-'Impacts B'!D247</f>
        <v>-2.895586463305122E-2</v>
      </c>
      <c r="E247" s="29">
        <f ca="1">'Impacts A'!E247-'Impacts B'!E247</f>
        <v>1.6925105327580958E-2</v>
      </c>
      <c r="F247" s="29">
        <f ca="1">'Impacts A'!F247-'Impacts B'!F247</f>
        <v>-2.8927726162475409E-3</v>
      </c>
      <c r="G247" s="29">
        <f ca="1">'Impacts A'!G247-'Impacts B'!G247</f>
        <v>-9.4618636223842145E-4</v>
      </c>
      <c r="H247" s="29">
        <f ca="1">'Impacts A'!H247-'Impacts B'!H247</f>
        <v>-5.548554500161007E-2</v>
      </c>
      <c r="I247" s="29">
        <f ca="1">'Impacts A'!I247-'Impacts B'!I247</f>
        <v>-0.20770965597782798</v>
      </c>
      <c r="J247" s="29">
        <f ca="1">'Impacts A'!J247-'Impacts B'!J247</f>
        <v>-0.44801868711442649</v>
      </c>
      <c r="K247" s="29">
        <f ca="1">'Impacts A'!K247-'Impacts B'!K247</f>
        <v>-0.88438652855969968</v>
      </c>
      <c r="L247" s="29">
        <f ca="1">'Impacts A'!L247-'Impacts B'!L247</f>
        <v>-1.2921129613911009</v>
      </c>
      <c r="M247" s="6"/>
      <c r="N247" s="59" t="s">
        <v>132</v>
      </c>
    </row>
    <row r="248" spans="1:14" x14ac:dyDescent="0.2">
      <c r="A248" t="str">
        <v>US Economic</v>
      </c>
      <c r="C248" s="26">
        <f ca="1">'Impacts A'!C248-'Impacts B'!C248</f>
        <v>-2.6094127927323019E-2</v>
      </c>
      <c r="D248" s="26">
        <f ca="1">'Impacts A'!D248-'Impacts B'!D248</f>
        <v>-7.5387282884920026E-3</v>
      </c>
      <c r="E248" s="26">
        <f ca="1">'Impacts A'!E248-'Impacts B'!E248</f>
        <v>-6.3369857605344304E-2</v>
      </c>
      <c r="F248" s="26">
        <f ca="1">'Impacts A'!F248-'Impacts B'!F248</f>
        <v>-9.0711585251612714E-2</v>
      </c>
      <c r="G248" s="26">
        <f ca="1">'Impacts A'!G248-'Impacts B'!G248</f>
        <v>2.4499376751641044E-2</v>
      </c>
      <c r="H248" s="26">
        <f ca="1">'Impacts A'!H248-'Impacts B'!H248</f>
        <v>-0.39784592646794348</v>
      </c>
      <c r="I248" s="26">
        <f ca="1">'Impacts A'!I248-'Impacts B'!I248</f>
        <v>-1.1165691587120441</v>
      </c>
      <c r="J248" s="26">
        <f ca="1">'Impacts A'!J248-'Impacts B'!J248</f>
        <v>-2.164897392303522</v>
      </c>
      <c r="K248" s="26">
        <f ca="1">'Impacts A'!K248-'Impacts B'!K248</f>
        <v>-3.2892634656146895</v>
      </c>
      <c r="L248" s="26">
        <f ca="1">'Impacts A'!L248-'Impacts B'!L248</f>
        <v>-4.3557319675420869</v>
      </c>
      <c r="M248" s="6"/>
      <c r="N248" s="59" t="s">
        <v>132</v>
      </c>
    </row>
    <row r="249" spans="1:14" x14ac:dyDescent="0.2">
      <c r="A249" t="str">
        <v>OT Economic</v>
      </c>
      <c r="C249" s="26">
        <f ca="1">'Impacts A'!C249-'Impacts B'!C249</f>
        <v>2.1600118015219216E-3</v>
      </c>
      <c r="D249" s="26">
        <f ca="1">'Impacts A'!D249-'Impacts B'!D249</f>
        <v>1.2369958998958985E-2</v>
      </c>
      <c r="E249" s="26">
        <f ca="1">'Impacts A'!E249-'Impacts B'!E249</f>
        <v>-1.1884358047220545E-3</v>
      </c>
      <c r="F249" s="26">
        <f ca="1">'Impacts A'!F249-'Impacts B'!F249</f>
        <v>-3.974627321138291E-2</v>
      </c>
      <c r="G249" s="26">
        <f ca="1">'Impacts A'!G249-'Impacts B'!G249</f>
        <v>-2.5341174991810878E-2</v>
      </c>
      <c r="H249" s="26">
        <f ca="1">'Impacts A'!H249-'Impacts B'!H249</f>
        <v>-0.42343270979995351</v>
      </c>
      <c r="I249" s="26">
        <f ca="1">'Impacts A'!I249-'Impacts B'!I249</f>
        <v>-0.8983220452814078</v>
      </c>
      <c r="J249" s="26">
        <f ca="1">'Impacts A'!J249-'Impacts B'!J249</f>
        <v>-1.8677892134897123</v>
      </c>
      <c r="K249" s="26">
        <f ca="1">'Impacts A'!K249-'Impacts B'!K249</f>
        <v>-2.9563403170036473</v>
      </c>
      <c r="L249" s="26">
        <f ca="1">'Impacts A'!L249-'Impacts B'!L249</f>
        <v>-4.0186521982036307</v>
      </c>
      <c r="M249" s="6"/>
      <c r="N249" s="59" t="s">
        <v>132</v>
      </c>
    </row>
    <row r="250" spans="1:14" x14ac:dyDescent="0.2">
      <c r="A250" t="str">
        <v>EE Economic</v>
      </c>
      <c r="C250" s="26">
        <f ca="1">'Impacts A'!C250-'Impacts B'!C250</f>
        <v>-0.11369047104528018</v>
      </c>
      <c r="D250" s="26">
        <f ca="1">'Impacts A'!D250-'Impacts B'!D250</f>
        <v>-8.1504327130343945E-2</v>
      </c>
      <c r="E250" s="26">
        <f ca="1">'Impacts A'!E250-'Impacts B'!E250</f>
        <v>6.6575812936808809E-2</v>
      </c>
      <c r="F250" s="26">
        <f ca="1">'Impacts A'!F250-'Impacts B'!F250</f>
        <v>-9.7070645963537316E-3</v>
      </c>
      <c r="G250" s="26">
        <f ca="1">'Impacts A'!G250-'Impacts B'!G250</f>
        <v>5.5371801845849333E-2</v>
      </c>
      <c r="H250" s="26">
        <f ca="1">'Impacts A'!H250-'Impacts B'!H250</f>
        <v>0.28330838198398212</v>
      </c>
      <c r="I250" s="26">
        <f ca="1">'Impacts A'!I250-'Impacts B'!I250</f>
        <v>0.41719359021128444</v>
      </c>
      <c r="J250" s="26">
        <f ca="1">'Impacts A'!J250-'Impacts B'!J250</f>
        <v>0.37888443972713404</v>
      </c>
      <c r="K250" s="26">
        <f ca="1">'Impacts A'!K250-'Impacts B'!K250</f>
        <v>9.9942998766433533E-2</v>
      </c>
      <c r="L250" s="26">
        <f ca="1">'Impacts A'!L250-'Impacts B'!L250</f>
        <v>-0.16761530666711266</v>
      </c>
      <c r="M250" s="6"/>
      <c r="N250" s="59" t="s">
        <v>132</v>
      </c>
    </row>
    <row r="251" spans="1:14" x14ac:dyDescent="0.2">
      <c r="A251" t="str">
        <v>CA Economic</v>
      </c>
      <c r="C251" s="26">
        <f ca="1">'Impacts A'!C251-'Impacts B'!C251</f>
        <v>3.2652483304873581E-2</v>
      </c>
      <c r="D251" s="26">
        <f ca="1">'Impacts A'!D251-'Impacts B'!D251</f>
        <v>-2.9290481233124055E-3</v>
      </c>
      <c r="E251" s="26">
        <f ca="1">'Impacts A'!E251-'Impacts B'!E251</f>
        <v>-7.9513715474166524E-2</v>
      </c>
      <c r="F251" s="26">
        <f ca="1">'Impacts A'!F251-'Impacts B'!F251</f>
        <v>-0.10874211609662732</v>
      </c>
      <c r="G251" s="26">
        <f ca="1">'Impacts A'!G251-'Impacts B'!G251</f>
        <v>3.2052229251611219E-2</v>
      </c>
      <c r="H251" s="26">
        <f ca="1">'Impacts A'!H251-'Impacts B'!H251</f>
        <v>-0.66621495184303603</v>
      </c>
      <c r="I251" s="26">
        <f ca="1">'Impacts A'!I251-'Impacts B'!I251</f>
        <v>-1.7991733587912617</v>
      </c>
      <c r="J251" s="26">
        <f ca="1">'Impacts A'!J251-'Impacts B'!J251</f>
        <v>-2.9369618103231798</v>
      </c>
      <c r="K251" s="26">
        <f ca="1">'Impacts A'!K251-'Impacts B'!K251</f>
        <v>-4.4598728638610137</v>
      </c>
      <c r="L251" s="26">
        <f ca="1">'Impacts A'!L251-'Impacts B'!L251</f>
        <v>-5.859471467860411</v>
      </c>
      <c r="M251" s="6"/>
      <c r="N251" s="59" t="s">
        <v>132</v>
      </c>
    </row>
    <row r="252" spans="1:14" x14ac:dyDescent="0.2">
      <c r="A252" t="str">
        <v>IA Economic</v>
      </c>
      <c r="C252" s="26">
        <f ca="1">'Impacts A'!C252-'Impacts B'!C252</f>
        <v>-0.16695810183191551</v>
      </c>
      <c r="D252" s="26">
        <f ca="1">'Impacts A'!D252-'Impacts B'!D252</f>
        <v>-0.10692568817848302</v>
      </c>
      <c r="E252" s="26">
        <f ca="1">'Impacts A'!E252-'Impacts B'!E252</f>
        <v>-8.7825774967287273E-2</v>
      </c>
      <c r="F252" s="26">
        <f ca="1">'Impacts A'!F252-'Impacts B'!F252</f>
        <v>-0.25254347927022858</v>
      </c>
      <c r="G252" s="26">
        <f ca="1">'Impacts A'!G252-'Impacts B'!G252</f>
        <v>0.18764873426034878</v>
      </c>
      <c r="H252" s="26">
        <f ca="1">'Impacts A'!H252-'Impacts B'!H252</f>
        <v>-1.2348458104343596</v>
      </c>
      <c r="I252" s="26">
        <f ca="1">'Impacts A'!I252-'Impacts B'!I252</f>
        <v>-3.0225451646828221</v>
      </c>
      <c r="J252" s="26">
        <f ca="1">'Impacts A'!J252-'Impacts B'!J252</f>
        <v>-5.3525178469633339</v>
      </c>
      <c r="K252" s="26">
        <f ca="1">'Impacts A'!K252-'Impacts B'!K252</f>
        <v>-7.6514882962528841</v>
      </c>
      <c r="L252" s="26">
        <f ca="1">'Impacts A'!L252-'Impacts B'!L252</f>
        <v>-9.913489773544736</v>
      </c>
      <c r="M252" s="6"/>
      <c r="N252" s="59" t="s">
        <v>132</v>
      </c>
    </row>
    <row r="253" spans="1:14" x14ac:dyDescent="0.2">
      <c r="A253" t="str">
        <v>AF Economic</v>
      </c>
      <c r="C253" s="26">
        <f ca="1">'Impacts A'!C253-'Impacts B'!C253</f>
        <v>-8.9960225998908516E-2</v>
      </c>
      <c r="D253" s="26">
        <f ca="1">'Impacts A'!D253-'Impacts B'!D253</f>
        <v>-0.1436295684960287</v>
      </c>
      <c r="E253" s="26">
        <f ca="1">'Impacts A'!E253-'Impacts B'!E253</f>
        <v>-8.1878446549166206E-3</v>
      </c>
      <c r="F253" s="26">
        <f ca="1">'Impacts A'!F253-'Impacts B'!F253</f>
        <v>-0.26508600971890672</v>
      </c>
      <c r="G253" s="26">
        <f ca="1">'Impacts A'!G253-'Impacts B'!G253</f>
        <v>0.13683897251555166</v>
      </c>
      <c r="H253" s="26">
        <f ca="1">'Impacts A'!H253-'Impacts B'!H253</f>
        <v>-0.96787772018813722</v>
      </c>
      <c r="I253" s="26">
        <f ca="1">'Impacts A'!I253-'Impacts B'!I253</f>
        <v>-2.647739456758103</v>
      </c>
      <c r="J253" s="26">
        <f ca="1">'Impacts A'!J253-'Impacts B'!J253</f>
        <v>-4.8151134000385847</v>
      </c>
      <c r="K253" s="26">
        <f ca="1">'Impacts A'!K253-'Impacts B'!K253</f>
        <v>-7.030742590447181</v>
      </c>
      <c r="L253" s="26">
        <f ca="1">'Impacts A'!L253-'Impacts B'!L253</f>
        <v>-9.227780097487015</v>
      </c>
      <c r="M253" s="6"/>
      <c r="N253" s="59" t="s">
        <v>132</v>
      </c>
    </row>
    <row r="254" spans="1:14" x14ac:dyDescent="0.2">
      <c r="A254" t="str">
        <v>LA Economic</v>
      </c>
      <c r="C254" s="26">
        <f ca="1">'Impacts A'!C254-'Impacts B'!C254</f>
        <v>-0.29841992901383785</v>
      </c>
      <c r="D254" s="26">
        <f ca="1">'Impacts A'!D254-'Impacts B'!D254</f>
        <v>-9.3525509541891871E-2</v>
      </c>
      <c r="E254" s="26">
        <f ca="1">'Impacts A'!E254-'Impacts B'!E254</f>
        <v>-2.83016317395135E-2</v>
      </c>
      <c r="F254" s="26">
        <f ca="1">'Impacts A'!F254-'Impacts B'!F254</f>
        <v>-0.28885713472186492</v>
      </c>
      <c r="G254" s="26">
        <f ca="1">'Impacts A'!G254-'Impacts B'!G254</f>
        <v>4.2728442197548233E-2</v>
      </c>
      <c r="H254" s="26">
        <f ca="1">'Impacts A'!H254-'Impacts B'!H254</f>
        <v>-1.0084655993659148</v>
      </c>
      <c r="I254" s="26">
        <f ca="1">'Impacts A'!I254-'Impacts B'!I254</f>
        <v>-2.3626222508394519</v>
      </c>
      <c r="J254" s="26">
        <f ca="1">'Impacts A'!J254-'Impacts B'!J254</f>
        <v>-4.5291979505697526</v>
      </c>
      <c r="K254" s="26">
        <f ca="1">'Impacts A'!K254-'Impacts B'!K254</f>
        <v>-6.2694276664102446</v>
      </c>
      <c r="L254" s="26">
        <f ca="1">'Impacts A'!L254-'Impacts B'!L254</f>
        <v>-8.0641924852253855</v>
      </c>
      <c r="M254" s="6"/>
      <c r="N254" s="59" t="s">
        <v>132</v>
      </c>
    </row>
    <row r="255" spans="1:14" ht="14.25" x14ac:dyDescent="0.25">
      <c r="A255" s="2" t="s">
        <v>708</v>
      </c>
      <c r="C255" s="2" t="s">
        <v>710</v>
      </c>
      <c r="D255" s="6"/>
      <c r="E255" s="6"/>
      <c r="F255" s="6"/>
      <c r="G255" s="6"/>
      <c r="H255" s="6"/>
      <c r="I255" s="6"/>
      <c r="J255" s="6"/>
      <c r="K255" s="6"/>
      <c r="L255" s="6"/>
      <c r="M255" s="6"/>
      <c r="N255" s="59"/>
    </row>
    <row r="256" spans="1:14" x14ac:dyDescent="0.2">
      <c r="A256" t="str">
        <f t="array" ref="A256:A263">R_CODE&amp;" "&amp;I_1_NAME</f>
        <v>EU Economic</v>
      </c>
      <c r="C256" s="29">
        <f ca="1">'Impacts A'!C256-'Impacts B'!C256</f>
        <v>-4.9164301828530377E-2</v>
      </c>
      <c r="D256" s="29">
        <f ca="1">'Impacts A'!D256-'Impacts B'!D256</f>
        <v>-2.895586463305122E-2</v>
      </c>
      <c r="E256" s="29">
        <f ca="1">'Impacts A'!E256-'Impacts B'!E256</f>
        <v>1.6925105327580958E-2</v>
      </c>
      <c r="F256" s="29">
        <f ca="1">'Impacts A'!F256-'Impacts B'!F256</f>
        <v>-2.8927726162475409E-3</v>
      </c>
      <c r="G256" s="29">
        <f ca="1">'Impacts A'!G256-'Impacts B'!G256</f>
        <v>-9.4618636223842145E-4</v>
      </c>
      <c r="H256" s="29">
        <f ca="1">'Impacts A'!H256-'Impacts B'!H256</f>
        <v>-5.548554500161007E-2</v>
      </c>
      <c r="I256" s="29">
        <f ca="1">'Impacts A'!I256-'Impacts B'!I256</f>
        <v>-0.20770965597782798</v>
      </c>
      <c r="J256" s="29">
        <f ca="1">'Impacts A'!J256-'Impacts B'!J256</f>
        <v>-0.44801868711442649</v>
      </c>
      <c r="K256" s="29">
        <f ca="1">'Impacts A'!K256-'Impacts B'!K256</f>
        <v>-0.88438652855969968</v>
      </c>
      <c r="L256" s="29">
        <f ca="1">'Impacts A'!L256-'Impacts B'!L256</f>
        <v>-1.2921129613911009</v>
      </c>
      <c r="M256" s="6"/>
      <c r="N256" s="59" t="s">
        <v>132</v>
      </c>
    </row>
    <row r="257" spans="1:15" x14ac:dyDescent="0.2">
      <c r="A257" t="str">
        <v>US Economic</v>
      </c>
      <c r="C257" s="26">
        <f ca="1">'Impacts A'!C257-'Impacts B'!C257</f>
        <v>-2.6094127927323019E-2</v>
      </c>
      <c r="D257" s="26">
        <f ca="1">'Impacts A'!D257-'Impacts B'!D257</f>
        <v>-7.5387282884920026E-3</v>
      </c>
      <c r="E257" s="26">
        <f ca="1">'Impacts A'!E257-'Impacts B'!E257</f>
        <v>-6.3369857605344304E-2</v>
      </c>
      <c r="F257" s="26">
        <f ca="1">'Impacts A'!F257-'Impacts B'!F257</f>
        <v>-9.0711585251612714E-2</v>
      </c>
      <c r="G257" s="26">
        <f ca="1">'Impacts A'!G257-'Impacts B'!G257</f>
        <v>2.4499376751641044E-2</v>
      </c>
      <c r="H257" s="26">
        <f ca="1">'Impacts A'!H257-'Impacts B'!H257</f>
        <v>-0.39784592646794348</v>
      </c>
      <c r="I257" s="26">
        <f ca="1">'Impacts A'!I257-'Impacts B'!I257</f>
        <v>-1.1165691587120441</v>
      </c>
      <c r="J257" s="26">
        <f ca="1">'Impacts A'!J257-'Impacts B'!J257</f>
        <v>-2.164897392303522</v>
      </c>
      <c r="K257" s="26">
        <f ca="1">'Impacts A'!K257-'Impacts B'!K257</f>
        <v>-3.2892634656146895</v>
      </c>
      <c r="L257" s="26">
        <f ca="1">'Impacts A'!L257-'Impacts B'!L257</f>
        <v>-4.3557319675420869</v>
      </c>
      <c r="M257" s="6"/>
      <c r="N257" s="59" t="s">
        <v>132</v>
      </c>
    </row>
    <row r="258" spans="1:15" x14ac:dyDescent="0.2">
      <c r="A258" t="str">
        <v>OT Economic</v>
      </c>
      <c r="C258" s="26">
        <f ca="1">'Impacts A'!C258-'Impacts B'!C258</f>
        <v>2.1600118015219216E-3</v>
      </c>
      <c r="D258" s="26">
        <f ca="1">'Impacts A'!D258-'Impacts B'!D258</f>
        <v>1.2369958998958985E-2</v>
      </c>
      <c r="E258" s="26">
        <f ca="1">'Impacts A'!E258-'Impacts B'!E258</f>
        <v>-1.1884358047220545E-3</v>
      </c>
      <c r="F258" s="26">
        <f ca="1">'Impacts A'!F258-'Impacts B'!F258</f>
        <v>-3.974627321138291E-2</v>
      </c>
      <c r="G258" s="26">
        <f ca="1">'Impacts A'!G258-'Impacts B'!G258</f>
        <v>-2.5341174991810878E-2</v>
      </c>
      <c r="H258" s="26">
        <f ca="1">'Impacts A'!H258-'Impacts B'!H258</f>
        <v>-0.42343270979995351</v>
      </c>
      <c r="I258" s="26">
        <f ca="1">'Impacts A'!I258-'Impacts B'!I258</f>
        <v>-0.8983220452814078</v>
      </c>
      <c r="J258" s="26">
        <f ca="1">'Impacts A'!J258-'Impacts B'!J258</f>
        <v>-1.8677892134897123</v>
      </c>
      <c r="K258" s="26">
        <f ca="1">'Impacts A'!K258-'Impacts B'!K258</f>
        <v>-2.9563403170036473</v>
      </c>
      <c r="L258" s="26">
        <f ca="1">'Impacts A'!L258-'Impacts B'!L258</f>
        <v>-4.0186521982036307</v>
      </c>
      <c r="M258" s="6"/>
      <c r="N258" s="59" t="s">
        <v>132</v>
      </c>
    </row>
    <row r="259" spans="1:15" x14ac:dyDescent="0.2">
      <c r="A259" t="str">
        <v>EE Economic</v>
      </c>
      <c r="C259" s="26">
        <f ca="1">'Impacts A'!C259-'Impacts B'!C259</f>
        <v>-0.11369047104528018</v>
      </c>
      <c r="D259" s="26">
        <f ca="1">'Impacts A'!D259-'Impacts B'!D259</f>
        <v>-8.1504327130343945E-2</v>
      </c>
      <c r="E259" s="26">
        <f ca="1">'Impacts A'!E259-'Impacts B'!E259</f>
        <v>6.6575812936808809E-2</v>
      </c>
      <c r="F259" s="26">
        <f ca="1">'Impacts A'!F259-'Impacts B'!F259</f>
        <v>-9.7070645963537316E-3</v>
      </c>
      <c r="G259" s="26">
        <f ca="1">'Impacts A'!G259-'Impacts B'!G259</f>
        <v>5.5371801845849333E-2</v>
      </c>
      <c r="H259" s="26">
        <f ca="1">'Impacts A'!H259-'Impacts B'!H259</f>
        <v>0.28330838198398212</v>
      </c>
      <c r="I259" s="26">
        <f ca="1">'Impacts A'!I259-'Impacts B'!I259</f>
        <v>0.41719359021128444</v>
      </c>
      <c r="J259" s="26">
        <f ca="1">'Impacts A'!J259-'Impacts B'!J259</f>
        <v>0.37888443972713404</v>
      </c>
      <c r="K259" s="26">
        <f ca="1">'Impacts A'!K259-'Impacts B'!K259</f>
        <v>9.9942998766433533E-2</v>
      </c>
      <c r="L259" s="26">
        <f ca="1">'Impacts A'!L259-'Impacts B'!L259</f>
        <v>-0.16761530666711266</v>
      </c>
      <c r="M259" s="6"/>
      <c r="N259" s="59" t="s">
        <v>132</v>
      </c>
    </row>
    <row r="260" spans="1:15" x14ac:dyDescent="0.2">
      <c r="A260" t="str">
        <v>CA Economic</v>
      </c>
      <c r="C260" s="26">
        <f ca="1">'Impacts A'!C260-'Impacts B'!C260</f>
        <v>3.2652483304873581E-2</v>
      </c>
      <c r="D260" s="26">
        <f ca="1">'Impacts A'!D260-'Impacts B'!D260</f>
        <v>-2.9290481233124055E-3</v>
      </c>
      <c r="E260" s="26">
        <f ca="1">'Impacts A'!E260-'Impacts B'!E260</f>
        <v>-7.9513715474166524E-2</v>
      </c>
      <c r="F260" s="26">
        <f ca="1">'Impacts A'!F260-'Impacts B'!F260</f>
        <v>-0.10874211609662732</v>
      </c>
      <c r="G260" s="26">
        <f ca="1">'Impacts A'!G260-'Impacts B'!G260</f>
        <v>3.2052229251611219E-2</v>
      </c>
      <c r="H260" s="26">
        <f ca="1">'Impacts A'!H260-'Impacts B'!H260</f>
        <v>-0.66621495184303603</v>
      </c>
      <c r="I260" s="26">
        <f ca="1">'Impacts A'!I260-'Impacts B'!I260</f>
        <v>-1.7991733587912617</v>
      </c>
      <c r="J260" s="26">
        <f ca="1">'Impacts A'!J260-'Impacts B'!J260</f>
        <v>-2.9369618103231798</v>
      </c>
      <c r="K260" s="26">
        <f ca="1">'Impacts A'!K260-'Impacts B'!K260</f>
        <v>-4.4598728638610137</v>
      </c>
      <c r="L260" s="26">
        <f ca="1">'Impacts A'!L260-'Impacts B'!L260</f>
        <v>-5.859471467860411</v>
      </c>
      <c r="M260" s="6"/>
      <c r="N260" s="59" t="s">
        <v>132</v>
      </c>
    </row>
    <row r="261" spans="1:15" x14ac:dyDescent="0.2">
      <c r="A261" t="str">
        <v>IA Economic</v>
      </c>
      <c r="C261" s="26">
        <f ca="1">'Impacts A'!C261-'Impacts B'!C261</f>
        <v>-0.16695810183191551</v>
      </c>
      <c r="D261" s="26">
        <f ca="1">'Impacts A'!D261-'Impacts B'!D261</f>
        <v>-0.10692568817848302</v>
      </c>
      <c r="E261" s="26">
        <f ca="1">'Impacts A'!E261-'Impacts B'!E261</f>
        <v>-8.7825774967287273E-2</v>
      </c>
      <c r="F261" s="26">
        <f ca="1">'Impacts A'!F261-'Impacts B'!F261</f>
        <v>-0.25254347927022858</v>
      </c>
      <c r="G261" s="26">
        <f ca="1">'Impacts A'!G261-'Impacts B'!G261</f>
        <v>0.18764873426034878</v>
      </c>
      <c r="H261" s="26">
        <f ca="1">'Impacts A'!H261-'Impacts B'!H261</f>
        <v>-1.2348458104343596</v>
      </c>
      <c r="I261" s="26">
        <f ca="1">'Impacts A'!I261-'Impacts B'!I261</f>
        <v>-3.0225451646828221</v>
      </c>
      <c r="J261" s="26">
        <f ca="1">'Impacts A'!J261-'Impacts B'!J261</f>
        <v>-5.3525178469633339</v>
      </c>
      <c r="K261" s="26">
        <f ca="1">'Impacts A'!K261-'Impacts B'!K261</f>
        <v>-7.6514882962528841</v>
      </c>
      <c r="L261" s="26">
        <f ca="1">'Impacts A'!L261-'Impacts B'!L261</f>
        <v>-9.913489773544736</v>
      </c>
      <c r="M261" s="6"/>
      <c r="N261" s="59" t="s">
        <v>132</v>
      </c>
    </row>
    <row r="262" spans="1:15" x14ac:dyDescent="0.2">
      <c r="A262" t="str">
        <v>AF Economic</v>
      </c>
      <c r="C262" s="26">
        <f ca="1">'Impacts A'!C262-'Impacts B'!C262</f>
        <v>-8.9960225998908516E-2</v>
      </c>
      <c r="D262" s="26">
        <f ca="1">'Impacts A'!D262-'Impacts B'!D262</f>
        <v>-0.1436295684960287</v>
      </c>
      <c r="E262" s="26">
        <f ca="1">'Impacts A'!E262-'Impacts B'!E262</f>
        <v>-8.1878446549166206E-3</v>
      </c>
      <c r="F262" s="26">
        <f ca="1">'Impacts A'!F262-'Impacts B'!F262</f>
        <v>-0.26508600971890672</v>
      </c>
      <c r="G262" s="26">
        <f ca="1">'Impacts A'!G262-'Impacts B'!G262</f>
        <v>0.13683897251555166</v>
      </c>
      <c r="H262" s="26">
        <f ca="1">'Impacts A'!H262-'Impacts B'!H262</f>
        <v>-0.96787772018813722</v>
      </c>
      <c r="I262" s="26">
        <f ca="1">'Impacts A'!I262-'Impacts B'!I262</f>
        <v>-2.647739456758103</v>
      </c>
      <c r="J262" s="26">
        <f ca="1">'Impacts A'!J262-'Impacts B'!J262</f>
        <v>-4.8151134000385847</v>
      </c>
      <c r="K262" s="26">
        <f ca="1">'Impacts A'!K262-'Impacts B'!K262</f>
        <v>-7.030742590447181</v>
      </c>
      <c r="L262" s="26">
        <f ca="1">'Impacts A'!L262-'Impacts B'!L262</f>
        <v>-9.227780097487015</v>
      </c>
      <c r="M262" s="6"/>
      <c r="N262" s="59" t="s">
        <v>132</v>
      </c>
    </row>
    <row r="263" spans="1:15" x14ac:dyDescent="0.2">
      <c r="A263" t="str">
        <v>LA Economic</v>
      </c>
      <c r="C263" s="26">
        <f ca="1">'Impacts A'!C263-'Impacts B'!C263</f>
        <v>-0.29841992901383785</v>
      </c>
      <c r="D263" s="26">
        <f ca="1">'Impacts A'!D263-'Impacts B'!D263</f>
        <v>-9.3525509541891871E-2</v>
      </c>
      <c r="E263" s="26">
        <f ca="1">'Impacts A'!E263-'Impacts B'!E263</f>
        <v>-2.83016317395135E-2</v>
      </c>
      <c r="F263" s="26">
        <f ca="1">'Impacts A'!F263-'Impacts B'!F263</f>
        <v>-0.28885713472186492</v>
      </c>
      <c r="G263" s="26">
        <f ca="1">'Impacts A'!G263-'Impacts B'!G263</f>
        <v>4.2728442197548233E-2</v>
      </c>
      <c r="H263" s="26">
        <f ca="1">'Impacts A'!H263-'Impacts B'!H263</f>
        <v>-1.0084655993659148</v>
      </c>
      <c r="I263" s="26">
        <f ca="1">'Impacts A'!I263-'Impacts B'!I263</f>
        <v>-2.3626222508394519</v>
      </c>
      <c r="J263" s="26">
        <f ca="1">'Impacts A'!J263-'Impacts B'!J263</f>
        <v>-4.5291979505697526</v>
      </c>
      <c r="K263" s="26">
        <f ca="1">'Impacts A'!K263-'Impacts B'!K263</f>
        <v>-6.2694276664102446</v>
      </c>
      <c r="L263" s="26">
        <f ca="1">'Impacts A'!L263-'Impacts B'!L263</f>
        <v>-8.0641924852253855</v>
      </c>
      <c r="M263" s="6"/>
      <c r="N263" s="59" t="s">
        <v>132</v>
      </c>
    </row>
    <row r="264" spans="1:15" s="2" customFormat="1" ht="14.25" x14ac:dyDescent="0.25">
      <c r="A264" s="2" t="s">
        <v>709</v>
      </c>
      <c r="C264" s="2" t="s">
        <v>716</v>
      </c>
    </row>
    <row r="265" spans="1:15" x14ac:dyDescent="0.2">
      <c r="A265" t="str">
        <f t="array" ref="A265:A272">R_CODE&amp;" "&amp;I_1_NAME</f>
        <v>EU Economic</v>
      </c>
      <c r="C265" s="29">
        <f ca="1">'Impacts A'!C265-'Impacts B'!C265</f>
        <v>-19.520103023117954</v>
      </c>
      <c r="D265" s="29">
        <f ca="1">'Impacts A'!D265-'Impacts B'!D265</f>
        <v>-12.85699373915746</v>
      </c>
      <c r="E265" s="29">
        <f ca="1">'Impacts A'!E265-'Impacts B'!E265</f>
        <v>8.4145823332612508</v>
      </c>
      <c r="F265" s="29">
        <f ca="1">'Impacts A'!F265-'Impacts B'!F265</f>
        <v>-1.8031867997877953</v>
      </c>
      <c r="G265" s="29">
        <f ca="1">'Impacts A'!G265-'Impacts B'!G265</f>
        <v>-0.68345829521706492</v>
      </c>
      <c r="H265" s="29">
        <f ca="1">'Impacts A'!H265-'Impacts B'!H265</f>
        <v>-48.24720293976452</v>
      </c>
      <c r="I265" s="29">
        <f ca="1">'Impacts A'!I265-'Impacts B'!I265</f>
        <v>-220.69806622140601</v>
      </c>
      <c r="J265" s="29">
        <f ca="1">'Impacts A'!J265-'Impacts B'!J265</f>
        <v>-571.85623750972672</v>
      </c>
      <c r="K265" s="29">
        <f ca="1">'Impacts A'!K265-'Impacts B'!K265</f>
        <v>-1348.7958621278431</v>
      </c>
      <c r="L265" s="29">
        <f ca="1">'Impacts A'!L265-'Impacts B'!L265</f>
        <v>-2355.6311248810548</v>
      </c>
      <c r="M265" s="6"/>
      <c r="N265" s="1" t="str">
        <f t="shared" ref="N265:N272" si="5">CURRENCY_NAME&amp;"/"&amp;POP_UNIT_NAME</f>
        <v>$M(2015)/million</v>
      </c>
      <c r="O265" s="1"/>
    </row>
    <row r="266" spans="1:15" x14ac:dyDescent="0.2">
      <c r="A266" t="str">
        <v>US Economic</v>
      </c>
      <c r="C266" s="26">
        <f ca="1">'Impacts A'!C266-'Impacts B'!C266</f>
        <v>-14.726583203410655</v>
      </c>
      <c r="D266" s="26">
        <f ca="1">'Impacts A'!D266-'Impacts B'!D266</f>
        <v>-4.6177349462578121</v>
      </c>
      <c r="E266" s="26">
        <f ca="1">'Impacts A'!E266-'Impacts B'!E266</f>
        <v>-42.157190877560794</v>
      </c>
      <c r="F266" s="26">
        <f ca="1">'Impacts A'!F266-'Impacts B'!F266</f>
        <v>-71.18015204232853</v>
      </c>
      <c r="G266" s="26">
        <f ca="1">'Impacts A'!G266-'Impacts B'!G266</f>
        <v>21.852426164548433</v>
      </c>
      <c r="H266" s="26">
        <f ca="1">'Impacts A'!H266-'Impacts B'!H266</f>
        <v>-426.58848175598314</v>
      </c>
      <c r="I266" s="26">
        <f ca="1">'Impacts A'!I266-'Impacts B'!I266</f>
        <v>-1362.1659729036799</v>
      </c>
      <c r="J266" s="26">
        <f ca="1">'Impacts A'!J266-'Impacts B'!J266</f>
        <v>-3036.3749535160105</v>
      </c>
      <c r="K266" s="26">
        <f ca="1">'Impacts A'!K266-'Impacts B'!K266</f>
        <v>-5360.7421536658012</v>
      </c>
      <c r="L266" s="26">
        <f ca="1">'Impacts A'!L266-'Impacts B'!L266</f>
        <v>-8305.7734095741525</v>
      </c>
      <c r="M266" s="6"/>
      <c r="N266" s="1" t="str">
        <f t="shared" si="5"/>
        <v>$M(2015)/million</v>
      </c>
      <c r="O266" s="1"/>
    </row>
    <row r="267" spans="1:15" x14ac:dyDescent="0.2">
      <c r="A267" t="str">
        <v>OT Economic</v>
      </c>
      <c r="C267" s="26">
        <f ca="1">'Impacts A'!C267-'Impacts B'!C267</f>
        <v>0.79157217739087571</v>
      </c>
      <c r="D267" s="26">
        <f ca="1">'Impacts A'!D267-'Impacts B'!D267</f>
        <v>5.0358823624130729</v>
      </c>
      <c r="E267" s="26">
        <f ca="1">'Impacts A'!E267-'Impacts B'!E267</f>
        <v>-0.54122215838987842</v>
      </c>
      <c r="F267" s="26">
        <f ca="1">'Impacts A'!F267-'Impacts B'!F267</f>
        <v>-22.659124111137999</v>
      </c>
      <c r="G267" s="26">
        <f ca="1">'Impacts A'!G267-'Impacts B'!G267</f>
        <v>-17.824572416979549</v>
      </c>
      <c r="H267" s="26">
        <f ca="1">'Impacts A'!H267-'Impacts B'!H267</f>
        <v>-363.32769020059754</v>
      </c>
      <c r="I267" s="26">
        <f ca="1">'Impacts A'!I267-'Impacts B'!I267</f>
        <v>-934.31426803066938</v>
      </c>
      <c r="J267" s="26">
        <f ca="1">'Impacts A'!J267-'Impacts B'!J267</f>
        <v>-2320.7692587921847</v>
      </c>
      <c r="K267" s="26">
        <f ca="1">'Impacts A'!K267-'Impacts B'!K267</f>
        <v>-4398.7702084087878</v>
      </c>
      <c r="L267" s="26">
        <f ca="1">'Impacts A'!L267-'Impacts B'!L267</f>
        <v>-7167.7454355142363</v>
      </c>
      <c r="M267" s="6"/>
      <c r="N267" s="1" t="str">
        <f t="shared" si="5"/>
        <v>$M(2015)/million</v>
      </c>
      <c r="O267" s="1"/>
    </row>
    <row r="268" spans="1:15" x14ac:dyDescent="0.2">
      <c r="A268" t="str">
        <v>EE Economic</v>
      </c>
      <c r="C268" s="26">
        <f ca="1">'Impacts A'!C268-'Impacts B'!C268</f>
        <v>-21.139699500744314</v>
      </c>
      <c r="D268" s="26">
        <f ca="1">'Impacts A'!D268-'Impacts B'!D268</f>
        <v>-18.570871774741903</v>
      </c>
      <c r="E268" s="26">
        <f ca="1">'Impacts A'!E268-'Impacts B'!E268</f>
        <v>18.499526249075871</v>
      </c>
      <c r="F268" s="26">
        <f ca="1">'Impacts A'!F268-'Impacts B'!F268</f>
        <v>-3.777730200613064</v>
      </c>
      <c r="G268" s="26">
        <f ca="1">'Impacts A'!G268-'Impacts B'!G268</f>
        <v>31.113737933416587</v>
      </c>
      <c r="H268" s="26">
        <f ca="1">'Impacts A'!H268-'Impacts B'!H268</f>
        <v>203.57049689755763</v>
      </c>
      <c r="I268" s="26">
        <f ca="1">'Impacts A'!I268-'Impacts B'!I268</f>
        <v>359.17331332586537</v>
      </c>
      <c r="J268" s="26">
        <f ca="1">'Impacts A'!J268-'Impacts B'!J268</f>
        <v>387.42120536736093</v>
      </c>
      <c r="K268" s="26">
        <f ca="1">'Impacts A'!K268-'Impacts B'!K268</f>
        <v>141.14614239289131</v>
      </c>
      <c r="L268" s="26">
        <f ca="1">'Impacts A'!L268-'Impacts B'!L268</f>
        <v>-215.63326907572446</v>
      </c>
      <c r="M268" s="6"/>
      <c r="N268" s="1" t="str">
        <f t="shared" si="5"/>
        <v>$M(2015)/million</v>
      </c>
      <c r="O268" s="1"/>
    </row>
    <row r="269" spans="1:15" x14ac:dyDescent="0.2">
      <c r="A269" t="str">
        <v>CA Economic</v>
      </c>
      <c r="C269" s="26">
        <f ca="1">'Impacts A'!C269-'Impacts B'!C269</f>
        <v>6.3737648244462264</v>
      </c>
      <c r="D269" s="26">
        <f ca="1">'Impacts A'!D269-'Impacts B'!D269</f>
        <v>-0.78369908263991306</v>
      </c>
      <c r="E269" s="26">
        <f ca="1">'Impacts A'!E269-'Impacts B'!E269</f>
        <v>-27.856110620399704</v>
      </c>
      <c r="F269" s="26">
        <f ca="1">'Impacts A'!F269-'Impacts B'!F269</f>
        <v>-56.569655999720567</v>
      </c>
      <c r="G269" s="26">
        <f ca="1">'Impacts A'!G269-'Impacts B'!G269</f>
        <v>21.298014671621104</v>
      </c>
      <c r="H269" s="26">
        <f ca="1">'Impacts A'!H269-'Impacts B'!H269</f>
        <v>-571.25828748012555</v>
      </c>
      <c r="I269" s="26">
        <f ca="1">'Impacts A'!I269-'Impacts B'!I269</f>
        <v>-1832.3475939974549</v>
      </c>
      <c r="J269" s="26">
        <f ca="1">'Impacts A'!J269-'Impacts B'!J269</f>
        <v>-3506.0068655269692</v>
      </c>
      <c r="K269" s="26">
        <f ca="1">'Impacts A'!K269-'Impacts B'!K269</f>
        <v>-6256.7035568907122</v>
      </c>
      <c r="L269" s="26">
        <f ca="1">'Impacts A'!L269-'Impacts B'!L269</f>
        <v>-9669.8909287946553</v>
      </c>
      <c r="M269" s="6"/>
      <c r="N269" s="1" t="str">
        <f t="shared" si="5"/>
        <v>$M(2015)/million</v>
      </c>
      <c r="O269" s="1"/>
    </row>
    <row r="270" spans="1:15" x14ac:dyDescent="0.2">
      <c r="A270" t="str">
        <v>IA Economic</v>
      </c>
      <c r="C270" s="26">
        <f ca="1">'Impacts A'!C270-'Impacts B'!C270</f>
        <v>-13.37299911889658</v>
      </c>
      <c r="D270" s="26">
        <f ca="1">'Impacts A'!D270-'Impacts B'!D270</f>
        <v>-11.369253752676229</v>
      </c>
      <c r="E270" s="26">
        <f ca="1">'Impacts A'!E270-'Impacts B'!E270</f>
        <v>-12.217842425641919</v>
      </c>
      <c r="F270" s="26">
        <f ca="1">'Impacts A'!F270-'Impacts B'!F270</f>
        <v>-56.209658570454508</v>
      </c>
      <c r="G270" s="26">
        <f ca="1">'Impacts A'!G270-'Impacts B'!G270</f>
        <v>59.643076125190873</v>
      </c>
      <c r="H270" s="26">
        <f ca="1">'Impacts A'!H270-'Impacts B'!H270</f>
        <v>-576.27227248820191</v>
      </c>
      <c r="I270" s="26">
        <f ca="1">'Impacts A'!I270-'Impacts B'!I270</f>
        <v>-1857.3525836404124</v>
      </c>
      <c r="J270" s="26">
        <f ca="1">'Impacts A'!J270-'Impacts B'!J270</f>
        <v>-4247.7206245367015</v>
      </c>
      <c r="K270" s="26">
        <f ca="1">'Impacts A'!K270-'Impacts B'!K270</f>
        <v>-7812.2236353960707</v>
      </c>
      <c r="L270" s="26">
        <f ca="1">'Impacts A'!L270-'Impacts B'!L270</f>
        <v>-12894.017381388972</v>
      </c>
      <c r="M270" s="6"/>
      <c r="N270" s="1" t="str">
        <f t="shared" si="5"/>
        <v>$M(2015)/million</v>
      </c>
      <c r="O270" s="1"/>
    </row>
    <row r="271" spans="1:15" x14ac:dyDescent="0.2">
      <c r="A271" t="str">
        <v>AF Economic</v>
      </c>
      <c r="C271" s="26">
        <f ca="1">'Impacts A'!C271-'Impacts B'!C271</f>
        <v>-5.629454304625245</v>
      </c>
      <c r="D271" s="26">
        <f ca="1">'Impacts A'!D271-'Impacts B'!D271</f>
        <v>-10.845421464280342</v>
      </c>
      <c r="E271" s="26">
        <f ca="1">'Impacts A'!E271-'Impacts B'!E271</f>
        <v>-0.76172772569680092</v>
      </c>
      <c r="F271" s="26">
        <f ca="1">'Impacts A'!F271-'Impacts B'!F271</f>
        <v>-37.891472543301916</v>
      </c>
      <c r="G271" s="26">
        <f ca="1">'Impacts A'!G271-'Impacts B'!G271</f>
        <v>25.268002574961315</v>
      </c>
      <c r="H271" s="26">
        <f ca="1">'Impacts A'!H271-'Impacts B'!H271</f>
        <v>-338.04930715109413</v>
      </c>
      <c r="I271" s="26">
        <f ca="1">'Impacts A'!I271-'Impacts B'!I271</f>
        <v>-1204.6159323035445</v>
      </c>
      <c r="J271" s="26">
        <f ca="1">'Impacts A'!J271-'Impacts B'!J271</f>
        <v>-2921.2199293790609</v>
      </c>
      <c r="K271" s="26">
        <f ca="1">'Impacts A'!K271-'Impacts B'!K271</f>
        <v>-5764.3460201944963</v>
      </c>
      <c r="L271" s="26">
        <f ca="1">'Impacts A'!L271-'Impacts B'!L271</f>
        <v>-10172.354041826451</v>
      </c>
      <c r="M271" s="6"/>
      <c r="N271" s="1" t="str">
        <f t="shared" si="5"/>
        <v>$M(2015)/million</v>
      </c>
      <c r="O271" s="1"/>
    </row>
    <row r="272" spans="1:15" x14ac:dyDescent="0.2">
      <c r="A272" t="str">
        <v>LA Economic</v>
      </c>
      <c r="C272" s="26">
        <f ca="1">'Impacts A'!C272-'Impacts B'!C272</f>
        <v>-44.936825827520792</v>
      </c>
      <c r="D272" s="26">
        <f ca="1">'Impacts A'!D272-'Impacts B'!D272</f>
        <v>-16.599110774038394</v>
      </c>
      <c r="E272" s="26">
        <f ca="1">'Impacts A'!E272-'Impacts B'!E272</f>
        <v>-5.9776381068539308</v>
      </c>
      <c r="F272" s="26">
        <f ca="1">'Impacts A'!F272-'Impacts B'!F272</f>
        <v>-87.562706006768849</v>
      </c>
      <c r="G272" s="26">
        <f ca="1">'Impacts A'!G272-'Impacts B'!G272</f>
        <v>17.735373941740363</v>
      </c>
      <c r="H272" s="26">
        <f ca="1">'Impacts A'!H272-'Impacts B'!H272</f>
        <v>-587.10935705563907</v>
      </c>
      <c r="I272" s="26">
        <f ca="1">'Impacts A'!I272-'Impacts B'!I272</f>
        <v>-1755.9946078656726</v>
      </c>
      <c r="J272" s="26">
        <f ca="1">'Impacts A'!J272-'Impacts B'!J272</f>
        <v>-4209.9592454217272</v>
      </c>
      <c r="K272" s="26">
        <f ca="1">'Impacts A'!K272-'Impacts B'!K272</f>
        <v>-7305.7134004866475</v>
      </c>
      <c r="L272" s="26">
        <f ca="1">'Impacts A'!L272-'Impacts B'!L272</f>
        <v>-11756.161761104908</v>
      </c>
      <c r="M272" s="6"/>
      <c r="N272" s="1" t="str">
        <f t="shared" si="5"/>
        <v>$M(2015)/million</v>
      </c>
      <c r="O272" s="1"/>
    </row>
    <row r="273" spans="1:15" s="2" customFormat="1" ht="14.25" x14ac:dyDescent="0.25">
      <c r="A273" s="2" t="s">
        <v>226</v>
      </c>
      <c r="C273" s="2" t="s">
        <v>236</v>
      </c>
    </row>
    <row r="274" spans="1:15" x14ac:dyDescent="0.2">
      <c r="A274" t="str">
        <f t="array" ref="A274:A281">R_CODE&amp;" "&amp;I_1_NAME</f>
        <v>EU Economic</v>
      </c>
      <c r="C274" s="29">
        <f ca="1">'Impacts A'!C274-'Impacts B'!C274</f>
        <v>19.64374555194081</v>
      </c>
      <c r="D274" s="29">
        <f ca="1">'Impacts A'!D274-'Impacts B'!D274</f>
        <v>13.168690055528714</v>
      </c>
      <c r="E274" s="29">
        <f ca="1">'Impacts A'!E274-'Impacts B'!E274</f>
        <v>-8.0581988841368002</v>
      </c>
      <c r="F274" s="29">
        <f ca="1">'Impacts A'!F274-'Impacts B'!F274</f>
        <v>4.3110196015913971</v>
      </c>
      <c r="G274" s="29">
        <f ca="1">'Impacts A'!G274-'Impacts B'!G274</f>
        <v>-4.2766051891230745</v>
      </c>
      <c r="H274" s="29">
        <f ca="1">'Impacts A'!H274-'Impacts B'!H274</f>
        <v>-219.25338231824571</v>
      </c>
      <c r="I274" s="29">
        <f ca="1">'Impacts A'!I274-'Impacts B'!I274</f>
        <v>-238.97921612334903</v>
      </c>
      <c r="J274" s="29">
        <f ca="1">'Impacts A'!J274-'Impacts B'!J274</f>
        <v>196.83183051843662</v>
      </c>
      <c r="K274" s="29">
        <f ca="1">'Impacts A'!K274-'Impacts B'!K274</f>
        <v>1144.9490247245267</v>
      </c>
      <c r="L274" s="29">
        <f ca="1">'Impacts A'!L274-'Impacts B'!L274</f>
        <v>2539.4786554885504</v>
      </c>
      <c r="M274" s="6"/>
      <c r="N274" s="1" t="str">
        <f t="shared" ref="N274:N281" si="6">CURRENCY_NAME&amp;"/"&amp;POP_UNIT_NAME</f>
        <v>$M(2015)/million</v>
      </c>
      <c r="O274" s="1"/>
    </row>
    <row r="275" spans="1:15" x14ac:dyDescent="0.2">
      <c r="A275" t="str">
        <v>US Economic</v>
      </c>
      <c r="C275" s="26">
        <f ca="1">'Impacts A'!C275-'Impacts B'!C275</f>
        <v>14.853003091200662</v>
      </c>
      <c r="D275" s="26">
        <f ca="1">'Impacts A'!D275-'Impacts B'!D275</f>
        <v>4.929876623529708</v>
      </c>
      <c r="E275" s="26">
        <f ca="1">'Impacts A'!E275-'Impacts B'!E275</f>
        <v>42.506459479693149</v>
      </c>
      <c r="F275" s="26">
        <f ca="1">'Impacts A'!F275-'Impacts B'!F275</f>
        <v>73.54706054025155</v>
      </c>
      <c r="G275" s="26">
        <f ca="1">'Impacts A'!G275-'Impacts B'!G275</f>
        <v>-57.383602215049905</v>
      </c>
      <c r="H275" s="26">
        <f ca="1">'Impacts A'!H275-'Impacts B'!H275</f>
        <v>-384.24754700476478</v>
      </c>
      <c r="I275" s="26">
        <f ca="1">'Impacts A'!I275-'Impacts B'!I275</f>
        <v>203.86182584972994</v>
      </c>
      <c r="J275" s="26">
        <f ca="1">'Impacts A'!J275-'Impacts B'!J275</f>
        <v>2102.1215343923686</v>
      </c>
      <c r="K275" s="26">
        <f ca="1">'Impacts A'!K275-'Impacts B'!K275</f>
        <v>4787.7978962911584</v>
      </c>
      <c r="L275" s="26">
        <f ca="1">'Impacts A'!L275-'Impacts B'!L275</f>
        <v>8184.6105096068932</v>
      </c>
      <c r="M275" s="6"/>
      <c r="N275" s="1" t="str">
        <f t="shared" si="6"/>
        <v>$M(2015)/million</v>
      </c>
      <c r="O275" s="1"/>
    </row>
    <row r="276" spans="1:15" x14ac:dyDescent="0.2">
      <c r="A276" t="str">
        <v>OT Economic</v>
      </c>
      <c r="C276" s="26">
        <f ca="1">'Impacts A'!C276-'Impacts B'!C276</f>
        <v>-0.69810478952058475</v>
      </c>
      <c r="D276" s="26">
        <f ca="1">'Impacts A'!D276-'Impacts B'!D276</f>
        <v>-4.8013415487876046</v>
      </c>
      <c r="E276" s="26">
        <f ca="1">'Impacts A'!E276-'Impacts B'!E276</f>
        <v>0.80929112349986099</v>
      </c>
      <c r="F276" s="26">
        <f ca="1">'Impacts A'!F276-'Impacts B'!F276</f>
        <v>24.552204101346433</v>
      </c>
      <c r="G276" s="26">
        <f ca="1">'Impacts A'!G276-'Impacts B'!G276</f>
        <v>3.1702858995777206</v>
      </c>
      <c r="H276" s="26">
        <f ca="1">'Impacts A'!H276-'Impacts B'!H276</f>
        <v>-267.80818899854785</v>
      </c>
      <c r="I276" s="26">
        <f ca="1">'Impacts A'!I276-'Impacts B'!I276</f>
        <v>-135.06445704342332</v>
      </c>
      <c r="J276" s="26">
        <f ca="1">'Impacts A'!J276-'Impacts B'!J276</f>
        <v>1359.1620055618259</v>
      </c>
      <c r="K276" s="26">
        <f ca="1">'Impacts A'!K276-'Impacts B'!K276</f>
        <v>3660.6753245127184</v>
      </c>
      <c r="L276" s="26">
        <f ca="1">'Impacts A'!L276-'Impacts B'!L276</f>
        <v>6808.3173574801767</v>
      </c>
      <c r="M276" s="6"/>
      <c r="N276" s="1" t="str">
        <f t="shared" si="6"/>
        <v>$M(2015)/million</v>
      </c>
      <c r="O276" s="1"/>
    </row>
    <row r="277" spans="1:15" x14ac:dyDescent="0.2">
      <c r="A277" t="str">
        <v>EE Economic</v>
      </c>
      <c r="C277" s="26">
        <f ca="1">'Impacts A'!C277-'Impacts B'!C277</f>
        <v>21.168737708750996</v>
      </c>
      <c r="D277" s="26">
        <f ca="1">'Impacts A'!D277-'Impacts B'!D277</f>
        <v>18.648911112726637</v>
      </c>
      <c r="E277" s="26">
        <f ca="1">'Impacts A'!E277-'Impacts B'!E277</f>
        <v>-18.404814312565577</v>
      </c>
      <c r="F277" s="26">
        <f ca="1">'Impacts A'!F277-'Impacts B'!F277</f>
        <v>4.499432724842336</v>
      </c>
      <c r="G277" s="26">
        <f ca="1">'Impacts A'!G277-'Impacts B'!G277</f>
        <v>-187.97158373086131</v>
      </c>
      <c r="H277" s="26">
        <f ca="1">'Impacts A'!H277-'Impacts B'!H277</f>
        <v>-1414.1071583695157</v>
      </c>
      <c r="I277" s="26">
        <f ca="1">'Impacts A'!I277-'Impacts B'!I277</f>
        <v>-1995.1094927181402</v>
      </c>
      <c r="J277" s="26">
        <f ca="1">'Impacts A'!J277-'Impacts B'!J277</f>
        <v>-1835.6973199020431</v>
      </c>
      <c r="K277" s="26">
        <f ca="1">'Impacts A'!K277-'Impacts B'!K277</f>
        <v>-1337.2716715208517</v>
      </c>
      <c r="L277" s="26">
        <f ca="1">'Impacts A'!L277-'Impacts B'!L277</f>
        <v>-727.06846662228054</v>
      </c>
      <c r="M277" s="6"/>
      <c r="N277" s="1" t="str">
        <f t="shared" si="6"/>
        <v>$M(2015)/million</v>
      </c>
      <c r="O277" s="1"/>
    </row>
    <row r="278" spans="1:15" x14ac:dyDescent="0.2">
      <c r="A278" t="str">
        <v>CA Economic</v>
      </c>
      <c r="C278" s="26">
        <f ca="1">'Impacts A'!C278-'Impacts B'!C278</f>
        <v>-6.3183240296166332</v>
      </c>
      <c r="D278" s="26">
        <f ca="1">'Impacts A'!D278-'Impacts B'!D278</f>
        <v>0.9494822637316247</v>
      </c>
      <c r="E278" s="26">
        <f ca="1">'Impacts A'!E278-'Impacts B'!E278</f>
        <v>28.074459411913267</v>
      </c>
      <c r="F278" s="26">
        <f ca="1">'Impacts A'!F278-'Impacts B'!F278</f>
        <v>58.460859813072602</v>
      </c>
      <c r="G278" s="26">
        <f ca="1">'Impacts A'!G278-'Impacts B'!G278</f>
        <v>-52.166026358529052</v>
      </c>
      <c r="H278" s="26">
        <f ca="1">'Impacts A'!H278-'Impacts B'!H278</f>
        <v>133.08584125750349</v>
      </c>
      <c r="I278" s="26">
        <f ca="1">'Impacts A'!I278-'Impacts B'!I278</f>
        <v>1123.5087416856841</v>
      </c>
      <c r="J278" s="26">
        <f ca="1">'Impacts A'!J278-'Impacts B'!J278</f>
        <v>2891.5082698103506</v>
      </c>
      <c r="K278" s="26">
        <f ca="1">'Impacts A'!K278-'Impacts B'!K278</f>
        <v>5858.9596585510444</v>
      </c>
      <c r="L278" s="26">
        <f ca="1">'Impacts A'!L278-'Impacts B'!L278</f>
        <v>9540.84229970038</v>
      </c>
      <c r="M278" s="6"/>
      <c r="N278" s="1" t="str">
        <f t="shared" si="6"/>
        <v>$M(2015)/million</v>
      </c>
      <c r="O278" s="1"/>
    </row>
    <row r="279" spans="1:15" x14ac:dyDescent="0.2">
      <c r="A279" t="str">
        <v>IA Economic</v>
      </c>
      <c r="C279" s="26">
        <f ca="1">'Impacts A'!C279-'Impacts B'!C279</f>
        <v>13.402752447330386</v>
      </c>
      <c r="D279" s="26">
        <f ca="1">'Impacts A'!D279-'Impacts B'!D279</f>
        <v>11.456169677871003</v>
      </c>
      <c r="E279" s="26">
        <f ca="1">'Impacts A'!E279-'Impacts B'!E279</f>
        <v>12.332374440786225</v>
      </c>
      <c r="F279" s="26">
        <f ca="1">'Impacts A'!F279-'Impacts B'!F279</f>
        <v>57.254838206517888</v>
      </c>
      <c r="G279" s="26">
        <f ca="1">'Impacts A'!G279-'Impacts B'!G279</f>
        <v>-94.437725528779993</v>
      </c>
      <c r="H279" s="26">
        <f ca="1">'Impacts A'!H279-'Impacts B'!H279</f>
        <v>313.48195505743206</v>
      </c>
      <c r="I279" s="26">
        <f ca="1">'Impacts A'!I279-'Impacts B'!I279</f>
        <v>1462.125773629632</v>
      </c>
      <c r="J279" s="26">
        <f ca="1">'Impacts A'!J279-'Impacts B'!J279</f>
        <v>3898.7731014638193</v>
      </c>
      <c r="K279" s="26">
        <f ca="1">'Impacts A'!K279-'Impacts B'!K279</f>
        <v>7597.6953206949838</v>
      </c>
      <c r="L279" s="26">
        <f ca="1">'Impacts A'!L279-'Impacts B'!L279</f>
        <v>12908.584310593011</v>
      </c>
      <c r="M279" s="6"/>
      <c r="N279" s="1" t="str">
        <f t="shared" si="6"/>
        <v>$M(2015)/million</v>
      </c>
      <c r="O279" s="1"/>
    </row>
    <row r="280" spans="1:15" x14ac:dyDescent="0.2">
      <c r="A280" t="str">
        <v>AF Economic</v>
      </c>
      <c r="C280" s="26">
        <f ca="1">'Impacts A'!C280-'Impacts B'!C280</f>
        <v>5.6482106946950807</v>
      </c>
      <c r="D280" s="26">
        <f ca="1">'Impacts A'!D280-'Impacts B'!D280</f>
        <v>10.896675801828678</v>
      </c>
      <c r="E280" s="26">
        <f ca="1">'Impacts A'!E280-'Impacts B'!E280</f>
        <v>0.82653912469504576</v>
      </c>
      <c r="F280" s="26">
        <f ca="1">'Impacts A'!F280-'Impacts B'!F280</f>
        <v>38.465897353800756</v>
      </c>
      <c r="G280" s="26">
        <f ca="1">'Impacts A'!G280-'Impacts B'!G280</f>
        <v>-116.78810399332724</v>
      </c>
      <c r="H280" s="26">
        <f ca="1">'Impacts A'!H280-'Impacts B'!H280</f>
        <v>-496.17854296700898</v>
      </c>
      <c r="I280" s="26">
        <f ca="1">'Impacts A'!I280-'Impacts B'!I280</f>
        <v>112.36547035619878</v>
      </c>
      <c r="J280" s="26">
        <f ca="1">'Impacts A'!J280-'Impacts B'!J280</f>
        <v>1973.447346597306</v>
      </c>
      <c r="K280" s="26">
        <f ca="1">'Impacts A'!K280-'Impacts B'!K280</f>
        <v>5046.3878736940387</v>
      </c>
      <c r="L280" s="26">
        <f ca="1">'Impacts A'!L280-'Impacts B'!L280</f>
        <v>9716.8581514334946</v>
      </c>
      <c r="M280" s="6"/>
      <c r="N280" s="1" t="str">
        <f t="shared" si="6"/>
        <v>$M(2015)/million</v>
      </c>
      <c r="O280" s="1"/>
    </row>
    <row r="281" spans="1:15" x14ac:dyDescent="0.2">
      <c r="A281" t="str">
        <v>LA Economic</v>
      </c>
      <c r="C281" s="26">
        <f ca="1">'Impacts A'!C281-'Impacts B'!C281</f>
        <v>44.971476232974965</v>
      </c>
      <c r="D281" s="26">
        <f ca="1">'Impacts A'!D281-'Impacts B'!D281</f>
        <v>16.692253263594466</v>
      </c>
      <c r="E281" s="26">
        <f ca="1">'Impacts A'!E281-'Impacts B'!E281</f>
        <v>6.092520051424799</v>
      </c>
      <c r="F281" s="26">
        <f ca="1">'Impacts A'!F281-'Impacts B'!F281</f>
        <v>88.534020175127807</v>
      </c>
      <c r="G281" s="26">
        <f ca="1">'Impacts A'!G281-'Impacts B'!G281</f>
        <v>-26.647101668910182</v>
      </c>
      <c r="H281" s="26">
        <f ca="1">'Impacts A'!H281-'Impacts B'!H281</f>
        <v>196.42821533425013</v>
      </c>
      <c r="I281" s="26">
        <f ca="1">'Impacts A'!I281-'Impacts B'!I281</f>
        <v>991.65934973353433</v>
      </c>
      <c r="J281" s="26">
        <f ca="1">'Impacts A'!J281-'Impacts B'!J281</f>
        <v>3321.689810612399</v>
      </c>
      <c r="K281" s="26">
        <f ca="1">'Impacts A'!K281-'Impacts B'!K281</f>
        <v>6551.3330520271702</v>
      </c>
      <c r="L281" s="26">
        <f ca="1">'Impacts A'!L281-'Impacts B'!L281</f>
        <v>11067.476814922149</v>
      </c>
      <c r="M281" s="6"/>
      <c r="N281" s="1" t="str">
        <f t="shared" si="6"/>
        <v>$M(2015)/million</v>
      </c>
      <c r="O281" s="1"/>
    </row>
    <row r="282" spans="1:15" s="2" customFormat="1" ht="14.25" x14ac:dyDescent="0.25">
      <c r="A282" s="2" t="s">
        <v>228</v>
      </c>
      <c r="C282" s="2" t="s">
        <v>235</v>
      </c>
    </row>
    <row r="283" spans="1:15" x14ac:dyDescent="0.2">
      <c r="A283" t="str">
        <f t="array" ref="A283:A290">R_CODE&amp;" "&amp;I_1_NAME</f>
        <v>EU Economic</v>
      </c>
      <c r="C283" s="29">
        <f ca="1">'Impacts A'!C283-'Impacts B'!C283</f>
        <v>23.110288884636248</v>
      </c>
      <c r="D283" s="29">
        <f ca="1">'Impacts A'!D283-'Impacts B'!D283</f>
        <v>15.49257653591485</v>
      </c>
      <c r="E283" s="29">
        <f ca="1">'Impacts A'!E283-'Impacts B'!E283</f>
        <v>-9.480233981339552</v>
      </c>
      <c r="F283" s="29">
        <f ca="1">'Impacts A'!F283-'Impacts B'!F283</f>
        <v>5.0717877665811102</v>
      </c>
      <c r="G283" s="29">
        <f ca="1">'Impacts A'!G283-'Impacts B'!G283</f>
        <v>-5.0313002225011587</v>
      </c>
      <c r="H283" s="29">
        <f ca="1">'Impacts A'!H283-'Impacts B'!H283</f>
        <v>-257.94515566852351</v>
      </c>
      <c r="I283" s="29">
        <f ca="1">'Impacts A'!I283-'Impacts B'!I283</f>
        <v>-281.15201896865619</v>
      </c>
      <c r="J283" s="29">
        <f ca="1">'Impacts A'!J283-'Impacts B'!J283</f>
        <v>231.56685943345656</v>
      </c>
      <c r="K283" s="29">
        <f ca="1">'Impacts A'!K283-'Impacts B'!K283</f>
        <v>1346.9988526170782</v>
      </c>
      <c r="L283" s="29">
        <f ca="1">'Impacts A'!L283-'Impacts B'!L283</f>
        <v>2987.6219476335973</v>
      </c>
      <c r="M283" s="6"/>
      <c r="N283" s="1" t="str">
        <f t="shared" ref="N283:N290" si="7">CURRENCY_NAME&amp;"/"&amp;POP_UNIT_NAME</f>
        <v>$M(2015)/million</v>
      </c>
      <c r="O283" s="1"/>
    </row>
    <row r="284" spans="1:15" x14ac:dyDescent="0.2">
      <c r="A284" t="str">
        <v>US Economic</v>
      </c>
      <c r="C284" s="26">
        <f ca="1">'Impacts A'!C284-'Impacts B'!C284</f>
        <v>17.474121283761633</v>
      </c>
      <c r="D284" s="26">
        <f ca="1">'Impacts A'!D284-'Impacts B'!D284</f>
        <v>5.7998548512114212</v>
      </c>
      <c r="E284" s="26">
        <f ca="1">'Impacts A'!E284-'Impacts B'!E284</f>
        <v>50.007599387885421</v>
      </c>
      <c r="F284" s="26">
        <f ca="1">'Impacts A'!F284-'Impacts B'!F284</f>
        <v>86.525953576769098</v>
      </c>
      <c r="G284" s="26">
        <f ca="1">'Impacts A'!G284-'Impacts B'!G284</f>
        <v>-67.510120252991328</v>
      </c>
      <c r="H284" s="26">
        <f ca="1">'Impacts A'!H284-'Impacts B'!H284</f>
        <v>-452.05593765266531</v>
      </c>
      <c r="I284" s="26">
        <f ca="1">'Impacts A'!I284-'Impacts B'!I284</f>
        <v>239.83744217615458</v>
      </c>
      <c r="J284" s="26">
        <f ca="1">'Impacts A'!J284-'Impacts B'!J284</f>
        <v>2473.0841581086861</v>
      </c>
      <c r="K284" s="26">
        <f ca="1">'Impacts A'!K284-'Impacts B'!K284</f>
        <v>5632.7034074013645</v>
      </c>
      <c r="L284" s="26">
        <f ca="1">'Impacts A'!L284-'Impacts B'!L284</f>
        <v>9628.953540713992</v>
      </c>
      <c r="M284" s="6"/>
      <c r="N284" s="1" t="str">
        <f t="shared" si="7"/>
        <v>$M(2015)/million</v>
      </c>
      <c r="O284" s="1"/>
    </row>
    <row r="285" spans="1:15" x14ac:dyDescent="0.2">
      <c r="A285" t="str">
        <v>OT Economic</v>
      </c>
      <c r="C285" s="26">
        <f ca="1">'Impacts A'!C285-'Impacts B'!C285</f>
        <v>-0.8212997523805825</v>
      </c>
      <c r="D285" s="26">
        <f ca="1">'Impacts A'!D285-'Impacts B'!D285</f>
        <v>-5.6486371162245632</v>
      </c>
      <c r="E285" s="26">
        <f ca="1">'Impacts A'!E285-'Impacts B'!E285</f>
        <v>0.95210720411705552</v>
      </c>
      <c r="F285" s="26">
        <f ca="1">'Impacts A'!F285-'Impacts B'!F285</f>
        <v>28.884946001584467</v>
      </c>
      <c r="G285" s="26">
        <f ca="1">'Impacts A'!G285-'Impacts B'!G285</f>
        <v>3.7297481171553954</v>
      </c>
      <c r="H285" s="26">
        <f ca="1">'Impacts A'!H285-'Impacts B'!H285</f>
        <v>-315.06845764534955</v>
      </c>
      <c r="I285" s="26">
        <f ca="1">'Impacts A'!I285-'Impacts B'!I285</f>
        <v>-158.89936122756626</v>
      </c>
      <c r="J285" s="26">
        <f ca="1">'Impacts A'!J285-'Impacts B'!J285</f>
        <v>1599.0141241903912</v>
      </c>
      <c r="K285" s="26">
        <f ca="1">'Impacts A'!K285-'Impacts B'!K285</f>
        <v>4306.6768523679057</v>
      </c>
      <c r="L285" s="26">
        <f ca="1">'Impacts A'!L285-'Impacts B'!L285</f>
        <v>8009.7851264472702</v>
      </c>
      <c r="M285" s="6"/>
      <c r="N285" s="1" t="str">
        <f t="shared" si="7"/>
        <v>$M(2015)/million</v>
      </c>
      <c r="O285" s="1"/>
    </row>
    <row r="286" spans="1:15" x14ac:dyDescent="0.2">
      <c r="A286" t="str">
        <v>EE Economic</v>
      </c>
      <c r="C286" s="26">
        <f ca="1">'Impacts A'!C286-'Impacts B'!C286</f>
        <v>24.904397304413578</v>
      </c>
      <c r="D286" s="26">
        <f ca="1">'Impacts A'!D286-'Impacts B'!D286</f>
        <v>21.939895426738076</v>
      </c>
      <c r="E286" s="26">
        <f ca="1">'Impacts A'!E286-'Impacts B'!E286</f>
        <v>-21.652722720664315</v>
      </c>
      <c r="F286" s="26">
        <f ca="1">'Impacts A'!F286-'Impacts B'!F286</f>
        <v>5.2934502645221073</v>
      </c>
      <c r="G286" s="26">
        <f ca="1">'Impacts A'!G286-'Impacts B'!G286</f>
        <v>-221.14303968336753</v>
      </c>
      <c r="H286" s="26">
        <f ca="1">'Impacts A'!H286-'Impacts B'!H286</f>
        <v>-1663.6554804347252</v>
      </c>
      <c r="I286" s="26">
        <f ca="1">'Impacts A'!I286-'Impacts B'!I286</f>
        <v>-2347.1876384919306</v>
      </c>
      <c r="J286" s="26">
        <f ca="1">'Impacts A'!J286-'Impacts B'!J286</f>
        <v>-2159.6439057671087</v>
      </c>
      <c r="K286" s="26">
        <f ca="1">'Impacts A'!K286-'Impacts B'!K286</f>
        <v>-1573.2607900245202</v>
      </c>
      <c r="L286" s="26">
        <f ca="1">'Impacts A'!L286-'Impacts B'!L286</f>
        <v>-855.37466661445796</v>
      </c>
      <c r="M286" s="6"/>
      <c r="N286" s="1" t="str">
        <f t="shared" si="7"/>
        <v>$M(2015)/million</v>
      </c>
      <c r="O286" s="1"/>
    </row>
    <row r="287" spans="1:15" x14ac:dyDescent="0.2">
      <c r="A287" t="str">
        <v>CA Economic</v>
      </c>
      <c r="C287" s="26">
        <f ca="1">'Impacts A'!C287-'Impacts B'!C287</f>
        <v>-7.4333223877838464</v>
      </c>
      <c r="D287" s="26">
        <f ca="1">'Impacts A'!D287-'Impacts B'!D287</f>
        <v>1.1170379573304672</v>
      </c>
      <c r="E287" s="26">
        <f ca="1">'Impacts A'!E287-'Impacts B'!E287</f>
        <v>33.028775778722775</v>
      </c>
      <c r="F287" s="26">
        <f ca="1">'Impacts A'!F287-'Impacts B'!F287</f>
        <v>68.777482133024023</v>
      </c>
      <c r="G287" s="26">
        <f ca="1">'Impacts A'!G287-'Impacts B'!G287</f>
        <v>-61.371795715909684</v>
      </c>
      <c r="H287" s="26">
        <f ca="1">'Impacts A'!H287-'Impacts B'!H287</f>
        <v>156.57157795000239</v>
      </c>
      <c r="I287" s="26">
        <f ca="1">'Impacts A'!I287-'Impacts B'!I287</f>
        <v>1321.7749902184441</v>
      </c>
      <c r="J287" s="26">
        <f ca="1">'Impacts A'!J287-'Impacts B'!J287</f>
        <v>3401.7744350710127</v>
      </c>
      <c r="K287" s="26">
        <f ca="1">'Impacts A'!K287-'Impacts B'!K287</f>
        <v>6892.893715942424</v>
      </c>
      <c r="L287" s="26">
        <f ca="1">'Impacts A'!L287-'Impacts B'!L287</f>
        <v>11224.520352588705</v>
      </c>
      <c r="M287" s="6"/>
      <c r="N287" s="1" t="str">
        <f t="shared" si="7"/>
        <v>$M(2015)/million</v>
      </c>
      <c r="O287" s="1"/>
    </row>
    <row r="288" spans="1:15" x14ac:dyDescent="0.2">
      <c r="A288" t="str">
        <v>IA Economic</v>
      </c>
      <c r="C288" s="26">
        <f ca="1">'Impacts A'!C288-'Impacts B'!C288</f>
        <v>15.767944055683074</v>
      </c>
      <c r="D288" s="26">
        <f ca="1">'Impacts A'!D288-'Impacts B'!D288</f>
        <v>13.477846679847062</v>
      </c>
      <c r="E288" s="26">
        <f ca="1">'Impacts A'!E288-'Impacts B'!E288</f>
        <v>14.508675812689035</v>
      </c>
      <c r="F288" s="26">
        <f ca="1">'Impacts A'!F288-'Impacts B'!F288</f>
        <v>67.358633184139762</v>
      </c>
      <c r="G288" s="26">
        <f ca="1">'Impacts A'!G288-'Impacts B'!G288</f>
        <v>-111.10320650444919</v>
      </c>
      <c r="H288" s="26">
        <f ca="1">'Impacts A'!H288-'Impacts B'!H288</f>
        <v>368.80230006756756</v>
      </c>
      <c r="I288" s="26">
        <f ca="1">'Impacts A'!I288-'Impacts B'!I288</f>
        <v>1720.1479689760308</v>
      </c>
      <c r="J288" s="26">
        <f ca="1">'Impacts A'!J288-'Impacts B'!J288</f>
        <v>4586.791884075079</v>
      </c>
      <c r="K288" s="26">
        <f ca="1">'Impacts A'!K288-'Impacts B'!K288</f>
        <v>8938.4650831705658</v>
      </c>
      <c r="L288" s="26">
        <f ca="1">'Impacts A'!L288-'Impacts B'!L288</f>
        <v>15186.569777168246</v>
      </c>
      <c r="M288" s="6"/>
      <c r="N288" s="1" t="str">
        <f t="shared" si="7"/>
        <v>$M(2015)/million</v>
      </c>
      <c r="O288" s="1"/>
    </row>
    <row r="289" spans="1:15" x14ac:dyDescent="0.2">
      <c r="A289" t="str">
        <v>AF Economic</v>
      </c>
      <c r="C289" s="26">
        <f ca="1">'Impacts A'!C289-'Impacts B'!C289</f>
        <v>6.6449537584649079</v>
      </c>
      <c r="D289" s="26">
        <f ca="1">'Impacts A'!D289-'Impacts B'!D289</f>
        <v>12.819618590387108</v>
      </c>
      <c r="E289" s="26">
        <f ca="1">'Impacts A'!E289-'Impacts B'!E289</f>
        <v>0.9723989702288236</v>
      </c>
      <c r="F289" s="26">
        <f ca="1">'Impacts A'!F289-'Impacts B'!F289</f>
        <v>45.253996886824098</v>
      </c>
      <c r="G289" s="26">
        <f ca="1">'Impacts A'!G289-'Impacts B'!G289</f>
        <v>-137.39776940391312</v>
      </c>
      <c r="H289" s="26">
        <f ca="1">'Impacts A'!H289-'Impacts B'!H289</f>
        <v>-583.73946231412629</v>
      </c>
      <c r="I289" s="26">
        <f ca="1">'Impacts A'!I289-'Impacts B'!I289</f>
        <v>132.19467100728798</v>
      </c>
      <c r="J289" s="26">
        <f ca="1">'Impacts A'!J289-'Impacts B'!J289</f>
        <v>2321.7027607027121</v>
      </c>
      <c r="K289" s="26">
        <f ca="1">'Impacts A'!K289-'Impacts B'!K289</f>
        <v>5936.9269102282851</v>
      </c>
      <c r="L289" s="26">
        <f ca="1">'Impacts A'!L289-'Impacts B'!L289</f>
        <v>11431.597825215882</v>
      </c>
      <c r="M289" s="6"/>
      <c r="N289" s="1" t="str">
        <f t="shared" si="7"/>
        <v>$M(2015)/million</v>
      </c>
      <c r="O289" s="1"/>
    </row>
    <row r="290" spans="1:15" x14ac:dyDescent="0.2">
      <c r="A290" t="str">
        <v>LA Economic</v>
      </c>
      <c r="C290" s="26">
        <f ca="1">'Impacts A'!C290-'Impacts B'!C290</f>
        <v>52.907619097617498</v>
      </c>
      <c r="D290" s="26">
        <f ca="1">'Impacts A'!D290-'Impacts B'!D290</f>
        <v>19.637945015994774</v>
      </c>
      <c r="E290" s="26">
        <f ca="1">'Impacts A'!E290-'Impacts B'!E290</f>
        <v>7.1676706487378397</v>
      </c>
      <c r="F290" s="26">
        <f ca="1">'Impacts A'!F290-'Impacts B'!F290</f>
        <v>104.15767079426951</v>
      </c>
      <c r="G290" s="26">
        <f ca="1">'Impacts A'!G290-'Impacts B'!G290</f>
        <v>-31.349531375191873</v>
      </c>
      <c r="H290" s="26">
        <f ca="1">'Impacts A'!H290-'Impacts B'!H290</f>
        <v>231.09201804029726</v>
      </c>
      <c r="I290" s="26">
        <f ca="1">'Impacts A'!I290-'Impacts B'!I290</f>
        <v>1166.6580585100455</v>
      </c>
      <c r="J290" s="26">
        <f ca="1">'Impacts A'!J290-'Impacts B'!J290</f>
        <v>3907.8703654263518</v>
      </c>
      <c r="K290" s="26">
        <f ca="1">'Impacts A'!K290-'Impacts B'!K290</f>
        <v>7707.4506494437228</v>
      </c>
      <c r="L290" s="26">
        <f ca="1">'Impacts A'!L290-'Impacts B'!L290</f>
        <v>13020.560958731949</v>
      </c>
      <c r="M290" s="6"/>
      <c r="N290" s="1" t="str">
        <f t="shared" si="7"/>
        <v>$M(2015)/million</v>
      </c>
      <c r="O290" s="1"/>
    </row>
    <row r="291" spans="1:15" s="2" customFormat="1" ht="14.25" x14ac:dyDescent="0.25">
      <c r="A291" s="2" t="s">
        <v>220</v>
      </c>
      <c r="C291" s="2" t="s">
        <v>237</v>
      </c>
    </row>
    <row r="292" spans="1:15" x14ac:dyDescent="0.2">
      <c r="A292" t="str">
        <f t="array" ref="A292:A299">R_CODE&amp;" "&amp;I_2_NAME</f>
        <v>EU Non-econ</v>
      </c>
      <c r="C292" s="29">
        <f ca="1">'Impacts A'!C292-'Impacts B'!C292</f>
        <v>4.7596279617372228E-2</v>
      </c>
      <c r="D292" s="29">
        <f ca="1">'Impacts A'!D292-'Impacts B'!D292</f>
        <v>3.9540370610505499E-2</v>
      </c>
      <c r="E292" s="29">
        <f ca="1">'Impacts A'!E292-'Impacts B'!E292</f>
        <v>-3.6118817500651546E-2</v>
      </c>
      <c r="F292" s="29">
        <f ca="1">'Impacts A'!F292-'Impacts B'!F292</f>
        <v>1.7724642494399978E-2</v>
      </c>
      <c r="G292" s="29">
        <f ca="1">'Impacts A'!G292-'Impacts B'!G292</f>
        <v>-5.6862446399608357E-2</v>
      </c>
      <c r="H292" s="29">
        <f ca="1">'Impacts A'!H292-'Impacts B'!H292</f>
        <v>-0.55673667427260742</v>
      </c>
      <c r="I292" s="29">
        <f ca="1">'Impacts A'!I292-'Impacts B'!I292</f>
        <v>-1.2201690974696471</v>
      </c>
      <c r="J292" s="29">
        <f ca="1">'Impacts A'!J292-'Impacts B'!J292</f>
        <v>-2.0731409989043139</v>
      </c>
      <c r="K292" s="29">
        <f ca="1">'Impacts A'!K292-'Impacts B'!K292</f>
        <v>-3.325222949080139</v>
      </c>
      <c r="L292" s="29">
        <f ca="1">'Impacts A'!L292-'Impacts B'!L292</f>
        <v>-4.4505981497820937</v>
      </c>
      <c r="M292" s="6"/>
      <c r="N292" s="59" t="s">
        <v>132</v>
      </c>
    </row>
    <row r="293" spans="1:15" x14ac:dyDescent="0.2">
      <c r="A293" t="str">
        <v>US Non-econ</v>
      </c>
      <c r="C293" s="26">
        <f ca="1">'Impacts A'!C293-'Impacts B'!C293</f>
        <v>-2.2766199955055771E-2</v>
      </c>
      <c r="D293" s="26">
        <f ca="1">'Impacts A'!D293-'Impacts B'!D293</f>
        <v>-6.8487504004553501E-3</v>
      </c>
      <c r="E293" s="26">
        <f ca="1">'Impacts A'!E293-'Impacts B'!E293</f>
        <v>-5.9914900778830715E-2</v>
      </c>
      <c r="F293" s="26">
        <f ca="1">'Impacts A'!F293-'Impacts B'!F293</f>
        <v>-9.1872804054937474E-2</v>
      </c>
      <c r="G293" s="26">
        <f ca="1">'Impacts A'!G293-'Impacts B'!G293</f>
        <v>2.6091467486349496E-2</v>
      </c>
      <c r="H293" s="26">
        <f ca="1">'Impacts A'!H293-'Impacts B'!H293</f>
        <v>-0.43793059393286882</v>
      </c>
      <c r="I293" s="26">
        <f ca="1">'Impacts A'!I293-'Impacts B'!I293</f>
        <v>-1.2615458422287271</v>
      </c>
      <c r="J293" s="26">
        <f ca="1">'Impacts A'!J293-'Impacts B'!J293</f>
        <v>-2.4917339267676857</v>
      </c>
      <c r="K293" s="26">
        <f ca="1">'Impacts A'!K293-'Impacts B'!K293</f>
        <v>-3.8537950331514916</v>
      </c>
      <c r="L293" s="26">
        <f ca="1">'Impacts A'!L293-'Impacts B'!L293</f>
        <v>-5.1994903891094619</v>
      </c>
      <c r="M293" s="6"/>
      <c r="N293" s="59" t="s">
        <v>132</v>
      </c>
    </row>
    <row r="294" spans="1:15" x14ac:dyDescent="0.2">
      <c r="A294" t="str">
        <v>OT Non-econ</v>
      </c>
      <c r="C294" s="26">
        <f ca="1">'Impacts A'!C294-'Impacts B'!C294</f>
        <v>6.3865347651362037E-3</v>
      </c>
      <c r="D294" s="26">
        <f ca="1">'Impacts A'!D294-'Impacts B'!D294</f>
        <v>3.152246434617384E-2</v>
      </c>
      <c r="E294" s="26">
        <f ca="1">'Impacts A'!E294-'Impacts B'!E294</f>
        <v>-2.5161032950655748E-3</v>
      </c>
      <c r="F294" s="26">
        <f ca="1">'Impacts A'!F294-'Impacts B'!F294</f>
        <v>-7.0757724942482003E-2</v>
      </c>
      <c r="G294" s="26">
        <f ca="1">'Impacts A'!G294-'Impacts B'!G294</f>
        <v>-4.1712088112031198E-2</v>
      </c>
      <c r="H294" s="26">
        <f ca="1">'Impacts A'!H294-'Impacts B'!H294</f>
        <v>-0.67700324322703542</v>
      </c>
      <c r="I294" s="26">
        <f ca="1">'Impacts A'!I294-'Impacts B'!I294</f>
        <v>-1.4022423981009458</v>
      </c>
      <c r="J294" s="26">
        <f ca="1">'Impacts A'!J294-'Impacts B'!J294</f>
        <v>-2.9037461835553935</v>
      </c>
      <c r="K294" s="26">
        <f ca="1">'Impacts A'!K294-'Impacts B'!K294</f>
        <v>-4.5807019744610606</v>
      </c>
      <c r="L294" s="26">
        <f ca="1">'Impacts A'!L294-'Impacts B'!L294</f>
        <v>-6.2241893327759676</v>
      </c>
      <c r="M294" s="6"/>
      <c r="N294" s="59" t="s">
        <v>132</v>
      </c>
    </row>
    <row r="295" spans="1:15" x14ac:dyDescent="0.2">
      <c r="A295" t="str">
        <v>EE Non-econ</v>
      </c>
      <c r="C295" s="26">
        <f ca="1">'Impacts A'!C295-'Impacts B'!C295</f>
        <v>5.6713995062276479E-2</v>
      </c>
      <c r="D295" s="26">
        <f ca="1">'Impacts A'!D295-'Impacts B'!D295</f>
        <v>5.522165534647594E-2</v>
      </c>
      <c r="E295" s="26">
        <f ca="1">'Impacts A'!E295-'Impacts B'!E295</f>
        <v>-5.3216426945830508E-2</v>
      </c>
      <c r="F295" s="26">
        <f ca="1">'Impacts A'!F295-'Impacts B'!F295</f>
        <v>1.3389541678525907E-2</v>
      </c>
      <c r="G295" s="26">
        <f ca="1">'Impacts A'!G295-'Impacts B'!G295</f>
        <v>-0.13423994072040246</v>
      </c>
      <c r="H295" s="26">
        <f ca="1">'Impacts A'!H295-'Impacts B'!H295</f>
        <v>-1.0452805994934358</v>
      </c>
      <c r="I295" s="26">
        <f ca="1">'Impacts A'!I295-'Impacts B'!I295</f>
        <v>-2.5397468268795369</v>
      </c>
      <c r="J295" s="26">
        <f ca="1">'Impacts A'!J295-'Impacts B'!J295</f>
        <v>-4.2206033839433763</v>
      </c>
      <c r="K295" s="26">
        <f ca="1">'Impacts A'!K295-'Impacts B'!K295</f>
        <v>-6.9052308379936385</v>
      </c>
      <c r="L295" s="26">
        <f ca="1">'Impacts A'!L295-'Impacts B'!L295</f>
        <v>-9.2525552730001124</v>
      </c>
      <c r="M295" s="6"/>
      <c r="N295" s="59" t="s">
        <v>132</v>
      </c>
    </row>
    <row r="296" spans="1:15" x14ac:dyDescent="0.2">
      <c r="A296" t="str">
        <v>CA Non-econ</v>
      </c>
      <c r="C296" s="26">
        <f ca="1">'Impacts A'!C296-'Impacts B'!C296</f>
        <v>1.4021613381270837E-2</v>
      </c>
      <c r="D296" s="26">
        <f ca="1">'Impacts A'!D296-'Impacts B'!D296</f>
        <v>-1.4455175408114584E-3</v>
      </c>
      <c r="E296" s="26">
        <f ca="1">'Impacts A'!E296-'Impacts B'!E296</f>
        <v>-4.3106537406566281E-2</v>
      </c>
      <c r="F296" s="26">
        <f ca="1">'Impacts A'!F296-'Impacts B'!F296</f>
        <v>-6.852651833208756E-2</v>
      </c>
      <c r="G296" s="26">
        <f ca="1">'Impacts A'!G296-'Impacts B'!G296</f>
        <v>2.3216432553867961E-2</v>
      </c>
      <c r="H296" s="26">
        <f ca="1">'Impacts A'!H296-'Impacts B'!H296</f>
        <v>-0.50773914143918719</v>
      </c>
      <c r="I296" s="26">
        <f ca="1">'Impacts A'!I296-'Impacts B'!I296</f>
        <v>-1.4509144510739991</v>
      </c>
      <c r="J296" s="26">
        <f ca="1">'Impacts A'!J296-'Impacts B'!J296</f>
        <v>-2.479335060034769</v>
      </c>
      <c r="K296" s="26">
        <f ca="1">'Impacts A'!K296-'Impacts B'!K296</f>
        <v>-3.943127276421273</v>
      </c>
      <c r="L296" s="26">
        <f ca="1">'Impacts A'!L296-'Impacts B'!L296</f>
        <v>-5.3374425296333126</v>
      </c>
      <c r="M296" s="6"/>
      <c r="N296" s="59" t="s">
        <v>132</v>
      </c>
    </row>
    <row r="297" spans="1:15" x14ac:dyDescent="0.2">
      <c r="A297" t="str">
        <v>IA Non-econ</v>
      </c>
      <c r="C297" s="26">
        <f ca="1">'Impacts A'!C297-'Impacts B'!C297</f>
        <v>-1.1877799186775229E-2</v>
      </c>
      <c r="D297" s="26">
        <f ca="1">'Impacts A'!D297-'Impacts B'!D297</f>
        <v>-9.2547902176918218E-3</v>
      </c>
      <c r="E297" s="26">
        <f ca="1">'Impacts A'!E297-'Impacts B'!E297</f>
        <v>-8.8336945361694175E-3</v>
      </c>
      <c r="F297" s="26">
        <f ca="1">'Impacts A'!F297-'Impacts B'!F297</f>
        <v>-3.5614397829372701E-2</v>
      </c>
      <c r="G297" s="26">
        <f ca="1">'Impacts A'!G297-'Impacts B'!G297</f>
        <v>3.5524639900404109E-2</v>
      </c>
      <c r="H297" s="26">
        <f ca="1">'Impacts A'!H297-'Impacts B'!H297</f>
        <v>-0.26420907551884598</v>
      </c>
      <c r="I297" s="26">
        <f ca="1">'Impacts A'!I297-'Impacts B'!I297</f>
        <v>-0.74108690407272326</v>
      </c>
      <c r="J297" s="26">
        <f ca="1">'Impacts A'!J297-'Impacts B'!J297</f>
        <v>-1.4263186570610014</v>
      </c>
      <c r="K297" s="26">
        <f ca="1">'Impacts A'!K297-'Impacts B'!K297</f>
        <v>-2.2469815039409311</v>
      </c>
      <c r="L297" s="26">
        <f ca="1">'Impacts A'!L297-'Impacts B'!L297</f>
        <v>-3.1038484332178329</v>
      </c>
      <c r="M297" s="6"/>
      <c r="N297" s="59" t="s">
        <v>132</v>
      </c>
    </row>
    <row r="298" spans="1:15" x14ac:dyDescent="0.2">
      <c r="A298" t="str">
        <v>AF Non-econ</v>
      </c>
      <c r="C298" s="26">
        <f ca="1">'Impacts A'!C298-'Impacts B'!C298</f>
        <v>-9.219699965465622E-3</v>
      </c>
      <c r="D298" s="26">
        <f ca="1">'Impacts A'!D298-'Impacts B'!D298</f>
        <v>-1.8352886778095046E-2</v>
      </c>
      <c r="E298" s="26">
        <f ca="1">'Impacts A'!E298-'Impacts B'!E298</f>
        <v>-1.2107467304704467E-3</v>
      </c>
      <c r="F298" s="26">
        <f ca="1">'Impacts A'!F298-'Impacts B'!F298</f>
        <v>-5.3263405493642169E-2</v>
      </c>
      <c r="G298" s="26">
        <f ca="1">'Impacts A'!G298-'Impacts B'!G298</f>
        <v>3.5404403229065129E-2</v>
      </c>
      <c r="H298" s="26">
        <f ca="1">'Impacts A'!H298-'Impacts B'!H298</f>
        <v>-0.28774963510659768</v>
      </c>
      <c r="I298" s="26">
        <f ca="1">'Impacts A'!I298-'Impacts B'!I298</f>
        <v>-0.87644271595586143</v>
      </c>
      <c r="J298" s="26">
        <f ca="1">'Impacts A'!J298-'Impacts B'!J298</f>
        <v>-1.7133945670175934</v>
      </c>
      <c r="K298" s="26">
        <f ca="1">'Impacts A'!K298-'Impacts B'!K298</f>
        <v>-2.7393327295153833</v>
      </c>
      <c r="L298" s="26">
        <f ca="1">'Impacts A'!L298-'Impacts B'!L298</f>
        <v>-3.8319328360015388</v>
      </c>
      <c r="M298" s="6"/>
      <c r="N298" s="59" t="s">
        <v>132</v>
      </c>
    </row>
    <row r="299" spans="1:15" x14ac:dyDescent="0.2">
      <c r="A299" t="str">
        <v>LA Non-econ</v>
      </c>
      <c r="C299" s="26">
        <f ca="1">'Impacts A'!C299-'Impacts B'!C299</f>
        <v>-3.4421305303845767E-2</v>
      </c>
      <c r="D299" s="26">
        <f ca="1">'Impacts A'!D299-'Impacts B'!D299</f>
        <v>-1.2365662189323112E-2</v>
      </c>
      <c r="E299" s="26">
        <f ca="1">'Impacts A'!E299-'Impacts B'!E299</f>
        <v>-4.4457423252963757E-3</v>
      </c>
      <c r="F299" s="26">
        <f ca="1">'Impacts A'!F299-'Impacts B'!F299</f>
        <v>-6.1760591289120592E-2</v>
      </c>
      <c r="G299" s="26">
        <f ca="1">'Impacts A'!G299-'Impacts B'!G299</f>
        <v>1.1405731193565471E-2</v>
      </c>
      <c r="H299" s="26">
        <f ca="1">'Impacts A'!H299-'Impacts B'!H299</f>
        <v>-0.3052307677409285</v>
      </c>
      <c r="I299" s="26">
        <f ca="1">'Impacts A'!I299-'Impacts B'!I299</f>
        <v>-0.80955696961435231</v>
      </c>
      <c r="J299" s="26">
        <f ca="1">'Impacts A'!J299-'Impacts B'!J299</f>
        <v>-1.6589275221983655</v>
      </c>
      <c r="K299" s="26">
        <f ca="1">'Impacts A'!K299-'Impacts B'!K299</f>
        <v>-2.473007629395739</v>
      </c>
      <c r="L299" s="26">
        <f ca="1">'Impacts A'!L299-'Impacts B'!L299</f>
        <v>-3.3806329904565784</v>
      </c>
      <c r="M299" s="6"/>
      <c r="N299" s="59" t="s">
        <v>132</v>
      </c>
    </row>
    <row r="300" spans="1:15" s="2" customFormat="1" ht="14.25" x14ac:dyDescent="0.25">
      <c r="A300" s="2" t="s">
        <v>219</v>
      </c>
      <c r="C300" s="2" t="s">
        <v>238</v>
      </c>
    </row>
    <row r="301" spans="1:15" x14ac:dyDescent="0.2">
      <c r="A301" t="str">
        <f t="array" ref="A301:A308">R_CODE&amp;" "&amp;I_2_NAME</f>
        <v>EU Non-econ</v>
      </c>
      <c r="C301" s="29">
        <f ca="1">'Impacts A'!C301-'Impacts B'!C301</f>
        <v>4.7596279617372228E-2</v>
      </c>
      <c r="D301" s="29">
        <f ca="1">'Impacts A'!D301-'Impacts B'!D301</f>
        <v>3.9540370610505499E-2</v>
      </c>
      <c r="E301" s="29">
        <f ca="1">'Impacts A'!E301-'Impacts B'!E301</f>
        <v>-3.6118817500651546E-2</v>
      </c>
      <c r="F301" s="29">
        <f ca="1">'Impacts A'!F301-'Impacts B'!F301</f>
        <v>1.7724642494399978E-2</v>
      </c>
      <c r="G301" s="29">
        <f ca="1">'Impacts A'!G301-'Impacts B'!G301</f>
        <v>-5.6862446399608357E-2</v>
      </c>
      <c r="H301" s="29">
        <f ca="1">'Impacts A'!H301-'Impacts B'!H301</f>
        <v>-0.55673667427260742</v>
      </c>
      <c r="I301" s="29">
        <f ca="1">'Impacts A'!I301-'Impacts B'!I301</f>
        <v>-1.2201690974696471</v>
      </c>
      <c r="J301" s="29">
        <f ca="1">'Impacts A'!J301-'Impacts B'!J301</f>
        <v>-2.0731409989043139</v>
      </c>
      <c r="K301" s="29">
        <f ca="1">'Impacts A'!K301-'Impacts B'!K301</f>
        <v>-3.325222949080139</v>
      </c>
      <c r="L301" s="29">
        <f ca="1">'Impacts A'!L301-'Impacts B'!L301</f>
        <v>-4.4505981497820937</v>
      </c>
      <c r="M301" s="6"/>
      <c r="N301" s="59" t="s">
        <v>132</v>
      </c>
    </row>
    <row r="302" spans="1:15" x14ac:dyDescent="0.2">
      <c r="A302" t="str">
        <v>US Non-econ</v>
      </c>
      <c r="C302" s="26">
        <f ca="1">'Impacts A'!C302-'Impacts B'!C302</f>
        <v>-2.2766199955055771E-2</v>
      </c>
      <c r="D302" s="26">
        <f ca="1">'Impacts A'!D302-'Impacts B'!D302</f>
        <v>-6.8487504004553501E-3</v>
      </c>
      <c r="E302" s="26">
        <f ca="1">'Impacts A'!E302-'Impacts B'!E302</f>
        <v>-5.9914900778830715E-2</v>
      </c>
      <c r="F302" s="26">
        <f ca="1">'Impacts A'!F302-'Impacts B'!F302</f>
        <v>-9.1872804054937474E-2</v>
      </c>
      <c r="G302" s="26">
        <f ca="1">'Impacts A'!G302-'Impacts B'!G302</f>
        <v>2.6091467486349496E-2</v>
      </c>
      <c r="H302" s="26">
        <f ca="1">'Impacts A'!H302-'Impacts B'!H302</f>
        <v>-0.43793059393286882</v>
      </c>
      <c r="I302" s="26">
        <f ca="1">'Impacts A'!I302-'Impacts B'!I302</f>
        <v>-1.2615458422287271</v>
      </c>
      <c r="J302" s="26">
        <f ca="1">'Impacts A'!J302-'Impacts B'!J302</f>
        <v>-2.4917339267676857</v>
      </c>
      <c r="K302" s="26">
        <f ca="1">'Impacts A'!K302-'Impacts B'!K302</f>
        <v>-3.8537950331514916</v>
      </c>
      <c r="L302" s="26">
        <f ca="1">'Impacts A'!L302-'Impacts B'!L302</f>
        <v>-5.1994903891094619</v>
      </c>
      <c r="M302" s="6"/>
      <c r="N302" s="59" t="s">
        <v>132</v>
      </c>
    </row>
    <row r="303" spans="1:15" x14ac:dyDescent="0.2">
      <c r="A303" t="str">
        <v>OT Non-econ</v>
      </c>
      <c r="C303" s="26">
        <f ca="1">'Impacts A'!C303-'Impacts B'!C303</f>
        <v>6.3865347651362037E-3</v>
      </c>
      <c r="D303" s="26">
        <f ca="1">'Impacts A'!D303-'Impacts B'!D303</f>
        <v>3.152246434617384E-2</v>
      </c>
      <c r="E303" s="26">
        <f ca="1">'Impacts A'!E303-'Impacts B'!E303</f>
        <v>-2.5161032950655748E-3</v>
      </c>
      <c r="F303" s="26">
        <f ca="1">'Impacts A'!F303-'Impacts B'!F303</f>
        <v>-7.0757724942482003E-2</v>
      </c>
      <c r="G303" s="26">
        <f ca="1">'Impacts A'!G303-'Impacts B'!G303</f>
        <v>-4.1712088112031198E-2</v>
      </c>
      <c r="H303" s="26">
        <f ca="1">'Impacts A'!H303-'Impacts B'!H303</f>
        <v>-0.67700324322703542</v>
      </c>
      <c r="I303" s="26">
        <f ca="1">'Impacts A'!I303-'Impacts B'!I303</f>
        <v>-1.4022423981009458</v>
      </c>
      <c r="J303" s="26">
        <f ca="1">'Impacts A'!J303-'Impacts B'!J303</f>
        <v>-2.9037461835553935</v>
      </c>
      <c r="K303" s="26">
        <f ca="1">'Impacts A'!K303-'Impacts B'!K303</f>
        <v>-4.5807019744610606</v>
      </c>
      <c r="L303" s="26">
        <f ca="1">'Impacts A'!L303-'Impacts B'!L303</f>
        <v>-6.2241893327759676</v>
      </c>
      <c r="M303" s="6"/>
      <c r="N303" s="59" t="s">
        <v>132</v>
      </c>
    </row>
    <row r="304" spans="1:15" x14ac:dyDescent="0.2">
      <c r="A304" t="str">
        <v>EE Non-econ</v>
      </c>
      <c r="C304" s="26">
        <f ca="1">'Impacts A'!C304-'Impacts B'!C304</f>
        <v>5.6713995062276479E-2</v>
      </c>
      <c r="D304" s="26">
        <f ca="1">'Impacts A'!D304-'Impacts B'!D304</f>
        <v>5.522165534647594E-2</v>
      </c>
      <c r="E304" s="26">
        <f ca="1">'Impacts A'!E304-'Impacts B'!E304</f>
        <v>-5.3216426945830508E-2</v>
      </c>
      <c r="F304" s="26">
        <f ca="1">'Impacts A'!F304-'Impacts B'!F304</f>
        <v>1.3389541678525907E-2</v>
      </c>
      <c r="G304" s="26">
        <f ca="1">'Impacts A'!G304-'Impacts B'!G304</f>
        <v>-0.13423994072040246</v>
      </c>
      <c r="H304" s="26">
        <f ca="1">'Impacts A'!H304-'Impacts B'!H304</f>
        <v>-1.0452805994934358</v>
      </c>
      <c r="I304" s="26">
        <f ca="1">'Impacts A'!I304-'Impacts B'!I304</f>
        <v>-2.5397468268795369</v>
      </c>
      <c r="J304" s="26">
        <f ca="1">'Impacts A'!J304-'Impacts B'!J304</f>
        <v>-4.2206033839433763</v>
      </c>
      <c r="K304" s="26">
        <f ca="1">'Impacts A'!K304-'Impacts B'!K304</f>
        <v>-6.9052308379936385</v>
      </c>
      <c r="L304" s="26">
        <f ca="1">'Impacts A'!L304-'Impacts B'!L304</f>
        <v>-9.2525552730001124</v>
      </c>
      <c r="M304" s="6"/>
      <c r="N304" s="59" t="s">
        <v>132</v>
      </c>
    </row>
    <row r="305" spans="1:15" x14ac:dyDescent="0.2">
      <c r="A305" t="str">
        <v>CA Non-econ</v>
      </c>
      <c r="C305" s="26">
        <f ca="1">'Impacts A'!C305-'Impacts B'!C305</f>
        <v>1.4021613381270837E-2</v>
      </c>
      <c r="D305" s="26">
        <f ca="1">'Impacts A'!D305-'Impacts B'!D305</f>
        <v>-1.4455175408114584E-3</v>
      </c>
      <c r="E305" s="26">
        <f ca="1">'Impacts A'!E305-'Impacts B'!E305</f>
        <v>-4.3106537406566281E-2</v>
      </c>
      <c r="F305" s="26">
        <f ca="1">'Impacts A'!F305-'Impacts B'!F305</f>
        <v>-6.852651833208756E-2</v>
      </c>
      <c r="G305" s="26">
        <f ca="1">'Impacts A'!G305-'Impacts B'!G305</f>
        <v>2.3216432553867961E-2</v>
      </c>
      <c r="H305" s="26">
        <f ca="1">'Impacts A'!H305-'Impacts B'!H305</f>
        <v>-0.50773914143918719</v>
      </c>
      <c r="I305" s="26">
        <f ca="1">'Impacts A'!I305-'Impacts B'!I305</f>
        <v>-1.4509144510739991</v>
      </c>
      <c r="J305" s="26">
        <f ca="1">'Impacts A'!J305-'Impacts B'!J305</f>
        <v>-2.479335060034769</v>
      </c>
      <c r="K305" s="26">
        <f ca="1">'Impacts A'!K305-'Impacts B'!K305</f>
        <v>-3.943127276421273</v>
      </c>
      <c r="L305" s="26">
        <f ca="1">'Impacts A'!L305-'Impacts B'!L305</f>
        <v>-5.3374425296333126</v>
      </c>
      <c r="M305" s="6"/>
      <c r="N305" s="59" t="s">
        <v>132</v>
      </c>
    </row>
    <row r="306" spans="1:15" x14ac:dyDescent="0.2">
      <c r="A306" t="str">
        <v>IA Non-econ</v>
      </c>
      <c r="C306" s="26">
        <f ca="1">'Impacts A'!C306-'Impacts B'!C306</f>
        <v>-1.1877799186775229E-2</v>
      </c>
      <c r="D306" s="26">
        <f ca="1">'Impacts A'!D306-'Impacts B'!D306</f>
        <v>-9.2547902176918218E-3</v>
      </c>
      <c r="E306" s="26">
        <f ca="1">'Impacts A'!E306-'Impacts B'!E306</f>
        <v>-8.8336945361694175E-3</v>
      </c>
      <c r="F306" s="26">
        <f ca="1">'Impacts A'!F306-'Impacts B'!F306</f>
        <v>-3.5614397829372701E-2</v>
      </c>
      <c r="G306" s="26">
        <f ca="1">'Impacts A'!G306-'Impacts B'!G306</f>
        <v>3.5524639900404109E-2</v>
      </c>
      <c r="H306" s="26">
        <f ca="1">'Impacts A'!H306-'Impacts B'!H306</f>
        <v>-0.26420907551884598</v>
      </c>
      <c r="I306" s="26">
        <f ca="1">'Impacts A'!I306-'Impacts B'!I306</f>
        <v>-0.74108690407272326</v>
      </c>
      <c r="J306" s="26">
        <f ca="1">'Impacts A'!J306-'Impacts B'!J306</f>
        <v>-1.4263186570610014</v>
      </c>
      <c r="K306" s="26">
        <f ca="1">'Impacts A'!K306-'Impacts B'!K306</f>
        <v>-2.2469815039409311</v>
      </c>
      <c r="L306" s="26">
        <f ca="1">'Impacts A'!L306-'Impacts B'!L306</f>
        <v>-3.1038484332178329</v>
      </c>
      <c r="M306" s="6"/>
      <c r="N306" s="59" t="s">
        <v>132</v>
      </c>
    </row>
    <row r="307" spans="1:15" x14ac:dyDescent="0.2">
      <c r="A307" t="str">
        <v>AF Non-econ</v>
      </c>
      <c r="C307" s="26">
        <f ca="1">'Impacts A'!C307-'Impacts B'!C307</f>
        <v>-9.219699965465622E-3</v>
      </c>
      <c r="D307" s="26">
        <f ca="1">'Impacts A'!D307-'Impacts B'!D307</f>
        <v>-1.8352886778095046E-2</v>
      </c>
      <c r="E307" s="26">
        <f ca="1">'Impacts A'!E307-'Impacts B'!E307</f>
        <v>-1.2107467304704467E-3</v>
      </c>
      <c r="F307" s="26">
        <f ca="1">'Impacts A'!F307-'Impacts B'!F307</f>
        <v>-5.3263405493642169E-2</v>
      </c>
      <c r="G307" s="26">
        <f ca="1">'Impacts A'!G307-'Impacts B'!G307</f>
        <v>3.5404403229065129E-2</v>
      </c>
      <c r="H307" s="26">
        <f ca="1">'Impacts A'!H307-'Impacts B'!H307</f>
        <v>-0.28774963510659768</v>
      </c>
      <c r="I307" s="26">
        <f ca="1">'Impacts A'!I307-'Impacts B'!I307</f>
        <v>-0.87644271595586143</v>
      </c>
      <c r="J307" s="26">
        <f ca="1">'Impacts A'!J307-'Impacts B'!J307</f>
        <v>-1.7133945670175934</v>
      </c>
      <c r="K307" s="26">
        <f ca="1">'Impacts A'!K307-'Impacts B'!K307</f>
        <v>-2.7393327295153833</v>
      </c>
      <c r="L307" s="26">
        <f ca="1">'Impacts A'!L307-'Impacts B'!L307</f>
        <v>-3.8319328360015388</v>
      </c>
      <c r="M307" s="6"/>
      <c r="N307" s="59" t="s">
        <v>132</v>
      </c>
    </row>
    <row r="308" spans="1:15" x14ac:dyDescent="0.2">
      <c r="A308" t="str">
        <v>LA Non-econ</v>
      </c>
      <c r="C308" s="26">
        <f ca="1">'Impacts A'!C308-'Impacts B'!C308</f>
        <v>-3.4421305303845767E-2</v>
      </c>
      <c r="D308" s="26">
        <f ca="1">'Impacts A'!D308-'Impacts B'!D308</f>
        <v>-1.2365662189323112E-2</v>
      </c>
      <c r="E308" s="26">
        <f ca="1">'Impacts A'!E308-'Impacts B'!E308</f>
        <v>-4.4457423252963757E-3</v>
      </c>
      <c r="F308" s="26">
        <f ca="1">'Impacts A'!F308-'Impacts B'!F308</f>
        <v>-6.1760591289120592E-2</v>
      </c>
      <c r="G308" s="26">
        <f ca="1">'Impacts A'!G308-'Impacts B'!G308</f>
        <v>1.1405731193565471E-2</v>
      </c>
      <c r="H308" s="26">
        <f ca="1">'Impacts A'!H308-'Impacts B'!H308</f>
        <v>-0.3052307677409285</v>
      </c>
      <c r="I308" s="26">
        <f ca="1">'Impacts A'!I308-'Impacts B'!I308</f>
        <v>-0.80955696961435231</v>
      </c>
      <c r="J308" s="26">
        <f ca="1">'Impacts A'!J308-'Impacts B'!J308</f>
        <v>-1.6589275221983655</v>
      </c>
      <c r="K308" s="26">
        <f ca="1">'Impacts A'!K308-'Impacts B'!K308</f>
        <v>-2.473007629395739</v>
      </c>
      <c r="L308" s="26">
        <f ca="1">'Impacts A'!L308-'Impacts B'!L308</f>
        <v>-3.3806329904565784</v>
      </c>
      <c r="M308" s="6"/>
      <c r="N308" s="59" t="s">
        <v>132</v>
      </c>
    </row>
    <row r="309" spans="1:15" s="2" customFormat="1" ht="14.25" x14ac:dyDescent="0.25">
      <c r="A309" s="2" t="s">
        <v>223</v>
      </c>
      <c r="C309" s="2" t="s">
        <v>239</v>
      </c>
    </row>
    <row r="310" spans="1:15" x14ac:dyDescent="0.2">
      <c r="A310" t="str">
        <f t="array" ref="A310:A317">R_CODE&amp;" "&amp;I_2_NAME</f>
        <v>EU Non-econ</v>
      </c>
      <c r="C310" s="29">
        <f ca="1">'Impacts A'!C310-'Impacts B'!C310</f>
        <v>4.7596279617372228E-2</v>
      </c>
      <c r="D310" s="29">
        <f ca="1">'Impacts A'!D310-'Impacts B'!D310</f>
        <v>3.9540370610505499E-2</v>
      </c>
      <c r="E310" s="29">
        <f ca="1">'Impacts A'!E310-'Impacts B'!E310</f>
        <v>-3.6118817500651546E-2</v>
      </c>
      <c r="F310" s="29">
        <f ca="1">'Impacts A'!F310-'Impacts B'!F310</f>
        <v>1.7724642494399978E-2</v>
      </c>
      <c r="G310" s="29">
        <f ca="1">'Impacts A'!G310-'Impacts B'!G310</f>
        <v>-5.6862446399608357E-2</v>
      </c>
      <c r="H310" s="29">
        <f ca="1">'Impacts A'!H310-'Impacts B'!H310</f>
        <v>-0.55673667427260742</v>
      </c>
      <c r="I310" s="29">
        <f ca="1">'Impacts A'!I310-'Impacts B'!I310</f>
        <v>-1.2201690974696471</v>
      </c>
      <c r="J310" s="29">
        <f ca="1">'Impacts A'!J310-'Impacts B'!J310</f>
        <v>-2.0731409989043139</v>
      </c>
      <c r="K310" s="29">
        <f ca="1">'Impacts A'!K310-'Impacts B'!K310</f>
        <v>-3.325222949080139</v>
      </c>
      <c r="L310" s="29">
        <f ca="1">'Impacts A'!L310-'Impacts B'!L310</f>
        <v>-4.4505981497820937</v>
      </c>
      <c r="M310" s="6"/>
      <c r="N310" s="59" t="s">
        <v>132</v>
      </c>
    </row>
    <row r="311" spans="1:15" x14ac:dyDescent="0.2">
      <c r="A311" t="str">
        <v>US Non-econ</v>
      </c>
      <c r="C311" s="26">
        <f ca="1">'Impacts A'!C311-'Impacts B'!C311</f>
        <v>-2.2766199955055771E-2</v>
      </c>
      <c r="D311" s="26">
        <f ca="1">'Impacts A'!D311-'Impacts B'!D311</f>
        <v>-6.8487504004553501E-3</v>
      </c>
      <c r="E311" s="26">
        <f ca="1">'Impacts A'!E311-'Impacts B'!E311</f>
        <v>-5.9914900778830715E-2</v>
      </c>
      <c r="F311" s="26">
        <f ca="1">'Impacts A'!F311-'Impacts B'!F311</f>
        <v>-9.1872804054937474E-2</v>
      </c>
      <c r="G311" s="26">
        <f ca="1">'Impacts A'!G311-'Impacts B'!G311</f>
        <v>2.6091467486349496E-2</v>
      </c>
      <c r="H311" s="26">
        <f ca="1">'Impacts A'!H311-'Impacts B'!H311</f>
        <v>-0.43793059393286882</v>
      </c>
      <c r="I311" s="26">
        <f ca="1">'Impacts A'!I311-'Impacts B'!I311</f>
        <v>-1.2615458422287271</v>
      </c>
      <c r="J311" s="26">
        <f ca="1">'Impacts A'!J311-'Impacts B'!J311</f>
        <v>-2.4917339267676857</v>
      </c>
      <c r="K311" s="26">
        <f ca="1">'Impacts A'!K311-'Impacts B'!K311</f>
        <v>-3.8537950331514916</v>
      </c>
      <c r="L311" s="26">
        <f ca="1">'Impacts A'!L311-'Impacts B'!L311</f>
        <v>-5.1994903891094619</v>
      </c>
      <c r="M311" s="6"/>
      <c r="N311" s="59" t="s">
        <v>132</v>
      </c>
    </row>
    <row r="312" spans="1:15" x14ac:dyDescent="0.2">
      <c r="A312" t="str">
        <v>OT Non-econ</v>
      </c>
      <c r="C312" s="26">
        <f ca="1">'Impacts A'!C312-'Impacts B'!C312</f>
        <v>6.3865347651362037E-3</v>
      </c>
      <c r="D312" s="26">
        <f ca="1">'Impacts A'!D312-'Impacts B'!D312</f>
        <v>3.152246434617384E-2</v>
      </c>
      <c r="E312" s="26">
        <f ca="1">'Impacts A'!E312-'Impacts B'!E312</f>
        <v>-2.5161032950655748E-3</v>
      </c>
      <c r="F312" s="26">
        <f ca="1">'Impacts A'!F312-'Impacts B'!F312</f>
        <v>-7.0757724942482003E-2</v>
      </c>
      <c r="G312" s="26">
        <f ca="1">'Impacts A'!G312-'Impacts B'!G312</f>
        <v>-4.1712088112031198E-2</v>
      </c>
      <c r="H312" s="26">
        <f ca="1">'Impacts A'!H312-'Impacts B'!H312</f>
        <v>-0.67700324322703542</v>
      </c>
      <c r="I312" s="26">
        <f ca="1">'Impacts A'!I312-'Impacts B'!I312</f>
        <v>-1.4022423981009458</v>
      </c>
      <c r="J312" s="26">
        <f ca="1">'Impacts A'!J312-'Impacts B'!J312</f>
        <v>-2.9037461835553935</v>
      </c>
      <c r="K312" s="26">
        <f ca="1">'Impacts A'!K312-'Impacts B'!K312</f>
        <v>-4.5807019744610606</v>
      </c>
      <c r="L312" s="26">
        <f ca="1">'Impacts A'!L312-'Impacts B'!L312</f>
        <v>-6.2241893327759676</v>
      </c>
      <c r="M312" s="6"/>
      <c r="N312" s="59" t="s">
        <v>132</v>
      </c>
    </row>
    <row r="313" spans="1:15" x14ac:dyDescent="0.2">
      <c r="A313" t="str">
        <v>EE Non-econ</v>
      </c>
      <c r="C313" s="26">
        <f ca="1">'Impacts A'!C313-'Impacts B'!C313</f>
        <v>5.6713995062276479E-2</v>
      </c>
      <c r="D313" s="26">
        <f ca="1">'Impacts A'!D313-'Impacts B'!D313</f>
        <v>5.522165534647594E-2</v>
      </c>
      <c r="E313" s="26">
        <f ca="1">'Impacts A'!E313-'Impacts B'!E313</f>
        <v>-5.3216426945830508E-2</v>
      </c>
      <c r="F313" s="26">
        <f ca="1">'Impacts A'!F313-'Impacts B'!F313</f>
        <v>1.3389541678525907E-2</v>
      </c>
      <c r="G313" s="26">
        <f ca="1">'Impacts A'!G313-'Impacts B'!G313</f>
        <v>-0.13423994072040246</v>
      </c>
      <c r="H313" s="26">
        <f ca="1">'Impacts A'!H313-'Impacts B'!H313</f>
        <v>-1.0452805994934358</v>
      </c>
      <c r="I313" s="26">
        <f ca="1">'Impacts A'!I313-'Impacts B'!I313</f>
        <v>-2.5397468268795369</v>
      </c>
      <c r="J313" s="26">
        <f ca="1">'Impacts A'!J313-'Impacts B'!J313</f>
        <v>-4.2206033839433763</v>
      </c>
      <c r="K313" s="26">
        <f ca="1">'Impacts A'!K313-'Impacts B'!K313</f>
        <v>-6.9052308379936385</v>
      </c>
      <c r="L313" s="26">
        <f ca="1">'Impacts A'!L313-'Impacts B'!L313</f>
        <v>-9.2525552730001124</v>
      </c>
      <c r="M313" s="6"/>
      <c r="N313" s="59" t="s">
        <v>132</v>
      </c>
    </row>
    <row r="314" spans="1:15" x14ac:dyDescent="0.2">
      <c r="A314" t="str">
        <v>CA Non-econ</v>
      </c>
      <c r="C314" s="26">
        <f ca="1">'Impacts A'!C314-'Impacts B'!C314</f>
        <v>1.4021613381270837E-2</v>
      </c>
      <c r="D314" s="26">
        <f ca="1">'Impacts A'!D314-'Impacts B'!D314</f>
        <v>-1.4455175408114584E-3</v>
      </c>
      <c r="E314" s="26">
        <f ca="1">'Impacts A'!E314-'Impacts B'!E314</f>
        <v>-4.3106537406566281E-2</v>
      </c>
      <c r="F314" s="26">
        <f ca="1">'Impacts A'!F314-'Impacts B'!F314</f>
        <v>-6.852651833208756E-2</v>
      </c>
      <c r="G314" s="26">
        <f ca="1">'Impacts A'!G314-'Impacts B'!G314</f>
        <v>2.3216432553867961E-2</v>
      </c>
      <c r="H314" s="26">
        <f ca="1">'Impacts A'!H314-'Impacts B'!H314</f>
        <v>-0.50773914143918719</v>
      </c>
      <c r="I314" s="26">
        <f ca="1">'Impacts A'!I314-'Impacts B'!I314</f>
        <v>-1.4509144510739991</v>
      </c>
      <c r="J314" s="26">
        <f ca="1">'Impacts A'!J314-'Impacts B'!J314</f>
        <v>-2.479335060034769</v>
      </c>
      <c r="K314" s="26">
        <f ca="1">'Impacts A'!K314-'Impacts B'!K314</f>
        <v>-3.943127276421273</v>
      </c>
      <c r="L314" s="26">
        <f ca="1">'Impacts A'!L314-'Impacts B'!L314</f>
        <v>-5.3374425296333126</v>
      </c>
      <c r="M314" s="6"/>
      <c r="N314" s="59" t="s">
        <v>132</v>
      </c>
    </row>
    <row r="315" spans="1:15" x14ac:dyDescent="0.2">
      <c r="A315" t="str">
        <v>IA Non-econ</v>
      </c>
      <c r="C315" s="26">
        <f ca="1">'Impacts A'!C315-'Impacts B'!C315</f>
        <v>-1.1877799186775229E-2</v>
      </c>
      <c r="D315" s="26">
        <f ca="1">'Impacts A'!D315-'Impacts B'!D315</f>
        <v>-9.2547902176918218E-3</v>
      </c>
      <c r="E315" s="26">
        <f ca="1">'Impacts A'!E315-'Impacts B'!E315</f>
        <v>-8.8336945361694175E-3</v>
      </c>
      <c r="F315" s="26">
        <f ca="1">'Impacts A'!F315-'Impacts B'!F315</f>
        <v>-3.5614397829372701E-2</v>
      </c>
      <c r="G315" s="26">
        <f ca="1">'Impacts A'!G315-'Impacts B'!G315</f>
        <v>3.5524639900404109E-2</v>
      </c>
      <c r="H315" s="26">
        <f ca="1">'Impacts A'!H315-'Impacts B'!H315</f>
        <v>-0.26420907551884598</v>
      </c>
      <c r="I315" s="26">
        <f ca="1">'Impacts A'!I315-'Impacts B'!I315</f>
        <v>-0.74108690407272326</v>
      </c>
      <c r="J315" s="26">
        <f ca="1">'Impacts A'!J315-'Impacts B'!J315</f>
        <v>-1.4263186570610014</v>
      </c>
      <c r="K315" s="26">
        <f ca="1">'Impacts A'!K315-'Impacts B'!K315</f>
        <v>-2.2469815039409311</v>
      </c>
      <c r="L315" s="26">
        <f ca="1">'Impacts A'!L315-'Impacts B'!L315</f>
        <v>-3.1038484332178329</v>
      </c>
      <c r="M315" s="6"/>
      <c r="N315" s="59" t="s">
        <v>132</v>
      </c>
    </row>
    <row r="316" spans="1:15" x14ac:dyDescent="0.2">
      <c r="A316" t="str">
        <v>AF Non-econ</v>
      </c>
      <c r="C316" s="26">
        <f ca="1">'Impacts A'!C316-'Impacts B'!C316</f>
        <v>-9.219699965465622E-3</v>
      </c>
      <c r="D316" s="26">
        <f ca="1">'Impacts A'!D316-'Impacts B'!D316</f>
        <v>-1.8352886778095046E-2</v>
      </c>
      <c r="E316" s="26">
        <f ca="1">'Impacts A'!E316-'Impacts B'!E316</f>
        <v>-1.2107467304704467E-3</v>
      </c>
      <c r="F316" s="26">
        <f ca="1">'Impacts A'!F316-'Impacts B'!F316</f>
        <v>-5.3263405493642169E-2</v>
      </c>
      <c r="G316" s="26">
        <f ca="1">'Impacts A'!G316-'Impacts B'!G316</f>
        <v>3.5404403229065129E-2</v>
      </c>
      <c r="H316" s="26">
        <f ca="1">'Impacts A'!H316-'Impacts B'!H316</f>
        <v>-0.28774963510659768</v>
      </c>
      <c r="I316" s="26">
        <f ca="1">'Impacts A'!I316-'Impacts B'!I316</f>
        <v>-0.87644271595586143</v>
      </c>
      <c r="J316" s="26">
        <f ca="1">'Impacts A'!J316-'Impacts B'!J316</f>
        <v>-1.7133945670175934</v>
      </c>
      <c r="K316" s="26">
        <f ca="1">'Impacts A'!K316-'Impacts B'!K316</f>
        <v>-2.7393327295153833</v>
      </c>
      <c r="L316" s="26">
        <f ca="1">'Impacts A'!L316-'Impacts B'!L316</f>
        <v>-3.8319328360015388</v>
      </c>
      <c r="M316" s="6"/>
      <c r="N316" s="59" t="s">
        <v>132</v>
      </c>
    </row>
    <row r="317" spans="1:15" x14ac:dyDescent="0.2">
      <c r="A317" t="str">
        <v>LA Non-econ</v>
      </c>
      <c r="C317" s="26">
        <f ca="1">'Impacts A'!C317-'Impacts B'!C317</f>
        <v>-3.4421305303845767E-2</v>
      </c>
      <c r="D317" s="26">
        <f ca="1">'Impacts A'!D317-'Impacts B'!D317</f>
        <v>-1.2365662189323112E-2</v>
      </c>
      <c r="E317" s="26">
        <f ca="1">'Impacts A'!E317-'Impacts B'!E317</f>
        <v>-4.4457423252963757E-3</v>
      </c>
      <c r="F317" s="26">
        <f ca="1">'Impacts A'!F317-'Impacts B'!F317</f>
        <v>-6.1760591289120592E-2</v>
      </c>
      <c r="G317" s="26">
        <f ca="1">'Impacts A'!G317-'Impacts B'!G317</f>
        <v>1.1405731193565471E-2</v>
      </c>
      <c r="H317" s="26">
        <f ca="1">'Impacts A'!H317-'Impacts B'!H317</f>
        <v>-0.3052307677409285</v>
      </c>
      <c r="I317" s="26">
        <f ca="1">'Impacts A'!I317-'Impacts B'!I317</f>
        <v>-0.80955696961435231</v>
      </c>
      <c r="J317" s="26">
        <f ca="1">'Impacts A'!J317-'Impacts B'!J317</f>
        <v>-1.6589275221983655</v>
      </c>
      <c r="K317" s="26">
        <f ca="1">'Impacts A'!K317-'Impacts B'!K317</f>
        <v>-2.473007629395739</v>
      </c>
      <c r="L317" s="26">
        <f ca="1">'Impacts A'!L317-'Impacts B'!L317</f>
        <v>-3.3806329904565784</v>
      </c>
      <c r="M317" s="6"/>
      <c r="N317" s="59" t="s">
        <v>132</v>
      </c>
    </row>
    <row r="318" spans="1:15" s="2" customFormat="1" ht="14.25" x14ac:dyDescent="0.25">
      <c r="A318" s="2" t="s">
        <v>224</v>
      </c>
      <c r="C318" s="2" t="s">
        <v>240</v>
      </c>
    </row>
    <row r="319" spans="1:15" x14ac:dyDescent="0.2">
      <c r="A319" t="str">
        <f t="array" ref="A319:A326">R_CODE&amp;" "&amp;I_2_NAME</f>
        <v>EU Non-econ</v>
      </c>
      <c r="C319" s="29">
        <f ca="1">'Impacts A'!C319-'Impacts B'!C319</f>
        <v>18.983285819380527</v>
      </c>
      <c r="D319" s="29">
        <f ca="1">'Impacts A'!D319-'Impacts B'!D319</f>
        <v>17.651173528418951</v>
      </c>
      <c r="E319" s="29">
        <f ca="1">'Impacts A'!E319-'Impacts B'!E319</f>
        <v>-18.067364245071502</v>
      </c>
      <c r="F319" s="29">
        <f ca="1">'Impacts A'!F319-'Impacts B'!F319</f>
        <v>11.059854659376811</v>
      </c>
      <c r="G319" s="29">
        <f ca="1">'Impacts A'!G319-'Impacts B'!G319</f>
        <v>-42.876141463018485</v>
      </c>
      <c r="H319" s="29">
        <f ca="1">'Impacts A'!H319-'Impacts B'!H319</f>
        <v>-502.62624987983622</v>
      </c>
      <c r="I319" s="29">
        <f ca="1">'Impacts A'!I319-'Impacts B'!I319</f>
        <v>-1316.6110980531344</v>
      </c>
      <c r="J319" s="29">
        <f ca="1">'Impacts A'!J319-'Impacts B'!J319</f>
        <v>-2652.7520522709938</v>
      </c>
      <c r="K319" s="29">
        <f ca="1">'Impacts A'!K319-'Impacts B'!K319</f>
        <v>-5037.631790989125</v>
      </c>
      <c r="L319" s="29">
        <f ca="1">'Impacts A'!L319-'Impacts B'!L319</f>
        <v>-8007.3655373229903</v>
      </c>
      <c r="M319" s="6"/>
      <c r="N319" s="1" t="str">
        <f t="shared" ref="N319:N326" si="8">CURRENCY_NAME&amp;"/"&amp;POP_UNIT_NAME</f>
        <v>$M(2015)/million</v>
      </c>
      <c r="O319" s="1"/>
    </row>
    <row r="320" spans="1:15" x14ac:dyDescent="0.2">
      <c r="A320" t="str">
        <v>US Non-econ</v>
      </c>
      <c r="C320" s="26">
        <f ca="1">'Impacts A'!C320-'Impacts B'!C320</f>
        <v>-12.799097069061119</v>
      </c>
      <c r="D320" s="26">
        <f ca="1">'Impacts A'!D320-'Impacts B'!D320</f>
        <v>-4.1710845491719795</v>
      </c>
      <c r="E320" s="26">
        <f ca="1">'Impacts A'!E320-'Impacts B'!E320</f>
        <v>-39.529362124063937</v>
      </c>
      <c r="F320" s="26">
        <f ca="1">'Impacts A'!F320-'Impacts B'!F320</f>
        <v>-70.972682519529201</v>
      </c>
      <c r="G320" s="26">
        <f ca="1">'Impacts A'!G320-'Impacts B'!G320</f>
        <v>22.711158950608478</v>
      </c>
      <c r="H320" s="26">
        <f ca="1">'Impacts A'!H320-'Impacts B'!H320</f>
        <v>-453.66989973497175</v>
      </c>
      <c r="I320" s="26">
        <f ca="1">'Impacts A'!I320-'Impacts B'!I320</f>
        <v>-1473.7244826900337</v>
      </c>
      <c r="J320" s="26">
        <f ca="1">'Impacts A'!J320-'Impacts B'!J320</f>
        <v>-3318.4064655915936</v>
      </c>
      <c r="K320" s="26">
        <f ca="1">'Impacts A'!K320-'Impacts B'!K320</f>
        <v>-5904.2949185381822</v>
      </c>
      <c r="L320" s="26">
        <f ca="1">'Impacts A'!L320-'Impacts B'!L320</f>
        <v>-9211.7766938751411</v>
      </c>
      <c r="M320" s="6"/>
      <c r="N320" s="1" t="str">
        <f t="shared" si="8"/>
        <v>$M(2015)/million</v>
      </c>
      <c r="O320" s="1"/>
    </row>
    <row r="321" spans="1:15" x14ac:dyDescent="0.2">
      <c r="A321" t="str">
        <v>OT Non-econ</v>
      </c>
      <c r="C321" s="26">
        <f ca="1">'Impacts A'!C321-'Impacts B'!C321</f>
        <v>2.3377748994735015</v>
      </c>
      <c r="D321" s="26">
        <f ca="1">'Impacts A'!D321-'Impacts B'!D321</f>
        <v>12.809441354620802</v>
      </c>
      <c r="E321" s="26">
        <f ca="1">'Impacts A'!E321-'Impacts B'!E321</f>
        <v>-1.1411379674930799</v>
      </c>
      <c r="F321" s="26">
        <f ca="1">'Impacts A'!F321-'Impacts B'!F321</f>
        <v>-39.987791779336703</v>
      </c>
      <c r="G321" s="26">
        <f ca="1">'Impacts A'!G321-'Impacts B'!G321</f>
        <v>-28.93856045220798</v>
      </c>
      <c r="H321" s="26">
        <f ca="1">'Impacts A'!H321-'Impacts B'!H321</f>
        <v>-570.97404798181105</v>
      </c>
      <c r="I321" s="26">
        <f ca="1">'Impacts A'!I321-'Impacts B'!I321</f>
        <v>-1417.6655623284203</v>
      </c>
      <c r="J321" s="26">
        <f ca="1">'Impacts A'!J321-'Impacts B'!J321</f>
        <v>-3474.2602914208737</v>
      </c>
      <c r="K321" s="26">
        <f ca="1">'Impacts A'!K321-'Impacts B'!K321</f>
        <v>-6485.4192100294404</v>
      </c>
      <c r="L321" s="26">
        <f ca="1">'Impacts A'!L321-'Impacts B'!L321</f>
        <v>-10435.691289313625</v>
      </c>
      <c r="M321" s="6"/>
      <c r="N321" s="1" t="str">
        <f t="shared" si="8"/>
        <v>$M(2015)/million</v>
      </c>
      <c r="O321" s="1"/>
    </row>
    <row r="322" spans="1:15" x14ac:dyDescent="0.2">
      <c r="A322" t="str">
        <v>EE Non-econ</v>
      </c>
      <c r="C322" s="26">
        <f ca="1">'Impacts A'!C322-'Impacts B'!C322</f>
        <v>10.718196011407699</v>
      </c>
      <c r="D322" s="26">
        <f ca="1">'Impacts A'!D322-'Impacts B'!D322</f>
        <v>12.851028398858489</v>
      </c>
      <c r="E322" s="26">
        <f ca="1">'Impacts A'!E322-'Impacts B'!E322</f>
        <v>-15.140290428718288</v>
      </c>
      <c r="F322" s="26">
        <f ca="1">'Impacts A'!F322-'Impacts B'!F322</f>
        <v>5.3601478253126515</v>
      </c>
      <c r="G322" s="26">
        <f ca="1">'Impacts A'!G322-'Impacts B'!G322</f>
        <v>-72.186876285749463</v>
      </c>
      <c r="H322" s="26">
        <f ca="1">'Impacts A'!H322-'Impacts B'!H322</f>
        <v>-693.20798822210645</v>
      </c>
      <c r="I322" s="26">
        <f ca="1">'Impacts A'!I322-'Impacts B'!I322</f>
        <v>-2047.8309269515073</v>
      </c>
      <c r="J322" s="26">
        <f ca="1">'Impacts A'!J322-'Impacts B'!J322</f>
        <v>-4083.5963922238889</v>
      </c>
      <c r="K322" s="26">
        <f ca="1">'Impacts A'!K322-'Impacts B'!K322</f>
        <v>-8100.0907398361624</v>
      </c>
      <c r="L322" s="26">
        <f ca="1">'Impacts A'!L322-'Impacts B'!L322</f>
        <v>-13210.51204032589</v>
      </c>
      <c r="M322" s="6"/>
      <c r="N322" s="1" t="str">
        <f t="shared" si="8"/>
        <v>$M(2015)/million</v>
      </c>
      <c r="O322" s="1"/>
    </row>
    <row r="323" spans="1:15" x14ac:dyDescent="0.2">
      <c r="A323" t="str">
        <v>CA Non-econ</v>
      </c>
      <c r="C323" s="26">
        <f ca="1">'Impacts A'!C323-'Impacts B'!C323</f>
        <v>2.7127028628253491</v>
      </c>
      <c r="D323" s="26">
        <f ca="1">'Impacts A'!D323-'Impacts B'!D323</f>
        <v>-0.38165742265215385</v>
      </c>
      <c r="E323" s="26">
        <f ca="1">'Impacts A'!E323-'Impacts B'!E323</f>
        <v>-14.839061872127957</v>
      </c>
      <c r="F323" s="26">
        <f ca="1">'Impacts A'!F323-'Impacts B'!F323</f>
        <v>-34.695400187518374</v>
      </c>
      <c r="G323" s="26">
        <f ca="1">'Impacts A'!G323-'Impacts B'!G323</f>
        <v>14.892102749120568</v>
      </c>
      <c r="H323" s="26">
        <f ca="1">'Impacts A'!H323-'Impacts B'!H323</f>
        <v>-412.75183542308946</v>
      </c>
      <c r="I323" s="26">
        <f ca="1">'Impacts A'!I323-'Impacts B'!I323</f>
        <v>-1387.3789937916392</v>
      </c>
      <c r="J323" s="26">
        <f ca="1">'Impacts A'!J323-'Impacts B'!J323</f>
        <v>-2748.922570618915</v>
      </c>
      <c r="K323" s="26">
        <f ca="1">'Impacts A'!K323-'Impacts B'!K323</f>
        <v>-5061.5590010705509</v>
      </c>
      <c r="L323" s="26">
        <f ca="1">'Impacts A'!L323-'Impacts B'!L323</f>
        <v>-7956.9534055013664</v>
      </c>
      <c r="M323" s="6"/>
      <c r="N323" s="1" t="str">
        <f t="shared" si="8"/>
        <v>$M(2015)/million</v>
      </c>
      <c r="O323" s="1"/>
    </row>
    <row r="324" spans="1:15" x14ac:dyDescent="0.2">
      <c r="A324" t="str">
        <v>IA Non-econ</v>
      </c>
      <c r="C324" s="26">
        <f ca="1">'Impacts A'!C324-'Impacts B'!C324</f>
        <v>-0.93371808365435882</v>
      </c>
      <c r="D324" s="26">
        <f ca="1">'Impacts A'!D324-'Impacts B'!D324</f>
        <v>-0.9566545108407265</v>
      </c>
      <c r="E324" s="26">
        <f ca="1">'Impacts A'!E324-'Impacts B'!E324</f>
        <v>-1.1844736618046667</v>
      </c>
      <c r="F324" s="26">
        <f ca="1">'Impacts A'!F324-'Impacts B'!F324</f>
        <v>-7.4518526625641499</v>
      </c>
      <c r="G324" s="26">
        <f ca="1">'Impacts A'!G324-'Impacts B'!G324</f>
        <v>10.396928975700718</v>
      </c>
      <c r="H324" s="26">
        <f ca="1">'Impacts A'!H324-'Impacts B'!H324</f>
        <v>-109.31732238019433</v>
      </c>
      <c r="I324" s="26">
        <f ca="1">'Impacts A'!I324-'Impacts B'!I324</f>
        <v>-396.25090085887973</v>
      </c>
      <c r="J324" s="26">
        <f ca="1">'Impacts A'!J324-'Impacts B'!J324</f>
        <v>-969.58204326969417</v>
      </c>
      <c r="K324" s="26">
        <f ca="1">'Impacts A'!K324-'Impacts B'!K324</f>
        <v>-1919.2423201252063</v>
      </c>
      <c r="L324" s="26">
        <f ca="1">'Impacts A'!L324-'Impacts B'!L324</f>
        <v>-3309.5335407720913</v>
      </c>
      <c r="M324" s="6"/>
      <c r="N324" s="1" t="str">
        <f t="shared" si="8"/>
        <v>$M(2015)/million</v>
      </c>
      <c r="O324" s="1"/>
    </row>
    <row r="325" spans="1:15" x14ac:dyDescent="0.2">
      <c r="A325" t="str">
        <v>AF Non-econ</v>
      </c>
      <c r="C325" s="26">
        <f ca="1">'Impacts A'!C325-'Impacts B'!C325</f>
        <v>-0.56990300878408995</v>
      </c>
      <c r="D325" s="26">
        <f ca="1">'Impacts A'!D325-'Impacts B'!D325</f>
        <v>-1.3562282669244752</v>
      </c>
      <c r="E325" s="26">
        <f ca="1">'Impacts A'!E325-'Impacts B'!E325</f>
        <v>-0.10940330177358248</v>
      </c>
      <c r="F325" s="26">
        <f ca="1">'Impacts A'!F325-'Impacts B'!F325</f>
        <v>-7.2423714849131855</v>
      </c>
      <c r="G325" s="26">
        <f ca="1">'Impacts A'!G325-'Impacts B'!G325</f>
        <v>6.3035134502586914</v>
      </c>
      <c r="H325" s="26">
        <f ca="1">'Impacts A'!H325-'Impacts B'!H325</f>
        <v>-88.224396960663569</v>
      </c>
      <c r="I325" s="26">
        <f ca="1">'Impacts A'!I325-'Impacts B'!I325</f>
        <v>-351.08256991506539</v>
      </c>
      <c r="J325" s="26">
        <f ca="1">'Impacts A'!J325-'Impacts B'!J325</f>
        <v>-909.42346759127759</v>
      </c>
      <c r="K325" s="26">
        <f ca="1">'Impacts A'!K325-'Impacts B'!K325</f>
        <v>-1926.2154029831233</v>
      </c>
      <c r="L325" s="26">
        <f ca="1">'Impacts A'!L325-'Impacts B'!L325</f>
        <v>-3553.1725586032926</v>
      </c>
      <c r="M325" s="6"/>
      <c r="N325" s="1" t="str">
        <f t="shared" si="8"/>
        <v>$M(2015)/million</v>
      </c>
      <c r="O325" s="1"/>
    </row>
    <row r="326" spans="1:15" x14ac:dyDescent="0.2">
      <c r="A326" t="str">
        <v>LA Non-econ</v>
      </c>
      <c r="C326" s="26">
        <f ca="1">'Impacts A'!C326-'Impacts B'!C326</f>
        <v>-5.0952487194548759</v>
      </c>
      <c r="D326" s="26">
        <f ca="1">'Impacts A'!D326-'Impacts B'!D326</f>
        <v>-2.1458324412875847</v>
      </c>
      <c r="E326" s="26">
        <f ca="1">'Impacts A'!E326-'Impacts B'!E326</f>
        <v>-0.91062145603478939</v>
      </c>
      <c r="F326" s="26">
        <f ca="1">'Impacts A'!F326-'Impacts B'!F326</f>
        <v>-17.797636584210139</v>
      </c>
      <c r="G326" s="26">
        <f ca="1">'Impacts A'!G326-'Impacts B'!G326</f>
        <v>4.4382590604906511</v>
      </c>
      <c r="H326" s="26">
        <f ca="1">'Impacts A'!H326-'Impacts B'!H326</f>
        <v>-161.2227611206427</v>
      </c>
      <c r="I326" s="26">
        <f ca="1">'Impacts A'!I326-'Impacts B'!I326</f>
        <v>-536.91615669336522</v>
      </c>
      <c r="J326" s="26">
        <f ca="1">'Impacts A'!J326-'Impacts B'!J326</f>
        <v>-1361.7158534708706</v>
      </c>
      <c r="K326" s="26">
        <f ca="1">'Impacts A'!K326-'Impacts B'!K326</f>
        <v>-2504.9803504430847</v>
      </c>
      <c r="L326" s="26">
        <f ca="1">'Impacts A'!L326-'Impacts B'!L326</f>
        <v>-4212.3905357243611</v>
      </c>
      <c r="M326" s="6"/>
      <c r="N326" s="1" t="str">
        <f t="shared" si="8"/>
        <v>$M(2015)/million</v>
      </c>
      <c r="O326" s="1"/>
    </row>
    <row r="327" spans="1:15" s="2" customFormat="1" ht="14.25" x14ac:dyDescent="0.25">
      <c r="A327" s="2" t="s">
        <v>226</v>
      </c>
      <c r="C327" s="2" t="s">
        <v>242</v>
      </c>
    </row>
    <row r="328" spans="1:15" x14ac:dyDescent="0.2">
      <c r="A328" t="str">
        <f t="array" ref="A328:A335">R_CODE&amp;" "&amp;I_2_NAME</f>
        <v>EU Non-econ</v>
      </c>
      <c r="C328" s="29">
        <f ca="1">'Impacts A'!C328-'Impacts B'!C328</f>
        <v>0.66045973256404977</v>
      </c>
      <c r="D328" s="29">
        <f ca="1">'Impacts A'!D328-'Impacts B'!D328</f>
        <v>-4.4824834728860878</v>
      </c>
      <c r="E328" s="29">
        <f ca="1">'Impacts A'!E328-'Impacts B'!E328</f>
        <v>10.009165360934276</v>
      </c>
      <c r="F328" s="29">
        <f ca="1">'Impacts A'!F328-'Impacts B'!F328</f>
        <v>-6.7488350577841629</v>
      </c>
      <c r="G328" s="29">
        <f ca="1">'Impacts A'!G328-'Impacts B'!G328</f>
        <v>38.599536273897684</v>
      </c>
      <c r="H328" s="29">
        <f ca="1">'Impacts A'!H328-'Impacts B'!H328</f>
        <v>283.37286756158574</v>
      </c>
      <c r="I328" s="29">
        <f ca="1">'Impacts A'!I328-'Impacts B'!I328</f>
        <v>1077.6318819297885</v>
      </c>
      <c r="J328" s="29">
        <f ca="1">'Impacts A'!J328-'Impacts B'!J328</f>
        <v>2849.5838827894331</v>
      </c>
      <c r="K328" s="29">
        <f ca="1">'Impacts A'!K328-'Impacts B'!K328</f>
        <v>6182.5808157136489</v>
      </c>
      <c r="L328" s="29">
        <f ca="1">'Impacts A'!L328-'Impacts B'!L328</f>
        <v>10546.844192811521</v>
      </c>
      <c r="M328" s="6"/>
      <c r="N328" s="1" t="str">
        <f t="shared" ref="N328:N335" si="9">CURRENCY_NAME&amp;"/"&amp;POP_UNIT_NAME</f>
        <v>$M(2015)/million</v>
      </c>
      <c r="O328" s="1"/>
    </row>
    <row r="329" spans="1:15" x14ac:dyDescent="0.2">
      <c r="A329" t="str">
        <v>US Non-econ</v>
      </c>
      <c r="C329" s="26">
        <f ca="1">'Impacts A'!C329-'Impacts B'!C329</f>
        <v>27.652100160259579</v>
      </c>
      <c r="D329" s="26">
        <f ca="1">'Impacts A'!D329-'Impacts B'!D329</f>
        <v>9.1009611727058655</v>
      </c>
      <c r="E329" s="26">
        <f ca="1">'Impacts A'!E329-'Impacts B'!E329</f>
        <v>82.035821603756631</v>
      </c>
      <c r="F329" s="26">
        <f ca="1">'Impacts A'!F329-'Impacts B'!F329</f>
        <v>144.51974305977637</v>
      </c>
      <c r="G329" s="26">
        <f ca="1">'Impacts A'!G329-'Impacts B'!G329</f>
        <v>-80.094761165659293</v>
      </c>
      <c r="H329" s="26">
        <f ca="1">'Impacts A'!H329-'Impacts B'!H329</f>
        <v>69.422352730194689</v>
      </c>
      <c r="I329" s="26">
        <f ca="1">'Impacts A'!I329-'Impacts B'!I329</f>
        <v>1677.5863085397723</v>
      </c>
      <c r="J329" s="26">
        <f ca="1">'Impacts A'!J329-'Impacts B'!J329</f>
        <v>5420.5279999839695</v>
      </c>
      <c r="K329" s="26">
        <f ca="1">'Impacts A'!K329-'Impacts B'!K329</f>
        <v>10692.092814829331</v>
      </c>
      <c r="L329" s="26">
        <f ca="1">'Impacts A'!L329-'Impacts B'!L329</f>
        <v>17396.387203482038</v>
      </c>
      <c r="M329" s="6"/>
      <c r="N329" s="1" t="str">
        <f t="shared" si="9"/>
        <v>$M(2015)/million</v>
      </c>
      <c r="O329" s="1"/>
    </row>
    <row r="330" spans="1:15" x14ac:dyDescent="0.2">
      <c r="A330" t="str">
        <v>OT Non-econ</v>
      </c>
      <c r="C330" s="26">
        <f ca="1">'Impacts A'!C330-'Impacts B'!C330</f>
        <v>-3.0358796889922814</v>
      </c>
      <c r="D330" s="26">
        <f ca="1">'Impacts A'!D330-'Impacts B'!D330</f>
        <v>-17.610782903408108</v>
      </c>
      <c r="E330" s="26">
        <f ca="1">'Impacts A'!E330-'Impacts B'!E330</f>
        <v>1.9504290909972042</v>
      </c>
      <c r="F330" s="26">
        <f ca="1">'Impacts A'!F330-'Impacts B'!F330</f>
        <v>64.539995880688366</v>
      </c>
      <c r="G330" s="26">
        <f ca="1">'Impacts A'!G330-'Impacts B'!G330</f>
        <v>32.108846351788088</v>
      </c>
      <c r="H330" s="26">
        <f ca="1">'Impacts A'!H330-'Impacts B'!H330</f>
        <v>303.16585898325138</v>
      </c>
      <c r="I330" s="26">
        <f ca="1">'Impacts A'!I330-'Impacts B'!I330</f>
        <v>1282.6011052849935</v>
      </c>
      <c r="J330" s="26">
        <f ca="1">'Impacts A'!J330-'Impacts B'!J330</f>
        <v>4833.4222969826951</v>
      </c>
      <c r="K330" s="26">
        <f ca="1">'Impacts A'!K330-'Impacts B'!K330</f>
        <v>10146.09453454215</v>
      </c>
      <c r="L330" s="26">
        <f ca="1">'Impacts A'!L330-'Impacts B'!L330</f>
        <v>17244.008646793809</v>
      </c>
      <c r="M330" s="6"/>
      <c r="N330" s="1" t="str">
        <f t="shared" si="9"/>
        <v>$M(2015)/million</v>
      </c>
      <c r="O330" s="1"/>
    </row>
    <row r="331" spans="1:15" x14ac:dyDescent="0.2">
      <c r="A331" t="str">
        <v>EE Non-econ</v>
      </c>
      <c r="C331" s="26">
        <f ca="1">'Impacts A'!C331-'Impacts B'!C331</f>
        <v>10.450541697342487</v>
      </c>
      <c r="D331" s="26">
        <f ca="1">'Impacts A'!D331-'Impacts B'!D331</f>
        <v>5.7978827138686029</v>
      </c>
      <c r="E331" s="26">
        <f ca="1">'Impacts A'!E331-'Impacts B'!E331</f>
        <v>-3.2645238838449586</v>
      </c>
      <c r="F331" s="26">
        <f ca="1">'Impacts A'!F331-'Impacts B'!F331</f>
        <v>-0.86071510046895128</v>
      </c>
      <c r="G331" s="26">
        <f ca="1">'Impacts A'!G331-'Impacts B'!G331</f>
        <v>-115.7847074451056</v>
      </c>
      <c r="H331" s="26">
        <f ca="1">'Impacts A'!H331-'Impacts B'!H331</f>
        <v>-720.89917014740786</v>
      </c>
      <c r="I331" s="26">
        <f ca="1">'Impacts A'!I331-'Impacts B'!I331</f>
        <v>52.721434233360924</v>
      </c>
      <c r="J331" s="26">
        <f ca="1">'Impacts A'!J331-'Impacts B'!J331</f>
        <v>2247.8990723218449</v>
      </c>
      <c r="K331" s="26">
        <f ca="1">'Impacts A'!K331-'Impacts B'!K331</f>
        <v>6762.819068315308</v>
      </c>
      <c r="L331" s="26">
        <f ca="1">'Impacts A'!L331-'Impacts B'!L331</f>
        <v>12483.443573703611</v>
      </c>
      <c r="M331" s="6"/>
      <c r="N331" s="1" t="str">
        <f t="shared" si="9"/>
        <v>$M(2015)/million</v>
      </c>
      <c r="O331" s="1"/>
    </row>
    <row r="332" spans="1:15" x14ac:dyDescent="0.2">
      <c r="A332" t="str">
        <v>CA Non-econ</v>
      </c>
      <c r="C332" s="26">
        <f ca="1">'Impacts A'!C332-'Impacts B'!C332</f>
        <v>-9.0310268924404227</v>
      </c>
      <c r="D332" s="26">
        <f ca="1">'Impacts A'!D332-'Impacts B'!D332</f>
        <v>1.3311396863828122</v>
      </c>
      <c r="E332" s="26">
        <f ca="1">'Impacts A'!E332-'Impacts B'!E332</f>
        <v>42.913521284041053</v>
      </c>
      <c r="F332" s="26">
        <f ca="1">'Impacts A'!F332-'Impacts B'!F332</f>
        <v>93.156260000592738</v>
      </c>
      <c r="G332" s="26">
        <f ca="1">'Impacts A'!G332-'Impacts B'!G332</f>
        <v>-67.058129107652348</v>
      </c>
      <c r="H332" s="26">
        <f ca="1">'Impacts A'!H332-'Impacts B'!H332</f>
        <v>545.83767668058863</v>
      </c>
      <c r="I332" s="26">
        <f ca="1">'Impacts A'!I332-'Impacts B'!I332</f>
        <v>2510.8877354773285</v>
      </c>
      <c r="J332" s="26">
        <f ca="1">'Impacts A'!J332-'Impacts B'!J332</f>
        <v>5640.4308404292678</v>
      </c>
      <c r="K332" s="26">
        <f ca="1">'Impacts A'!K332-'Impacts B'!K332</f>
        <v>10920.518659621608</v>
      </c>
      <c r="L332" s="26">
        <f ca="1">'Impacts A'!L332-'Impacts B'!L332</f>
        <v>17497.795705201745</v>
      </c>
      <c r="M332" s="6"/>
      <c r="N332" s="1" t="str">
        <f t="shared" si="9"/>
        <v>$M(2015)/million</v>
      </c>
      <c r="O332" s="1"/>
    </row>
    <row r="333" spans="1:15" x14ac:dyDescent="0.2">
      <c r="A333" t="str">
        <v>IA Non-econ</v>
      </c>
      <c r="C333" s="26">
        <f ca="1">'Impacts A'!C333-'Impacts B'!C333</f>
        <v>14.336470530985025</v>
      </c>
      <c r="D333" s="26">
        <f ca="1">'Impacts A'!D333-'Impacts B'!D333</f>
        <v>12.412824188711966</v>
      </c>
      <c r="E333" s="26">
        <f ca="1">'Impacts A'!E333-'Impacts B'!E333</f>
        <v>13.516848102590302</v>
      </c>
      <c r="F333" s="26">
        <f ca="1">'Impacts A'!F333-'Impacts B'!F333</f>
        <v>64.706690869083104</v>
      </c>
      <c r="G333" s="26">
        <f ca="1">'Impacts A'!G333-'Impacts B'!G333</f>
        <v>-104.83465450448057</v>
      </c>
      <c r="H333" s="26">
        <f ca="1">'Impacts A'!H333-'Impacts B'!H333</f>
        <v>422.79927743762528</v>
      </c>
      <c r="I333" s="26">
        <f ca="1">'Impacts A'!I333-'Impacts B'!I333</f>
        <v>1858.376674488507</v>
      </c>
      <c r="J333" s="26">
        <f ca="1">'Impacts A'!J333-'Impacts B'!J333</f>
        <v>4868.3551447335121</v>
      </c>
      <c r="K333" s="26">
        <f ca="1">'Impacts A'!K333-'Impacts B'!K333</f>
        <v>9516.9376408201933</v>
      </c>
      <c r="L333" s="26">
        <f ca="1">'Impacts A'!L333-'Impacts B'!L333</f>
        <v>16218.117851365096</v>
      </c>
      <c r="M333" s="6"/>
      <c r="N333" s="1" t="str">
        <f t="shared" si="9"/>
        <v>$M(2015)/million</v>
      </c>
      <c r="O333" s="1"/>
    </row>
    <row r="334" spans="1:15" x14ac:dyDescent="0.2">
      <c r="A334" t="str">
        <v>AF Non-econ</v>
      </c>
      <c r="C334" s="26">
        <f ca="1">'Impacts A'!C334-'Impacts B'!C334</f>
        <v>6.2181137034795029</v>
      </c>
      <c r="D334" s="26">
        <f ca="1">'Impacts A'!D334-'Impacts B'!D334</f>
        <v>12.252904068753196</v>
      </c>
      <c r="E334" s="26">
        <f ca="1">'Impacts A'!E334-'Impacts B'!E334</f>
        <v>0.93594242646850034</v>
      </c>
      <c r="F334" s="26">
        <f ca="1">'Impacts A'!F334-'Impacts B'!F334</f>
        <v>45.708268838712684</v>
      </c>
      <c r="G334" s="26">
        <f ca="1">'Impacts A'!G334-'Impacts B'!G334</f>
        <v>-123.09161744358789</v>
      </c>
      <c r="H334" s="26">
        <f ca="1">'Impacts A'!H334-'Impacts B'!H334</f>
        <v>-407.95414600634467</v>
      </c>
      <c r="I334" s="26">
        <f ca="1">'Impacts A'!I334-'Impacts B'!I334</f>
        <v>463.4480402712652</v>
      </c>
      <c r="J334" s="26">
        <f ca="1">'Impacts A'!J334-'Impacts B'!J334</f>
        <v>2882.8708141885872</v>
      </c>
      <c r="K334" s="26">
        <f ca="1">'Impacts A'!K334-'Impacts B'!K334</f>
        <v>6972.6032766771605</v>
      </c>
      <c r="L334" s="26">
        <f ca="1">'Impacts A'!L334-'Impacts B'!L334</f>
        <v>13270.030710036779</v>
      </c>
      <c r="M334" s="6"/>
      <c r="N334" s="1" t="str">
        <f t="shared" si="9"/>
        <v>$M(2015)/million</v>
      </c>
      <c r="O334" s="1"/>
    </row>
    <row r="335" spans="1:15" x14ac:dyDescent="0.2">
      <c r="A335" t="str">
        <v>LA Non-econ</v>
      </c>
      <c r="C335" s="26">
        <f ca="1">'Impacts A'!C335-'Impacts B'!C335</f>
        <v>50.066724952430377</v>
      </c>
      <c r="D335" s="26">
        <f ca="1">'Impacts A'!D335-'Impacts B'!D335</f>
        <v>18.838085704883269</v>
      </c>
      <c r="E335" s="26">
        <f ca="1">'Impacts A'!E335-'Impacts B'!E335</f>
        <v>7.0031415074590768</v>
      </c>
      <c r="F335" s="26">
        <f ca="1">'Impacts A'!F335-'Impacts B'!F335</f>
        <v>106.3316567593356</v>
      </c>
      <c r="G335" s="26">
        <f ca="1">'Impacts A'!G335-'Impacts B'!G335</f>
        <v>-31.085360729404783</v>
      </c>
      <c r="H335" s="26">
        <f ca="1">'Impacts A'!H335-'Impacts B'!H335</f>
        <v>357.65097645489732</v>
      </c>
      <c r="I335" s="26">
        <f ca="1">'Impacts A'!I335-'Impacts B'!I335</f>
        <v>1528.5755064269033</v>
      </c>
      <c r="J335" s="26">
        <f ca="1">'Impacts A'!J335-'Impacts B'!J335</f>
        <v>4683.4056640832714</v>
      </c>
      <c r="K335" s="26">
        <f ca="1">'Impacts A'!K335-'Impacts B'!K335</f>
        <v>9056.3134024702449</v>
      </c>
      <c r="L335" s="26">
        <f ca="1">'Impacts A'!L335-'Impacts B'!L335</f>
        <v>15279.867350646513</v>
      </c>
      <c r="M335" s="6"/>
      <c r="N335" s="1" t="str">
        <f t="shared" si="9"/>
        <v>$M(2015)/million</v>
      </c>
      <c r="O335" s="1"/>
    </row>
    <row r="336" spans="1:15" s="2" customFormat="1" ht="14.25" x14ac:dyDescent="0.25">
      <c r="A336" s="2" t="s">
        <v>228</v>
      </c>
      <c r="C336" s="2" t="s">
        <v>241</v>
      </c>
    </row>
    <row r="337" spans="1:15" x14ac:dyDescent="0.2">
      <c r="A337" t="str">
        <f t="array" ref="A337:A344">R_CODE&amp;" "&amp;I_2_NAME</f>
        <v>EU Non-econ</v>
      </c>
      <c r="C337" s="29">
        <f ca="1">'Impacts A'!C337-'Impacts B'!C337</f>
        <v>0.77701145007449668</v>
      </c>
      <c r="D337" s="29">
        <f ca="1">'Impacts A'!D337-'Impacts B'!D337</f>
        <v>-5.2735099681012798</v>
      </c>
      <c r="E337" s="29">
        <f ca="1">'Impacts A'!E337-'Impacts B'!E337</f>
        <v>11.775488659921393</v>
      </c>
      <c r="F337" s="29">
        <f ca="1">'Impacts A'!F337-'Impacts B'!F337</f>
        <v>-7.9398059503291734</v>
      </c>
      <c r="G337" s="29">
        <f ca="1">'Impacts A'!G337-'Impacts B'!G337</f>
        <v>45.411219145767973</v>
      </c>
      <c r="H337" s="29">
        <f ca="1">'Impacts A'!H337-'Impacts B'!H337</f>
        <v>333.37984419010172</v>
      </c>
      <c r="I337" s="29">
        <f ca="1">'Impacts A'!I337-'Impacts B'!I337</f>
        <v>1267.8022140350513</v>
      </c>
      <c r="J337" s="29">
        <f ca="1">'Impacts A'!J337-'Impacts B'!J337</f>
        <v>3352.4516268111038</v>
      </c>
      <c r="K337" s="29">
        <f ca="1">'Impacts A'!K337-'Impacts B'!K337</f>
        <v>7273.624489074864</v>
      </c>
      <c r="L337" s="29">
        <f ca="1">'Impacts A'!L337-'Impacts B'!L337</f>
        <v>12408.051991542976</v>
      </c>
      <c r="M337" s="6"/>
      <c r="N337" s="1" t="str">
        <f t="shared" ref="N337:N344" si="10">CURRENCY_NAME&amp;"/"&amp;POP_UNIT_NAME</f>
        <v>$M(2015)/million</v>
      </c>
      <c r="O337" s="1"/>
    </row>
    <row r="338" spans="1:15" x14ac:dyDescent="0.2">
      <c r="A338" t="str">
        <v>US Non-econ</v>
      </c>
      <c r="C338" s="26">
        <f ca="1">'Impacts A'!C338-'Impacts B'!C338</f>
        <v>32.531882541479717</v>
      </c>
      <c r="D338" s="26">
        <f ca="1">'Impacts A'!D338-'Impacts B'!D338</f>
        <v>10.707013144361554</v>
      </c>
      <c r="E338" s="26">
        <f ca="1">'Impacts A'!E338-'Impacts B'!E338</f>
        <v>96.512731298542349</v>
      </c>
      <c r="F338" s="26">
        <f ca="1">'Impacts A'!F338-'Impacts B'!F338</f>
        <v>170.02322712914611</v>
      </c>
      <c r="G338" s="26">
        <f ca="1">'Impacts A'!G338-'Impacts B'!G338</f>
        <v>-94.22913078313286</v>
      </c>
      <c r="H338" s="26">
        <f ca="1">'Impacts A'!H338-'Impacts B'!H338</f>
        <v>81.673356153158238</v>
      </c>
      <c r="I338" s="26">
        <f ca="1">'Impacts A'!I338-'Impacts B'!I338</f>
        <v>1973.6309512232547</v>
      </c>
      <c r="J338" s="26">
        <f ca="1">'Impacts A'!J338-'Impacts B'!J338</f>
        <v>6377.0917646870221</v>
      </c>
      <c r="K338" s="26">
        <f ca="1">'Impacts A'!K338-'Impacts B'!K338</f>
        <v>12578.932723328617</v>
      </c>
      <c r="L338" s="26">
        <f ca="1">'Impacts A'!L338-'Impacts B'!L338</f>
        <v>20466.337886449444</v>
      </c>
      <c r="M338" s="6"/>
      <c r="N338" s="1" t="str">
        <f t="shared" si="10"/>
        <v>$M(2015)/million</v>
      </c>
      <c r="O338" s="1"/>
    </row>
    <row r="339" spans="1:15" x14ac:dyDescent="0.2">
      <c r="A339" t="str">
        <v>OT Non-econ</v>
      </c>
      <c r="C339" s="26">
        <f ca="1">'Impacts A'!C339-'Impacts B'!C339</f>
        <v>-3.5716231635160511</v>
      </c>
      <c r="D339" s="26">
        <f ca="1">'Impacts A'!D339-'Impacts B'!D339</f>
        <v>-20.718568121657881</v>
      </c>
      <c r="E339" s="26">
        <f ca="1">'Impacts A'!E339-'Impacts B'!E339</f>
        <v>2.2946224599945708</v>
      </c>
      <c r="F339" s="26">
        <f ca="1">'Impacts A'!F339-'Impacts B'!F339</f>
        <v>75.929406918454333</v>
      </c>
      <c r="G339" s="26">
        <f ca="1">'Impacts A'!G339-'Impacts B'!G339</f>
        <v>37.775113355048234</v>
      </c>
      <c r="H339" s="26">
        <f ca="1">'Impacts A'!H339-'Impacts B'!H339</f>
        <v>356.6657164508797</v>
      </c>
      <c r="I339" s="26">
        <f ca="1">'Impacts A'!I339-'Impacts B'!I339</f>
        <v>1508.942476805867</v>
      </c>
      <c r="J339" s="26">
        <f ca="1">'Impacts A'!J339-'Impacts B'!J339</f>
        <v>5686.3791729208169</v>
      </c>
      <c r="K339" s="26">
        <f ca="1">'Impacts A'!K339-'Impacts B'!K339</f>
        <v>11936.581805343711</v>
      </c>
      <c r="L339" s="26">
        <f ca="1">'Impacts A'!L339-'Impacts B'!L339</f>
        <v>20287.068996227987</v>
      </c>
      <c r="M339" s="6"/>
      <c r="N339" s="1" t="str">
        <f t="shared" si="10"/>
        <v>$M(2015)/million</v>
      </c>
      <c r="O339" s="1"/>
    </row>
    <row r="340" spans="1:15" x14ac:dyDescent="0.2">
      <c r="A340" t="str">
        <v>EE Non-econ</v>
      </c>
      <c r="C340" s="26">
        <f ca="1">'Impacts A'!C340-'Impacts B'!C340</f>
        <v>12.294754938047845</v>
      </c>
      <c r="D340" s="26">
        <f ca="1">'Impacts A'!D340-'Impacts B'!D340</f>
        <v>6.8210384869053087</v>
      </c>
      <c r="E340" s="26">
        <f ca="1">'Impacts A'!E340-'Impacts B'!E340</f>
        <v>-3.8406163339350314</v>
      </c>
      <c r="F340" s="26">
        <f ca="1">'Impacts A'!F340-'Impacts B'!F340</f>
        <v>-1.0126060005495674</v>
      </c>
      <c r="G340" s="26">
        <f ca="1">'Impacts A'!G340-'Impacts B'!G340</f>
        <v>-136.21730287659739</v>
      </c>
      <c r="H340" s="26">
        <f ca="1">'Impacts A'!H340-'Impacts B'!H340</f>
        <v>-848.11667076165031</v>
      </c>
      <c r="I340" s="26">
        <f ca="1">'Impacts A'!I340-'Impacts B'!I340</f>
        <v>62.025216745125363</v>
      </c>
      <c r="J340" s="26">
        <f ca="1">'Impacts A'!J340-'Impacts B'!J340</f>
        <v>2644.5871439080511</v>
      </c>
      <c r="K340" s="26">
        <f ca="1">'Impacts A'!K340-'Impacts B'!K340</f>
        <v>7956.2577274297655</v>
      </c>
      <c r="L340" s="26">
        <f ca="1">'Impacts A'!L340-'Impacts B'!L340</f>
        <v>14686.404204357183</v>
      </c>
      <c r="M340" s="6"/>
      <c r="N340" s="1" t="str">
        <f t="shared" si="10"/>
        <v>$M(2015)/million</v>
      </c>
      <c r="O340" s="1"/>
    </row>
    <row r="341" spans="1:15" x14ac:dyDescent="0.2">
      <c r="A341" t="str">
        <v>CA Non-econ</v>
      </c>
      <c r="C341" s="26">
        <f ca="1">'Impacts A'!C341-'Impacts B'!C341</f>
        <v>-10.624737520516646</v>
      </c>
      <c r="D341" s="26">
        <f ca="1">'Impacts A'!D341-'Impacts B'!D341</f>
        <v>1.56604668986256</v>
      </c>
      <c r="E341" s="26">
        <f ca="1">'Impacts A'!E341-'Impacts B'!E341</f>
        <v>50.486495628283592</v>
      </c>
      <c r="F341" s="26">
        <f ca="1">'Impacts A'!F341-'Impacts B'!F341</f>
        <v>109.59560000069177</v>
      </c>
      <c r="G341" s="26">
        <f ca="1">'Impacts A'!G341-'Impacts B'!G341</f>
        <v>-78.891916597232921</v>
      </c>
      <c r="H341" s="26">
        <f ca="1">'Impacts A'!H341-'Impacts B'!H341</f>
        <v>642.16197256538726</v>
      </c>
      <c r="I341" s="26">
        <f ca="1">'Impacts A'!I341-'Impacts B'!I341</f>
        <v>2953.9855711497949</v>
      </c>
      <c r="J341" s="26">
        <f ca="1">'Impacts A'!J341-'Impacts B'!J341</f>
        <v>6635.8009887403168</v>
      </c>
      <c r="K341" s="26">
        <f ca="1">'Impacts A'!K341-'Impacts B'!K341</f>
        <v>12847.669011319551</v>
      </c>
      <c r="L341" s="26">
        <f ca="1">'Impacts A'!L341-'Impacts B'!L341</f>
        <v>20585.642006119713</v>
      </c>
      <c r="M341" s="6"/>
      <c r="N341" s="1" t="str">
        <f t="shared" si="10"/>
        <v>$M(2015)/million</v>
      </c>
      <c r="O341" s="1"/>
    </row>
    <row r="342" spans="1:15" x14ac:dyDescent="0.2">
      <c r="A342" t="str">
        <v>IA Non-econ</v>
      </c>
      <c r="C342" s="26">
        <f ca="1">'Impacts A'!C342-'Impacts B'!C342</f>
        <v>16.866435918806019</v>
      </c>
      <c r="D342" s="26">
        <f ca="1">'Impacts A'!D342-'Impacts B'!D342</f>
        <v>14.603322574954291</v>
      </c>
      <c r="E342" s="26">
        <f ca="1">'Impacts A'!E342-'Impacts B'!E342</f>
        <v>15.902174238341104</v>
      </c>
      <c r="F342" s="26">
        <f ca="1">'Impacts A'!F342-'Impacts B'!F342</f>
        <v>76.125518669508892</v>
      </c>
      <c r="G342" s="26">
        <f ca="1">'Impacts A'!G342-'Impacts B'!G342</f>
        <v>-123.33488765233051</v>
      </c>
      <c r="H342" s="26">
        <f ca="1">'Impacts A'!H342-'Impacts B'!H342</f>
        <v>497.41091463249904</v>
      </c>
      <c r="I342" s="26">
        <f ca="1">'Impacts A'!I342-'Impacts B'!I342</f>
        <v>2186.3254993982409</v>
      </c>
      <c r="J342" s="26">
        <f ca="1">'Impacts A'!J342-'Impacts B'!J342</f>
        <v>5727.4766408629512</v>
      </c>
      <c r="K342" s="26">
        <f ca="1">'Impacts A'!K342-'Impacts B'!K342</f>
        <v>11196.397224494343</v>
      </c>
      <c r="L342" s="26">
        <f ca="1">'Impacts A'!L342-'Impacts B'!L342</f>
        <v>19080.138648664812</v>
      </c>
      <c r="M342" s="6"/>
      <c r="N342" s="1" t="str">
        <f t="shared" si="10"/>
        <v>$M(2015)/million</v>
      </c>
      <c r="O342" s="1"/>
    </row>
    <row r="343" spans="1:15" x14ac:dyDescent="0.2">
      <c r="A343" t="str">
        <v>AF Non-econ</v>
      </c>
      <c r="C343" s="26">
        <f ca="1">'Impacts A'!C343-'Impacts B'!C343</f>
        <v>7.3154278864467415</v>
      </c>
      <c r="D343" s="26">
        <f ca="1">'Impacts A'!D343-'Impacts B'!D343</f>
        <v>14.41518125735729</v>
      </c>
      <c r="E343" s="26">
        <f ca="1">'Impacts A'!E343-'Impacts B'!E343</f>
        <v>1.1011087370225141</v>
      </c>
      <c r="F343" s="26">
        <f ca="1">'Impacts A'!F343-'Impacts B'!F343</f>
        <v>53.774433927896098</v>
      </c>
      <c r="G343" s="26">
        <f ca="1">'Impacts A'!G343-'Impacts B'!G343</f>
        <v>-144.81366758069271</v>
      </c>
      <c r="H343" s="26">
        <f ca="1">'Impacts A'!H343-'Impacts B'!H343</f>
        <v>-479.94605412511009</v>
      </c>
      <c r="I343" s="26">
        <f ca="1">'Impacts A'!I343-'Impacts B'!I343</f>
        <v>545.23298855443136</v>
      </c>
      <c r="J343" s="26">
        <f ca="1">'Impacts A'!J343-'Impacts B'!J343</f>
        <v>3391.612722574806</v>
      </c>
      <c r="K343" s="26">
        <f ca="1">'Impacts A'!K343-'Impacts B'!K343</f>
        <v>8203.0626784437191</v>
      </c>
      <c r="L343" s="26">
        <f ca="1">'Impacts A'!L343-'Impacts B'!L343</f>
        <v>15611.800835337388</v>
      </c>
      <c r="M343" s="6"/>
      <c r="N343" s="1" t="str">
        <f t="shared" si="10"/>
        <v>$M(2015)/million</v>
      </c>
      <c r="O343" s="1"/>
    </row>
    <row r="344" spans="1:15" x14ac:dyDescent="0.2">
      <c r="A344" t="str">
        <v>LA Non-econ</v>
      </c>
      <c r="C344" s="26">
        <f ca="1">'Impacts A'!C344-'Impacts B'!C344</f>
        <v>58.902029355800551</v>
      </c>
      <c r="D344" s="26">
        <f ca="1">'Impacts A'!D344-'Impacts B'!D344</f>
        <v>22.162453770451975</v>
      </c>
      <c r="E344" s="26">
        <f ca="1">'Impacts A'!E344-'Impacts B'!E344</f>
        <v>8.2389900087764545</v>
      </c>
      <c r="F344" s="26">
        <f ca="1">'Impacts A'!F344-'Impacts B'!F344</f>
        <v>125.09606677568809</v>
      </c>
      <c r="G344" s="26">
        <f ca="1">'Impacts A'!G344-'Impacts B'!G344</f>
        <v>-36.571012622829585</v>
      </c>
      <c r="H344" s="26">
        <f ca="1">'Impacts A'!H344-'Impacts B'!H344</f>
        <v>420.76585465282551</v>
      </c>
      <c r="I344" s="26">
        <f ca="1">'Impacts A'!I344-'Impacts B'!I344</f>
        <v>1798.3241252081207</v>
      </c>
      <c r="J344" s="26">
        <f ca="1">'Impacts A'!J344-'Impacts B'!J344</f>
        <v>5509.8890165685589</v>
      </c>
      <c r="K344" s="26">
        <f ca="1">'Impacts A'!K344-'Impacts B'!K344</f>
        <v>10654.486355847344</v>
      </c>
      <c r="L344" s="26">
        <f ca="1">'Impacts A'!L344-'Impacts B'!L344</f>
        <v>17976.314530172385</v>
      </c>
      <c r="M344" s="6"/>
      <c r="N344" s="1" t="str">
        <f t="shared" si="10"/>
        <v>$M(2015)/million</v>
      </c>
      <c r="O344" s="1"/>
    </row>
    <row r="345" spans="1:15" s="2" customFormat="1" ht="14.25" x14ac:dyDescent="0.25">
      <c r="A345" s="2" t="s">
        <v>243</v>
      </c>
      <c r="C345" s="2" t="s">
        <v>244</v>
      </c>
    </row>
    <row r="346" spans="1:15" x14ac:dyDescent="0.2">
      <c r="A346" t="str">
        <f t="array" ref="A346:A353">R_CODE&amp;" discontinuity"</f>
        <v>EU discontinuity</v>
      </c>
      <c r="C346" s="29">
        <f ca="1">'Impacts A'!C346-'Impacts B'!C346</f>
        <v>0</v>
      </c>
      <c r="D346" s="29">
        <f ca="1">'Impacts A'!D346-'Impacts B'!D346</f>
        <v>0</v>
      </c>
      <c r="E346" s="29">
        <f ca="1">'Impacts A'!E346-'Impacts B'!E346</f>
        <v>0</v>
      </c>
      <c r="F346" s="29">
        <f ca="1">'Impacts A'!F346-'Impacts B'!F346</f>
        <v>0</v>
      </c>
      <c r="G346" s="29">
        <f ca="1">'Impacts A'!G346-'Impacts B'!G346</f>
        <v>0</v>
      </c>
      <c r="H346" s="29">
        <f ca="1">'Impacts A'!H346-'Impacts B'!H346</f>
        <v>0</v>
      </c>
      <c r="I346" s="29">
        <f ca="1">'Impacts A'!I346-'Impacts B'!I346</f>
        <v>0</v>
      </c>
      <c r="J346" s="29">
        <f ca="1">'Impacts A'!J346-'Impacts B'!J346</f>
        <v>0</v>
      </c>
      <c r="K346" s="29">
        <f ca="1">'Impacts A'!K346-'Impacts B'!K346</f>
        <v>0</v>
      </c>
      <c r="L346" s="29">
        <f ca="1">'Impacts A'!L346-'Impacts B'!L346</f>
        <v>0</v>
      </c>
      <c r="M346" s="6"/>
      <c r="N346" s="59" t="s">
        <v>132</v>
      </c>
    </row>
    <row r="347" spans="1:15" x14ac:dyDescent="0.2">
      <c r="A347" t="str">
        <v>US discontinuity</v>
      </c>
      <c r="C347" s="26">
        <f ca="1">'Impacts A'!C347-'Impacts B'!C347</f>
        <v>0</v>
      </c>
      <c r="D347" s="26">
        <f ca="1">'Impacts A'!D347-'Impacts B'!D347</f>
        <v>0</v>
      </c>
      <c r="E347" s="26">
        <f ca="1">'Impacts A'!E347-'Impacts B'!E347</f>
        <v>0</v>
      </c>
      <c r="F347" s="26">
        <f ca="1">'Impacts A'!F347-'Impacts B'!F347</f>
        <v>0</v>
      </c>
      <c r="G347" s="26">
        <f ca="1">'Impacts A'!G347-'Impacts B'!G347</f>
        <v>0</v>
      </c>
      <c r="H347" s="26">
        <f ca="1">'Impacts A'!H347-'Impacts B'!H347</f>
        <v>0</v>
      </c>
      <c r="I347" s="26">
        <f ca="1">'Impacts A'!I347-'Impacts B'!I347</f>
        <v>0</v>
      </c>
      <c r="J347" s="26">
        <f ca="1">'Impacts A'!J347-'Impacts B'!J347</f>
        <v>0</v>
      </c>
      <c r="K347" s="26">
        <f ca="1">'Impacts A'!K347-'Impacts B'!K347</f>
        <v>0</v>
      </c>
      <c r="L347" s="26">
        <f ca="1">'Impacts A'!L347-'Impacts B'!L347</f>
        <v>0</v>
      </c>
      <c r="M347" s="6"/>
      <c r="N347" s="59" t="s">
        <v>132</v>
      </c>
    </row>
    <row r="348" spans="1:15" x14ac:dyDescent="0.2">
      <c r="A348" t="str">
        <v>OT discontinuity</v>
      </c>
      <c r="C348" s="26">
        <f ca="1">'Impacts A'!C348-'Impacts B'!C348</f>
        <v>0</v>
      </c>
      <c r="D348" s="26">
        <f ca="1">'Impacts A'!D348-'Impacts B'!D348</f>
        <v>0</v>
      </c>
      <c r="E348" s="26">
        <f ca="1">'Impacts A'!E348-'Impacts B'!E348</f>
        <v>0</v>
      </c>
      <c r="F348" s="26">
        <f ca="1">'Impacts A'!F348-'Impacts B'!F348</f>
        <v>0</v>
      </c>
      <c r="G348" s="26">
        <f ca="1">'Impacts A'!G348-'Impacts B'!G348</f>
        <v>0</v>
      </c>
      <c r="H348" s="26">
        <f ca="1">'Impacts A'!H348-'Impacts B'!H348</f>
        <v>0</v>
      </c>
      <c r="I348" s="26">
        <f ca="1">'Impacts A'!I348-'Impacts B'!I348</f>
        <v>0</v>
      </c>
      <c r="J348" s="26">
        <f ca="1">'Impacts A'!J348-'Impacts B'!J348</f>
        <v>0</v>
      </c>
      <c r="K348" s="26">
        <f ca="1">'Impacts A'!K348-'Impacts B'!K348</f>
        <v>0</v>
      </c>
      <c r="L348" s="26">
        <f ca="1">'Impacts A'!L348-'Impacts B'!L348</f>
        <v>0</v>
      </c>
      <c r="M348" s="6"/>
      <c r="N348" s="59" t="s">
        <v>132</v>
      </c>
    </row>
    <row r="349" spans="1:15" x14ac:dyDescent="0.2">
      <c r="A349" t="str">
        <v>EE discontinuity</v>
      </c>
      <c r="C349" s="26">
        <f ca="1">'Impacts A'!C349-'Impacts B'!C349</f>
        <v>0</v>
      </c>
      <c r="D349" s="26">
        <f ca="1">'Impacts A'!D349-'Impacts B'!D349</f>
        <v>0</v>
      </c>
      <c r="E349" s="26">
        <f ca="1">'Impacts A'!E349-'Impacts B'!E349</f>
        <v>0</v>
      </c>
      <c r="F349" s="26">
        <f ca="1">'Impacts A'!F349-'Impacts B'!F349</f>
        <v>0</v>
      </c>
      <c r="G349" s="26">
        <f ca="1">'Impacts A'!G349-'Impacts B'!G349</f>
        <v>0</v>
      </c>
      <c r="H349" s="26">
        <f ca="1">'Impacts A'!H349-'Impacts B'!H349</f>
        <v>0</v>
      </c>
      <c r="I349" s="26">
        <f ca="1">'Impacts A'!I349-'Impacts B'!I349</f>
        <v>0</v>
      </c>
      <c r="J349" s="26">
        <f ca="1">'Impacts A'!J349-'Impacts B'!J349</f>
        <v>0</v>
      </c>
      <c r="K349" s="26">
        <f ca="1">'Impacts A'!K349-'Impacts B'!K349</f>
        <v>0</v>
      </c>
      <c r="L349" s="26">
        <f ca="1">'Impacts A'!L349-'Impacts B'!L349</f>
        <v>0</v>
      </c>
      <c r="M349" s="6"/>
      <c r="N349" s="59" t="s">
        <v>132</v>
      </c>
    </row>
    <row r="350" spans="1:15" x14ac:dyDescent="0.2">
      <c r="A350" t="str">
        <v>CA discontinuity</v>
      </c>
      <c r="C350" s="26">
        <f ca="1">'Impacts A'!C350-'Impacts B'!C350</f>
        <v>0</v>
      </c>
      <c r="D350" s="26">
        <f ca="1">'Impacts A'!D350-'Impacts B'!D350</f>
        <v>0</v>
      </c>
      <c r="E350" s="26">
        <f ca="1">'Impacts A'!E350-'Impacts B'!E350</f>
        <v>0</v>
      </c>
      <c r="F350" s="26">
        <f ca="1">'Impacts A'!F350-'Impacts B'!F350</f>
        <v>0</v>
      </c>
      <c r="G350" s="26">
        <f ca="1">'Impacts A'!G350-'Impacts B'!G350</f>
        <v>0</v>
      </c>
      <c r="H350" s="26">
        <f ca="1">'Impacts A'!H350-'Impacts B'!H350</f>
        <v>0</v>
      </c>
      <c r="I350" s="26">
        <f ca="1">'Impacts A'!I350-'Impacts B'!I350</f>
        <v>0</v>
      </c>
      <c r="J350" s="26">
        <f ca="1">'Impacts A'!J350-'Impacts B'!J350</f>
        <v>0</v>
      </c>
      <c r="K350" s="26">
        <f ca="1">'Impacts A'!K350-'Impacts B'!K350</f>
        <v>0</v>
      </c>
      <c r="L350" s="26">
        <f ca="1">'Impacts A'!L350-'Impacts B'!L350</f>
        <v>0</v>
      </c>
      <c r="M350" s="6"/>
      <c r="N350" s="59" t="s">
        <v>132</v>
      </c>
    </row>
    <row r="351" spans="1:15" x14ac:dyDescent="0.2">
      <c r="A351" t="str">
        <v>IA discontinuity</v>
      </c>
      <c r="C351" s="26">
        <f ca="1">'Impacts A'!C351-'Impacts B'!C351</f>
        <v>0</v>
      </c>
      <c r="D351" s="26">
        <f ca="1">'Impacts A'!D351-'Impacts B'!D351</f>
        <v>0</v>
      </c>
      <c r="E351" s="26">
        <f ca="1">'Impacts A'!E351-'Impacts B'!E351</f>
        <v>0</v>
      </c>
      <c r="F351" s="26">
        <f ca="1">'Impacts A'!F351-'Impacts B'!F351</f>
        <v>0</v>
      </c>
      <c r="G351" s="26">
        <f ca="1">'Impacts A'!G351-'Impacts B'!G351</f>
        <v>0</v>
      </c>
      <c r="H351" s="26">
        <f ca="1">'Impacts A'!H351-'Impacts B'!H351</f>
        <v>0</v>
      </c>
      <c r="I351" s="26">
        <f ca="1">'Impacts A'!I351-'Impacts B'!I351</f>
        <v>0</v>
      </c>
      <c r="J351" s="26">
        <f ca="1">'Impacts A'!J351-'Impacts B'!J351</f>
        <v>0</v>
      </c>
      <c r="K351" s="26">
        <f ca="1">'Impacts A'!K351-'Impacts B'!K351</f>
        <v>0</v>
      </c>
      <c r="L351" s="26">
        <f ca="1">'Impacts A'!L351-'Impacts B'!L351</f>
        <v>0</v>
      </c>
      <c r="M351" s="6"/>
      <c r="N351" s="59" t="s">
        <v>132</v>
      </c>
    </row>
    <row r="352" spans="1:15" x14ac:dyDescent="0.2">
      <c r="A352" t="str">
        <v>AF discontinuity</v>
      </c>
      <c r="C352" s="26">
        <f ca="1">'Impacts A'!C352-'Impacts B'!C352</f>
        <v>0</v>
      </c>
      <c r="D352" s="26">
        <f ca="1">'Impacts A'!D352-'Impacts B'!D352</f>
        <v>0</v>
      </c>
      <c r="E352" s="26">
        <f ca="1">'Impacts A'!E352-'Impacts B'!E352</f>
        <v>0</v>
      </c>
      <c r="F352" s="26">
        <f ca="1">'Impacts A'!F352-'Impacts B'!F352</f>
        <v>0</v>
      </c>
      <c r="G352" s="26">
        <f ca="1">'Impacts A'!G352-'Impacts B'!G352</f>
        <v>0</v>
      </c>
      <c r="H352" s="26">
        <f ca="1">'Impacts A'!H352-'Impacts B'!H352</f>
        <v>0</v>
      </c>
      <c r="I352" s="26">
        <f ca="1">'Impacts A'!I352-'Impacts B'!I352</f>
        <v>0</v>
      </c>
      <c r="J352" s="26">
        <f ca="1">'Impacts A'!J352-'Impacts B'!J352</f>
        <v>0</v>
      </c>
      <c r="K352" s="26">
        <f ca="1">'Impacts A'!K352-'Impacts B'!K352</f>
        <v>0</v>
      </c>
      <c r="L352" s="26">
        <f ca="1">'Impacts A'!L352-'Impacts B'!L352</f>
        <v>0</v>
      </c>
      <c r="M352" s="6"/>
      <c r="N352" s="59" t="s">
        <v>132</v>
      </c>
    </row>
    <row r="353" spans="1:14" x14ac:dyDescent="0.2">
      <c r="A353" t="str">
        <v>LA discontinuity</v>
      </c>
      <c r="C353" s="26">
        <f ca="1">'Impacts A'!C353-'Impacts B'!C353</f>
        <v>0</v>
      </c>
      <c r="D353" s="26">
        <f ca="1">'Impacts A'!D353-'Impacts B'!D353</f>
        <v>0</v>
      </c>
      <c r="E353" s="26">
        <f ca="1">'Impacts A'!E353-'Impacts B'!E353</f>
        <v>0</v>
      </c>
      <c r="F353" s="26">
        <f ca="1">'Impacts A'!F353-'Impacts B'!F353</f>
        <v>0</v>
      </c>
      <c r="G353" s="26">
        <f ca="1">'Impacts A'!G353-'Impacts B'!G353</f>
        <v>0</v>
      </c>
      <c r="H353" s="26">
        <f ca="1">'Impacts A'!H353-'Impacts B'!H353</f>
        <v>0</v>
      </c>
      <c r="I353" s="26">
        <f ca="1">'Impacts A'!I353-'Impacts B'!I353</f>
        <v>0</v>
      </c>
      <c r="J353" s="26">
        <f ca="1">'Impacts A'!J353-'Impacts B'!J353</f>
        <v>0</v>
      </c>
      <c r="K353" s="26">
        <f ca="1">'Impacts A'!K353-'Impacts B'!K353</f>
        <v>0</v>
      </c>
      <c r="L353" s="26">
        <f ca="1">'Impacts A'!L353-'Impacts B'!L353</f>
        <v>0</v>
      </c>
      <c r="M353" s="6"/>
      <c r="N353" s="59" t="s">
        <v>132</v>
      </c>
    </row>
    <row r="354" spans="1:14" s="2" customFormat="1" ht="14.25" x14ac:dyDescent="0.25">
      <c r="A354" s="2" t="s">
        <v>245</v>
      </c>
      <c r="C354" s="2" t="s">
        <v>246</v>
      </c>
    </row>
    <row r="355" spans="1:14" x14ac:dyDescent="0.2">
      <c r="A355" t="str">
        <f t="array" ref="A355:A362">R_CODE&amp;" discontinuity"</f>
        <v>EU discontinuity</v>
      </c>
      <c r="C355" s="29">
        <f ca="1">'Impacts A'!C355-'Impacts B'!C355</f>
        <v>-7.7262096955799109E-6</v>
      </c>
      <c r="D355" s="29">
        <f ca="1">'Impacts A'!D355-'Impacts B'!D355</f>
        <v>4.6204139231953434E-5</v>
      </c>
      <c r="E355" s="29">
        <f ca="1">'Impacts A'!E355-'Impacts B'!E355</f>
        <v>-9.0798679911685554E-5</v>
      </c>
      <c r="F355" s="29">
        <f ca="1">'Impacts A'!F355-'Impacts B'!F355</f>
        <v>4.7879475728151988E-5</v>
      </c>
      <c r="G355" s="29">
        <f ca="1">'Impacts A'!G355-'Impacts B'!G355</f>
        <v>-2.2146039894765934E-4</v>
      </c>
      <c r="H355" s="29">
        <f ca="1">'Impacts A'!H355-'Impacts B'!H355</f>
        <v>-1.3381175337410234E-3</v>
      </c>
      <c r="I355" s="29">
        <f ca="1">'Impacts A'!I355-'Impacts B'!I355</f>
        <v>-4.1625936026532528E-3</v>
      </c>
      <c r="J355" s="29">
        <f ca="1">'Impacts A'!J355-'Impacts B'!J355</f>
        <v>-9.0653548721881805E-3</v>
      </c>
      <c r="K355" s="29">
        <f ca="1">'Impacts A'!K355-'Impacts B'!K355</f>
        <v>-1.62759770398897E-2</v>
      </c>
      <c r="L355" s="29">
        <f ca="1">'Impacts A'!L355-'Impacts B'!L355</f>
        <v>-2.2882158223472615E-2</v>
      </c>
      <c r="M355" s="6"/>
      <c r="N355" s="59" t="s">
        <v>132</v>
      </c>
    </row>
    <row r="356" spans="1:14" x14ac:dyDescent="0.2">
      <c r="A356" t="str">
        <v>US discontinuity</v>
      </c>
      <c r="C356" s="26">
        <f ca="1">'Impacts A'!C356-'Impacts B'!C356</f>
        <v>-1.7444754508666449E-4</v>
      </c>
      <c r="D356" s="26">
        <f ca="1">'Impacts A'!D356-'Impacts B'!D356</f>
        <v>-5.2425806893019455E-5</v>
      </c>
      <c r="E356" s="26">
        <f ca="1">'Impacts A'!E356-'Impacts B'!E356</f>
        <v>-4.3170839933104332E-4</v>
      </c>
      <c r="F356" s="26">
        <f ca="1">'Impacts A'!F356-'Impacts B'!F356</f>
        <v>-6.3605519065568217E-4</v>
      </c>
      <c r="G356" s="26">
        <f ca="1">'Impacts A'!G356-'Impacts B'!G356</f>
        <v>3.0143209808297655E-4</v>
      </c>
      <c r="H356" s="26">
        <f ca="1">'Impacts A'!H356-'Impacts B'!H356</f>
        <v>-2.2748756259627356E-4</v>
      </c>
      <c r="I356" s="26">
        <f ca="1">'Impacts A'!I356-'Impacts B'!I356</f>
        <v>-4.7281211022558445E-3</v>
      </c>
      <c r="J356" s="26">
        <f ca="1">'Impacts A'!J356-'Impacts B'!J356</f>
        <v>-1.3033175966544519E-2</v>
      </c>
      <c r="K356" s="26">
        <f ca="1">'Impacts A'!K356-'Impacts B'!K356</f>
        <v>-2.1851523933467787E-2</v>
      </c>
      <c r="L356" s="26">
        <f ca="1">'Impacts A'!L356-'Impacts B'!L356</f>
        <v>-3.0116860582364291E-2</v>
      </c>
      <c r="M356" s="6"/>
      <c r="N356" s="59" t="s">
        <v>132</v>
      </c>
    </row>
    <row r="357" spans="1:14" x14ac:dyDescent="0.2">
      <c r="A357" t="str">
        <v>OT discontinuity</v>
      </c>
      <c r="C357" s="26">
        <f ca="1">'Impacts A'!C357-'Impacts B'!C357</f>
        <v>3.1223030376725802E-5</v>
      </c>
      <c r="D357" s="26">
        <f ca="1">'Impacts A'!D357-'Impacts B'!D357</f>
        <v>1.609385821921272E-4</v>
      </c>
      <c r="E357" s="26">
        <f ca="1">'Impacts A'!E357-'Impacts B'!E357</f>
        <v>-1.5727202416382369E-5</v>
      </c>
      <c r="F357" s="26">
        <f ca="1">'Impacts A'!F357-'Impacts B'!F357</f>
        <v>-4.0654221602487439E-4</v>
      </c>
      <c r="G357" s="26">
        <f ca="1">'Impacts A'!G357-'Impacts B'!G357</f>
        <v>-1.6203851565421701E-4</v>
      </c>
      <c r="H357" s="26">
        <f ca="1">'Impacts A'!H357-'Impacts B'!H357</f>
        <v>-1.247508291360333E-3</v>
      </c>
      <c r="I357" s="26">
        <f ca="1">'Impacts A'!I357-'Impacts B'!I357</f>
        <v>-4.3035079295346002E-3</v>
      </c>
      <c r="J357" s="26">
        <f ca="1">'Impacts A'!J357-'Impacts B'!J357</f>
        <v>-1.3257604420685798E-2</v>
      </c>
      <c r="K357" s="26">
        <f ca="1">'Impacts A'!K357-'Impacts B'!K357</f>
        <v>-2.296154627008451E-2</v>
      </c>
      <c r="L357" s="26">
        <f ca="1">'Impacts A'!L357-'Impacts B'!L357</f>
        <v>-3.2231815763682503E-2</v>
      </c>
      <c r="M357" s="6"/>
      <c r="N357" s="59" t="s">
        <v>132</v>
      </c>
    </row>
    <row r="358" spans="1:14" x14ac:dyDescent="0.2">
      <c r="A358" t="str">
        <v>EE discontinuity</v>
      </c>
      <c r="C358" s="26">
        <f ca="1">'Impacts A'!C358-'Impacts B'!C358</f>
        <v>-1.1518331913218383E-4</v>
      </c>
      <c r="D358" s="26">
        <f ca="1">'Impacts A'!D358-'Impacts B'!D358</f>
        <v>-5.0664481210160872E-5</v>
      </c>
      <c r="E358" s="26">
        <f ca="1">'Impacts A'!E358-'Impacts B'!E358</f>
        <v>2.2764495873239809E-5</v>
      </c>
      <c r="F358" s="26">
        <f ca="1">'Impacts A'!F358-'Impacts B'!F358</f>
        <v>4.1173847942221897E-6</v>
      </c>
      <c r="G358" s="26">
        <f ca="1">'Impacts A'!G358-'Impacts B'!G358</f>
        <v>4.2367810833643382E-4</v>
      </c>
      <c r="H358" s="26">
        <f ca="1">'Impacts A'!H358-'Impacts B'!H358</f>
        <v>2.0986520511574458E-3</v>
      </c>
      <c r="I358" s="26">
        <f ca="1">'Impacts A'!I358-'Impacts B'!I358</f>
        <v>-1.2068271591503255E-4</v>
      </c>
      <c r="J358" s="26">
        <f ca="1">'Impacts A'!J358-'Impacts B'!J358</f>
        <v>-4.1495685563810447E-3</v>
      </c>
      <c r="K358" s="26">
        <f ca="1">'Impacts A'!K358-'Impacts B'!K358</f>
        <v>-1.0070748877466063E-2</v>
      </c>
      <c r="L358" s="26">
        <f ca="1">'Impacts A'!L358-'Impacts B'!L358</f>
        <v>-1.4964620459485101E-2</v>
      </c>
      <c r="M358" s="6"/>
      <c r="N358" s="59" t="s">
        <v>132</v>
      </c>
    </row>
    <row r="359" spans="1:14" x14ac:dyDescent="0.2">
      <c r="A359" t="str">
        <v>CA discontinuity</v>
      </c>
      <c r="C359" s="26">
        <f ca="1">'Impacts A'!C359-'Impacts B'!C359</f>
        <v>1.9037750283334987E-4</v>
      </c>
      <c r="D359" s="26">
        <f ca="1">'Impacts A'!D359-'Impacts B'!D359</f>
        <v>-1.9680334154337231E-5</v>
      </c>
      <c r="E359" s="26">
        <f ca="1">'Impacts A'!E359-'Impacts B'!E359</f>
        <v>-4.7012600499263257E-4</v>
      </c>
      <c r="F359" s="26">
        <f ca="1">'Impacts A'!F359-'Impacts B'!F359</f>
        <v>-6.5816918199468333E-4</v>
      </c>
      <c r="G359" s="26">
        <f ca="1">'Impacts A'!G359-'Impacts B'!G359</f>
        <v>3.5163733623599924E-4</v>
      </c>
      <c r="H359" s="26">
        <f ca="1">'Impacts A'!H359-'Impacts B'!H359</f>
        <v>-2.2967541462368679E-3</v>
      </c>
      <c r="I359" s="26">
        <f ca="1">'Impacts A'!I359-'Impacts B'!I359</f>
        <v>-8.7232020684684386E-3</v>
      </c>
      <c r="J359" s="26">
        <f ca="1">'Impacts A'!J359-'Impacts B'!J359</f>
        <v>-1.647695885112066E-2</v>
      </c>
      <c r="K359" s="26">
        <f ca="1">'Impacts A'!K359-'Impacts B'!K359</f>
        <v>-2.6923207419863537E-2</v>
      </c>
      <c r="L359" s="26">
        <f ca="1">'Impacts A'!L359-'Impacts B'!L359</f>
        <v>-3.6335202383420473E-2</v>
      </c>
      <c r="M359" s="6"/>
      <c r="N359" s="59" t="s">
        <v>132</v>
      </c>
    </row>
    <row r="360" spans="1:14" x14ac:dyDescent="0.2">
      <c r="A360" t="str">
        <v>IA discontinuity</v>
      </c>
      <c r="C360" s="26">
        <f ca="1">'Impacts A'!C360-'Impacts B'!C360</f>
        <v>-8.3282140173723818E-4</v>
      </c>
      <c r="D360" s="26">
        <f ca="1">'Impacts A'!D360-'Impacts B'!D360</f>
        <v>-5.2671561450789994E-4</v>
      </c>
      <c r="E360" s="26">
        <f ca="1">'Impacts A'!E360-'Impacts B'!E360</f>
        <v>-4.2572355250047877E-4</v>
      </c>
      <c r="F360" s="26">
        <f ca="1">'Impacts A'!F360-'Impacts B'!F360</f>
        <v>-1.2199186367789494E-3</v>
      </c>
      <c r="G360" s="26">
        <f ca="1">'Impacts A'!G360-'Impacts B'!G360</f>
        <v>1.3082150202179399E-3</v>
      </c>
      <c r="H360" s="26">
        <f ca="1">'Impacts A'!H360-'Impacts B'!H360</f>
        <v>-3.7101892748778731E-3</v>
      </c>
      <c r="I360" s="26">
        <f ca="1">'Impacts A'!I360-'Impacts B'!I360</f>
        <v>-1.1989375755326215E-2</v>
      </c>
      <c r="J360" s="26">
        <f ca="1">'Impacts A'!J360-'Impacts B'!J360</f>
        <v>-2.3599578263939769E-2</v>
      </c>
      <c r="K360" s="26">
        <f ca="1">'Impacts A'!K360-'Impacts B'!K360</f>
        <v>-3.5188783006403934E-2</v>
      </c>
      <c r="L360" s="26">
        <f ca="1">'Impacts A'!L360-'Impacts B'!L360</f>
        <v>-4.6158883876940227E-2</v>
      </c>
      <c r="M360" s="6"/>
      <c r="N360" s="59" t="s">
        <v>132</v>
      </c>
    </row>
    <row r="361" spans="1:14" x14ac:dyDescent="0.2">
      <c r="A361" t="str">
        <v>AF discontinuity</v>
      </c>
      <c r="C361" s="26">
        <f ca="1">'Impacts A'!C361-'Impacts B'!C361</f>
        <v>-3.5626659839627095E-4</v>
      </c>
      <c r="D361" s="26">
        <f ca="1">'Impacts A'!D361-'Impacts B'!D361</f>
        <v>-5.7148650293914471E-4</v>
      </c>
      <c r="E361" s="26">
        <f ca="1">'Impacts A'!E361-'Impacts B'!E361</f>
        <v>-3.4621799669842801E-5</v>
      </c>
      <c r="F361" s="26">
        <f ca="1">'Impacts A'!F361-'Impacts B'!F361</f>
        <v>-1.0583576028739827E-3</v>
      </c>
      <c r="G361" s="26">
        <f ca="1">'Impacts A'!G361-'Impacts B'!G361</f>
        <v>1.8564687351769749E-3</v>
      </c>
      <c r="H361" s="26">
        <f ca="1">'Impacts A'!H361-'Impacts B'!H361</f>
        <v>4.1728409584462778E-3</v>
      </c>
      <c r="I361" s="26">
        <f ca="1">'Impacts A'!I361-'Impacts B'!I361</f>
        <v>-3.2569542321256861E-3</v>
      </c>
      <c r="J361" s="26">
        <f ca="1">'Impacts A'!J361-'Impacts B'!J361</f>
        <v>-1.4241140098403493E-2</v>
      </c>
      <c r="K361" s="26">
        <f ca="1">'Impacts A'!K361-'Impacts B'!K361</f>
        <v>-2.4611291398488389E-2</v>
      </c>
      <c r="L361" s="26">
        <f ca="1">'Impacts A'!L361-'Impacts B'!L361</f>
        <v>-3.3839291546227113E-2</v>
      </c>
      <c r="M361" s="6"/>
      <c r="N361" s="59" t="s">
        <v>132</v>
      </c>
    </row>
    <row r="362" spans="1:14" x14ac:dyDescent="0.2">
      <c r="A362" t="str">
        <v>LA discontinuity</v>
      </c>
      <c r="C362" s="26">
        <f ca="1">'Impacts A'!C362-'Impacts B'!C362</f>
        <v>-1.066166895932863E-3</v>
      </c>
      <c r="D362" s="26">
        <f ca="1">'Impacts A'!D362-'Impacts B'!D362</f>
        <v>-3.3437251837864501E-4</v>
      </c>
      <c r="E362" s="26">
        <f ca="1">'Impacts A'!E362-'Impacts B'!E362</f>
        <v>-1.0270433761117026E-4</v>
      </c>
      <c r="F362" s="26">
        <f ca="1">'Impacts A'!F362-'Impacts B'!F362</f>
        <v>-1.0528102218512192E-3</v>
      </c>
      <c r="G362" s="26">
        <f ca="1">'Impacts A'!G362-'Impacts B'!G362</f>
        <v>2.1444169626727572E-4</v>
      </c>
      <c r="H362" s="26">
        <f ca="1">'Impacts A'!H362-'Impacts B'!H362</f>
        <v>-1.8126633096762212E-3</v>
      </c>
      <c r="I362" s="26">
        <f ca="1">'Impacts A'!I362-'Impacts B'!I362</f>
        <v>-5.9247320434829831E-3</v>
      </c>
      <c r="J362" s="26">
        <f ca="1">'Impacts A'!J362-'Impacts B'!J362</f>
        <v>-1.4061754034500495E-2</v>
      </c>
      <c r="K362" s="26">
        <f ca="1">'Impacts A'!K362-'Impacts B'!K362</f>
        <v>-2.1211016383947401E-2</v>
      </c>
      <c r="L362" s="26">
        <f ca="1">'Impacts A'!L362-'Impacts B'!L362</f>
        <v>-2.8089682214779144E-2</v>
      </c>
      <c r="M362" s="6"/>
      <c r="N362" s="59" t="s">
        <v>132</v>
      </c>
    </row>
    <row r="363" spans="1:14" s="2" customFormat="1" ht="14.25" x14ac:dyDescent="0.25">
      <c r="A363" s="2" t="s">
        <v>219</v>
      </c>
      <c r="C363" s="2" t="s">
        <v>247</v>
      </c>
    </row>
    <row r="364" spans="1:14" x14ac:dyDescent="0.2">
      <c r="A364" t="str">
        <f t="array" ref="A364:A371">R_CODE&amp;" discontinuity"</f>
        <v>EU discontinuity</v>
      </c>
      <c r="C364" s="29">
        <f ca="1">'Impacts A'!C364-'Impacts B'!C364</f>
        <v>0</v>
      </c>
      <c r="D364" s="29">
        <f ca="1">'Impacts A'!D364-'Impacts B'!D364</f>
        <v>0</v>
      </c>
      <c r="E364" s="29">
        <f ca="1">'Impacts A'!E364-'Impacts B'!E364</f>
        <v>0</v>
      </c>
      <c r="F364" s="29">
        <f ca="1">'Impacts A'!F364-'Impacts B'!F364</f>
        <v>0</v>
      </c>
      <c r="G364" s="29">
        <f ca="1">'Impacts A'!G364-'Impacts B'!G364</f>
        <v>0</v>
      </c>
      <c r="H364" s="29">
        <f ca="1">'Impacts A'!H364-'Impacts B'!H364</f>
        <v>0</v>
      </c>
      <c r="I364" s="29">
        <f ca="1">'Impacts A'!I364-'Impacts B'!I364</f>
        <v>0</v>
      </c>
      <c r="J364" s="29">
        <f ca="1">'Impacts A'!J364-'Impacts B'!J364</f>
        <v>-1.0015221774170782</v>
      </c>
      <c r="K364" s="29">
        <f ca="1">'Impacts A'!K364-'Impacts B'!K364</f>
        <v>-1.5883839180386228</v>
      </c>
      <c r="L364" s="29">
        <f ca="1">'Impacts A'!L364-'Impacts B'!L364</f>
        <v>-1.9236528944564886</v>
      </c>
      <c r="M364" s="6"/>
      <c r="N364" s="59" t="s">
        <v>132</v>
      </c>
    </row>
    <row r="365" spans="1:14" x14ac:dyDescent="0.2">
      <c r="A365" t="str">
        <v>US discontinuity</v>
      </c>
      <c r="C365" s="26">
        <f ca="1">'Impacts A'!C365-'Impacts B'!C365</f>
        <v>0</v>
      </c>
      <c r="D365" s="26">
        <f ca="1">'Impacts A'!D365-'Impacts B'!D365</f>
        <v>0</v>
      </c>
      <c r="E365" s="26">
        <f ca="1">'Impacts A'!E365-'Impacts B'!E365</f>
        <v>0</v>
      </c>
      <c r="F365" s="26">
        <f ca="1">'Impacts A'!F365-'Impacts B'!F365</f>
        <v>0</v>
      </c>
      <c r="G365" s="26">
        <f ca="1">'Impacts A'!G365-'Impacts B'!G365</f>
        <v>0</v>
      </c>
      <c r="H365" s="26">
        <f ca="1">'Impacts A'!H365-'Impacts B'!H365</f>
        <v>0</v>
      </c>
      <c r="I365" s="26">
        <f ca="1">'Impacts A'!I365-'Impacts B'!I365</f>
        <v>0</v>
      </c>
      <c r="J365" s="26">
        <f ca="1">'Impacts A'!J365-'Impacts B'!J365</f>
        <v>-0.79703386826683575</v>
      </c>
      <c r="K365" s="26">
        <f ca="1">'Impacts A'!K365-'Impacts B'!K365</f>
        <v>-1.2671712279963492</v>
      </c>
      <c r="L365" s="26">
        <f ca="1">'Impacts A'!L365-'Impacts B'!L365</f>
        <v>-1.5389165377742611</v>
      </c>
      <c r="M365" s="6"/>
      <c r="N365" s="59" t="s">
        <v>132</v>
      </c>
    </row>
    <row r="366" spans="1:14" x14ac:dyDescent="0.2">
      <c r="A366" t="str">
        <v>OT discontinuity</v>
      </c>
      <c r="C366" s="26">
        <f ca="1">'Impacts A'!C366-'Impacts B'!C366</f>
        <v>0</v>
      </c>
      <c r="D366" s="26">
        <f ca="1">'Impacts A'!D366-'Impacts B'!D366</f>
        <v>0</v>
      </c>
      <c r="E366" s="26">
        <f ca="1">'Impacts A'!E366-'Impacts B'!E366</f>
        <v>0</v>
      </c>
      <c r="F366" s="26">
        <f ca="1">'Impacts A'!F366-'Impacts B'!F366</f>
        <v>0</v>
      </c>
      <c r="G366" s="26">
        <f ca="1">'Impacts A'!G366-'Impacts B'!G366</f>
        <v>0</v>
      </c>
      <c r="H366" s="26">
        <f ca="1">'Impacts A'!H366-'Impacts B'!H366</f>
        <v>0</v>
      </c>
      <c r="I366" s="26">
        <f ca="1">'Impacts A'!I366-'Impacts B'!I366</f>
        <v>0</v>
      </c>
      <c r="J366" s="26">
        <f ca="1">'Impacts A'!J366-'Impacts B'!J366</f>
        <v>-0.80948463641745183</v>
      </c>
      <c r="K366" s="26">
        <f ca="1">'Impacts A'!K366-'Impacts B'!K366</f>
        <v>-1.2843508834248607</v>
      </c>
      <c r="L366" s="26">
        <f ca="1">'Impacts A'!L366-'Impacts B'!L366</f>
        <v>-1.5566876676349928</v>
      </c>
      <c r="M366" s="6"/>
      <c r="N366" s="59" t="s">
        <v>132</v>
      </c>
    </row>
    <row r="367" spans="1:14" x14ac:dyDescent="0.2">
      <c r="A367" t="str">
        <v>EE discontinuity</v>
      </c>
      <c r="C367" s="26">
        <f ca="1">'Impacts A'!C367-'Impacts B'!C367</f>
        <v>0</v>
      </c>
      <c r="D367" s="26">
        <f ca="1">'Impacts A'!D367-'Impacts B'!D367</f>
        <v>0</v>
      </c>
      <c r="E367" s="26">
        <f ca="1">'Impacts A'!E367-'Impacts B'!E367</f>
        <v>0</v>
      </c>
      <c r="F367" s="26">
        <f ca="1">'Impacts A'!F367-'Impacts B'!F367</f>
        <v>0</v>
      </c>
      <c r="G367" s="26">
        <f ca="1">'Impacts A'!G367-'Impacts B'!G367</f>
        <v>0</v>
      </c>
      <c r="H367" s="26">
        <f ca="1">'Impacts A'!H367-'Impacts B'!H367</f>
        <v>0</v>
      </c>
      <c r="I367" s="26">
        <f ca="1">'Impacts A'!I367-'Impacts B'!I367</f>
        <v>0</v>
      </c>
      <c r="J367" s="26">
        <f ca="1">'Impacts A'!J367-'Impacts B'!J367</f>
        <v>-0.41860278651863508</v>
      </c>
      <c r="K367" s="26">
        <f ca="1">'Impacts A'!K367-'Impacts B'!K367</f>
        <v>-0.66324985321054042</v>
      </c>
      <c r="L367" s="26">
        <f ca="1">'Impacts A'!L367-'Impacts B'!L367</f>
        <v>-0.80235412721764654</v>
      </c>
      <c r="M367" s="6"/>
      <c r="N367" s="59" t="s">
        <v>132</v>
      </c>
    </row>
    <row r="368" spans="1:14" x14ac:dyDescent="0.2">
      <c r="A368" t="str">
        <v>CA discontinuity</v>
      </c>
      <c r="C368" s="26">
        <f ca="1">'Impacts A'!C368-'Impacts B'!C368</f>
        <v>0</v>
      </c>
      <c r="D368" s="26">
        <f ca="1">'Impacts A'!D368-'Impacts B'!D368</f>
        <v>0</v>
      </c>
      <c r="E368" s="26">
        <f ca="1">'Impacts A'!E368-'Impacts B'!E368</f>
        <v>0</v>
      </c>
      <c r="F368" s="26">
        <f ca="1">'Impacts A'!F368-'Impacts B'!F368</f>
        <v>0</v>
      </c>
      <c r="G368" s="26">
        <f ca="1">'Impacts A'!G368-'Impacts B'!G368</f>
        <v>0</v>
      </c>
      <c r="H368" s="26">
        <f ca="1">'Impacts A'!H368-'Impacts B'!H368</f>
        <v>0</v>
      </c>
      <c r="I368" s="26">
        <f ca="1">'Impacts A'!I368-'Impacts B'!I368</f>
        <v>0</v>
      </c>
      <c r="J368" s="26">
        <f ca="1">'Impacts A'!J368-'Impacts B'!J368</f>
        <v>-0.81612626815089195</v>
      </c>
      <c r="K368" s="26">
        <f ca="1">'Impacts A'!K368-'Impacts B'!K368</f>
        <v>-1.2971586169294111</v>
      </c>
      <c r="L368" s="26">
        <f ca="1">'Impacts A'!L368-'Impacts B'!L368</f>
        <v>-1.5748912470249801</v>
      </c>
      <c r="M368" s="6"/>
      <c r="N368" s="59" t="s">
        <v>132</v>
      </c>
    </row>
    <row r="369" spans="1:15" x14ac:dyDescent="0.2">
      <c r="A369" t="str">
        <v>IA discontinuity</v>
      </c>
      <c r="C369" s="26">
        <f ca="1">'Impacts A'!C369-'Impacts B'!C369</f>
        <v>0</v>
      </c>
      <c r="D369" s="26">
        <f ca="1">'Impacts A'!D369-'Impacts B'!D369</f>
        <v>0</v>
      </c>
      <c r="E369" s="26">
        <f ca="1">'Impacts A'!E369-'Impacts B'!E369</f>
        <v>0</v>
      </c>
      <c r="F369" s="26">
        <f ca="1">'Impacts A'!F369-'Impacts B'!F369</f>
        <v>0</v>
      </c>
      <c r="G369" s="26">
        <f ca="1">'Impacts A'!G369-'Impacts B'!G369</f>
        <v>0</v>
      </c>
      <c r="H369" s="26">
        <f ca="1">'Impacts A'!H369-'Impacts B'!H369</f>
        <v>0</v>
      </c>
      <c r="I369" s="26">
        <f ca="1">'Impacts A'!I369-'Impacts B'!I369</f>
        <v>0</v>
      </c>
      <c r="J369" s="26">
        <f ca="1">'Impacts A'!J369-'Impacts B'!J369</f>
        <v>-0.86745298082149691</v>
      </c>
      <c r="K369" s="26">
        <f ca="1">'Impacts A'!K369-'Impacts B'!K369</f>
        <v>-1.3688655982210542</v>
      </c>
      <c r="L369" s="26">
        <f ca="1">'Impacts A'!L369-'Impacts B'!L369</f>
        <v>-1.6498786592528838</v>
      </c>
      <c r="M369" s="6"/>
      <c r="N369" s="59" t="s">
        <v>132</v>
      </c>
    </row>
    <row r="370" spans="1:15" x14ac:dyDescent="0.2">
      <c r="A370" t="str">
        <v>AF discontinuity</v>
      </c>
      <c r="C370" s="26">
        <f ca="1">'Impacts A'!C370-'Impacts B'!C370</f>
        <v>0</v>
      </c>
      <c r="D370" s="26">
        <f ca="1">'Impacts A'!D370-'Impacts B'!D370</f>
        <v>0</v>
      </c>
      <c r="E370" s="26">
        <f ca="1">'Impacts A'!E370-'Impacts B'!E370</f>
        <v>0</v>
      </c>
      <c r="F370" s="26">
        <f ca="1">'Impacts A'!F370-'Impacts B'!F370</f>
        <v>0</v>
      </c>
      <c r="G370" s="26">
        <f ca="1">'Impacts A'!G370-'Impacts B'!G370</f>
        <v>0</v>
      </c>
      <c r="H370" s="26">
        <f ca="1">'Impacts A'!H370-'Impacts B'!H370</f>
        <v>0</v>
      </c>
      <c r="I370" s="26">
        <f ca="1">'Impacts A'!I370-'Impacts B'!I370</f>
        <v>0</v>
      </c>
      <c r="J370" s="26">
        <f ca="1">'Impacts A'!J370-'Impacts B'!J370</f>
        <v>-0.67366138344711557</v>
      </c>
      <c r="K370" s="26">
        <f ca="1">'Impacts A'!K370-'Impacts B'!K370</f>
        <v>-1.0583262008733185</v>
      </c>
      <c r="L370" s="26">
        <f ca="1">'Impacts A'!L370-'Impacts B'!L370</f>
        <v>-1.2693107998287965</v>
      </c>
      <c r="M370" s="6"/>
      <c r="N370" s="59" t="s">
        <v>132</v>
      </c>
    </row>
    <row r="371" spans="1:15" x14ac:dyDescent="0.2">
      <c r="A371" t="str">
        <v>LA discontinuity</v>
      </c>
      <c r="C371" s="26">
        <f ca="1">'Impacts A'!C371-'Impacts B'!C371</f>
        <v>0</v>
      </c>
      <c r="D371" s="26">
        <f ca="1">'Impacts A'!D371-'Impacts B'!D371</f>
        <v>0</v>
      </c>
      <c r="E371" s="26">
        <f ca="1">'Impacts A'!E371-'Impacts B'!E371</f>
        <v>0</v>
      </c>
      <c r="F371" s="26">
        <f ca="1">'Impacts A'!F371-'Impacts B'!F371</f>
        <v>0</v>
      </c>
      <c r="G371" s="26">
        <f ca="1">'Impacts A'!G371-'Impacts B'!G371</f>
        <v>0</v>
      </c>
      <c r="H371" s="26">
        <f ca="1">'Impacts A'!H371-'Impacts B'!H371</f>
        <v>0</v>
      </c>
      <c r="I371" s="26">
        <f ca="1">'Impacts A'!I371-'Impacts B'!I371</f>
        <v>0</v>
      </c>
      <c r="J371" s="26">
        <f ca="1">'Impacts A'!J371-'Impacts B'!J371</f>
        <v>-0.63545882433965439</v>
      </c>
      <c r="K371" s="26">
        <f ca="1">'Impacts A'!K371-'Impacts B'!K371</f>
        <v>-1.0040967456223804</v>
      </c>
      <c r="L371" s="26">
        <f ca="1">'Impacts A'!L371-'Impacts B'!L371</f>
        <v>-1.2118156138428462</v>
      </c>
      <c r="M371" s="6"/>
      <c r="N371" s="59" t="s">
        <v>132</v>
      </c>
    </row>
    <row r="372" spans="1:15" s="2" customFormat="1" ht="14.25" x14ac:dyDescent="0.25">
      <c r="A372" s="2" t="s">
        <v>223</v>
      </c>
      <c r="C372" s="2" t="s">
        <v>249</v>
      </c>
    </row>
    <row r="373" spans="1:15" x14ac:dyDescent="0.2">
      <c r="A373" t="str">
        <f t="array" ref="A373:A380">R_CODE&amp;" discontinuity"</f>
        <v>EU discontinuity</v>
      </c>
      <c r="C373" s="29">
        <f ca="1">'Impacts A'!C373-'Impacts B'!C373</f>
        <v>0</v>
      </c>
      <c r="D373" s="29">
        <f ca="1">'Impacts A'!D373-'Impacts B'!D373</f>
        <v>0</v>
      </c>
      <c r="E373" s="29">
        <f ca="1">'Impacts A'!E373-'Impacts B'!E373</f>
        <v>0</v>
      </c>
      <c r="F373" s="29">
        <f ca="1">'Impacts A'!F373-'Impacts B'!F373</f>
        <v>0</v>
      </c>
      <c r="G373" s="29">
        <f ca="1">'Impacts A'!G373-'Impacts B'!G373</f>
        <v>0</v>
      </c>
      <c r="H373" s="29">
        <f ca="1">'Impacts A'!H373-'Impacts B'!H373</f>
        <v>0</v>
      </c>
      <c r="I373" s="29">
        <f ca="1">'Impacts A'!I373-'Impacts B'!I373</f>
        <v>0</v>
      </c>
      <c r="J373" s="29">
        <f ca="1">'Impacts A'!J373-'Impacts B'!J373</f>
        <v>-1.0015221774170782</v>
      </c>
      <c r="K373" s="29">
        <f ca="1">'Impacts A'!K373-'Impacts B'!K373</f>
        <v>-1.5883839180386228</v>
      </c>
      <c r="L373" s="29">
        <f ca="1">'Impacts A'!L373-'Impacts B'!L373</f>
        <v>-1.9236528944564886</v>
      </c>
      <c r="M373" s="6"/>
      <c r="N373" s="59" t="s">
        <v>132</v>
      </c>
    </row>
    <row r="374" spans="1:15" x14ac:dyDescent="0.2">
      <c r="A374" t="str">
        <v>US discontinuity</v>
      </c>
      <c r="C374" s="26">
        <f ca="1">'Impacts A'!C374-'Impacts B'!C374</f>
        <v>0</v>
      </c>
      <c r="D374" s="26">
        <f ca="1">'Impacts A'!D374-'Impacts B'!D374</f>
        <v>0</v>
      </c>
      <c r="E374" s="26">
        <f ca="1">'Impacts A'!E374-'Impacts B'!E374</f>
        <v>0</v>
      </c>
      <c r="F374" s="26">
        <f ca="1">'Impacts A'!F374-'Impacts B'!F374</f>
        <v>0</v>
      </c>
      <c r="G374" s="26">
        <f ca="1">'Impacts A'!G374-'Impacts B'!G374</f>
        <v>0</v>
      </c>
      <c r="H374" s="26">
        <f ca="1">'Impacts A'!H374-'Impacts B'!H374</f>
        <v>0</v>
      </c>
      <c r="I374" s="26">
        <f ca="1">'Impacts A'!I374-'Impacts B'!I374</f>
        <v>0</v>
      </c>
      <c r="J374" s="26">
        <f ca="1">'Impacts A'!J374-'Impacts B'!J374</f>
        <v>-0.79703386826683575</v>
      </c>
      <c r="K374" s="26">
        <f ca="1">'Impacts A'!K374-'Impacts B'!K374</f>
        <v>-1.2671712279963492</v>
      </c>
      <c r="L374" s="26">
        <f ca="1">'Impacts A'!L374-'Impacts B'!L374</f>
        <v>-1.5389165377742611</v>
      </c>
      <c r="M374" s="6"/>
      <c r="N374" s="59" t="s">
        <v>132</v>
      </c>
    </row>
    <row r="375" spans="1:15" x14ac:dyDescent="0.2">
      <c r="A375" t="str">
        <v>OT discontinuity</v>
      </c>
      <c r="C375" s="26">
        <f ca="1">'Impacts A'!C375-'Impacts B'!C375</f>
        <v>0</v>
      </c>
      <c r="D375" s="26">
        <f ca="1">'Impacts A'!D375-'Impacts B'!D375</f>
        <v>0</v>
      </c>
      <c r="E375" s="26">
        <f ca="1">'Impacts A'!E375-'Impacts B'!E375</f>
        <v>0</v>
      </c>
      <c r="F375" s="26">
        <f ca="1">'Impacts A'!F375-'Impacts B'!F375</f>
        <v>0</v>
      </c>
      <c r="G375" s="26">
        <f ca="1">'Impacts A'!G375-'Impacts B'!G375</f>
        <v>0</v>
      </c>
      <c r="H375" s="26">
        <f ca="1">'Impacts A'!H375-'Impacts B'!H375</f>
        <v>0</v>
      </c>
      <c r="I375" s="26">
        <f ca="1">'Impacts A'!I375-'Impacts B'!I375</f>
        <v>0</v>
      </c>
      <c r="J375" s="26">
        <f ca="1">'Impacts A'!J375-'Impacts B'!J375</f>
        <v>-0.80948463641745183</v>
      </c>
      <c r="K375" s="26">
        <f ca="1">'Impacts A'!K375-'Impacts B'!K375</f>
        <v>-1.2843508834248607</v>
      </c>
      <c r="L375" s="26">
        <f ca="1">'Impacts A'!L375-'Impacts B'!L375</f>
        <v>-1.5566876676349928</v>
      </c>
      <c r="M375" s="6"/>
      <c r="N375" s="59" t="s">
        <v>132</v>
      </c>
    </row>
    <row r="376" spans="1:15" x14ac:dyDescent="0.2">
      <c r="A376" t="str">
        <v>EE discontinuity</v>
      </c>
      <c r="C376" s="26">
        <f ca="1">'Impacts A'!C376-'Impacts B'!C376</f>
        <v>0</v>
      </c>
      <c r="D376" s="26">
        <f ca="1">'Impacts A'!D376-'Impacts B'!D376</f>
        <v>0</v>
      </c>
      <c r="E376" s="26">
        <f ca="1">'Impacts A'!E376-'Impacts B'!E376</f>
        <v>0</v>
      </c>
      <c r="F376" s="26">
        <f ca="1">'Impacts A'!F376-'Impacts B'!F376</f>
        <v>0</v>
      </c>
      <c r="G376" s="26">
        <f ca="1">'Impacts A'!G376-'Impacts B'!G376</f>
        <v>0</v>
      </c>
      <c r="H376" s="26">
        <f ca="1">'Impacts A'!H376-'Impacts B'!H376</f>
        <v>0</v>
      </c>
      <c r="I376" s="26">
        <f ca="1">'Impacts A'!I376-'Impacts B'!I376</f>
        <v>0</v>
      </c>
      <c r="J376" s="26">
        <f ca="1">'Impacts A'!J376-'Impacts B'!J376</f>
        <v>-0.41860278651863508</v>
      </c>
      <c r="K376" s="26">
        <f ca="1">'Impacts A'!K376-'Impacts B'!K376</f>
        <v>-0.66324985321054042</v>
      </c>
      <c r="L376" s="26">
        <f ca="1">'Impacts A'!L376-'Impacts B'!L376</f>
        <v>-0.80235412721764654</v>
      </c>
      <c r="M376" s="6"/>
      <c r="N376" s="59" t="s">
        <v>132</v>
      </c>
    </row>
    <row r="377" spans="1:15" x14ac:dyDescent="0.2">
      <c r="A377" t="str">
        <v>CA discontinuity</v>
      </c>
      <c r="C377" s="26">
        <f ca="1">'Impacts A'!C377-'Impacts B'!C377</f>
        <v>0</v>
      </c>
      <c r="D377" s="26">
        <f ca="1">'Impacts A'!D377-'Impacts B'!D377</f>
        <v>0</v>
      </c>
      <c r="E377" s="26">
        <f ca="1">'Impacts A'!E377-'Impacts B'!E377</f>
        <v>0</v>
      </c>
      <c r="F377" s="26">
        <f ca="1">'Impacts A'!F377-'Impacts B'!F377</f>
        <v>0</v>
      </c>
      <c r="G377" s="26">
        <f ca="1">'Impacts A'!G377-'Impacts B'!G377</f>
        <v>0</v>
      </c>
      <c r="H377" s="26">
        <f ca="1">'Impacts A'!H377-'Impacts B'!H377</f>
        <v>0</v>
      </c>
      <c r="I377" s="26">
        <f ca="1">'Impacts A'!I377-'Impacts B'!I377</f>
        <v>0</v>
      </c>
      <c r="J377" s="26">
        <f ca="1">'Impacts A'!J377-'Impacts B'!J377</f>
        <v>-0.81612626815089195</v>
      </c>
      <c r="K377" s="26">
        <f ca="1">'Impacts A'!K377-'Impacts B'!K377</f>
        <v>-1.2971586169294111</v>
      </c>
      <c r="L377" s="26">
        <f ca="1">'Impacts A'!L377-'Impacts B'!L377</f>
        <v>-1.5748912470249801</v>
      </c>
      <c r="M377" s="6"/>
      <c r="N377" s="59" t="s">
        <v>132</v>
      </c>
    </row>
    <row r="378" spans="1:15" x14ac:dyDescent="0.2">
      <c r="A378" t="str">
        <v>IA discontinuity</v>
      </c>
      <c r="C378" s="26">
        <f ca="1">'Impacts A'!C378-'Impacts B'!C378</f>
        <v>0</v>
      </c>
      <c r="D378" s="26">
        <f ca="1">'Impacts A'!D378-'Impacts B'!D378</f>
        <v>0</v>
      </c>
      <c r="E378" s="26">
        <f ca="1">'Impacts A'!E378-'Impacts B'!E378</f>
        <v>0</v>
      </c>
      <c r="F378" s="26">
        <f ca="1">'Impacts A'!F378-'Impacts B'!F378</f>
        <v>0</v>
      </c>
      <c r="G378" s="26">
        <f ca="1">'Impacts A'!G378-'Impacts B'!G378</f>
        <v>0</v>
      </c>
      <c r="H378" s="26">
        <f ca="1">'Impacts A'!H378-'Impacts B'!H378</f>
        <v>0</v>
      </c>
      <c r="I378" s="26">
        <f ca="1">'Impacts A'!I378-'Impacts B'!I378</f>
        <v>0</v>
      </c>
      <c r="J378" s="26">
        <f ca="1">'Impacts A'!J378-'Impacts B'!J378</f>
        <v>-0.86745298082149691</v>
      </c>
      <c r="K378" s="26">
        <f ca="1">'Impacts A'!K378-'Impacts B'!K378</f>
        <v>-1.3688655982210542</v>
      </c>
      <c r="L378" s="26">
        <f ca="1">'Impacts A'!L378-'Impacts B'!L378</f>
        <v>-1.6498786592528838</v>
      </c>
      <c r="M378" s="6"/>
      <c r="N378" s="59" t="s">
        <v>132</v>
      </c>
    </row>
    <row r="379" spans="1:15" x14ac:dyDescent="0.2">
      <c r="A379" t="str">
        <v>AF discontinuity</v>
      </c>
      <c r="C379" s="26">
        <f ca="1">'Impacts A'!C379-'Impacts B'!C379</f>
        <v>0</v>
      </c>
      <c r="D379" s="26">
        <f ca="1">'Impacts A'!D379-'Impacts B'!D379</f>
        <v>0</v>
      </c>
      <c r="E379" s="26">
        <f ca="1">'Impacts A'!E379-'Impacts B'!E379</f>
        <v>0</v>
      </c>
      <c r="F379" s="26">
        <f ca="1">'Impacts A'!F379-'Impacts B'!F379</f>
        <v>0</v>
      </c>
      <c r="G379" s="26">
        <f ca="1">'Impacts A'!G379-'Impacts B'!G379</f>
        <v>0</v>
      </c>
      <c r="H379" s="26">
        <f ca="1">'Impacts A'!H379-'Impacts B'!H379</f>
        <v>0</v>
      </c>
      <c r="I379" s="26">
        <f ca="1">'Impacts A'!I379-'Impacts B'!I379</f>
        <v>0</v>
      </c>
      <c r="J379" s="26">
        <f ca="1">'Impacts A'!J379-'Impacts B'!J379</f>
        <v>-0.67366138344711557</v>
      </c>
      <c r="K379" s="26">
        <f ca="1">'Impacts A'!K379-'Impacts B'!K379</f>
        <v>-1.0583262008733185</v>
      </c>
      <c r="L379" s="26">
        <f ca="1">'Impacts A'!L379-'Impacts B'!L379</f>
        <v>-1.2693107998287965</v>
      </c>
      <c r="M379" s="6"/>
      <c r="N379" s="59" t="s">
        <v>132</v>
      </c>
    </row>
    <row r="380" spans="1:15" x14ac:dyDescent="0.2">
      <c r="A380" t="str">
        <v>LA discontinuity</v>
      </c>
      <c r="C380" s="26">
        <f ca="1">'Impacts A'!C380-'Impacts B'!C380</f>
        <v>0</v>
      </c>
      <c r="D380" s="26">
        <f ca="1">'Impacts A'!D380-'Impacts B'!D380</f>
        <v>0</v>
      </c>
      <c r="E380" s="26">
        <f ca="1">'Impacts A'!E380-'Impacts B'!E380</f>
        <v>0</v>
      </c>
      <c r="F380" s="26">
        <f ca="1">'Impacts A'!F380-'Impacts B'!F380</f>
        <v>0</v>
      </c>
      <c r="G380" s="26">
        <f ca="1">'Impacts A'!G380-'Impacts B'!G380</f>
        <v>0</v>
      </c>
      <c r="H380" s="26">
        <f ca="1">'Impacts A'!H380-'Impacts B'!H380</f>
        <v>0</v>
      </c>
      <c r="I380" s="26">
        <f ca="1">'Impacts A'!I380-'Impacts B'!I380</f>
        <v>0</v>
      </c>
      <c r="J380" s="26">
        <f ca="1">'Impacts A'!J380-'Impacts B'!J380</f>
        <v>-0.63545882433965439</v>
      </c>
      <c r="K380" s="26">
        <f ca="1">'Impacts A'!K380-'Impacts B'!K380</f>
        <v>-1.0040967456223804</v>
      </c>
      <c r="L380" s="26">
        <f ca="1">'Impacts A'!L380-'Impacts B'!L380</f>
        <v>-1.2118156138428462</v>
      </c>
      <c r="M380" s="6"/>
      <c r="N380" s="59" t="s">
        <v>132</v>
      </c>
    </row>
    <row r="381" spans="1:15" s="2" customFormat="1" ht="14.25" x14ac:dyDescent="0.25">
      <c r="A381" s="2" t="s">
        <v>224</v>
      </c>
      <c r="C381" s="2" t="s">
        <v>250</v>
      </c>
    </row>
    <row r="382" spans="1:15" x14ac:dyDescent="0.2">
      <c r="A382" t="str">
        <f t="array" ref="A382:A389">R_CODE&amp;" discontinuity"</f>
        <v>EU discontinuity</v>
      </c>
      <c r="C382" s="29">
        <f ca="1">'Impacts A'!C382-'Impacts B'!C382</f>
        <v>0</v>
      </c>
      <c r="D382" s="29">
        <f ca="1">'Impacts A'!D382-'Impacts B'!D382</f>
        <v>0</v>
      </c>
      <c r="E382" s="29">
        <f ca="1">'Impacts A'!E382-'Impacts B'!E382</f>
        <v>0</v>
      </c>
      <c r="F382" s="29">
        <f ca="1">'Impacts A'!F382-'Impacts B'!F382</f>
        <v>0</v>
      </c>
      <c r="G382" s="29">
        <f ca="1">'Impacts A'!G382-'Impacts B'!G382</f>
        <v>0</v>
      </c>
      <c r="H382" s="29">
        <f ca="1">'Impacts A'!H382-'Impacts B'!H382</f>
        <v>0</v>
      </c>
      <c r="I382" s="29">
        <f ca="1">'Impacts A'!I382-'Impacts B'!I382</f>
        <v>0</v>
      </c>
      <c r="J382" s="29">
        <f ca="1">'Impacts A'!J382-'Impacts B'!J382</f>
        <v>-1238.0225436050755</v>
      </c>
      <c r="K382" s="29">
        <f ca="1">'Impacts A'!K382-'Impacts B'!K382</f>
        <v>-2294.5238708583242</v>
      </c>
      <c r="L382" s="29">
        <f ca="1">'Impacts A'!L382-'Impacts B'!L382</f>
        <v>-3260.384445720681</v>
      </c>
      <c r="M382" s="6"/>
      <c r="N382" s="1" t="str">
        <f t="shared" ref="N382:N389" si="11">CURRENCY_NAME&amp;"/"&amp;POP_UNIT_NAME</f>
        <v>$M(2015)/million</v>
      </c>
      <c r="O382" s="1"/>
    </row>
    <row r="383" spans="1:15" x14ac:dyDescent="0.2">
      <c r="A383" t="str">
        <v>US discontinuity</v>
      </c>
      <c r="C383" s="26">
        <f ca="1">'Impacts A'!C383-'Impacts B'!C383</f>
        <v>0</v>
      </c>
      <c r="D383" s="26">
        <f ca="1">'Impacts A'!D383-'Impacts B'!D383</f>
        <v>0</v>
      </c>
      <c r="E383" s="26">
        <f ca="1">'Impacts A'!E383-'Impacts B'!E383</f>
        <v>0</v>
      </c>
      <c r="F383" s="26">
        <f ca="1">'Impacts A'!F383-'Impacts B'!F383</f>
        <v>0</v>
      </c>
      <c r="G383" s="26">
        <f ca="1">'Impacts A'!G383-'Impacts B'!G383</f>
        <v>0</v>
      </c>
      <c r="H383" s="26">
        <f ca="1">'Impacts A'!H383-'Impacts B'!H383</f>
        <v>0</v>
      </c>
      <c r="I383" s="26">
        <f ca="1">'Impacts A'!I383-'Impacts B'!I383</f>
        <v>0</v>
      </c>
      <c r="J383" s="26">
        <f ca="1">'Impacts A'!J383-'Impacts B'!J383</f>
        <v>-1024.7032629260691</v>
      </c>
      <c r="K383" s="26">
        <f ca="1">'Impacts A'!K383-'Impacts B'!K383</f>
        <v>-1848.0702530533229</v>
      </c>
      <c r="L383" s="26">
        <f ca="1">'Impacts A'!L383-'Impacts B'!L383</f>
        <v>-2554.4705141410004</v>
      </c>
      <c r="M383" s="6"/>
      <c r="N383" s="1" t="str">
        <f t="shared" si="11"/>
        <v>$M(2015)/million</v>
      </c>
      <c r="O383" s="1"/>
    </row>
    <row r="384" spans="1:15" x14ac:dyDescent="0.2">
      <c r="A384" t="str">
        <v>OT discontinuity</v>
      </c>
      <c r="C384" s="26">
        <f ca="1">'Impacts A'!C384-'Impacts B'!C384</f>
        <v>0</v>
      </c>
      <c r="D384" s="26">
        <f ca="1">'Impacts A'!D384-'Impacts B'!D384</f>
        <v>0</v>
      </c>
      <c r="E384" s="26">
        <f ca="1">'Impacts A'!E384-'Impacts B'!E384</f>
        <v>0</v>
      </c>
      <c r="F384" s="26">
        <f ca="1">'Impacts A'!F384-'Impacts B'!F384</f>
        <v>0</v>
      </c>
      <c r="G384" s="26">
        <f ca="1">'Impacts A'!G384-'Impacts B'!G384</f>
        <v>0</v>
      </c>
      <c r="H384" s="26">
        <f ca="1">'Impacts A'!H384-'Impacts B'!H384</f>
        <v>0</v>
      </c>
      <c r="I384" s="26">
        <f ca="1">'Impacts A'!I384-'Impacts B'!I384</f>
        <v>0</v>
      </c>
      <c r="J384" s="26">
        <f ca="1">'Impacts A'!J384-'Impacts B'!J384</f>
        <v>-926.49098163927192</v>
      </c>
      <c r="K384" s="26">
        <f ca="1">'Impacts A'!K384-'Impacts B'!K384</f>
        <v>-1709.2186822222689</v>
      </c>
      <c r="L384" s="26">
        <f ca="1">'Impacts A'!L384-'Impacts B'!L384</f>
        <v>-2406.3121955412021</v>
      </c>
      <c r="M384" s="6"/>
      <c r="N384" s="1" t="str">
        <f t="shared" si="11"/>
        <v>$M(2015)/million</v>
      </c>
      <c r="O384" s="1"/>
    </row>
    <row r="385" spans="1:15" x14ac:dyDescent="0.2">
      <c r="A385" t="str">
        <v>EE discontinuity</v>
      </c>
      <c r="C385" s="26">
        <f ca="1">'Impacts A'!C385-'Impacts B'!C385</f>
        <v>0</v>
      </c>
      <c r="D385" s="26">
        <f ca="1">'Impacts A'!D385-'Impacts B'!D385</f>
        <v>0</v>
      </c>
      <c r="E385" s="26">
        <f ca="1">'Impacts A'!E385-'Impacts B'!E385</f>
        <v>0</v>
      </c>
      <c r="F385" s="26">
        <f ca="1">'Impacts A'!F385-'Impacts B'!F385</f>
        <v>0</v>
      </c>
      <c r="G385" s="26">
        <f ca="1">'Impacts A'!G385-'Impacts B'!G385</f>
        <v>0</v>
      </c>
      <c r="H385" s="26">
        <f ca="1">'Impacts A'!H385-'Impacts B'!H385</f>
        <v>0</v>
      </c>
      <c r="I385" s="26">
        <f ca="1">'Impacts A'!I385-'Impacts B'!I385</f>
        <v>0</v>
      </c>
      <c r="J385" s="26">
        <f ca="1">'Impacts A'!J385-'Impacts B'!J385</f>
        <v>-372.18464317915527</v>
      </c>
      <c r="K385" s="26">
        <f ca="1">'Impacts A'!K385-'Impacts B'!K385</f>
        <v>-697.27349676814208</v>
      </c>
      <c r="L385" s="26">
        <f ca="1">'Impacts A'!L385-'Impacts B'!L385</f>
        <v>-1001.8344267611141</v>
      </c>
      <c r="M385" s="6"/>
      <c r="N385" s="1" t="str">
        <f t="shared" si="11"/>
        <v>$M(2015)/million</v>
      </c>
      <c r="O385" s="1"/>
    </row>
    <row r="386" spans="1:15" x14ac:dyDescent="0.2">
      <c r="A386" t="str">
        <v>CA discontinuity</v>
      </c>
      <c r="C386" s="26">
        <f ca="1">'Impacts A'!C386-'Impacts B'!C386</f>
        <v>0</v>
      </c>
      <c r="D386" s="26">
        <f ca="1">'Impacts A'!D386-'Impacts B'!D386</f>
        <v>0</v>
      </c>
      <c r="E386" s="26">
        <f ca="1">'Impacts A'!E386-'Impacts B'!E386</f>
        <v>0</v>
      </c>
      <c r="F386" s="26">
        <f ca="1">'Impacts A'!F386-'Impacts B'!F386</f>
        <v>0</v>
      </c>
      <c r="G386" s="26">
        <f ca="1">'Impacts A'!G386-'Impacts B'!G386</f>
        <v>0</v>
      </c>
      <c r="H386" s="26">
        <f ca="1">'Impacts A'!H386-'Impacts B'!H386</f>
        <v>0</v>
      </c>
      <c r="I386" s="26">
        <f ca="1">'Impacts A'!I386-'Impacts B'!I386</f>
        <v>0</v>
      </c>
      <c r="J386" s="26">
        <f ca="1">'Impacts A'!J386-'Impacts B'!J386</f>
        <v>-878.56590952811337</v>
      </c>
      <c r="K386" s="26">
        <f ca="1">'Impacts A'!K386-'Impacts B'!K386</f>
        <v>-1589.5020989888983</v>
      </c>
      <c r="L386" s="26">
        <f ca="1">'Impacts A'!L386-'Impacts B'!L386</f>
        <v>-2202.8523199007604</v>
      </c>
      <c r="M386" s="6"/>
      <c r="N386" s="1" t="str">
        <f t="shared" si="11"/>
        <v>$M(2015)/million</v>
      </c>
      <c r="O386" s="1"/>
    </row>
    <row r="387" spans="1:15" x14ac:dyDescent="0.2">
      <c r="A387" t="str">
        <v>IA discontinuity</v>
      </c>
      <c r="C387" s="26">
        <f ca="1">'Impacts A'!C387-'Impacts B'!C387</f>
        <v>0</v>
      </c>
      <c r="D387" s="26">
        <f ca="1">'Impacts A'!D387-'Impacts B'!D387</f>
        <v>0</v>
      </c>
      <c r="E387" s="26">
        <f ca="1">'Impacts A'!E387-'Impacts B'!E387</f>
        <v>0</v>
      </c>
      <c r="F387" s="26">
        <f ca="1">'Impacts A'!F387-'Impacts B'!F387</f>
        <v>0</v>
      </c>
      <c r="G387" s="26">
        <f ca="1">'Impacts A'!G387-'Impacts B'!G387</f>
        <v>0</v>
      </c>
      <c r="H387" s="26">
        <f ca="1">'Impacts A'!H387-'Impacts B'!H387</f>
        <v>0</v>
      </c>
      <c r="I387" s="26">
        <f ca="1">'Impacts A'!I387-'Impacts B'!I387</f>
        <v>0</v>
      </c>
      <c r="J387" s="26">
        <f ca="1">'Impacts A'!J387-'Impacts B'!J387</f>
        <v>-591.01503653622854</v>
      </c>
      <c r="K387" s="26">
        <f ca="1">'Impacts A'!K387-'Impacts B'!K387</f>
        <v>-1158.5087575168639</v>
      </c>
      <c r="L387" s="26">
        <f ca="1">'Impacts A'!L387-'Impacts B'!L387</f>
        <v>-1720.1100663730074</v>
      </c>
      <c r="M387" s="6"/>
      <c r="N387" s="1" t="str">
        <f t="shared" si="11"/>
        <v>$M(2015)/million</v>
      </c>
      <c r="O387" s="1"/>
    </row>
    <row r="388" spans="1:15" x14ac:dyDescent="0.2">
      <c r="A388" t="str">
        <v>AF discontinuity</v>
      </c>
      <c r="C388" s="26">
        <f ca="1">'Impacts A'!C388-'Impacts B'!C388</f>
        <v>0</v>
      </c>
      <c r="D388" s="26">
        <f ca="1">'Impacts A'!D388-'Impacts B'!D388</f>
        <v>0</v>
      </c>
      <c r="E388" s="26">
        <f ca="1">'Impacts A'!E388-'Impacts B'!E388</f>
        <v>0</v>
      </c>
      <c r="F388" s="26">
        <f ca="1">'Impacts A'!F388-'Impacts B'!F388</f>
        <v>0</v>
      </c>
      <c r="G388" s="26">
        <f ca="1">'Impacts A'!G388-'Impacts B'!G388</f>
        <v>0</v>
      </c>
      <c r="H388" s="26">
        <f ca="1">'Impacts A'!H388-'Impacts B'!H388</f>
        <v>0</v>
      </c>
      <c r="I388" s="26">
        <f ca="1">'Impacts A'!I388-'Impacts B'!I388</f>
        <v>0</v>
      </c>
      <c r="J388" s="26">
        <f ca="1">'Impacts A'!J388-'Impacts B'!J388</f>
        <v>-353.41574718518683</v>
      </c>
      <c r="K388" s="26">
        <f ca="1">'Impacts A'!K388-'Impacts B'!K388</f>
        <v>-728.24867299880486</v>
      </c>
      <c r="L388" s="26">
        <f ca="1">'Impacts A'!L388-'Impacts B'!L388</f>
        <v>-1135.3310871633846</v>
      </c>
      <c r="M388" s="6"/>
      <c r="N388" s="1" t="str">
        <f t="shared" si="11"/>
        <v>$M(2015)/million</v>
      </c>
      <c r="O388" s="1"/>
    </row>
    <row r="389" spans="1:15" x14ac:dyDescent="0.2">
      <c r="A389" t="str">
        <v>LA discontinuity</v>
      </c>
      <c r="C389" s="26">
        <f ca="1">'Impacts A'!C389-'Impacts B'!C389</f>
        <v>0</v>
      </c>
      <c r="D389" s="26">
        <f ca="1">'Impacts A'!D389-'Impacts B'!D389</f>
        <v>0</v>
      </c>
      <c r="E389" s="26">
        <f ca="1">'Impacts A'!E389-'Impacts B'!E389</f>
        <v>0</v>
      </c>
      <c r="F389" s="26">
        <f ca="1">'Impacts A'!F389-'Impacts B'!F389</f>
        <v>0</v>
      </c>
      <c r="G389" s="26">
        <f ca="1">'Impacts A'!G389-'Impacts B'!G389</f>
        <v>0</v>
      </c>
      <c r="H389" s="26">
        <f ca="1">'Impacts A'!H389-'Impacts B'!H389</f>
        <v>0</v>
      </c>
      <c r="I389" s="26">
        <f ca="1">'Impacts A'!I389-'Impacts B'!I389</f>
        <v>0</v>
      </c>
      <c r="J389" s="26">
        <f ca="1">'Impacts A'!J389-'Impacts B'!J389</f>
        <v>-516.52154673520806</v>
      </c>
      <c r="K389" s="26">
        <f ca="1">'Impacts A'!K389-'Impacts B'!K389</f>
        <v>-997.65744835271244</v>
      </c>
      <c r="L389" s="26">
        <f ca="1">'Impacts A'!L389-'Impacts B'!L389</f>
        <v>-1463.164089126778</v>
      </c>
      <c r="M389" s="6"/>
      <c r="N389" s="1" t="str">
        <f t="shared" si="11"/>
        <v>$M(2015)/million</v>
      </c>
      <c r="O389" s="1"/>
    </row>
    <row r="390" spans="1:15" s="2" customFormat="1" ht="14.25" x14ac:dyDescent="0.25">
      <c r="A390" s="2" t="s">
        <v>226</v>
      </c>
      <c r="C390" s="2" t="s">
        <v>252</v>
      </c>
    </row>
    <row r="391" spans="1:15" x14ac:dyDescent="0.2">
      <c r="A391" t="str">
        <f t="array" ref="A391:A398">R_CODE&amp;" discontinuity"</f>
        <v>EU discontinuity</v>
      </c>
      <c r="C391" s="29">
        <f ca="1">'Impacts A'!C391-'Impacts B'!C391</f>
        <v>0.66045973256404977</v>
      </c>
      <c r="D391" s="29">
        <f ca="1">'Impacts A'!D391-'Impacts B'!D391</f>
        <v>-4.4824834728860878</v>
      </c>
      <c r="E391" s="29">
        <f ca="1">'Impacts A'!E391-'Impacts B'!E391</f>
        <v>10.009165360934276</v>
      </c>
      <c r="F391" s="29">
        <f ca="1">'Impacts A'!F391-'Impacts B'!F391</f>
        <v>-6.7488350577841629</v>
      </c>
      <c r="G391" s="29">
        <f ca="1">'Impacts A'!G391-'Impacts B'!G391</f>
        <v>38.599536273897684</v>
      </c>
      <c r="H391" s="29">
        <f ca="1">'Impacts A'!H391-'Impacts B'!H391</f>
        <v>283.37286756158574</v>
      </c>
      <c r="I391" s="29">
        <f ca="1">'Impacts A'!I391-'Impacts B'!I391</f>
        <v>1077.6318819297885</v>
      </c>
      <c r="J391" s="29">
        <f ca="1">'Impacts A'!J391-'Impacts B'!J391</f>
        <v>4087.6064263945154</v>
      </c>
      <c r="K391" s="29">
        <f ca="1">'Impacts A'!K391-'Impacts B'!K391</f>
        <v>8477.1046865719691</v>
      </c>
      <c r="L391" s="29">
        <f ca="1">'Impacts A'!L391-'Impacts B'!L391</f>
        <v>13807.228638532193</v>
      </c>
      <c r="M391" s="6"/>
      <c r="N391" s="1" t="str">
        <f t="shared" ref="N391:N398" si="12">CURRENCY_NAME&amp;"/"&amp;POP_UNIT_NAME</f>
        <v>$M(2015)/million</v>
      </c>
      <c r="O391" s="1"/>
    </row>
    <row r="392" spans="1:15" x14ac:dyDescent="0.2">
      <c r="A392" t="str">
        <v>US discontinuity</v>
      </c>
      <c r="C392" s="26">
        <f ca="1">'Impacts A'!C392-'Impacts B'!C392</f>
        <v>27.652100160259579</v>
      </c>
      <c r="D392" s="26">
        <f ca="1">'Impacts A'!D392-'Impacts B'!D392</f>
        <v>9.1009611727058655</v>
      </c>
      <c r="E392" s="26">
        <f ca="1">'Impacts A'!E392-'Impacts B'!E392</f>
        <v>82.035821603756631</v>
      </c>
      <c r="F392" s="26">
        <f ca="1">'Impacts A'!F392-'Impacts B'!F392</f>
        <v>144.51974305977637</v>
      </c>
      <c r="G392" s="26">
        <f ca="1">'Impacts A'!G392-'Impacts B'!G392</f>
        <v>-80.094761165659293</v>
      </c>
      <c r="H392" s="26">
        <f ca="1">'Impacts A'!H392-'Impacts B'!H392</f>
        <v>69.422352730194689</v>
      </c>
      <c r="I392" s="26">
        <f ca="1">'Impacts A'!I392-'Impacts B'!I392</f>
        <v>1677.5863085397723</v>
      </c>
      <c r="J392" s="26">
        <f ca="1">'Impacts A'!J392-'Impacts B'!J392</f>
        <v>6445.2312629100343</v>
      </c>
      <c r="K392" s="26">
        <f ca="1">'Impacts A'!K392-'Impacts B'!K392</f>
        <v>12540.163067882648</v>
      </c>
      <c r="L392" s="26">
        <f ca="1">'Impacts A'!L392-'Impacts B'!L392</f>
        <v>19950.857717623032</v>
      </c>
      <c r="M392" s="6"/>
      <c r="N392" s="1" t="str">
        <f t="shared" si="12"/>
        <v>$M(2015)/million</v>
      </c>
      <c r="O392" s="1"/>
    </row>
    <row r="393" spans="1:15" x14ac:dyDescent="0.2">
      <c r="A393" t="str">
        <v>OT discontinuity</v>
      </c>
      <c r="C393" s="26">
        <f ca="1">'Impacts A'!C393-'Impacts B'!C393</f>
        <v>-3.0358796889922814</v>
      </c>
      <c r="D393" s="26">
        <f ca="1">'Impacts A'!D393-'Impacts B'!D393</f>
        <v>-17.610782903408108</v>
      </c>
      <c r="E393" s="26">
        <f ca="1">'Impacts A'!E393-'Impacts B'!E393</f>
        <v>1.9504290909972042</v>
      </c>
      <c r="F393" s="26">
        <f ca="1">'Impacts A'!F393-'Impacts B'!F393</f>
        <v>64.539995880688366</v>
      </c>
      <c r="G393" s="26">
        <f ca="1">'Impacts A'!G393-'Impacts B'!G393</f>
        <v>32.108846351788088</v>
      </c>
      <c r="H393" s="26">
        <f ca="1">'Impacts A'!H393-'Impacts B'!H393</f>
        <v>303.16585898325138</v>
      </c>
      <c r="I393" s="26">
        <f ca="1">'Impacts A'!I393-'Impacts B'!I393</f>
        <v>1282.6011052849935</v>
      </c>
      <c r="J393" s="26">
        <f ca="1">'Impacts A'!J393-'Impacts B'!J393</f>
        <v>5759.9132786219707</v>
      </c>
      <c r="K393" s="26">
        <f ca="1">'Impacts A'!K393-'Impacts B'!K393</f>
        <v>11855.313216764422</v>
      </c>
      <c r="L393" s="26">
        <f ca="1">'Impacts A'!L393-'Impacts B'!L393</f>
        <v>19650.320842335015</v>
      </c>
      <c r="M393" s="6"/>
      <c r="N393" s="1" t="str">
        <f t="shared" si="12"/>
        <v>$M(2015)/million</v>
      </c>
      <c r="O393" s="1"/>
    </row>
    <row r="394" spans="1:15" x14ac:dyDescent="0.2">
      <c r="A394" t="str">
        <v>EE discontinuity</v>
      </c>
      <c r="C394" s="26">
        <f ca="1">'Impacts A'!C394-'Impacts B'!C394</f>
        <v>10.450541697342487</v>
      </c>
      <c r="D394" s="26">
        <f ca="1">'Impacts A'!D394-'Impacts B'!D394</f>
        <v>5.7978827138686029</v>
      </c>
      <c r="E394" s="26">
        <f ca="1">'Impacts A'!E394-'Impacts B'!E394</f>
        <v>-3.2645238838449586</v>
      </c>
      <c r="F394" s="26">
        <f ca="1">'Impacts A'!F394-'Impacts B'!F394</f>
        <v>-0.86071510046895128</v>
      </c>
      <c r="G394" s="26">
        <f ca="1">'Impacts A'!G394-'Impacts B'!G394</f>
        <v>-115.7847074451056</v>
      </c>
      <c r="H394" s="26">
        <f ca="1">'Impacts A'!H394-'Impacts B'!H394</f>
        <v>-720.89917014740786</v>
      </c>
      <c r="I394" s="26">
        <f ca="1">'Impacts A'!I394-'Impacts B'!I394</f>
        <v>52.721434233360924</v>
      </c>
      <c r="J394" s="26">
        <f ca="1">'Impacts A'!J394-'Impacts B'!J394</f>
        <v>2620.083715500994</v>
      </c>
      <c r="K394" s="26">
        <f ca="1">'Impacts A'!K394-'Impacts B'!K394</f>
        <v>7460.0925650834542</v>
      </c>
      <c r="L394" s="26">
        <f ca="1">'Impacts A'!L394-'Impacts B'!L394</f>
        <v>13485.278000464721</v>
      </c>
      <c r="M394" s="6"/>
      <c r="N394" s="1" t="str">
        <f t="shared" si="12"/>
        <v>$M(2015)/million</v>
      </c>
      <c r="O394" s="1"/>
    </row>
    <row r="395" spans="1:15" x14ac:dyDescent="0.2">
      <c r="A395" t="str">
        <v>CA discontinuity</v>
      </c>
      <c r="C395" s="26">
        <f ca="1">'Impacts A'!C395-'Impacts B'!C395</f>
        <v>-9.0310268924404227</v>
      </c>
      <c r="D395" s="26">
        <f ca="1">'Impacts A'!D395-'Impacts B'!D395</f>
        <v>1.3311396863828122</v>
      </c>
      <c r="E395" s="26">
        <f ca="1">'Impacts A'!E395-'Impacts B'!E395</f>
        <v>42.913521284041053</v>
      </c>
      <c r="F395" s="26">
        <f ca="1">'Impacts A'!F395-'Impacts B'!F395</f>
        <v>93.156260000592738</v>
      </c>
      <c r="G395" s="26">
        <f ca="1">'Impacts A'!G395-'Impacts B'!G395</f>
        <v>-67.058129107652348</v>
      </c>
      <c r="H395" s="26">
        <f ca="1">'Impacts A'!H395-'Impacts B'!H395</f>
        <v>545.83767668058863</v>
      </c>
      <c r="I395" s="26">
        <f ca="1">'Impacts A'!I395-'Impacts B'!I395</f>
        <v>2510.8877354773285</v>
      </c>
      <c r="J395" s="26">
        <f ca="1">'Impacts A'!J395-'Impacts B'!J395</f>
        <v>6518.9967499573831</v>
      </c>
      <c r="K395" s="26">
        <f ca="1">'Impacts A'!K395-'Impacts B'!K395</f>
        <v>12510.02075861051</v>
      </c>
      <c r="L395" s="26">
        <f ca="1">'Impacts A'!L395-'Impacts B'!L395</f>
        <v>19700.648025102506</v>
      </c>
      <c r="M395" s="6"/>
      <c r="N395" s="1" t="str">
        <f t="shared" si="12"/>
        <v>$M(2015)/million</v>
      </c>
      <c r="O395" s="1"/>
    </row>
    <row r="396" spans="1:15" x14ac:dyDescent="0.2">
      <c r="A396" t="str">
        <v>IA discontinuity</v>
      </c>
      <c r="C396" s="26">
        <f ca="1">'Impacts A'!C396-'Impacts B'!C396</f>
        <v>14.336470530985025</v>
      </c>
      <c r="D396" s="26">
        <f ca="1">'Impacts A'!D396-'Impacts B'!D396</f>
        <v>12.412824188711966</v>
      </c>
      <c r="E396" s="26">
        <f ca="1">'Impacts A'!E396-'Impacts B'!E396</f>
        <v>13.516848102590302</v>
      </c>
      <c r="F396" s="26">
        <f ca="1">'Impacts A'!F396-'Impacts B'!F396</f>
        <v>64.706690869083104</v>
      </c>
      <c r="G396" s="26">
        <f ca="1">'Impacts A'!G396-'Impacts B'!G396</f>
        <v>-104.83465450448057</v>
      </c>
      <c r="H396" s="26">
        <f ca="1">'Impacts A'!H396-'Impacts B'!H396</f>
        <v>422.79927743762528</v>
      </c>
      <c r="I396" s="26">
        <f ca="1">'Impacts A'!I396-'Impacts B'!I396</f>
        <v>1858.376674488507</v>
      </c>
      <c r="J396" s="26">
        <f ca="1">'Impacts A'!J396-'Impacts B'!J396</f>
        <v>5459.37018126974</v>
      </c>
      <c r="K396" s="26">
        <f ca="1">'Impacts A'!K396-'Impacts B'!K396</f>
        <v>10675.446398337052</v>
      </c>
      <c r="L396" s="26">
        <f ca="1">'Impacts A'!L396-'Impacts B'!L396</f>
        <v>17938.227917738099</v>
      </c>
      <c r="M396" s="6"/>
      <c r="N396" s="1" t="str">
        <f t="shared" si="12"/>
        <v>$M(2015)/million</v>
      </c>
      <c r="O396" s="1"/>
    </row>
    <row r="397" spans="1:15" x14ac:dyDescent="0.2">
      <c r="A397" t="str">
        <v>AF discontinuity</v>
      </c>
      <c r="C397" s="26">
        <f ca="1">'Impacts A'!C397-'Impacts B'!C397</f>
        <v>6.2181137034795029</v>
      </c>
      <c r="D397" s="26">
        <f ca="1">'Impacts A'!D397-'Impacts B'!D397</f>
        <v>12.252904068753196</v>
      </c>
      <c r="E397" s="26">
        <f ca="1">'Impacts A'!E397-'Impacts B'!E397</f>
        <v>0.93594242646850034</v>
      </c>
      <c r="F397" s="26">
        <f ca="1">'Impacts A'!F397-'Impacts B'!F397</f>
        <v>45.708268838712684</v>
      </c>
      <c r="G397" s="26">
        <f ca="1">'Impacts A'!G397-'Impacts B'!G397</f>
        <v>-123.09161744358789</v>
      </c>
      <c r="H397" s="26">
        <f ca="1">'Impacts A'!H397-'Impacts B'!H397</f>
        <v>-407.95414600634467</v>
      </c>
      <c r="I397" s="26">
        <f ca="1">'Impacts A'!I397-'Impacts B'!I397</f>
        <v>463.4480402712652</v>
      </c>
      <c r="J397" s="26">
        <f ca="1">'Impacts A'!J397-'Impacts B'!J397</f>
        <v>3236.286561373774</v>
      </c>
      <c r="K397" s="26">
        <f ca="1">'Impacts A'!K397-'Impacts B'!K397</f>
        <v>7700.8519496759618</v>
      </c>
      <c r="L397" s="26">
        <f ca="1">'Impacts A'!L397-'Impacts B'!L397</f>
        <v>14405.361797200167</v>
      </c>
      <c r="M397" s="6"/>
      <c r="N397" s="1" t="str">
        <f t="shared" si="12"/>
        <v>$M(2015)/million</v>
      </c>
      <c r="O397" s="1"/>
    </row>
    <row r="398" spans="1:15" x14ac:dyDescent="0.2">
      <c r="A398" t="str">
        <v>LA discontinuity</v>
      </c>
      <c r="C398" s="26">
        <f ca="1">'Impacts A'!C398-'Impacts B'!C398</f>
        <v>50.066724952430377</v>
      </c>
      <c r="D398" s="26">
        <f ca="1">'Impacts A'!D398-'Impacts B'!D398</f>
        <v>18.838085704883269</v>
      </c>
      <c r="E398" s="26">
        <f ca="1">'Impacts A'!E398-'Impacts B'!E398</f>
        <v>7.0031415074590768</v>
      </c>
      <c r="F398" s="26">
        <f ca="1">'Impacts A'!F398-'Impacts B'!F398</f>
        <v>106.3316567593356</v>
      </c>
      <c r="G398" s="26">
        <f ca="1">'Impacts A'!G398-'Impacts B'!G398</f>
        <v>-31.085360729404783</v>
      </c>
      <c r="H398" s="26">
        <f ca="1">'Impacts A'!H398-'Impacts B'!H398</f>
        <v>357.65097645489732</v>
      </c>
      <c r="I398" s="26">
        <f ca="1">'Impacts A'!I398-'Impacts B'!I398</f>
        <v>1528.5755064269033</v>
      </c>
      <c r="J398" s="26">
        <f ca="1">'Impacts A'!J398-'Impacts B'!J398</f>
        <v>5199.9272108184814</v>
      </c>
      <c r="K398" s="26">
        <f ca="1">'Impacts A'!K398-'Impacts B'!K398</f>
        <v>10053.970850822952</v>
      </c>
      <c r="L398" s="26">
        <f ca="1">'Impacts A'!L398-'Impacts B'!L398</f>
        <v>16743.031439773287</v>
      </c>
      <c r="M398" s="6"/>
      <c r="N398" s="1" t="str">
        <f t="shared" si="12"/>
        <v>$M(2015)/million</v>
      </c>
      <c r="O398" s="1"/>
    </row>
    <row r="399" spans="1:15" s="2" customFormat="1" ht="14.25" x14ac:dyDescent="0.25">
      <c r="A399" s="2" t="s">
        <v>228</v>
      </c>
      <c r="C399" s="2" t="s">
        <v>251</v>
      </c>
    </row>
    <row r="400" spans="1:15" x14ac:dyDescent="0.2">
      <c r="A400" t="str">
        <f t="array" ref="A400:A407">R_CODE&amp;" discontinuity"</f>
        <v>EU discontinuity</v>
      </c>
      <c r="C400" s="29">
        <f ca="1">'Impacts A'!C400-'Impacts B'!C400</f>
        <v>0.77701145007449668</v>
      </c>
      <c r="D400" s="29">
        <f ca="1">'Impacts A'!D400-'Impacts B'!D400</f>
        <v>-5.2735099681012798</v>
      </c>
      <c r="E400" s="29">
        <f ca="1">'Impacts A'!E400-'Impacts B'!E400</f>
        <v>11.775488659921393</v>
      </c>
      <c r="F400" s="29">
        <f ca="1">'Impacts A'!F400-'Impacts B'!F400</f>
        <v>-7.9398059503291734</v>
      </c>
      <c r="G400" s="29">
        <f ca="1">'Impacts A'!G400-'Impacts B'!G400</f>
        <v>45.411219145767973</v>
      </c>
      <c r="H400" s="29">
        <f ca="1">'Impacts A'!H400-'Impacts B'!H400</f>
        <v>333.37984419010172</v>
      </c>
      <c r="I400" s="29">
        <f ca="1">'Impacts A'!I400-'Impacts B'!I400</f>
        <v>1267.8022140350513</v>
      </c>
      <c r="J400" s="29">
        <f ca="1">'Impacts A'!J400-'Impacts B'!J400</f>
        <v>4808.9487369347189</v>
      </c>
      <c r="K400" s="29">
        <f ca="1">'Impacts A'!K400-'Impacts B'!K400</f>
        <v>9973.0643371434708</v>
      </c>
      <c r="L400" s="29">
        <f ca="1">'Impacts A'!L400-'Impacts B'!L400</f>
        <v>16243.798398273182</v>
      </c>
      <c r="M400" s="6"/>
      <c r="N400" s="1" t="str">
        <f t="shared" ref="N400:N407" si="13">CURRENCY_NAME&amp;"/"&amp;POP_UNIT_NAME</f>
        <v>$M(2015)/million</v>
      </c>
      <c r="O400" s="1"/>
    </row>
    <row r="401" spans="1:15" x14ac:dyDescent="0.2">
      <c r="A401" t="str">
        <v>US discontinuity</v>
      </c>
      <c r="C401" s="26">
        <f ca="1">'Impacts A'!C401-'Impacts B'!C401</f>
        <v>32.531882541479717</v>
      </c>
      <c r="D401" s="26">
        <f ca="1">'Impacts A'!D401-'Impacts B'!D401</f>
        <v>10.707013144361554</v>
      </c>
      <c r="E401" s="26">
        <f ca="1">'Impacts A'!E401-'Impacts B'!E401</f>
        <v>96.512731298542349</v>
      </c>
      <c r="F401" s="26">
        <f ca="1">'Impacts A'!F401-'Impacts B'!F401</f>
        <v>170.02322712914611</v>
      </c>
      <c r="G401" s="26">
        <f ca="1">'Impacts A'!G401-'Impacts B'!G401</f>
        <v>-94.22913078313286</v>
      </c>
      <c r="H401" s="26">
        <f ca="1">'Impacts A'!H401-'Impacts B'!H401</f>
        <v>81.673356153158238</v>
      </c>
      <c r="I401" s="26">
        <f ca="1">'Impacts A'!I401-'Impacts B'!I401</f>
        <v>1973.6309512232547</v>
      </c>
      <c r="J401" s="26">
        <f ca="1">'Impacts A'!J401-'Impacts B'!J401</f>
        <v>7582.6250151882705</v>
      </c>
      <c r="K401" s="26">
        <f ca="1">'Impacts A'!K401-'Impacts B'!K401</f>
        <v>14753.133021038404</v>
      </c>
      <c r="L401" s="26">
        <f ca="1">'Impacts A'!L401-'Impacts B'!L401</f>
        <v>23471.597314850631</v>
      </c>
      <c r="M401" s="6"/>
      <c r="N401" s="1" t="str">
        <f t="shared" si="13"/>
        <v>$M(2015)/million</v>
      </c>
      <c r="O401" s="1"/>
    </row>
    <row r="402" spans="1:15" x14ac:dyDescent="0.2">
      <c r="A402" t="str">
        <v>OT discontinuity</v>
      </c>
      <c r="C402" s="26">
        <f ca="1">'Impacts A'!C402-'Impacts B'!C402</f>
        <v>-3.5716231635160511</v>
      </c>
      <c r="D402" s="26">
        <f ca="1">'Impacts A'!D402-'Impacts B'!D402</f>
        <v>-20.718568121657881</v>
      </c>
      <c r="E402" s="26">
        <f ca="1">'Impacts A'!E402-'Impacts B'!E402</f>
        <v>2.2946224599945708</v>
      </c>
      <c r="F402" s="26">
        <f ca="1">'Impacts A'!F402-'Impacts B'!F402</f>
        <v>75.929406918454333</v>
      </c>
      <c r="G402" s="26">
        <f ca="1">'Impacts A'!G402-'Impacts B'!G402</f>
        <v>37.775113355048234</v>
      </c>
      <c r="H402" s="26">
        <f ca="1">'Impacts A'!H402-'Impacts B'!H402</f>
        <v>356.6657164508797</v>
      </c>
      <c r="I402" s="26">
        <f ca="1">'Impacts A'!I402-'Impacts B'!I402</f>
        <v>1508.942476805867</v>
      </c>
      <c r="J402" s="26">
        <f ca="1">'Impacts A'!J402-'Impacts B'!J402</f>
        <v>6776.368563084674</v>
      </c>
      <c r="K402" s="26">
        <f ca="1">'Impacts A'!K402-'Impacts B'!K402</f>
        <v>13947.427313840511</v>
      </c>
      <c r="L402" s="26">
        <f ca="1">'Impacts A'!L402-'Impacts B'!L402</f>
        <v>23118.02452039413</v>
      </c>
      <c r="M402" s="6"/>
      <c r="N402" s="1" t="str">
        <f t="shared" si="13"/>
        <v>$M(2015)/million</v>
      </c>
      <c r="O402" s="1"/>
    </row>
    <row r="403" spans="1:15" x14ac:dyDescent="0.2">
      <c r="A403" t="str">
        <v>EE discontinuity</v>
      </c>
      <c r="C403" s="26">
        <f ca="1">'Impacts A'!C403-'Impacts B'!C403</f>
        <v>12.294754938047845</v>
      </c>
      <c r="D403" s="26">
        <f ca="1">'Impacts A'!D403-'Impacts B'!D403</f>
        <v>6.8210384869053087</v>
      </c>
      <c r="E403" s="26">
        <f ca="1">'Impacts A'!E403-'Impacts B'!E403</f>
        <v>-3.8406163339350314</v>
      </c>
      <c r="F403" s="26">
        <f ca="1">'Impacts A'!F403-'Impacts B'!F403</f>
        <v>-1.0126060005495674</v>
      </c>
      <c r="G403" s="26">
        <f ca="1">'Impacts A'!G403-'Impacts B'!G403</f>
        <v>-136.21730287659739</v>
      </c>
      <c r="H403" s="26">
        <f ca="1">'Impacts A'!H403-'Impacts B'!H403</f>
        <v>-848.11667076165031</v>
      </c>
      <c r="I403" s="26">
        <f ca="1">'Impacts A'!I403-'Impacts B'!I403</f>
        <v>62.025216745125363</v>
      </c>
      <c r="J403" s="26">
        <f ca="1">'Impacts A'!J403-'Impacts B'!J403</f>
        <v>3082.4514300011651</v>
      </c>
      <c r="K403" s="26">
        <f ca="1">'Impacts A'!K403-'Impacts B'!K403</f>
        <v>8776.5794883334747</v>
      </c>
      <c r="L403" s="26">
        <f ca="1">'Impacts A'!L403-'Impacts B'!L403</f>
        <v>15865.032941723184</v>
      </c>
      <c r="M403" s="6"/>
      <c r="N403" s="1" t="str">
        <f t="shared" si="13"/>
        <v>$M(2015)/million</v>
      </c>
      <c r="O403" s="1"/>
    </row>
    <row r="404" spans="1:15" x14ac:dyDescent="0.2">
      <c r="A404" t="str">
        <v>CA discontinuity</v>
      </c>
      <c r="C404" s="26">
        <f ca="1">'Impacts A'!C404-'Impacts B'!C404</f>
        <v>-10.624737520516646</v>
      </c>
      <c r="D404" s="26">
        <f ca="1">'Impacts A'!D404-'Impacts B'!D404</f>
        <v>1.56604668986256</v>
      </c>
      <c r="E404" s="26">
        <f ca="1">'Impacts A'!E404-'Impacts B'!E404</f>
        <v>50.486495628283592</v>
      </c>
      <c r="F404" s="26">
        <f ca="1">'Impacts A'!F404-'Impacts B'!F404</f>
        <v>109.59560000069177</v>
      </c>
      <c r="G404" s="26">
        <f ca="1">'Impacts A'!G404-'Impacts B'!G404</f>
        <v>-78.891916597232921</v>
      </c>
      <c r="H404" s="26">
        <f ca="1">'Impacts A'!H404-'Impacts B'!H404</f>
        <v>642.16197256538726</v>
      </c>
      <c r="I404" s="26">
        <f ca="1">'Impacts A'!I404-'Impacts B'!I404</f>
        <v>2953.9855711497949</v>
      </c>
      <c r="J404" s="26">
        <f ca="1">'Impacts A'!J404-'Impacts B'!J404</f>
        <v>7669.4079411263228</v>
      </c>
      <c r="K404" s="26">
        <f ca="1">'Impacts A'!K404-'Impacts B'!K404</f>
        <v>14717.671480718258</v>
      </c>
      <c r="L404" s="26">
        <f ca="1">'Impacts A'!L404-'Impacts B'!L404</f>
        <v>23177.232970708836</v>
      </c>
      <c r="M404" s="6"/>
      <c r="N404" s="1" t="str">
        <f t="shared" si="13"/>
        <v>$M(2015)/million</v>
      </c>
      <c r="O404" s="1"/>
    </row>
    <row r="405" spans="1:15" x14ac:dyDescent="0.2">
      <c r="A405" t="str">
        <v>IA discontinuity</v>
      </c>
      <c r="C405" s="26">
        <f ca="1">'Impacts A'!C405-'Impacts B'!C405</f>
        <v>16.866435918806019</v>
      </c>
      <c r="D405" s="26">
        <f ca="1">'Impacts A'!D405-'Impacts B'!D405</f>
        <v>14.603322574954291</v>
      </c>
      <c r="E405" s="26">
        <f ca="1">'Impacts A'!E405-'Impacts B'!E405</f>
        <v>15.902174238341104</v>
      </c>
      <c r="F405" s="26">
        <f ca="1">'Impacts A'!F405-'Impacts B'!F405</f>
        <v>76.125518669508892</v>
      </c>
      <c r="G405" s="26">
        <f ca="1">'Impacts A'!G405-'Impacts B'!G405</f>
        <v>-123.33488765233051</v>
      </c>
      <c r="H405" s="26">
        <f ca="1">'Impacts A'!H405-'Impacts B'!H405</f>
        <v>497.41091463249904</v>
      </c>
      <c r="I405" s="26">
        <f ca="1">'Impacts A'!I405-'Impacts B'!I405</f>
        <v>2186.3254993982409</v>
      </c>
      <c r="J405" s="26">
        <f ca="1">'Impacts A'!J405-'Impacts B'!J405</f>
        <v>6422.7884485526301</v>
      </c>
      <c r="K405" s="26">
        <f ca="1">'Impacts A'!K405-'Impacts B'!K405</f>
        <v>12559.348703925949</v>
      </c>
      <c r="L405" s="26">
        <f ca="1">'Impacts A'!L405-'Impacts B'!L405</f>
        <v>21103.797550280113</v>
      </c>
      <c r="M405" s="6"/>
      <c r="N405" s="1" t="str">
        <f t="shared" si="13"/>
        <v>$M(2015)/million</v>
      </c>
      <c r="O405" s="1"/>
    </row>
    <row r="406" spans="1:15" x14ac:dyDescent="0.2">
      <c r="A406" t="str">
        <v>AF discontinuity</v>
      </c>
      <c r="C406" s="26">
        <f ca="1">'Impacts A'!C406-'Impacts B'!C406</f>
        <v>7.3154278864467415</v>
      </c>
      <c r="D406" s="26">
        <f ca="1">'Impacts A'!D406-'Impacts B'!D406</f>
        <v>14.41518125735729</v>
      </c>
      <c r="E406" s="26">
        <f ca="1">'Impacts A'!E406-'Impacts B'!E406</f>
        <v>1.1011087370225141</v>
      </c>
      <c r="F406" s="26">
        <f ca="1">'Impacts A'!F406-'Impacts B'!F406</f>
        <v>53.774433927896098</v>
      </c>
      <c r="G406" s="26">
        <f ca="1">'Impacts A'!G406-'Impacts B'!G406</f>
        <v>-144.81366758069271</v>
      </c>
      <c r="H406" s="26">
        <f ca="1">'Impacts A'!H406-'Impacts B'!H406</f>
        <v>-479.94605412511009</v>
      </c>
      <c r="I406" s="26">
        <f ca="1">'Impacts A'!I406-'Impacts B'!I406</f>
        <v>545.23298855443136</v>
      </c>
      <c r="J406" s="26">
        <f ca="1">'Impacts A'!J406-'Impacts B'!J406</f>
        <v>3807.3959545573816</v>
      </c>
      <c r="K406" s="26">
        <f ca="1">'Impacts A'!K406-'Impacts B'!K406</f>
        <v>9059.8258231481886</v>
      </c>
      <c r="L406" s="26">
        <f ca="1">'Impacts A'!L406-'Impacts B'!L406</f>
        <v>16947.484467294315</v>
      </c>
      <c r="M406" s="6"/>
      <c r="N406" s="1" t="str">
        <f t="shared" si="13"/>
        <v>$M(2015)/million</v>
      </c>
      <c r="O406" s="1"/>
    </row>
    <row r="407" spans="1:15" x14ac:dyDescent="0.2">
      <c r="A407" t="str">
        <v>LA discontinuity</v>
      </c>
      <c r="C407" s="26">
        <f ca="1">'Impacts A'!C407-'Impacts B'!C407</f>
        <v>58.902029355800551</v>
      </c>
      <c r="D407" s="26">
        <f ca="1">'Impacts A'!D407-'Impacts B'!D407</f>
        <v>22.162453770451975</v>
      </c>
      <c r="E407" s="26">
        <f ca="1">'Impacts A'!E407-'Impacts B'!E407</f>
        <v>8.2389900087764545</v>
      </c>
      <c r="F407" s="26">
        <f ca="1">'Impacts A'!F407-'Impacts B'!F407</f>
        <v>125.09606677568809</v>
      </c>
      <c r="G407" s="26">
        <f ca="1">'Impacts A'!G407-'Impacts B'!G407</f>
        <v>-36.571012622829585</v>
      </c>
      <c r="H407" s="26">
        <f ca="1">'Impacts A'!H407-'Impacts B'!H407</f>
        <v>420.76585465282551</v>
      </c>
      <c r="I407" s="26">
        <f ca="1">'Impacts A'!I407-'Impacts B'!I407</f>
        <v>1798.3241252081207</v>
      </c>
      <c r="J407" s="26">
        <f ca="1">'Impacts A'!J407-'Impacts B'!J407</f>
        <v>6117.5614244923345</v>
      </c>
      <c r="K407" s="26">
        <f ca="1">'Impacts A'!K407-'Impacts B'!K407</f>
        <v>11828.201000968184</v>
      </c>
      <c r="L407" s="26">
        <f ca="1">'Impacts A'!L407-'Impacts B'!L407</f>
        <v>19697.684046792114</v>
      </c>
      <c r="M407" s="6"/>
      <c r="N407" s="1" t="str">
        <f t="shared" si="13"/>
        <v>$M(2015)/million</v>
      </c>
      <c r="O407" s="1"/>
    </row>
    <row r="408" spans="1:15" ht="14.25" x14ac:dyDescent="0.25">
      <c r="A408" s="2" t="s">
        <v>115</v>
      </c>
      <c r="B408" s="2"/>
      <c r="C408" s="53" t="s">
        <v>253</v>
      </c>
      <c r="D408" s="1"/>
      <c r="E408" s="1"/>
      <c r="F408" s="1"/>
      <c r="G408" s="1"/>
      <c r="H408" s="1"/>
      <c r="I408" s="1"/>
      <c r="J408" s="1"/>
      <c r="K408" s="1"/>
      <c r="L408" s="1"/>
      <c r="M408" s="1"/>
      <c r="N408" s="1"/>
    </row>
    <row r="409" spans="1:15" x14ac:dyDescent="0.2">
      <c r="A409" s="1" t="str">
        <f t="array" ref="A409:A416">R_CODE&amp;" total"</f>
        <v>EU total</v>
      </c>
      <c r="C409" s="28">
        <f ca="1">'Impacts A'!C409-'Impacts B'!C409</f>
        <v>-308.89075703948765</v>
      </c>
      <c r="D409" s="28">
        <f ca="1">'Impacts A'!D409-'Impacts B'!D409</f>
        <v>1889.7109299608564</v>
      </c>
      <c r="E409" s="28">
        <f ca="1">'Impacts A'!E409-'Impacts B'!E409</f>
        <v>-3802.2119635317504</v>
      </c>
      <c r="F409" s="28">
        <f ca="1">'Impacts A'!F409-'Impacts B'!F409</f>
        <v>2102.6543943652505</v>
      </c>
      <c r="G409" s="28">
        <f ca="1">'Impacts A'!G409-'Impacts B'!G409</f>
        <v>-12340.454108025209</v>
      </c>
      <c r="H409" s="28">
        <f ca="1">'Impacts A'!H409-'Impacts B'!H409</f>
        <v>-128876.42333396702</v>
      </c>
      <c r="I409" s="28">
        <f ca="1">'Impacts A'!I409-'Impacts B'!I409</f>
        <v>-305485.92409000848</v>
      </c>
      <c r="J409" s="28">
        <f ca="1">'Impacts A'!J409-'Impacts B'!J409</f>
        <v>-756010.78916287923</v>
      </c>
      <c r="K409" s="28">
        <f ca="1">'Impacts A'!K409-'Impacts B'!K409</f>
        <v>-1248749.6803623014</v>
      </c>
      <c r="L409" s="28">
        <f ca="1">'Impacts A'!L409-'Impacts B'!L409</f>
        <v>-1659948.6990500903</v>
      </c>
      <c r="M409" s="1"/>
      <c r="N409" s="1" t="str">
        <f t="array" ref="N409:N417">CURRENCY_NAME</f>
        <v>$M(2015)</v>
      </c>
    </row>
    <row r="410" spans="1:15" x14ac:dyDescent="0.2">
      <c r="A410" s="1" t="str">
        <v>US total</v>
      </c>
      <c r="C410" s="28">
        <f ca="1">'Impacts A'!C410-'Impacts B'!C410</f>
        <v>-5703.0632996070344</v>
      </c>
      <c r="D410" s="28">
        <f ca="1">'Impacts A'!D410-'Impacts B'!D410</f>
        <v>-1809.1422766834003</v>
      </c>
      <c r="E410" s="28">
        <f ca="1">'Impacts A'!E410-'Impacts B'!E410</f>
        <v>-15720.676745695702</v>
      </c>
      <c r="F410" s="28">
        <f ca="1">'Impacts A'!F410-'Impacts B'!F410</f>
        <v>-25622.284754246357</v>
      </c>
      <c r="G410" s="28">
        <f ca="1">'Impacts A'!G410-'Impacts B'!G410</f>
        <v>7182.0292200648692</v>
      </c>
      <c r="H410" s="28">
        <f ca="1">'Impacts A'!H410-'Impacts B'!H410</f>
        <v>-137966.50641641999</v>
      </c>
      <c r="I410" s="28">
        <f ca="1">'Impacts A'!I410-'Impacts B'!I410</f>
        <v>-424218.1453923072</v>
      </c>
      <c r="J410" s="28">
        <f ca="1">'Impacts A'!J410-'Impacts B'!J410</f>
        <v>-1036556.1257088552</v>
      </c>
      <c r="K410" s="28">
        <f ca="1">'Impacts A'!K410-'Impacts B'!K410</f>
        <v>-1684092.6605518465</v>
      </c>
      <c r="L410" s="28">
        <f ca="1">'Impacts A'!L410-'Impacts B'!L410</f>
        <v>-2315874.0385243567</v>
      </c>
      <c r="M410" s="1"/>
      <c r="N410" s="1" t="str">
        <v>$M(2015)</v>
      </c>
    </row>
    <row r="411" spans="1:15" x14ac:dyDescent="0.2">
      <c r="A411" s="1" t="str">
        <v>OT total</v>
      </c>
      <c r="C411" s="28">
        <f ca="1">'Impacts A'!C411-'Impacts B'!C411</f>
        <v>939.03194875538611</v>
      </c>
      <c r="D411" s="28">
        <f ca="1">'Impacts A'!D411-'Impacts B'!D411</f>
        <v>4961.5662869982189</v>
      </c>
      <c r="E411" s="28">
        <f ca="1">'Impacts A'!E411-'Impacts B'!E411</f>
        <v>-495.73129299117136</v>
      </c>
      <c r="F411" s="28">
        <f ca="1">'Impacts A'!F411-'Impacts B'!F411</f>
        <v>-13319.089926326589</v>
      </c>
      <c r="G411" s="28">
        <f ca="1">'Impacts A'!G411-'Impacts B'!G411</f>
        <v>-8328.4335118207382</v>
      </c>
      <c r="H411" s="28">
        <f ca="1">'Impacts A'!H411-'Impacts B'!H411</f>
        <v>-132832.25280942905</v>
      </c>
      <c r="I411" s="28">
        <f ca="1">'Impacts A'!I411-'Impacts B'!I411</f>
        <v>-277341.69527818327</v>
      </c>
      <c r="J411" s="28">
        <f ca="1">'Impacts A'!J411-'Impacts B'!J411</f>
        <v>-660262.3885968742</v>
      </c>
      <c r="K411" s="28">
        <f ca="1">'Impacts A'!K411-'Impacts B'!K411</f>
        <v>-1018057.7704001656</v>
      </c>
      <c r="L411" s="28">
        <f ca="1">'Impacts A'!L411-'Impacts B'!L411</f>
        <v>-1321051.1081496738</v>
      </c>
      <c r="M411" s="1"/>
      <c r="N411" s="1" t="str">
        <v>$M(2015)</v>
      </c>
    </row>
    <row r="412" spans="1:15" x14ac:dyDescent="0.2">
      <c r="A412" s="1" t="str">
        <v>EE total</v>
      </c>
      <c r="C412" s="28">
        <f ca="1">'Impacts A'!C412-'Impacts B'!C412</f>
        <v>-6297.8632988886911</v>
      </c>
      <c r="D412" s="28">
        <f ca="1">'Impacts A'!D412-'Impacts B'!D412</f>
        <v>-2739.547491518395</v>
      </c>
      <c r="E412" s="28">
        <f ca="1">'Impacts A'!E412-'Impacts B'!E412</f>
        <v>1214.6863194311154</v>
      </c>
      <c r="F412" s="28">
        <f ca="1">'Impacts A'!F412-'Impacts B'!F412</f>
        <v>214.27172324885032</v>
      </c>
      <c r="G412" s="28">
        <f ca="1">'Impacts A'!G412-'Impacts B'!G412</f>
        <v>-7715.911228483521</v>
      </c>
      <c r="H412" s="28">
        <f ca="1">'Impacts A'!H412-'Impacts B'!H412</f>
        <v>-68005.531677600942</v>
      </c>
      <c r="I412" s="28">
        <f ca="1">'Impacts A'!I412-'Impacts B'!I412</f>
        <v>-173350.99403164256</v>
      </c>
      <c r="J412" s="28">
        <f ca="1">'Impacts A'!J412-'Impacts B'!J412</f>
        <v>-313550.76261562819</v>
      </c>
      <c r="K412" s="28">
        <f ca="1">'Impacts A'!K412-'Impacts B'!K412</f>
        <v>-491911.97784164891</v>
      </c>
      <c r="L412" s="28">
        <f ca="1">'Impacts A'!L412-'Impacts B'!L412</f>
        <v>-596944.31785070547</v>
      </c>
      <c r="M412" s="1"/>
      <c r="N412" s="1" t="str">
        <v>$M(2015)</v>
      </c>
    </row>
    <row r="413" spans="1:15" x14ac:dyDescent="0.2">
      <c r="A413" s="1" t="str">
        <v>CA total</v>
      </c>
      <c r="C413" s="28">
        <f ca="1">'Impacts A'!C413-'Impacts B'!C413</f>
        <v>25662.552265294013</v>
      </c>
      <c r="D413" s="28">
        <f ca="1">'Impacts A'!D413-'Impacts B'!D413</f>
        <v>-2625.4084464665502</v>
      </c>
      <c r="E413" s="28">
        <f ca="1">'Impacts A'!E413-'Impacts B'!E413</f>
        <v>-61677.253903097473</v>
      </c>
      <c r="F413" s="28">
        <f ca="1">'Impacts A'!F413-'Impacts B'!F413</f>
        <v>-82158.417106225505</v>
      </c>
      <c r="G413" s="28">
        <f ca="1">'Impacts A'!G413-'Impacts B'!G413</f>
        <v>21255.851947761606</v>
      </c>
      <c r="H413" s="28">
        <f ca="1">'Impacts A'!H413-'Impacts B'!H413</f>
        <v>-431862.06569997338</v>
      </c>
      <c r="I413" s="28">
        <f ca="1">'Impacts A'!I413-'Impacts B'!I413</f>
        <v>-1046480.5980260007</v>
      </c>
      <c r="J413" s="28">
        <f ca="1">'Impacts A'!J413-'Impacts B'!J413</f>
        <v>-1731782.4137339317</v>
      </c>
      <c r="K413" s="28">
        <f ca="1">'Impacts A'!K413-'Impacts B'!K413</f>
        <v>-2297614.3662145082</v>
      </c>
      <c r="L413" s="28">
        <f ca="1">'Impacts A'!L413-'Impacts B'!L413</f>
        <v>-2520696.7040455304</v>
      </c>
      <c r="M413" s="1"/>
      <c r="N413" s="1" t="str">
        <v>$M(2015)</v>
      </c>
    </row>
    <row r="414" spans="1:15" x14ac:dyDescent="0.2">
      <c r="A414" s="1" t="str">
        <v>IA total</v>
      </c>
      <c r="C414" s="28">
        <f ca="1">'Impacts A'!C414-'Impacts B'!C414</f>
        <v>-214369.7221978195</v>
      </c>
      <c r="D414" s="28">
        <f ca="1">'Impacts A'!D414-'Impacts B'!D414</f>
        <v>-139383.89473465644</v>
      </c>
      <c r="E414" s="28">
        <f ca="1">'Impacts A'!E414-'Impacts B'!E414</f>
        <v>-114848.97461049724</v>
      </c>
      <c r="F414" s="28">
        <f ca="1">'Impacts A'!F414-'Impacts B'!F414</f>
        <v>-336476.73097825702</v>
      </c>
      <c r="G414" s="28">
        <f ca="1">'Impacts A'!G414-'Impacts B'!G414</f>
        <v>244225.93200470414</v>
      </c>
      <c r="H414" s="28">
        <f ca="1">'Impacts A'!H414-'Impacts B'!H414</f>
        <v>-1579966.7996124001</v>
      </c>
      <c r="I414" s="28">
        <f ca="1">'Impacts A'!I414-'Impacts B'!I414</f>
        <v>-3689156.8986167703</v>
      </c>
      <c r="J414" s="28">
        <f ca="1">'Impacts A'!J414-'Impacts B'!J414</f>
        <v>-6761902.5848367689</v>
      </c>
      <c r="K414" s="28">
        <f ca="1">'Impacts A'!K414-'Impacts B'!K414</f>
        <v>-8906099.452222066</v>
      </c>
      <c r="L414" s="28">
        <f ca="1">'Impacts A'!L414-'Impacts B'!L414</f>
        <v>-10185694.395831224</v>
      </c>
      <c r="M414" s="1"/>
      <c r="N414" s="1" t="str">
        <v>$M(2015)</v>
      </c>
    </row>
    <row r="415" spans="1:15" x14ac:dyDescent="0.2">
      <c r="A415" s="1" t="str">
        <v>AF total</v>
      </c>
      <c r="C415" s="28">
        <f ca="1">'Impacts A'!C415-'Impacts B'!C415</f>
        <v>-72076.449814083287</v>
      </c>
      <c r="D415" s="28">
        <f ca="1">'Impacts A'!D415-'Impacts B'!D415</f>
        <v>-124239.9030738438</v>
      </c>
      <c r="E415" s="28">
        <f ca="1">'Impacts A'!E415-'Impacts B'!E415</f>
        <v>-7990.8937106048688</v>
      </c>
      <c r="F415" s="28">
        <f ca="1">'Impacts A'!F415-'Impacts B'!F415</f>
        <v>-269301.33616489638</v>
      </c>
      <c r="G415" s="28">
        <f ca="1">'Impacts A'!G415-'Impacts B'!G415</f>
        <v>148367.55054783402</v>
      </c>
      <c r="H415" s="28">
        <f ca="1">'Impacts A'!H415-'Impacts B'!H415</f>
        <v>-1058332.9304000344</v>
      </c>
      <c r="I415" s="28">
        <f ca="1">'Impacts A'!I415-'Impacts B'!I415</f>
        <v>-2945700.7418606151</v>
      </c>
      <c r="J415" s="28">
        <f ca="1">'Impacts A'!J415-'Impacts B'!J415</f>
        <v>-5773166.3689248888</v>
      </c>
      <c r="K415" s="28">
        <f ca="1">'Impacts A'!K415-'Impacts B'!K415</f>
        <v>-8219965.3415436428</v>
      </c>
      <c r="L415" s="28">
        <f ca="1">'Impacts A'!L415-'Impacts B'!L415</f>
        <v>-10133917.071759723</v>
      </c>
      <c r="M415" s="1"/>
      <c r="N415" s="1" t="str">
        <v>$M(2015)</v>
      </c>
    </row>
    <row r="416" spans="1:15" x14ac:dyDescent="0.2">
      <c r="A416" s="1" t="str">
        <v>LA total</v>
      </c>
      <c r="C416" s="28">
        <f ca="1">'Impacts A'!C416-'Impacts B'!C416</f>
        <v>-88558.458988983883</v>
      </c>
      <c r="D416" s="28">
        <f ca="1">'Impacts A'!D416-'Impacts B'!D416</f>
        <v>-28263.289374428568</v>
      </c>
      <c r="E416" s="28">
        <f ca="1">'Impacts A'!E416-'Impacts B'!E416</f>
        <v>-8757.6484846419189</v>
      </c>
      <c r="F416" s="28">
        <f ca="1">'Impacts A'!F416-'Impacts B'!F416</f>
        <v>-89620.107134021702</v>
      </c>
      <c r="G416" s="28">
        <f ca="1">'Impacts A'!G416-'Impacts B'!G416</f>
        <v>12197.685839693993</v>
      </c>
      <c r="H416" s="28">
        <f ca="1">'Impacts A'!H416-'Impacts B'!H416</f>
        <v>-291484.2915919167</v>
      </c>
      <c r="I416" s="28">
        <f ca="1">'Impacts A'!I416-'Impacts B'!I416</f>
        <v>-646150.16930783703</v>
      </c>
      <c r="J416" s="28">
        <f ca="1">'Impacts A'!J416-'Impacts B'!J416</f>
        <v>-1251135.7561327345</v>
      </c>
      <c r="K416" s="28">
        <f ca="1">'Impacts A'!K416-'Impacts B'!K416</f>
        <v>-1590564.8343486583</v>
      </c>
      <c r="L416" s="28">
        <f ca="1">'Impacts A'!L416-'Impacts B'!L416</f>
        <v>-1797415.6196442209</v>
      </c>
      <c r="M416" s="1"/>
      <c r="N416" s="1" t="str">
        <v>$M(2015)</v>
      </c>
    </row>
    <row r="417" spans="1:14" ht="13.5" thickBot="1" x14ac:dyDescent="0.25">
      <c r="A417" s="2" t="s">
        <v>255</v>
      </c>
      <c r="B417" s="2"/>
      <c r="C417" s="42">
        <f ca="1">'Impacts A'!C417-'Impacts B'!C417</f>
        <v>-360712.86414237227</v>
      </c>
      <c r="D417" s="42">
        <f ca="1">'Impacts A'!D417-'Impacts B'!D417</f>
        <v>-292209.90818063822</v>
      </c>
      <c r="E417" s="42">
        <f ca="1">'Impacts A'!E417-'Impacts B'!E417</f>
        <v>-212078.70439162944</v>
      </c>
      <c r="F417" s="42">
        <f ca="1">'Impacts A'!F417-'Impacts B'!F417</f>
        <v>-814181.03994636051</v>
      </c>
      <c r="G417" s="42">
        <f ca="1">'Impacts A'!G417-'Impacts B'!G417</f>
        <v>404844.25071172789</v>
      </c>
      <c r="H417" s="42">
        <f ca="1">'Impacts A'!H417-'Impacts B'!H417</f>
        <v>-3829326.8015417419</v>
      </c>
      <c r="I417" s="42">
        <f ca="1">'Impacts A'!I417-'Impacts B'!I417</f>
        <v>-9507885.1666033659</v>
      </c>
      <c r="J417" s="42">
        <f ca="1">'Impacts A'!J417-'Impacts B'!J417</f>
        <v>-18284367.189712562</v>
      </c>
      <c r="K417" s="42">
        <f ca="1">'Impacts A'!K417-'Impacts B'!K417</f>
        <v>-25457056.083484836</v>
      </c>
      <c r="L417" s="42">
        <f ca="1">'Impacts A'!L417-'Impacts B'!L417</f>
        <v>-30531541.954855524</v>
      </c>
      <c r="M417" s="1"/>
      <c r="N417" s="1" t="str">
        <v>$M(2015)</v>
      </c>
    </row>
    <row r="418" spans="1:14" ht="15" thickTop="1" x14ac:dyDescent="0.25">
      <c r="A418" s="2" t="s">
        <v>85</v>
      </c>
      <c r="B418" s="2"/>
      <c r="C418" s="53" t="s">
        <v>254</v>
      </c>
      <c r="D418" s="1"/>
      <c r="E418" s="1"/>
      <c r="F418" s="1"/>
      <c r="G418" s="1"/>
      <c r="H418" s="1"/>
      <c r="I418" s="1"/>
      <c r="J418" s="1"/>
      <c r="K418" s="1"/>
      <c r="L418" s="1"/>
      <c r="M418" s="1"/>
      <c r="N418" s="1"/>
    </row>
    <row r="419" spans="1:14" x14ac:dyDescent="0.2">
      <c r="A419" s="1" t="str">
        <f t="array" ref="A419:A426">R_CODE&amp;" total"</f>
        <v>EU total</v>
      </c>
      <c r="C419" s="28">
        <f ca="1">'Impacts A'!C419-'Impacts B'!C419</f>
        <v>-293.41445457591908</v>
      </c>
      <c r="D419" s="28">
        <f ca="1">'Impacts A'!D419-'Impacts B'!D419</f>
        <v>1705.0949122377206</v>
      </c>
      <c r="E419" s="28">
        <f ca="1">'Impacts A'!E419-'Impacts B'!E419</f>
        <v>-3258.8629687026914</v>
      </c>
      <c r="F419" s="28">
        <f ca="1">'Impacts A'!F419-'Impacts B'!F419</f>
        <v>1626.1134947926039</v>
      </c>
      <c r="G419" s="28">
        <f ca="1">'Impacts A'!G419-'Impacts B'!G419</f>
        <v>-8611.271530634549</v>
      </c>
      <c r="H419" s="28">
        <f ca="1">'Impacts A'!H419-'Impacts B'!H419</f>
        <v>-81145.193568929317</v>
      </c>
      <c r="I419" s="28">
        <f ca="1">'Impacts A'!I419-'Impacts B'!I419</f>
        <v>-173553.63466707093</v>
      </c>
      <c r="J419" s="28">
        <f ca="1">'Impacts A'!J419-'Impacts B'!J419</f>
        <v>-387546.38155496691</v>
      </c>
      <c r="K419" s="28">
        <f ca="1">'Impacts A'!K419-'Impacts B'!K419</f>
        <v>-577596.11903272755</v>
      </c>
      <c r="L419" s="28">
        <f ca="1">'Impacts A'!L419-'Impacts B'!L419</f>
        <v>-692782.20898299501</v>
      </c>
      <c r="M419" s="1"/>
      <c r="N419" s="1" t="str">
        <f t="array" ref="N419:N427">CURRENCY_NAME</f>
        <v>$M(2015)</v>
      </c>
    </row>
    <row r="420" spans="1:14" x14ac:dyDescent="0.2">
      <c r="A420" s="1" t="str">
        <v>US total</v>
      </c>
      <c r="C420" s="28">
        <f ca="1">'Impacts A'!C420-'Impacts B'!C420</f>
        <v>-5417.3236632400076</v>
      </c>
      <c r="D420" s="28">
        <f ca="1">'Impacts A'!D420-'Impacts B'!D420</f>
        <v>-1632.397443746042</v>
      </c>
      <c r="E420" s="28">
        <f ca="1">'Impacts A'!E420-'Impacts B'!E420</f>
        <v>-13474.138680555276</v>
      </c>
      <c r="F420" s="28">
        <f ca="1">'Impacts A'!F420-'Impacts B'!F420</f>
        <v>-19815.307317243016</v>
      </c>
      <c r="G420" s="28">
        <f ca="1">'Impacts A'!G420-'Impacts B'!G420</f>
        <v>5011.679733463825</v>
      </c>
      <c r="H420" s="28">
        <f ca="1">'Impacts A'!H420-'Impacts B'!H420</f>
        <v>-86868.634150236088</v>
      </c>
      <c r="I420" s="28">
        <f ca="1">'Impacts A'!I420-'Impacts B'!I420</f>
        <v>-241008.16181260813</v>
      </c>
      <c r="J420" s="28">
        <f ca="1">'Impacts A'!J420-'Impacts B'!J420</f>
        <v>-531359.58051857213</v>
      </c>
      <c r="K420" s="28">
        <f ca="1">'Impacts A'!K420-'Impacts B'!K420</f>
        <v>-778959.46651536203</v>
      </c>
      <c r="L420" s="28">
        <f ca="1">'Impacts A'!L420-'Impacts B'!L420</f>
        <v>-966533.68447675125</v>
      </c>
      <c r="M420" s="1"/>
      <c r="N420" s="1" t="str">
        <v>$M(2015)</v>
      </c>
    </row>
    <row r="421" spans="1:14" x14ac:dyDescent="0.2">
      <c r="A421" s="1" t="str">
        <v>OT total</v>
      </c>
      <c r="C421" s="28">
        <f ca="1">'Impacts A'!C421-'Impacts B'!C421</f>
        <v>891.98378648216021</v>
      </c>
      <c r="D421" s="28">
        <f ca="1">'Impacts A'!D421-'Impacts B'!D421</f>
        <v>4476.8442085827919</v>
      </c>
      <c r="E421" s="28">
        <f ca="1">'Impacts A'!E421-'Impacts B'!E421</f>
        <v>-424.88960864124238</v>
      </c>
      <c r="F421" s="28">
        <f ca="1">'Impacts A'!F421-'Impacts B'!F421</f>
        <v>-10300.481108829204</v>
      </c>
      <c r="G421" s="28">
        <f ca="1">'Impacts A'!G421-'Impacts B'!G421</f>
        <v>-5811.6501846139727</v>
      </c>
      <c r="H421" s="28">
        <f ca="1">'Impacts A'!H421-'Impacts B'!H421</f>
        <v>-83635.92492388183</v>
      </c>
      <c r="I421" s="28">
        <f ca="1">'Impacts A'!I421-'Impacts B'!I421</f>
        <v>-157564.24589328645</v>
      </c>
      <c r="J421" s="28">
        <f ca="1">'Impacts A'!J421-'Impacts B'!J421</f>
        <v>-338463.81988925464</v>
      </c>
      <c r="K421" s="28">
        <f ca="1">'Impacts A'!K421-'Impacts B'!K421</f>
        <v>-470891.98610536772</v>
      </c>
      <c r="L421" s="28">
        <f ca="1">'Impacts A'!L421-'Impacts B'!L421</f>
        <v>-551342.76463308197</v>
      </c>
      <c r="M421" s="1"/>
      <c r="N421" s="1" t="str">
        <v>$M(2015)</v>
      </c>
    </row>
    <row r="422" spans="1:14" x14ac:dyDescent="0.2">
      <c r="A422" s="1" t="str">
        <v>EE total</v>
      </c>
      <c r="C422" s="28">
        <f ca="1">'Impacts A'!C422-'Impacts B'!C422</f>
        <v>-5982.3224966258622</v>
      </c>
      <c r="D422" s="28">
        <f ca="1">'Impacts A'!D422-'Impacts B'!D422</f>
        <v>-2471.9063723245745</v>
      </c>
      <c r="E422" s="28">
        <f ca="1">'Impacts A'!E422-'Impacts B'!E422</f>
        <v>1041.1035215687734</v>
      </c>
      <c r="F422" s="28">
        <f ca="1">'Impacts A'!F422-'Impacts B'!F422</f>
        <v>165.70965806894128</v>
      </c>
      <c r="G422" s="28">
        <f ca="1">'Impacts A'!G422-'Impacts B'!G422</f>
        <v>-5384.2270400352745</v>
      </c>
      <c r="H422" s="28">
        <f ca="1">'Impacts A'!H422-'Impacts B'!H422</f>
        <v>-42818.708720964794</v>
      </c>
      <c r="I422" s="28">
        <f ca="1">'Impacts A'!I422-'Impacts B'!I422</f>
        <v>-98484.718001202666</v>
      </c>
      <c r="J422" s="28">
        <f ca="1">'Impacts A'!J422-'Impacts B'!J422</f>
        <v>-160732.44618643547</v>
      </c>
      <c r="K422" s="28">
        <f ca="1">'Impacts A'!K422-'Impacts B'!K422</f>
        <v>-227528.74637342489</v>
      </c>
      <c r="L422" s="28">
        <f ca="1">'Impacts A'!L422-'Impacts B'!L422</f>
        <v>-249135.65304585328</v>
      </c>
      <c r="M422" s="1"/>
      <c r="N422" s="1" t="str">
        <v>$M(2015)</v>
      </c>
    </row>
    <row r="423" spans="1:14" x14ac:dyDescent="0.2">
      <c r="A423" s="1" t="str">
        <v>CA total</v>
      </c>
      <c r="C423" s="28">
        <f ca="1">'Impacts A'!C423-'Impacts B'!C423</f>
        <v>24376.785657541302</v>
      </c>
      <c r="D423" s="28">
        <f ca="1">'Impacts A'!D423-'Impacts B'!D423</f>
        <v>-2368.9181840679375</v>
      </c>
      <c r="E423" s="28">
        <f ca="1">'Impacts A'!E423-'Impacts B'!E423</f>
        <v>-52863.364979099482</v>
      </c>
      <c r="F423" s="28">
        <f ca="1">'Impacts A'!F423-'Impacts B'!F423</f>
        <v>-63538.216801227536</v>
      </c>
      <c r="G423" s="28">
        <f ca="1">'Impacts A'!G423-'Impacts B'!G423</f>
        <v>14832.510305930162</v>
      </c>
      <c r="H423" s="28">
        <f ca="1">'Impacts A'!H423-'Impacts B'!H423</f>
        <v>-271915.76247806882</v>
      </c>
      <c r="I423" s="28">
        <f ca="1">'Impacts A'!I423-'Impacts B'!I423</f>
        <v>-594529.88525412302</v>
      </c>
      <c r="J423" s="28">
        <f ca="1">'Impacts A'!J423-'Impacts B'!J423</f>
        <v>-887746.60058259591</v>
      </c>
      <c r="K423" s="28">
        <f ca="1">'Impacts A'!K423-'Impacts B'!K423</f>
        <v>-1062737.522042295</v>
      </c>
      <c r="L423" s="28">
        <f ca="1">'Impacts A'!L423-'Impacts B'!L423</f>
        <v>-1052016.7471465464</v>
      </c>
      <c r="M423" s="1"/>
      <c r="N423" s="1" t="str">
        <v>$M(2015)</v>
      </c>
    </row>
    <row r="424" spans="1:14" x14ac:dyDescent="0.2">
      <c r="A424" s="1" t="str">
        <v>IA total</v>
      </c>
      <c r="C424" s="28">
        <f ca="1">'Impacts A'!C424-'Impacts B'!C424</f>
        <v>-203629.19149511331</v>
      </c>
      <c r="D424" s="28">
        <f ca="1">'Impacts A'!D424-'Impacts B'!D424</f>
        <v>-125766.73288589367</v>
      </c>
      <c r="E424" s="28">
        <f ca="1">'Impacts A'!E424-'Impacts B'!E424</f>
        <v>-98436.666325138416</v>
      </c>
      <c r="F424" s="28">
        <f ca="1">'Impacts A'!F424-'Impacts B'!F424</f>
        <v>-260218.39556406019</v>
      </c>
      <c r="G424" s="28">
        <f ca="1">'Impacts A'!G424-'Impacts B'!G424</f>
        <v>170422.88694604207</v>
      </c>
      <c r="H424" s="28">
        <f ca="1">'Impacts A'!H424-'Impacts B'!H424</f>
        <v>-994803.45954976184</v>
      </c>
      <c r="I424" s="28">
        <f ca="1">'Impacts A'!I424-'Impacts B'!I424</f>
        <v>-2095895.549097022</v>
      </c>
      <c r="J424" s="28">
        <f ca="1">'Impacts A'!J424-'Impacts B'!J424</f>
        <v>-3466287.6730666347</v>
      </c>
      <c r="K424" s="28">
        <f ca="1">'Impacts A'!K424-'Impacts B'!K424</f>
        <v>-4119423.2600968461</v>
      </c>
      <c r="L424" s="28">
        <f ca="1">'Impacts A'!L424-'Impacts B'!L424</f>
        <v>-4251015.6293430934</v>
      </c>
      <c r="M424" s="1"/>
      <c r="N424" s="1" t="str">
        <v>$M(2015)</v>
      </c>
    </row>
    <row r="425" spans="1:14" x14ac:dyDescent="0.2">
      <c r="A425" s="1" t="str">
        <v>AF total</v>
      </c>
      <c r="C425" s="28">
        <f ca="1">'Impacts A'!C425-'Impacts B'!C425</f>
        <v>-68465.215381191461</v>
      </c>
      <c r="D425" s="28">
        <f ca="1">'Impacts A'!D425-'Impacts B'!D425</f>
        <v>-112102.23916761018</v>
      </c>
      <c r="E425" s="28">
        <f ca="1">'Impacts A'!E425-'Impacts B'!E425</f>
        <v>-6848.9678771460894</v>
      </c>
      <c r="F425" s="28">
        <f ca="1">'Impacts A'!F425-'Impacts B'!F425</f>
        <v>-208267.48231994454</v>
      </c>
      <c r="G425" s="28">
        <f ca="1">'Impacts A'!G425-'Impacts B'!G425</f>
        <v>103532.11096759234</v>
      </c>
      <c r="H425" s="28">
        <f ca="1">'Impacts A'!H425-'Impacts B'!H425</f>
        <v>-666364.16713039391</v>
      </c>
      <c r="I425" s="28">
        <f ca="1">'Impacts A'!I425-'Impacts B'!I425</f>
        <v>-1673520.8730624397</v>
      </c>
      <c r="J425" s="28">
        <f ca="1">'Impacts A'!J425-'Impacts B'!J425</f>
        <v>-2959441.5429825783</v>
      </c>
      <c r="K425" s="28">
        <f ca="1">'Impacts A'!K425-'Impacts B'!K425</f>
        <v>-3802059.0952076521</v>
      </c>
      <c r="L425" s="28">
        <f ca="1">'Impacts A'!L425-'Impacts B'!L425</f>
        <v>-4229406.2814361313</v>
      </c>
      <c r="M425" s="1"/>
      <c r="N425" s="1" t="str">
        <v>$M(2015)</v>
      </c>
    </row>
    <row r="426" spans="1:14" x14ac:dyDescent="0.2">
      <c r="A426" s="1" t="str">
        <v>LA total</v>
      </c>
      <c r="C426" s="28">
        <f ca="1">'Impacts A'!C426-'Impacts B'!C426</f>
        <v>-84121.429178972816</v>
      </c>
      <c r="D426" s="28">
        <f ca="1">'Impacts A'!D426-'Impacts B'!D426</f>
        <v>-25502.096723565541</v>
      </c>
      <c r="E426" s="28">
        <f ca="1">'Impacts A'!E426-'Impacts B'!E426</f>
        <v>-7506.1507914999966</v>
      </c>
      <c r="F426" s="28">
        <f ca="1">'Impacts A'!F426-'Impacts B'!F426</f>
        <v>-69308.806052925182</v>
      </c>
      <c r="G426" s="28">
        <f ca="1">'Impacts A'!G426-'Impacts B'!G426</f>
        <v>8511.646645375411</v>
      </c>
      <c r="H426" s="28">
        <f ca="1">'Impacts A'!H426-'Impacts B'!H426</f>
        <v>-183528.90817147936</v>
      </c>
      <c r="I426" s="28">
        <f ca="1">'Impacts A'!I426-'Impacts B'!I426</f>
        <v>-367092.88900354342</v>
      </c>
      <c r="J426" s="28">
        <f ca="1">'Impacts A'!J426-'Impacts B'!J426</f>
        <v>-641357.42779566988</v>
      </c>
      <c r="K426" s="28">
        <f ca="1">'Impacts A'!K426-'Impacts B'!K426</f>
        <v>-735699.14758510562</v>
      </c>
      <c r="L426" s="28">
        <f ca="1">'Impacts A'!L426-'Impacts B'!L426</f>
        <v>-750154.24521868723</v>
      </c>
      <c r="M426" s="1"/>
      <c r="N426" s="1" t="str">
        <v>$M(2015)</v>
      </c>
    </row>
    <row r="427" spans="1:14" ht="13.5" thickBot="1" x14ac:dyDescent="0.25">
      <c r="A427" s="2" t="s">
        <v>255</v>
      </c>
      <c r="B427" s="2"/>
      <c r="C427" s="42">
        <f ca="1">'Impacts A'!C427-'Impacts B'!C427</f>
        <v>-342640.12722569564</v>
      </c>
      <c r="D427" s="42">
        <f ca="1">'Impacts A'!D427-'Impacts B'!D427</f>
        <v>-263662.35165638663</v>
      </c>
      <c r="E427" s="42">
        <f ca="1">'Impacts A'!E427-'Impacts B'!E427</f>
        <v>-181771.93770921417</v>
      </c>
      <c r="F427" s="42">
        <f ca="1">'Impacts A'!F427-'Impacts B'!F427</f>
        <v>-629656.86601136811</v>
      </c>
      <c r="G427" s="42">
        <f ca="1">'Impacts A'!G427-'Impacts B'!G427</f>
        <v>282503.68584312126</v>
      </c>
      <c r="H427" s="42">
        <f ca="1">'Impacts A'!H427-'Impacts B'!H427</f>
        <v>-2411080.7586937174</v>
      </c>
      <c r="I427" s="42">
        <f ca="1">'Impacts A'!I427-'Impacts B'!I427</f>
        <v>-5401649.9567912966</v>
      </c>
      <c r="J427" s="42">
        <f ca="1">'Impacts A'!J427-'Impacts B'!J427</f>
        <v>-9372935.4725767076</v>
      </c>
      <c r="K427" s="42">
        <f ca="1">'Impacts A'!K427-'Impacts B'!K427</f>
        <v>-11774895.342958782</v>
      </c>
      <c r="L427" s="42">
        <f ca="1">'Impacts A'!L427-'Impacts B'!L427</f>
        <v>-12742387.214283139</v>
      </c>
      <c r="M427" s="1"/>
      <c r="N427" s="1" t="str">
        <v>$M(2015)</v>
      </c>
    </row>
    <row r="428" spans="1:14" ht="15" thickTop="1" x14ac:dyDescent="0.25">
      <c r="A428" s="2" t="s">
        <v>84</v>
      </c>
      <c r="B428" s="2"/>
      <c r="C428" s="2" t="s">
        <v>256</v>
      </c>
      <c r="D428" s="1"/>
      <c r="E428" s="1"/>
      <c r="F428" s="1"/>
      <c r="G428" s="1"/>
      <c r="H428" s="1"/>
      <c r="I428" s="1"/>
      <c r="J428" s="1"/>
      <c r="K428" s="1"/>
      <c r="L428" s="1"/>
      <c r="M428" s="1"/>
      <c r="N428" s="1"/>
    </row>
    <row r="429" spans="1:14" x14ac:dyDescent="0.2">
      <c r="A429" s="1" t="str">
        <f t="array" ref="A429:A436">R_CODE&amp;" total"</f>
        <v>EU total</v>
      </c>
      <c r="B429" s="3"/>
      <c r="C429" s="28">
        <f ca="1">'Impacts A'!C429-'Impacts B'!C429</f>
        <v>-2200.608409319364</v>
      </c>
      <c r="D429" s="28">
        <f ca="1">'Impacts A'!D429-'Impacts B'!D429</f>
        <v>8525.4745611886028</v>
      </c>
      <c r="E429" s="28">
        <f ca="1">'Impacts A'!E429-'Impacts B'!E429</f>
        <v>-24441.472265270189</v>
      </c>
      <c r="F429" s="28">
        <f ca="1">'Impacts A'!F429-'Impacts B'!F429</f>
        <v>16261.134947926039</v>
      </c>
      <c r="G429" s="28">
        <f ca="1">'Impacts A'!G429-'Impacts B'!G429</f>
        <v>-86112.715306345373</v>
      </c>
      <c r="H429" s="28">
        <f ca="1">'Impacts A'!H429-'Impacts B'!H429</f>
        <v>-811451.93568929308</v>
      </c>
      <c r="I429" s="28">
        <f ca="1">'Impacts A'!I429-'Impacts B'!I429</f>
        <v>-1735536.3466707093</v>
      </c>
      <c r="J429" s="28">
        <f ca="1">'Impacts A'!J429-'Impacts B'!J429</f>
        <v>-3875463.8155496684</v>
      </c>
      <c r="K429" s="28">
        <f ca="1">'Impacts A'!K429-'Impacts B'!K429</f>
        <v>-5775961.1903272746</v>
      </c>
      <c r="L429" s="28">
        <f ca="1">'Impacts A'!L429-'Impacts B'!L429</f>
        <v>-3463911.0449149748</v>
      </c>
      <c r="M429" s="40">
        <f ca="1">_xll.RiskOutput(,"regional and global extra impact",1)+'Impacts A'!M429-'Impacts B'!M429</f>
        <v>-15750292.519623745</v>
      </c>
      <c r="N429" s="1" t="str">
        <f t="array" ref="N429:N437">CURRENCY_NAME</f>
        <v>$M(2015)</v>
      </c>
    </row>
    <row r="430" spans="1:14" x14ac:dyDescent="0.2">
      <c r="A430" s="1" t="str">
        <v>US total</v>
      </c>
      <c r="B430" s="3"/>
      <c r="C430" s="28">
        <f ca="1">'Impacts A'!C430-'Impacts B'!C430</f>
        <v>-40629.927474300086</v>
      </c>
      <c r="D430" s="28">
        <f ca="1">'Impacts A'!D430-'Impacts B'!D430</f>
        <v>-8161.9872187302099</v>
      </c>
      <c r="E430" s="28">
        <f ca="1">'Impacts A'!E430-'Impacts B'!E430</f>
        <v>-101056.04010416451</v>
      </c>
      <c r="F430" s="28">
        <f ca="1">'Impacts A'!F430-'Impacts B'!F430</f>
        <v>-198153.07317243028</v>
      </c>
      <c r="G430" s="28">
        <f ca="1">'Impacts A'!G430-'Impacts B'!G430</f>
        <v>50116.797334637959</v>
      </c>
      <c r="H430" s="28">
        <f ca="1">'Impacts A'!H430-'Impacts B'!H430</f>
        <v>-868686.341502361</v>
      </c>
      <c r="I430" s="28">
        <f ca="1">'Impacts A'!I430-'Impacts B'!I430</f>
        <v>-2410081.6181260813</v>
      </c>
      <c r="J430" s="28">
        <f ca="1">'Impacts A'!J430-'Impacts B'!J430</f>
        <v>-5313595.8051857222</v>
      </c>
      <c r="K430" s="28">
        <f ca="1">'Impacts A'!K430-'Impacts B'!K430</f>
        <v>-7789594.6651536198</v>
      </c>
      <c r="L430" s="28">
        <f ca="1">'Impacts A'!L430-'Impacts B'!L430</f>
        <v>-4832668.4223837564</v>
      </c>
      <c r="M430" s="40">
        <f ca="1">_xll.RiskOutput(,"regional and global extra impact",2)+'Impacts A'!M430-'Impacts B'!M430</f>
        <v>-21512511.082986526</v>
      </c>
      <c r="N430" s="1" t="str">
        <v>$M(2015)</v>
      </c>
    </row>
    <row r="431" spans="1:14" x14ac:dyDescent="0.2">
      <c r="A431" s="1" t="str">
        <v>OT total</v>
      </c>
      <c r="B431" s="3"/>
      <c r="C431" s="28">
        <f ca="1">'Impacts A'!C431-'Impacts B'!C431</f>
        <v>6689.8783986162161</v>
      </c>
      <c r="D431" s="28">
        <f ca="1">'Impacts A'!D431-'Impacts B'!D431</f>
        <v>22384.221042913967</v>
      </c>
      <c r="E431" s="28">
        <f ca="1">'Impacts A'!E431-'Impacts B'!E431</f>
        <v>-3186.6720648093615</v>
      </c>
      <c r="F431" s="28">
        <f ca="1">'Impacts A'!F431-'Impacts B'!F431</f>
        <v>-103004.81108829193</v>
      </c>
      <c r="G431" s="28">
        <f ca="1">'Impacts A'!G431-'Impacts B'!G431</f>
        <v>-58116.501846139785</v>
      </c>
      <c r="H431" s="28">
        <f ca="1">'Impacts A'!H431-'Impacts B'!H431</f>
        <v>-836359.24923881842</v>
      </c>
      <c r="I431" s="28">
        <f ca="1">'Impacts A'!I431-'Impacts B'!I431</f>
        <v>-1575642.4589328647</v>
      </c>
      <c r="J431" s="28">
        <f ca="1">'Impacts A'!J431-'Impacts B'!J431</f>
        <v>-3384638.1988925459</v>
      </c>
      <c r="K431" s="28">
        <f ca="1">'Impacts A'!K431-'Impacts B'!K431</f>
        <v>-4708919.8610536773</v>
      </c>
      <c r="L431" s="28">
        <f ca="1">'Impacts A'!L431-'Impacts B'!L431</f>
        <v>-2756713.8231654093</v>
      </c>
      <c r="M431" s="40">
        <f ca="1">_xll.RiskOutput(,"regional and global extra impact",3)+'Impacts A'!M431-'Impacts B'!M431</f>
        <v>-13397507.476841023</v>
      </c>
      <c r="N431" s="1" t="str">
        <v>$M(2015)</v>
      </c>
    </row>
    <row r="432" spans="1:14" x14ac:dyDescent="0.2">
      <c r="A432" s="1" t="str">
        <v>EE total</v>
      </c>
      <c r="B432" s="3"/>
      <c r="C432" s="28">
        <f ca="1">'Impacts A'!C432-'Impacts B'!C432</f>
        <v>-44867.418724693962</v>
      </c>
      <c r="D432" s="28">
        <f ca="1">'Impacts A'!D432-'Impacts B'!D432</f>
        <v>-12359.531861622876</v>
      </c>
      <c r="E432" s="28">
        <f ca="1">'Impacts A'!E432-'Impacts B'!E432</f>
        <v>7808.276411765808</v>
      </c>
      <c r="F432" s="28">
        <f ca="1">'Impacts A'!F432-'Impacts B'!F432</f>
        <v>1657.0965806894237</v>
      </c>
      <c r="G432" s="28">
        <f ca="1">'Impacts A'!G432-'Impacts B'!G432</f>
        <v>-53842.270400352747</v>
      </c>
      <c r="H432" s="28">
        <f ca="1">'Impacts A'!H432-'Impacts B'!H432</f>
        <v>-428187.08720964787</v>
      </c>
      <c r="I432" s="28">
        <f ca="1">'Impacts A'!I432-'Impacts B'!I432</f>
        <v>-984847.18001202669</v>
      </c>
      <c r="J432" s="28">
        <f ca="1">'Impacts A'!J432-'Impacts B'!J432</f>
        <v>-1607324.4618643546</v>
      </c>
      <c r="K432" s="28">
        <f ca="1">'Impacts A'!K432-'Impacts B'!K432</f>
        <v>-2275287.4637342491</v>
      </c>
      <c r="L432" s="28">
        <f ca="1">'Impacts A'!L432-'Impacts B'!L432</f>
        <v>-1245678.2652292664</v>
      </c>
      <c r="M432" s="40">
        <f ca="1">_xll.RiskOutput(,"regional and global extra impact",4)+'Impacts A'!M432-'Impacts B'!M432</f>
        <v>-6642928.306043759</v>
      </c>
      <c r="N432" s="1" t="str">
        <v>$M(2015)</v>
      </c>
    </row>
    <row r="433" spans="1:14" x14ac:dyDescent="0.2">
      <c r="A433" s="1" t="str">
        <v>CA total</v>
      </c>
      <c r="B433" s="3"/>
      <c r="C433" s="28">
        <f ca="1">'Impacts A'!C433-'Impacts B'!C433</f>
        <v>182825.89243155997</v>
      </c>
      <c r="D433" s="28">
        <f ca="1">'Impacts A'!D433-'Impacts B'!D433</f>
        <v>-11844.590920339338</v>
      </c>
      <c r="E433" s="28">
        <f ca="1">'Impacts A'!E433-'Impacts B'!E433</f>
        <v>-396475.23734324612</v>
      </c>
      <c r="F433" s="28">
        <f ca="1">'Impacts A'!F433-'Impacts B'!F433</f>
        <v>-635382.16801227629</v>
      </c>
      <c r="G433" s="28">
        <f ca="1">'Impacts A'!G433-'Impacts B'!G433</f>
        <v>148325.10305930115</v>
      </c>
      <c r="H433" s="28">
        <f ca="1">'Impacts A'!H433-'Impacts B'!H433</f>
        <v>-2719157.6247806875</v>
      </c>
      <c r="I433" s="28">
        <f ca="1">'Impacts A'!I433-'Impacts B'!I433</f>
        <v>-5945298.8525412306</v>
      </c>
      <c r="J433" s="28">
        <f ca="1">'Impacts A'!J433-'Impacts B'!J433</f>
        <v>-8877466.0058259591</v>
      </c>
      <c r="K433" s="28">
        <f ca="1">'Impacts A'!K433-'Impacts B'!K433</f>
        <v>-10627375.22042295</v>
      </c>
      <c r="L433" s="28">
        <f ca="1">'Impacts A'!L433-'Impacts B'!L433</f>
        <v>-5260083.7357327314</v>
      </c>
      <c r="M433" s="40">
        <f ca="1">_xll.RiskOutput(,"regional and global extra impact",5)+'Impacts A'!M433-'Impacts B'!M433</f>
        <v>-34141932.44008854</v>
      </c>
      <c r="N433" s="1" t="str">
        <v>$M(2015)</v>
      </c>
    </row>
    <row r="434" spans="1:14" x14ac:dyDescent="0.2">
      <c r="A434" s="1" t="str">
        <v>IA total</v>
      </c>
      <c r="B434" s="3"/>
      <c r="C434" s="28">
        <f ca="1">'Impacts A'!C434-'Impacts B'!C434</f>
        <v>-1527218.9362133499</v>
      </c>
      <c r="D434" s="28">
        <f ca="1">'Impacts A'!D434-'Impacts B'!D434</f>
        <v>-628833.66442946903</v>
      </c>
      <c r="E434" s="28">
        <f ca="1">'Impacts A'!E434-'Impacts B'!E434</f>
        <v>-738274.99743853882</v>
      </c>
      <c r="F434" s="28">
        <f ca="1">'Impacts A'!F434-'Impacts B'!F434</f>
        <v>-2602183.9556405991</v>
      </c>
      <c r="G434" s="28">
        <f ca="1">'Impacts A'!G434-'Impacts B'!G434</f>
        <v>1704228.8694604188</v>
      </c>
      <c r="H434" s="28">
        <f ca="1">'Impacts A'!H434-'Impacts B'!H434</f>
        <v>-9948034.5954976156</v>
      </c>
      <c r="I434" s="28">
        <f ca="1">'Impacts A'!I434-'Impacts B'!I434</f>
        <v>-20958955.490970217</v>
      </c>
      <c r="J434" s="28">
        <f ca="1">'Impacts A'!J434-'Impacts B'!J434</f>
        <v>-34662876.730666347</v>
      </c>
      <c r="K434" s="28">
        <f ca="1">'Impacts A'!K434-'Impacts B'!K434</f>
        <v>-41194232.600968458</v>
      </c>
      <c r="L434" s="28">
        <f ca="1">'Impacts A'!L434-'Impacts B'!L434</f>
        <v>-21255078.146715466</v>
      </c>
      <c r="M434" s="40">
        <f ca="1">_xll.RiskOutput(,"regional and global extra impact",6)+'Impacts A'!M434-'Impacts B'!M434</f>
        <v>-131811460.24907964</v>
      </c>
      <c r="N434" s="1" t="str">
        <v>$M(2015)</v>
      </c>
    </row>
    <row r="435" spans="1:14" x14ac:dyDescent="0.2">
      <c r="A435" s="1" t="str">
        <v>AF total</v>
      </c>
      <c r="B435" s="3"/>
      <c r="C435" s="28">
        <f ca="1">'Impacts A'!C435-'Impacts B'!C435</f>
        <v>-513489.11535893567</v>
      </c>
      <c r="D435" s="28">
        <f ca="1">'Impacts A'!D435-'Impacts B'!D435</f>
        <v>-560511.19583805092</v>
      </c>
      <c r="E435" s="28">
        <f ca="1">'Impacts A'!E435-'Impacts B'!E435</f>
        <v>-51367.259078595787</v>
      </c>
      <c r="F435" s="28">
        <f ca="1">'Impacts A'!F435-'Impacts B'!F435</f>
        <v>-2082674.8231994472</v>
      </c>
      <c r="G435" s="28">
        <f ca="1">'Impacts A'!G435-'Impacts B'!G435</f>
        <v>1035321.1096759215</v>
      </c>
      <c r="H435" s="28">
        <f ca="1">'Impacts A'!H435-'Impacts B'!H435</f>
        <v>-6663641.6713039428</v>
      </c>
      <c r="I435" s="28">
        <f ca="1">'Impacts A'!I435-'Impacts B'!I435</f>
        <v>-16735208.7306244</v>
      </c>
      <c r="J435" s="28">
        <f ca="1">'Impacts A'!J435-'Impacts B'!J435</f>
        <v>-29594415.429825783</v>
      </c>
      <c r="K435" s="28">
        <f ca="1">'Impacts A'!K435-'Impacts B'!K435</f>
        <v>-38020590.952076524</v>
      </c>
      <c r="L435" s="28">
        <f ca="1">'Impacts A'!L435-'Impacts B'!L435</f>
        <v>-21147031.407180656</v>
      </c>
      <c r="M435" s="40">
        <f ca="1">_xll.RiskOutput(,"regional and global extra impact",7)+'Impacts A'!M435-'Impacts B'!M435</f>
        <v>-114333609.47481039</v>
      </c>
      <c r="N435" s="1" t="str">
        <v>$M(2015)</v>
      </c>
    </row>
    <row r="436" spans="1:14" x14ac:dyDescent="0.2">
      <c r="A436" s="1" t="str">
        <v>LA total</v>
      </c>
      <c r="B436" s="3"/>
      <c r="C436" s="28">
        <f ca="1">'Impacts A'!C436-'Impacts B'!C436</f>
        <v>-630910.71884229616</v>
      </c>
      <c r="D436" s="28">
        <f ca="1">'Impacts A'!D436-'Impacts B'!D436</f>
        <v>-127510.48361782776</v>
      </c>
      <c r="E436" s="28">
        <f ca="1">'Impacts A'!E436-'Impacts B'!E436</f>
        <v>-56296.130936250091</v>
      </c>
      <c r="F436" s="28">
        <f ca="1">'Impacts A'!F436-'Impacts B'!F436</f>
        <v>-693088.06052925158</v>
      </c>
      <c r="G436" s="28">
        <f ca="1">'Impacts A'!G436-'Impacts B'!G436</f>
        <v>85116.466453754343</v>
      </c>
      <c r="H436" s="28">
        <f ca="1">'Impacts A'!H436-'Impacts B'!H436</f>
        <v>-1835289.0817147931</v>
      </c>
      <c r="I436" s="28">
        <f ca="1">'Impacts A'!I436-'Impacts B'!I436</f>
        <v>-3670928.8900354346</v>
      </c>
      <c r="J436" s="28">
        <f ca="1">'Impacts A'!J436-'Impacts B'!J436</f>
        <v>-6413574.2779566981</v>
      </c>
      <c r="K436" s="28">
        <f ca="1">'Impacts A'!K436-'Impacts B'!K436</f>
        <v>-7356991.4758510552</v>
      </c>
      <c r="L436" s="28">
        <f ca="1">'Impacts A'!L436-'Impacts B'!L436</f>
        <v>-3750771.2260934366</v>
      </c>
      <c r="M436" s="40">
        <f ca="1">_xll.RiskOutput(,"regional and global extra impact",8)+'Impacts A'!M436-'Impacts B'!M436</f>
        <v>-24450243.879123293</v>
      </c>
      <c r="N436" s="1" t="str">
        <v>$M(2015)</v>
      </c>
    </row>
    <row r="437" spans="1:14" ht="13.5" thickBot="1" x14ac:dyDescent="0.25">
      <c r="A437" s="2" t="s">
        <v>255</v>
      </c>
      <c r="B437" s="2"/>
      <c r="C437" s="42">
        <f ca="1">'Impacts A'!C437-'Impacts B'!C437</f>
        <v>-2569800.9541927204</v>
      </c>
      <c r="D437" s="42">
        <f ca="1">'Impacts A'!D437-'Impacts B'!D437</f>
        <v>-1318311.7582819387</v>
      </c>
      <c r="E437" s="42">
        <f ca="1">'Impacts A'!E437-'Impacts B'!E437</f>
        <v>-1363289.5328191072</v>
      </c>
      <c r="F437" s="42">
        <f ca="1">'Impacts A'!F437-'Impacts B'!F437</f>
        <v>-6296568.6601136774</v>
      </c>
      <c r="G437" s="42">
        <f ca="1">'Impacts A'!G437-'Impacts B'!G437</f>
        <v>2825036.8584311903</v>
      </c>
      <c r="H437" s="42">
        <f ca="1">'Impacts A'!H437-'Impacts B'!H437</f>
        <v>-24110807.586937144</v>
      </c>
      <c r="I437" s="42">
        <f ca="1">'Impacts A'!I437-'Impacts B'!I437</f>
        <v>-54016499.567912951</v>
      </c>
      <c r="J437" s="42">
        <f ca="1">'Impacts A'!J437-'Impacts B'!J437</f>
        <v>-93729354.725767076</v>
      </c>
      <c r="K437" s="42">
        <f ca="1">'Impacts A'!K437-'Impacts B'!K437</f>
        <v>-117748953.42958781</v>
      </c>
      <c r="L437" s="42">
        <f ca="1">'Impacts A'!L437-'Impacts B'!L437</f>
        <v>-63711936.071415693</v>
      </c>
      <c r="M437" s="40">
        <f ca="1">_xll.RiskOutput(,"regional and global extra impact",9)+'Impacts A'!M437-'Impacts B'!M437</f>
        <v>-362040485.42859709</v>
      </c>
      <c r="N437" s="1" t="str">
        <v>$M(2015)</v>
      </c>
    </row>
    <row r="438" spans="1:14" ht="14.25" thickTop="1" thickBot="1" x14ac:dyDescent="0.25">
      <c r="A438" s="2" t="s">
        <v>87</v>
      </c>
      <c r="B438" s="2"/>
      <c r="M438" s="42">
        <f ca="1">'Impacts A'!M438-'Impacts B'!M438</f>
        <v>-362040485.42859709</v>
      </c>
      <c r="N438" s="1" t="str">
        <f>CURRENCY_NAME</f>
        <v>$M(2015)</v>
      </c>
    </row>
    <row r="439" spans="1:14" ht="13.5" thickTop="1" x14ac:dyDescent="0.2">
      <c r="A439" s="2"/>
      <c r="B439" s="2"/>
      <c r="N439" s="1"/>
    </row>
    <row r="440" spans="1:14" x14ac:dyDescent="0.2">
      <c r="A440" s="2" t="s">
        <v>588</v>
      </c>
      <c r="B440" s="7"/>
      <c r="C440" s="28">
        <f ca="1">'Impacts A'!C440-'Impacts B'!C440</f>
        <v>0</v>
      </c>
      <c r="D440" s="28">
        <f ca="1">'Impacts A'!D440-'Impacts B'!D440</f>
        <v>0</v>
      </c>
      <c r="E440" s="28">
        <f ca="1">'Impacts A'!E440-'Impacts B'!E440</f>
        <v>0</v>
      </c>
      <c r="F440" s="28">
        <f ca="1">'Impacts A'!F440-'Impacts B'!F440</f>
        <v>0</v>
      </c>
      <c r="G440" s="28">
        <f ca="1">'Impacts A'!G440-'Impacts B'!G440</f>
        <v>0</v>
      </c>
      <c r="H440" s="28">
        <f ca="1">'Impacts A'!H440-'Impacts B'!H440</f>
        <v>0</v>
      </c>
      <c r="I440" s="28">
        <f ca="1">'Impacts A'!I440-'Impacts B'!I440</f>
        <v>0</v>
      </c>
      <c r="J440" s="28">
        <f ca="1">'Impacts A'!J440-'Impacts B'!J440</f>
        <v>0</v>
      </c>
      <c r="K440" s="28">
        <f ca="1">'Impacts A'!K440-'Impacts B'!K440</f>
        <v>0</v>
      </c>
      <c r="L440" s="28">
        <f ca="1">'Impacts A'!L440-'Impacts B'!L440</f>
        <v>0</v>
      </c>
      <c r="M440" s="40">
        <f ca="1">'Impacts A'!M440-'Impacts B'!M440</f>
        <v>0</v>
      </c>
    </row>
    <row r="442" spans="1:14" ht="13.5" thickBot="1" x14ac:dyDescent="0.25">
      <c r="A442" s="2" t="s">
        <v>413</v>
      </c>
      <c r="M442" s="42">
        <f ca="1">'Impacts A'!M442-'Impacts B'!M442</f>
        <v>-428830139.87469172</v>
      </c>
      <c r="N442" s="1" t="str">
        <f>CURRENCY_NAME</f>
        <v>$M(2015)</v>
      </c>
    </row>
    <row r="443" spans="1:14" ht="14.25" thickTop="1" thickBot="1" x14ac:dyDescent="0.25">
      <c r="A443" s="2" t="str">
        <f>"SCCO2 in "&amp;Y_SCC</f>
        <v>SCCO2 in 2020</v>
      </c>
      <c r="M443" s="159">
        <f>_xll.RiskOutput("SCCO2")+'Impacts A'!M443-'Impacts B'!M443</f>
        <v>0</v>
      </c>
      <c r="N443" s="59" t="str">
        <f>"$("&amp;Y_0&amp;") per tonCO2"</f>
        <v>$(2015) per tonCO2</v>
      </c>
    </row>
    <row r="444" spans="1:14" ht="13.5" thickTop="1" x14ac:dyDescent="0.2">
      <c r="A444" s="2"/>
      <c r="M444" s="6"/>
      <c r="N444" s="59"/>
    </row>
    <row r="447" spans="1:14" x14ac:dyDescent="0.2">
      <c r="A447" s="2"/>
    </row>
    <row r="448" spans="1:14" x14ac:dyDescent="0.2">
      <c r="C448" s="6"/>
      <c r="D448" s="6"/>
      <c r="E448" s="6"/>
      <c r="F448" s="6"/>
      <c r="H448" s="3"/>
    </row>
    <row r="449" spans="3:6" x14ac:dyDescent="0.2">
      <c r="C449" s="6"/>
      <c r="D449" s="6"/>
      <c r="E449" s="6"/>
      <c r="F449" s="6"/>
    </row>
    <row r="450" spans="3:6" x14ac:dyDescent="0.2">
      <c r="C450" s="6"/>
      <c r="D450" s="6"/>
      <c r="E450" s="6"/>
      <c r="F450" s="6"/>
    </row>
    <row r="451" spans="3:6" x14ac:dyDescent="0.2">
      <c r="C451" s="6"/>
      <c r="D451" s="6"/>
      <c r="E451" s="6"/>
      <c r="F451" s="6"/>
    </row>
  </sheetData>
  <phoneticPr fontId="21" type="noConversion"/>
  <conditionalFormatting sqref="M429:M437 M443">
    <cfRule type="expression" dxfId="0" priority="1" stopIfTrue="1">
      <formula>RiskIsOutput</formula>
    </cfRule>
  </conditionalFormatting>
  <pageMargins left="0.75" right="0.75" top="1" bottom="1" header="0.5" footer="0.5"/>
  <pageSetup paperSize="9" orientation="portrait" horizontalDpi="360" r:id="rId1"/>
  <headerFooter alignWithMargins="0"/>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工作表</vt:lpstr>
      </vt:variant>
      <vt:variant>
        <vt:i4>27</vt:i4>
      </vt:variant>
      <vt:variant>
        <vt:lpstr>命名范围</vt:lpstr>
      </vt:variant>
      <vt:variant>
        <vt:i4>1350</vt:i4>
      </vt:variant>
    </vt:vector>
  </HeadingPairs>
  <TitlesOfParts>
    <vt:vector size="1377" baseType="lpstr">
      <vt:lpstr>Results</vt:lpstr>
      <vt:lpstr>Cockpit</vt:lpstr>
      <vt:lpstr>Base data</vt:lpstr>
      <vt:lpstr>Library data</vt:lpstr>
      <vt:lpstr>Policy A</vt:lpstr>
      <vt:lpstr>Policy B</vt:lpstr>
      <vt:lpstr>Policy A-B</vt:lpstr>
      <vt:lpstr>Emissions A</vt:lpstr>
      <vt:lpstr>Emissions B</vt:lpstr>
      <vt:lpstr>Emissions A-B</vt:lpstr>
      <vt:lpstr>Totals</vt:lpstr>
      <vt:lpstr>Climate A</vt:lpstr>
      <vt:lpstr>Climate B</vt:lpstr>
      <vt:lpstr>Climate A-B</vt:lpstr>
      <vt:lpstr>Economy A</vt:lpstr>
      <vt:lpstr>Economy B</vt:lpstr>
      <vt:lpstr>Economy A-B</vt:lpstr>
      <vt:lpstr>Preventative costs A</vt:lpstr>
      <vt:lpstr>Preventative costs B</vt:lpstr>
      <vt:lpstr>Preventative costs A-B</vt:lpstr>
      <vt:lpstr>Adaptive costs A</vt:lpstr>
      <vt:lpstr>Adaptive costs B</vt:lpstr>
      <vt:lpstr>Adaptive costs A-B</vt:lpstr>
      <vt:lpstr>Impacts A</vt:lpstr>
      <vt:lpstr>RiskSerializationData8</vt:lpstr>
      <vt:lpstr>Impacts B</vt:lpstr>
      <vt:lpstr>Impacts A-B</vt:lpstr>
      <vt:lpstr>aact</vt:lpstr>
      <vt:lpstr>aact_b</vt:lpstr>
      <vt:lpstr>aact_g</vt:lpstr>
      <vt:lpstr>aact_g_ab</vt:lpstr>
      <vt:lpstr>aact_g_b</vt:lpstr>
      <vt:lpstr>aact_gt</vt:lpstr>
      <vt:lpstr>aact_gt_b</vt:lpstr>
      <vt:lpstr>ac_1</vt:lpstr>
      <vt:lpstr>ac_1_b</vt:lpstr>
      <vt:lpstr>ac_1_g</vt:lpstr>
      <vt:lpstr>ac_1_g_b</vt:lpstr>
      <vt:lpstr>ac_2</vt:lpstr>
      <vt:lpstr>ac_2_b</vt:lpstr>
      <vt:lpstr>ac_2_g</vt:lpstr>
      <vt:lpstr>ac_2_g_b</vt:lpstr>
      <vt:lpstr>ac_s</vt:lpstr>
      <vt:lpstr>ac_s_b</vt:lpstr>
      <vt:lpstr>ac_s_g</vt:lpstr>
      <vt:lpstr>ac_s_g_b</vt:lpstr>
      <vt:lpstr>aci_1</vt:lpstr>
      <vt:lpstr>aci_1_b</vt:lpstr>
      <vt:lpstr>aci_1_g</vt:lpstr>
      <vt:lpstr>aci_1_g_b</vt:lpstr>
      <vt:lpstr>aci_2</vt:lpstr>
      <vt:lpstr>aci_2_b</vt:lpstr>
      <vt:lpstr>aci_2_g</vt:lpstr>
      <vt:lpstr>aci_2_g_b</vt:lpstr>
      <vt:lpstr>aci_s</vt:lpstr>
      <vt:lpstr>aci_s_b</vt:lpstr>
      <vt:lpstr>aci_s_g</vt:lpstr>
      <vt:lpstr>aci_s_g_b</vt:lpstr>
      <vt:lpstr>acp_1</vt:lpstr>
      <vt:lpstr>acp_1_b</vt:lpstr>
      <vt:lpstr>acp_1_g</vt:lpstr>
      <vt:lpstr>acp_1_g_b</vt:lpstr>
      <vt:lpstr>acp_2</vt:lpstr>
      <vt:lpstr>acp_2_b</vt:lpstr>
      <vt:lpstr>acp_2_g</vt:lpstr>
      <vt:lpstr>acp_2_g_b</vt:lpstr>
      <vt:lpstr>acp_s</vt:lpstr>
      <vt:lpstr>acp_s_b</vt:lpstr>
      <vt:lpstr>acp_s_g</vt:lpstr>
      <vt:lpstr>acp_s_g_b</vt:lpstr>
      <vt:lpstr>act</vt:lpstr>
      <vt:lpstr>act_b</vt:lpstr>
      <vt:lpstr>act_g</vt:lpstr>
      <vt:lpstr>act_g_b</vt:lpstr>
      <vt:lpstr>act_per_cap</vt:lpstr>
      <vt:lpstr>act_per_cap_b</vt:lpstr>
      <vt:lpstr>act_per_cap_g</vt:lpstr>
      <vt:lpstr>act_per_cap_g_b</vt:lpstr>
      <vt:lpstr>addt</vt:lpstr>
      <vt:lpstr>addt_b</vt:lpstr>
      <vt:lpstr>addt_g</vt:lpstr>
      <vt:lpstr>addt_g_ab</vt:lpstr>
      <vt:lpstr>addt_g_b</vt:lpstr>
      <vt:lpstr>addt_gt</vt:lpstr>
      <vt:lpstr>addt_gt_b</vt:lpstr>
      <vt:lpstr>addtt</vt:lpstr>
      <vt:lpstr>addtt_b</vt:lpstr>
      <vt:lpstr>ahi_ch4</vt:lpstr>
      <vt:lpstr>ahi_ch4_b</vt:lpstr>
      <vt:lpstr>ahi_co2</vt:lpstr>
      <vt:lpstr>ahi_co2_b</vt:lpstr>
      <vt:lpstr>ahi_glin</vt:lpstr>
      <vt:lpstr>ahi_glin_b</vt:lpstr>
      <vt:lpstr>ahi_n2o</vt:lpstr>
      <vt:lpstr>ahi_n2o_b</vt:lpstr>
      <vt:lpstr>AIR_CH4</vt:lpstr>
      <vt:lpstr>AIR_GLIN</vt:lpstr>
      <vt:lpstr>AIR_N2O</vt:lpstr>
      <vt:lpstr>ALB_EMULATOR_RAND</vt:lpstr>
      <vt:lpstr>alb_fsaf</vt:lpstr>
      <vt:lpstr>alb_fsaf_adjust_1</vt:lpstr>
      <vt:lpstr>alb_fsaf_adjust_1_b</vt:lpstr>
      <vt:lpstr>alb_fsaf_adjust_not_1</vt:lpstr>
      <vt:lpstr>alb_fsaf_adjust_not_1_b</vt:lpstr>
      <vt:lpstr>alb_fsaf_b</vt:lpstr>
      <vt:lpstr>alb_fsaf_diff</vt:lpstr>
      <vt:lpstr>alb_fsaf_diff_b</vt:lpstr>
      <vt:lpstr>ALB_FSAF_ECS</vt:lpstr>
      <vt:lpstr>ALB_FSAF_T_SWITCH</vt:lpstr>
      <vt:lpstr>ALB_FSAF_Y0</vt:lpstr>
      <vt:lpstr>alb_saf</vt:lpstr>
      <vt:lpstr>alb_saf_adjust</vt:lpstr>
      <vt:lpstr>ALB_SAF_ADJUST_0</vt:lpstr>
      <vt:lpstr>alb_saf_adjust_b</vt:lpstr>
      <vt:lpstr>alb_saf_approx</vt:lpstr>
      <vt:lpstr>ALB_SAF_APPROX_0</vt:lpstr>
      <vt:lpstr>alb_saf_approx_1</vt:lpstr>
      <vt:lpstr>alb_saf_approx_1_b</vt:lpstr>
      <vt:lpstr>alb_saf_approx_b</vt:lpstr>
      <vt:lpstr>alb_saf_approx_not_1</vt:lpstr>
      <vt:lpstr>alb_saf_approx_not_1_b</vt:lpstr>
      <vt:lpstr>alb_saf_b</vt:lpstr>
      <vt:lpstr>ALB_SAF_ECS</vt:lpstr>
      <vt:lpstr>ALB_SAF_LIN_MEAN</vt:lpstr>
      <vt:lpstr>ALB_SAF_LIN_STD</vt:lpstr>
      <vt:lpstr>ALB_SAF_QUADR_MEAN_T0_COEFF</vt:lpstr>
      <vt:lpstr>ALB_SAF_QUADR_MEAN_T1_COEFF</vt:lpstr>
      <vt:lpstr>ALB_SAF_QUADR_MEAN_T2_COEFF</vt:lpstr>
      <vt:lpstr>ALB_SAF_QUADR_STD</vt:lpstr>
      <vt:lpstr>ALB_SAF_Y0</vt:lpstr>
      <vt:lpstr>ALB_T_SWITCH</vt:lpstr>
      <vt:lpstr>ALO_CH4</vt:lpstr>
      <vt:lpstr>ALO_CO2</vt:lpstr>
      <vt:lpstr>ALO_GLIN</vt:lpstr>
      <vt:lpstr>ALO_N2O</vt:lpstr>
      <vt:lpstr>AMPF</vt:lpstr>
      <vt:lpstr>anthr_ce_co2</vt:lpstr>
      <vt:lpstr>ANTHR_CE_CO2_0</vt:lpstr>
      <vt:lpstr>anthr_ce_co2_b</vt:lpstr>
      <vt:lpstr>anthr_teay_ch4</vt:lpstr>
      <vt:lpstr>anthr_teay_ch4_b</vt:lpstr>
      <vt:lpstr>AREA</vt:lpstr>
      <vt:lpstr>AREA_E</vt:lpstr>
      <vt:lpstr>AREA_L</vt:lpstr>
      <vt:lpstr>asymp_comp_co2_proj</vt:lpstr>
      <vt:lpstr>asymp_comp_co2_proj_b</vt:lpstr>
      <vt:lpstr>atl_1</vt:lpstr>
      <vt:lpstr>atl_1_b</vt:lpstr>
      <vt:lpstr>atl_2</vt:lpstr>
      <vt:lpstr>atl_2_b</vt:lpstr>
      <vt:lpstr>atl_s</vt:lpstr>
      <vt:lpstr>atl_s_b</vt:lpstr>
      <vt:lpstr>AUTO</vt:lpstr>
      <vt:lpstr>AUTOFAC</vt:lpstr>
      <vt:lpstr>AUTOMULT</vt:lpstr>
      <vt:lpstr>BAU_CH4</vt:lpstr>
      <vt:lpstr>BAU_CO2</vt:lpstr>
      <vt:lpstr>BAU_GLIN</vt:lpstr>
      <vt:lpstr>BAU_N2O</vt:lpstr>
      <vt:lpstr>BHI_CH4</vt:lpstr>
      <vt:lpstr>BHI_CO2</vt:lpstr>
      <vt:lpstr>BHI_GLIN</vt:lpstr>
      <vt:lpstr>BHI_N2O</vt:lpstr>
      <vt:lpstr>BLO_CH4</vt:lpstr>
      <vt:lpstr>BLO_CO2</vt:lpstr>
      <vt:lpstr>BLO_GLIN</vt:lpstr>
      <vt:lpstr>BLO_N2O</vt:lpstr>
      <vt:lpstr>RiskSerializationData8!BrowseRecords</vt:lpstr>
      <vt:lpstr>C_0</vt:lpstr>
      <vt:lpstr>c_ch4</vt:lpstr>
      <vt:lpstr>C_CH4_0</vt:lpstr>
      <vt:lpstr>c_ch4_b</vt:lpstr>
      <vt:lpstr>c_co2</vt:lpstr>
      <vt:lpstr>C_CO2_0</vt:lpstr>
      <vt:lpstr>c_co2_b</vt:lpstr>
      <vt:lpstr>c_co2_no_ccff</vt:lpstr>
      <vt:lpstr>C_CO2_NO_CCFF_0</vt:lpstr>
      <vt:lpstr>c_co2_no_ccff_b</vt:lpstr>
      <vt:lpstr>c_glin</vt:lpstr>
      <vt:lpstr>C_GLIN_0</vt:lpstr>
      <vt:lpstr>c_glin_b</vt:lpstr>
      <vt:lpstr>c_n2o</vt:lpstr>
      <vt:lpstr>C_N2O_0</vt:lpstr>
      <vt:lpstr>c_n2o_b</vt:lpstr>
      <vt:lpstr>C0_CH4</vt:lpstr>
      <vt:lpstr>C0_CO2</vt:lpstr>
      <vt:lpstr>C0_GLIN</vt:lpstr>
      <vt:lpstr>C0_INIT_CH4</vt:lpstr>
      <vt:lpstr>C0_INIT_CO2</vt:lpstr>
      <vt:lpstr>C0_INIT_GLIN</vt:lpstr>
      <vt:lpstr>C0_INIT_N2O</vt:lpstr>
      <vt:lpstr>C0_N2O</vt:lpstr>
      <vt:lpstr>C0G</vt:lpstr>
      <vt:lpstr>C0MULT</vt:lpstr>
      <vt:lpstr>cb_ch4</vt:lpstr>
      <vt:lpstr>cb_ch4_b</vt:lpstr>
      <vt:lpstr>cb_co2</vt:lpstr>
      <vt:lpstr>cb_co2_b</vt:lpstr>
      <vt:lpstr>cb_glin</vt:lpstr>
      <vt:lpstr>cb_glin_b</vt:lpstr>
      <vt:lpstr>cb_n2o</vt:lpstr>
      <vt:lpstr>cb_n2o_b</vt:lpstr>
      <vt:lpstr>cbe_ch4</vt:lpstr>
      <vt:lpstr>cbe_ch4_b</vt:lpstr>
      <vt:lpstr>cbe_co2</vt:lpstr>
      <vt:lpstr>cbe_co2_b</vt:lpstr>
      <vt:lpstr>cbe_glin</vt:lpstr>
      <vt:lpstr>cbe_glin_b</vt:lpstr>
      <vt:lpstr>cbe_n2o</vt:lpstr>
      <vt:lpstr>cbe_n2o_b</vt:lpstr>
      <vt:lpstr>CCF</vt:lpstr>
      <vt:lpstr>ccff</vt:lpstr>
      <vt:lpstr>CCFF_0</vt:lpstr>
      <vt:lpstr>ccff_1</vt:lpstr>
      <vt:lpstr>ccff_1_b</vt:lpstr>
      <vt:lpstr>ccff_b</vt:lpstr>
      <vt:lpstr>ccff_not_1</vt:lpstr>
      <vt:lpstr>ccff_not_1_b</vt:lpstr>
      <vt:lpstr>CCFFMAX</vt:lpstr>
      <vt:lpstr>CF</vt:lpstr>
      <vt:lpstr>CI_1</vt:lpstr>
      <vt:lpstr>CI_1_1</vt:lpstr>
      <vt:lpstr>CI_2</vt:lpstr>
      <vt:lpstr>CI_2_1</vt:lpstr>
      <vt:lpstr>CI_S</vt:lpstr>
      <vt:lpstr>CI_S_1</vt:lpstr>
      <vt:lpstr>CIV_VALUE</vt:lpstr>
      <vt:lpstr>cmax_ch4</vt:lpstr>
      <vt:lpstr>cmax_ch4_b</vt:lpstr>
      <vt:lpstr>cmax_co2</vt:lpstr>
      <vt:lpstr>cmax_co2_b</vt:lpstr>
      <vt:lpstr>cmax_glin</vt:lpstr>
      <vt:lpstr>cmax_glin_b</vt:lpstr>
      <vt:lpstr>CMAX_INIT_CH4</vt:lpstr>
      <vt:lpstr>CMAX_INIT_CH4_1</vt:lpstr>
      <vt:lpstr>CMAX_INIT_CO2</vt:lpstr>
      <vt:lpstr>CMAX_INIT_CO2_1</vt:lpstr>
      <vt:lpstr>CMAX_INIT_GLIN</vt:lpstr>
      <vt:lpstr>CMAX_INIT_GLIN_1</vt:lpstr>
      <vt:lpstr>CMAX_INIT_N2O</vt:lpstr>
      <vt:lpstr>CMAX_INIT_N2O_1</vt:lpstr>
      <vt:lpstr>cmax_n2o</vt:lpstr>
      <vt:lpstr>cmax_n2o_b</vt:lpstr>
      <vt:lpstr>CMAXF</vt:lpstr>
      <vt:lpstr>CONS_PER_CAP</vt:lpstr>
      <vt:lpstr>CONS_PER_CAP_0</vt:lpstr>
      <vt:lpstr>cons_per_cap_after_costs</vt:lpstr>
      <vt:lpstr>cons_per_cap_after_costs_b</vt:lpstr>
      <vt:lpstr>CONS_PER_CAP_B</vt:lpstr>
      <vt:lpstr>CONS_PER_CAP_FOCUS</vt:lpstr>
      <vt:lpstr>CONS_PER_CAP_FOCUS_0</vt:lpstr>
      <vt:lpstr>CONS_PER_CAP_FOCUS_B</vt:lpstr>
      <vt:lpstr>CONS_PER_CAP_G</vt:lpstr>
      <vt:lpstr>CONS_PER_CAP_G_0</vt:lpstr>
      <vt:lpstr>CONS_PER_CAP_G_1</vt:lpstr>
      <vt:lpstr>CONS_PER_CAP_G_1_B</vt:lpstr>
      <vt:lpstr>CONS_PER_CAP_G_B</vt:lpstr>
      <vt:lpstr>CONS_PER_CAP_G_NOT_1</vt:lpstr>
      <vt:lpstr>CONS_PER_CAP_G_NOT_1_B</vt:lpstr>
      <vt:lpstr>CORRECT_RE_CO2_0</vt:lpstr>
      <vt:lpstr>CORRECT_RE_CO2_0_b</vt:lpstr>
      <vt:lpstr>CP_1</vt:lpstr>
      <vt:lpstr>CP_1_1</vt:lpstr>
      <vt:lpstr>CP_2</vt:lpstr>
      <vt:lpstr>CP_2_1</vt:lpstr>
      <vt:lpstr>CP_S</vt:lpstr>
      <vt:lpstr>CP_S_1</vt:lpstr>
      <vt:lpstr>CROSS</vt:lpstr>
      <vt:lpstr>cumcbe_ch4</vt:lpstr>
      <vt:lpstr>cumcbe_ch4_b</vt:lpstr>
      <vt:lpstr>cumcbe_ch4_g</vt:lpstr>
      <vt:lpstr>cumcbe_ch4_g_b</vt:lpstr>
      <vt:lpstr>cumcbe_co2</vt:lpstr>
      <vt:lpstr>cumcbe_co2_b</vt:lpstr>
      <vt:lpstr>cumcbe_co2_g</vt:lpstr>
      <vt:lpstr>cumcbe_co2_g_b</vt:lpstr>
      <vt:lpstr>cumcbe_glin</vt:lpstr>
      <vt:lpstr>cumcbe_glin_b</vt:lpstr>
      <vt:lpstr>cumcbe_glin_g</vt:lpstr>
      <vt:lpstr>cumcbe_glin_g_b</vt:lpstr>
      <vt:lpstr>cumcbe_n2o</vt:lpstr>
      <vt:lpstr>cumcbe_n2o_b</vt:lpstr>
      <vt:lpstr>cumcbe_n2o_g</vt:lpstr>
      <vt:lpstr>cumcbe_n2o_g_b</vt:lpstr>
      <vt:lpstr>CURRENCY_NAME</vt:lpstr>
      <vt:lpstr>CURVE_ABOVE</vt:lpstr>
      <vt:lpstr>CURVE_BELOW</vt:lpstr>
      <vt:lpstr>D</vt:lpstr>
      <vt:lpstr>delta_rtg_tpoints</vt:lpstr>
      <vt:lpstr>DEN</vt:lpstr>
      <vt:lpstr>DEN_CH4</vt:lpstr>
      <vt:lpstr>DEN_CO2</vt:lpstr>
      <vt:lpstr>DEN_GLIN</vt:lpstr>
      <vt:lpstr>DEN_N2O</vt:lpstr>
      <vt:lpstr>DF</vt:lpstr>
      <vt:lpstr>DFC</vt:lpstr>
      <vt:lpstr>DFC_B</vt:lpstr>
      <vt:lpstr>DISTAU</vt:lpstr>
      <vt:lpstr>DR</vt:lpstr>
      <vt:lpstr>DR_1</vt:lpstr>
      <vt:lpstr>DR_1_B</vt:lpstr>
      <vt:lpstr>DR_B</vt:lpstr>
      <vt:lpstr>DR_NOT_1</vt:lpstr>
      <vt:lpstr>DR_NOT_1_B</vt:lpstr>
      <vt:lpstr>DROP</vt:lpstr>
      <vt:lpstr>e_ch4</vt:lpstr>
      <vt:lpstr>E_CH4_0</vt:lpstr>
      <vt:lpstr>e_ch4_b</vt:lpstr>
      <vt:lpstr>e_ch4_g</vt:lpstr>
      <vt:lpstr>E_CH4_G_0</vt:lpstr>
      <vt:lpstr>e_ch4_g_b</vt:lpstr>
      <vt:lpstr>e_co2</vt:lpstr>
      <vt:lpstr>E_CO2_0</vt:lpstr>
      <vt:lpstr>e_co2_b</vt:lpstr>
      <vt:lpstr>e_co2_g</vt:lpstr>
      <vt:lpstr>E_CO2_G_0</vt:lpstr>
      <vt:lpstr>e_co2_g_b</vt:lpstr>
      <vt:lpstr>e_co2_g_b_no_scc</vt:lpstr>
      <vt:lpstr>e_co2_g_not_1</vt:lpstr>
      <vt:lpstr>e_co2_g_not_1_b</vt:lpstr>
      <vt:lpstr>E_GLIN_0</vt:lpstr>
      <vt:lpstr>e_glin_g</vt:lpstr>
      <vt:lpstr>E_GLIN_G_0</vt:lpstr>
      <vt:lpstr>e_glin_g_b</vt:lpstr>
      <vt:lpstr>e_n2o</vt:lpstr>
      <vt:lpstr>E_N2O_0</vt:lpstr>
      <vt:lpstr>e_n2o_b</vt:lpstr>
      <vt:lpstr>e_n2o_g</vt:lpstr>
      <vt:lpstr>E_N2O_G_0</vt:lpstr>
      <vt:lpstr>e_n2o_g_b</vt:lpstr>
      <vt:lpstr>eact_per_cap</vt:lpstr>
      <vt:lpstr>eact_per_cap_b</vt:lpstr>
      <vt:lpstr>ECON_IMPF</vt:lpstr>
      <vt:lpstr>ECON_IMPF_BURKE_LAG1_CONSUM</vt:lpstr>
      <vt:lpstr>ECON_IMPF_BURKE_LAG2_CONSUM</vt:lpstr>
      <vt:lpstr>ECON_IMPF_PAGE09_BURKE_MIMIC</vt:lpstr>
      <vt:lpstr>ECON_IMPF_PAGE09_DEFAULT</vt:lpstr>
      <vt:lpstr>ECON_IMPF_PAGE09_DELL_MIMIC</vt:lpstr>
      <vt:lpstr>ECON_IMPF_PAGE09_IPCCAR5_BURKE</vt:lpstr>
      <vt:lpstr>ECON_IMPF_SWITCH</vt:lpstr>
      <vt:lpstr>ECS</vt:lpstr>
      <vt:lpstr>ecs_alb_adj</vt:lpstr>
      <vt:lpstr>ECS_ALB_ADJ_0</vt:lpstr>
      <vt:lpstr>ecs_alb_adj_1</vt:lpstr>
      <vt:lpstr>ecs_alb_adj_1_b</vt:lpstr>
      <vt:lpstr>ecs_alb_adj_b</vt:lpstr>
      <vt:lpstr>ecs_alb_adj_not_1</vt:lpstr>
      <vt:lpstr>ecs_alb_adj_not_1_b</vt:lpstr>
      <vt:lpstr>EMIT_CH4</vt:lpstr>
      <vt:lpstr>EMIT_CH4_1</vt:lpstr>
      <vt:lpstr>EMIT_CO2</vt:lpstr>
      <vt:lpstr>EMIT_CO2_1</vt:lpstr>
      <vt:lpstr>EMIT_GLIN</vt:lpstr>
      <vt:lpstr>EMIT_GLIN_1</vt:lpstr>
      <vt:lpstr>EMIT_N2O</vt:lpstr>
      <vt:lpstr>EMIT_N2O_1</vt:lpstr>
      <vt:lpstr>EMIT_NAME</vt:lpstr>
      <vt:lpstr>EMITF</vt:lpstr>
      <vt:lpstr>EMUC</vt:lpstr>
      <vt:lpstr>EQUITY</vt:lpstr>
      <vt:lpstr>EQUITY_0</vt:lpstr>
      <vt:lpstr>EQUITY_B</vt:lpstr>
      <vt:lpstr>EQUITY_G</vt:lpstr>
      <vt:lpstr>EQUITY_G_0</vt:lpstr>
      <vt:lpstr>EQUITY_PROP</vt:lpstr>
      <vt:lpstr>EQUITY_SWITCH</vt:lpstr>
      <vt:lpstr>er_ch4_1_a</vt:lpstr>
      <vt:lpstr>er_ch4_1_b</vt:lpstr>
      <vt:lpstr>er_ch4_a</vt:lpstr>
      <vt:lpstr>er_ch4_b</vt:lpstr>
      <vt:lpstr>er_ch4_final_a</vt:lpstr>
      <vt:lpstr>er_ch4_final_b</vt:lpstr>
      <vt:lpstr>er_ch4_not_1_a</vt:lpstr>
      <vt:lpstr>er_ch4_not_1_b</vt:lpstr>
      <vt:lpstr>er_co2_1_a</vt:lpstr>
      <vt:lpstr>er_co2_1_b</vt:lpstr>
      <vt:lpstr>er_co2_a</vt:lpstr>
      <vt:lpstr>er_co2_b</vt:lpstr>
      <vt:lpstr>er_co2_final_a</vt:lpstr>
      <vt:lpstr>er_co2_final_b</vt:lpstr>
      <vt:lpstr>er_co2_not_1_a</vt:lpstr>
      <vt:lpstr>er_co2_not_1_b</vt:lpstr>
      <vt:lpstr>er_glin_1_a</vt:lpstr>
      <vt:lpstr>er_glin_1_b</vt:lpstr>
      <vt:lpstr>er_glin_a</vt:lpstr>
      <vt:lpstr>er_glin_b</vt:lpstr>
      <vt:lpstr>er_glin_final_a</vt:lpstr>
      <vt:lpstr>er_glin_final_b</vt:lpstr>
      <vt:lpstr>er_glin_not_1_a</vt:lpstr>
      <vt:lpstr>er_glin_not_1_b</vt:lpstr>
      <vt:lpstr>er_n2o_1_a</vt:lpstr>
      <vt:lpstr>er_n2o_1_b</vt:lpstr>
      <vt:lpstr>er_n2o_a</vt:lpstr>
      <vt:lpstr>er_n2o_b</vt:lpstr>
      <vt:lpstr>er_n2o_final_a</vt:lpstr>
      <vt:lpstr>er_n2o_final_b</vt:lpstr>
      <vt:lpstr>er_n2o_not_1_a</vt:lpstr>
      <vt:lpstr>er_n2o_not_1_b</vt:lpstr>
      <vt:lpstr>er_scc</vt:lpstr>
      <vt:lpstr>es</vt:lpstr>
      <vt:lpstr>ES_0</vt:lpstr>
      <vt:lpstr>es_1</vt:lpstr>
      <vt:lpstr>es_1_b</vt:lpstr>
      <vt:lpstr>es_b</vt:lpstr>
      <vt:lpstr>es_not_1</vt:lpstr>
      <vt:lpstr>es_not_1_b</vt:lpstr>
      <vt:lpstr>EXC</vt:lpstr>
      <vt:lpstr>EXC_CH4</vt:lpstr>
      <vt:lpstr>EXC_CO2</vt:lpstr>
      <vt:lpstr>EXC_GLIN</vt:lpstr>
      <vt:lpstr>EXC_N2O</vt:lpstr>
      <vt:lpstr>EXF_0</vt:lpstr>
      <vt:lpstr>exf_a</vt:lpstr>
      <vt:lpstr>exf_b</vt:lpstr>
      <vt:lpstr>EXPERIMENT</vt:lpstr>
      <vt:lpstr>EXPERIMENT_BOTHFEED</vt:lpstr>
      <vt:lpstr>EXPERIMENT_LANDPERM</vt:lpstr>
      <vt:lpstr>EXPERIMENT_QC</vt:lpstr>
      <vt:lpstr>EXPERIMENT_SAF</vt:lpstr>
      <vt:lpstr>EXPERIMENT_SCC_BOTHFEED</vt:lpstr>
      <vt:lpstr>EXPERIMENT_SCC_LANDPERM</vt:lpstr>
      <vt:lpstr>EXPERIMENT_SCC_LEGFEED</vt:lpstr>
      <vt:lpstr>EXPERIMENT_SCC_SAF</vt:lpstr>
      <vt:lpstr>EXPERIMENT_TWOSCEN_BOTHFEED</vt:lpstr>
      <vt:lpstr>EXPERIMENT_TWOSCEN_LEGFEED</vt:lpstr>
      <vt:lpstr>EXPF_CH4</vt:lpstr>
      <vt:lpstr>EXPF_CH4_NOT_1</vt:lpstr>
      <vt:lpstr>EXPF_GLIN</vt:lpstr>
      <vt:lpstr>EXPF_GLIN_NOT_1</vt:lpstr>
      <vt:lpstr>EXPF_N2O</vt:lpstr>
      <vt:lpstr>EXPF_N2O_NOT_1</vt:lpstr>
      <vt:lpstr>EXPFDIS</vt:lpstr>
      <vt:lpstr>EXPFDIS_1</vt:lpstr>
      <vt:lpstr>EXPFDIS_NOT_1</vt:lpstr>
      <vt:lpstr>EXPFS</vt:lpstr>
      <vt:lpstr>EXPFS_1</vt:lpstr>
      <vt:lpstr>EXPFS_NOT_1</vt:lpstr>
      <vt:lpstr>EXTRA_ABATE_END</vt:lpstr>
      <vt:lpstr>EXTRA_ABATE_FACTOR_COMPOUND</vt:lpstr>
      <vt:lpstr>EXTRA_ABATE_FACTOR_COMPOUND_B</vt:lpstr>
      <vt:lpstr>EXTRA_ABATE_FACTOR_PERIOD</vt:lpstr>
      <vt:lpstr>EXTRA_ABATE_FACTOR_PERIOD_1</vt:lpstr>
      <vt:lpstr>EXTRA_ABATE_FACTOR_PERIOD_1_B</vt:lpstr>
      <vt:lpstr>EXTRA_ABATE_FACTOR_PERIOD_NOT_1</vt:lpstr>
      <vt:lpstr>EXTRA_ABATE_FACTOR_PERIOD_NOT_1_B</vt:lpstr>
      <vt:lpstr>EXTRA_ABATE_RATE</vt:lpstr>
      <vt:lpstr>EXTRA_ABATE_RATE_15C</vt:lpstr>
      <vt:lpstr>EXTRA_ABATE_RATE_2C</vt:lpstr>
      <vt:lpstr>EXTRA_ABATE_RATE_B</vt:lpstr>
      <vt:lpstr>EXTRA_ABATE_START</vt:lpstr>
      <vt:lpstr>f_ch4</vt:lpstr>
      <vt:lpstr>F_CH4_0</vt:lpstr>
      <vt:lpstr>f_ch4_b</vt:lpstr>
      <vt:lpstr>f_ch4_no_over</vt:lpstr>
      <vt:lpstr>f_ch4_no_over_b</vt:lpstr>
      <vt:lpstr>f_co2</vt:lpstr>
      <vt:lpstr>F_CO2_0</vt:lpstr>
      <vt:lpstr>f_co2_b</vt:lpstr>
      <vt:lpstr>f_glin</vt:lpstr>
      <vt:lpstr>F_GLIN_0</vt:lpstr>
      <vt:lpstr>f_glin_b</vt:lpstr>
      <vt:lpstr>f_n2o</vt:lpstr>
      <vt:lpstr>F_N2O_0</vt:lpstr>
      <vt:lpstr>f_n2o_b</vt:lpstr>
      <vt:lpstr>f_n2o_no_over</vt:lpstr>
      <vt:lpstr>f_n2o_no_over_b</vt:lpstr>
      <vt:lpstr>fgt</vt:lpstr>
      <vt:lpstr>FGT_0</vt:lpstr>
      <vt:lpstr>fgt_1</vt:lpstr>
      <vt:lpstr>fgt_1_b</vt:lpstr>
      <vt:lpstr>fgt_b</vt:lpstr>
      <vt:lpstr>fgt_not_1</vt:lpstr>
      <vt:lpstr>fgt_not_1_b</vt:lpstr>
      <vt:lpstr>FRT</vt:lpstr>
      <vt:lpstr>frt_alb_adj</vt:lpstr>
      <vt:lpstr>FRT_ALB_ADJ_0</vt:lpstr>
      <vt:lpstr>frt_alb_adj_1</vt:lpstr>
      <vt:lpstr>frt_alb_adj_1_b</vt:lpstr>
      <vt:lpstr>frt_alb_adj_b</vt:lpstr>
      <vt:lpstr>frt_alb_adj_not_1</vt:lpstr>
      <vt:lpstr>frt_alb_adj_not_1_b</vt:lpstr>
      <vt:lpstr>fs</vt:lpstr>
      <vt:lpstr>fs_1</vt:lpstr>
      <vt:lpstr>fs_1_b</vt:lpstr>
      <vt:lpstr>fs_b</vt:lpstr>
      <vt:lpstr>fs_g</vt:lpstr>
      <vt:lpstr>fs_g_1</vt:lpstr>
      <vt:lpstr>fs_g_1_b</vt:lpstr>
      <vt:lpstr>fs_g_b</vt:lpstr>
      <vt:lpstr>fs_g_not_1</vt:lpstr>
      <vt:lpstr>fs_g_not_1_b</vt:lpstr>
      <vt:lpstr>fs_not_1</vt:lpstr>
      <vt:lpstr>fs_not_1_b</vt:lpstr>
      <vt:lpstr>'Climate A-B'!fsd</vt:lpstr>
      <vt:lpstr>fsd</vt:lpstr>
      <vt:lpstr>'Climate A-B'!FSD_0</vt:lpstr>
      <vt:lpstr>FSD_0</vt:lpstr>
      <vt:lpstr>fsd_b</vt:lpstr>
      <vt:lpstr>fsd_g</vt:lpstr>
      <vt:lpstr>FSD_G_0</vt:lpstr>
      <vt:lpstr>fsd_g_b</vt:lpstr>
      <vt:lpstr>fsi</vt:lpstr>
      <vt:lpstr>FSI_0</vt:lpstr>
      <vt:lpstr>fsi_b</vt:lpstr>
      <vt:lpstr>fsi_g</vt:lpstr>
      <vt:lpstr>FSI_G_0</vt:lpstr>
      <vt:lpstr>fsi_g_b</vt:lpstr>
      <vt:lpstr>FSLOPE_CH4</vt:lpstr>
      <vt:lpstr>FSLOPE_CO2</vt:lpstr>
      <vt:lpstr>FSLOPE_GLIN</vt:lpstr>
      <vt:lpstr>FSLOPE_N2O</vt:lpstr>
      <vt:lpstr>ft</vt:lpstr>
      <vt:lpstr>FT_0</vt:lpstr>
      <vt:lpstr>ft_1</vt:lpstr>
      <vt:lpstr>ft_1_b</vt:lpstr>
      <vt:lpstr>ft_b</vt:lpstr>
      <vt:lpstr>ft_not_1</vt:lpstr>
      <vt:lpstr>ft_not_1_b</vt:lpstr>
      <vt:lpstr>gain</vt:lpstr>
      <vt:lpstr>GAIN_0</vt:lpstr>
      <vt:lpstr>gain_b</vt:lpstr>
      <vt:lpstr>GDP</vt:lpstr>
      <vt:lpstr>GDP_0</vt:lpstr>
      <vt:lpstr>GDP_B</vt:lpstr>
      <vt:lpstr>GDP_G</vt:lpstr>
      <vt:lpstr>GDP_G_0</vt:lpstr>
      <vt:lpstr>GDP_G_1</vt:lpstr>
      <vt:lpstr>GDP_G_1_B</vt:lpstr>
      <vt:lpstr>GDP_G_B</vt:lpstr>
      <vt:lpstr>GDP_G_NOT_1</vt:lpstr>
      <vt:lpstr>GDP_G_NOT_1_B</vt:lpstr>
      <vt:lpstr>GDP_NOT_1</vt:lpstr>
      <vt:lpstr>GDP_NOT_1_B</vt:lpstr>
      <vt:lpstr>GDP_PER_CAP</vt:lpstr>
      <vt:lpstr>GDP_PER_CAP_0</vt:lpstr>
      <vt:lpstr>gdp_per_cap_after_costs</vt:lpstr>
      <vt:lpstr>gdp_per_cap_after_costs_b</vt:lpstr>
      <vt:lpstr>GDP_PER_CAP_B</vt:lpstr>
      <vt:lpstr>GDP_PER_CAP_FOCUS_0</vt:lpstr>
      <vt:lpstr>GDP_PER_CAP_G</vt:lpstr>
      <vt:lpstr>GDP_PER_CAP_G_0</vt:lpstr>
      <vt:lpstr>GDP_PER_CAP_G_B</vt:lpstr>
      <vt:lpstr>GLIN_NAME</vt:lpstr>
      <vt:lpstr>GRW</vt:lpstr>
      <vt:lpstr>GRW_1</vt:lpstr>
      <vt:lpstr>GRW_1_B</vt:lpstr>
      <vt:lpstr>GRW_B</vt:lpstr>
      <vt:lpstr>GRW_G</vt:lpstr>
      <vt:lpstr>GRW_G_B</vt:lpstr>
      <vt:lpstr>GRW_NOT_1</vt:lpstr>
      <vt:lpstr>GRW_NOT_1_B</vt:lpstr>
      <vt:lpstr>i_1</vt:lpstr>
      <vt:lpstr>i_1_b</vt:lpstr>
      <vt:lpstr>i_1_burke</vt:lpstr>
      <vt:lpstr>i_1_burke_1</vt:lpstr>
      <vt:lpstr>i_1_burke_1_b</vt:lpstr>
      <vt:lpstr>i_1_burke_b</vt:lpstr>
      <vt:lpstr>i_1_burke_not_1</vt:lpstr>
      <vt:lpstr>i_1_burke_not_1_b</vt:lpstr>
      <vt:lpstr>i_1_log</vt:lpstr>
      <vt:lpstr>i_1_log_b</vt:lpstr>
      <vt:lpstr>I_1_NAME</vt:lpstr>
      <vt:lpstr>i_2</vt:lpstr>
      <vt:lpstr>i_2_b</vt:lpstr>
      <vt:lpstr>I_2_NAME</vt:lpstr>
      <vt:lpstr>I_D_NAME</vt:lpstr>
      <vt:lpstr>i_dis</vt:lpstr>
      <vt:lpstr>i_dis_b</vt:lpstr>
      <vt:lpstr>i_s</vt:lpstr>
      <vt:lpstr>i_s_b</vt:lpstr>
      <vt:lpstr>I_S_NAME</vt:lpstr>
      <vt:lpstr>IBEN_1</vt:lpstr>
      <vt:lpstr>IBEN_2</vt:lpstr>
      <vt:lpstr>IBEN_S</vt:lpstr>
      <vt:lpstr>IES_CH4</vt:lpstr>
      <vt:lpstr>IES_CO2</vt:lpstr>
      <vt:lpstr>IES_GLIN</vt:lpstr>
      <vt:lpstr>IES_N2O</vt:lpstr>
      <vt:lpstr>igdp_1</vt:lpstr>
      <vt:lpstr>igdp_1_b</vt:lpstr>
      <vt:lpstr>igdp_2</vt:lpstr>
      <vt:lpstr>igdp_2_b</vt:lpstr>
      <vt:lpstr>igdp_s</vt:lpstr>
      <vt:lpstr>igdp_s_b</vt:lpstr>
      <vt:lpstr>igdpdis</vt:lpstr>
      <vt:lpstr>igdpdis_1</vt:lpstr>
      <vt:lpstr>igdpdis_1_b</vt:lpstr>
      <vt:lpstr>igdpdis_b</vt:lpstr>
      <vt:lpstr>igdpdis_not_1</vt:lpstr>
      <vt:lpstr>igdpdis_not_1_b</vt:lpstr>
      <vt:lpstr>igdpeqdis</vt:lpstr>
      <vt:lpstr>igdpeqdis_1</vt:lpstr>
      <vt:lpstr>igdpeqdis_1_b</vt:lpstr>
      <vt:lpstr>igdpeqdis_b</vt:lpstr>
      <vt:lpstr>igdpeqdis_not_1</vt:lpstr>
      <vt:lpstr>igdpeqdis_not_1_b</vt:lpstr>
      <vt:lpstr>imp_1</vt:lpstr>
      <vt:lpstr>imp_1_b</vt:lpstr>
      <vt:lpstr>imp_2</vt:lpstr>
      <vt:lpstr>imp_2_b</vt:lpstr>
      <vt:lpstr>imp_s</vt:lpstr>
      <vt:lpstr>imp_s_b</vt:lpstr>
      <vt:lpstr>IMPF_COEFF_LIN</vt:lpstr>
      <vt:lpstr>IMPF_COEFF_QUADR</vt:lpstr>
      <vt:lpstr>impmax_1_a</vt:lpstr>
      <vt:lpstr>impmax_1_b</vt:lpstr>
      <vt:lpstr>impmax_2_a</vt:lpstr>
      <vt:lpstr>impmax_2_b</vt:lpstr>
      <vt:lpstr>impmax_s_a</vt:lpstr>
      <vt:lpstr>impmax_s_b</vt:lpstr>
      <vt:lpstr>impred_1_a</vt:lpstr>
      <vt:lpstr>impred_1_b</vt:lpstr>
      <vt:lpstr>impred_2_a</vt:lpstr>
      <vt:lpstr>impred_2_b</vt:lpstr>
      <vt:lpstr>impred_s_a</vt:lpstr>
      <vt:lpstr>impred_s_b</vt:lpstr>
      <vt:lpstr>IND</vt:lpstr>
      <vt:lpstr>IPOW_1</vt:lpstr>
      <vt:lpstr>IPOW_2</vt:lpstr>
      <vt:lpstr>IPOW_S</vt:lpstr>
      <vt:lpstr>IPOWDIS</vt:lpstr>
      <vt:lpstr>iref_1</vt:lpstr>
      <vt:lpstr>iref_1_b</vt:lpstr>
      <vt:lpstr>iref_1_burke</vt:lpstr>
      <vt:lpstr>iref_1_burke_b</vt:lpstr>
      <vt:lpstr>iref_1_page</vt:lpstr>
      <vt:lpstr>iref_1_page_b</vt:lpstr>
      <vt:lpstr>iref_2</vt:lpstr>
      <vt:lpstr>iref_2_b</vt:lpstr>
      <vt:lpstr>iref_s</vt:lpstr>
      <vt:lpstr>iref_s_b</vt:lpstr>
      <vt:lpstr>IREFEQDIS</vt:lpstr>
      <vt:lpstr>ISAT</vt:lpstr>
      <vt:lpstr>isat_1</vt:lpstr>
      <vt:lpstr>isat_1_b</vt:lpstr>
      <vt:lpstr>isat_2</vt:lpstr>
      <vt:lpstr>isat_2_b</vt:lpstr>
      <vt:lpstr>isat_2_per_cap</vt:lpstr>
      <vt:lpstr>isat_2_per_cap_b</vt:lpstr>
      <vt:lpstr>isat_s</vt:lpstr>
      <vt:lpstr>isat_s_b</vt:lpstr>
      <vt:lpstr>isat_s_per_cap</vt:lpstr>
      <vt:lpstr>isat_s_per_cap_b</vt:lpstr>
      <vt:lpstr>isatad_1</vt:lpstr>
      <vt:lpstr>isatad_1_b</vt:lpstr>
      <vt:lpstr>isatad_1_per_cap</vt:lpstr>
      <vt:lpstr>isatad_1_per_cap_b</vt:lpstr>
      <vt:lpstr>isatdis</vt:lpstr>
      <vt:lpstr>isatdis_b</vt:lpstr>
      <vt:lpstr>isatdis_per_cap</vt:lpstr>
      <vt:lpstr>isatdis_per_cap_b</vt:lpstr>
      <vt:lpstr>ISATG</vt:lpstr>
      <vt:lpstr>istart_1_a</vt:lpstr>
      <vt:lpstr>istart_1_b</vt:lpstr>
      <vt:lpstr>istart_2_a</vt:lpstr>
      <vt:lpstr>istart_2_b</vt:lpstr>
      <vt:lpstr>istart_s_a</vt:lpstr>
      <vt:lpstr>istart_s_b</vt:lpstr>
      <vt:lpstr>iyears_1_a</vt:lpstr>
      <vt:lpstr>iyears_1_b</vt:lpstr>
      <vt:lpstr>iyears_2_a</vt:lpstr>
      <vt:lpstr>iyears_2_b</vt:lpstr>
      <vt:lpstr>iyears_s_a</vt:lpstr>
      <vt:lpstr>iyears_s_b</vt:lpstr>
      <vt:lpstr>land_comp_co2_proj</vt:lpstr>
      <vt:lpstr>land_comp_co2_proj_b</vt:lpstr>
      <vt:lpstr>LEARN</vt:lpstr>
      <vt:lpstr>learnfac_ch4</vt:lpstr>
      <vt:lpstr>learnfac_ch4_b</vt:lpstr>
      <vt:lpstr>learnfac_co2</vt:lpstr>
      <vt:lpstr>learnfac_co2_b</vt:lpstr>
      <vt:lpstr>learnfac_glin</vt:lpstr>
      <vt:lpstr>learnfac_glin_b</vt:lpstr>
      <vt:lpstr>learnfac_n2o</vt:lpstr>
      <vt:lpstr>learnfac_n2o_b</vt:lpstr>
      <vt:lpstr>mc_ch4</vt:lpstr>
      <vt:lpstr>mc_ch4_b</vt:lpstr>
      <vt:lpstr>mc_co2</vt:lpstr>
      <vt:lpstr>mc_co2_b</vt:lpstr>
      <vt:lpstr>mc_glin</vt:lpstr>
      <vt:lpstr>mc_glin_b</vt:lpstr>
      <vt:lpstr>mc_n2o</vt:lpstr>
      <vt:lpstr>mc_n2o_b</vt:lpstr>
      <vt:lpstr>MODEL_NAME</vt:lpstr>
      <vt:lpstr>natur_teay_ch4</vt:lpstr>
      <vt:lpstr>natur_teay_ch4_b</vt:lpstr>
      <vt:lpstr>NF_0</vt:lpstr>
      <vt:lpstr>nte_ch4</vt:lpstr>
      <vt:lpstr>NTE_CH4_0</vt:lpstr>
      <vt:lpstr>nte_ch4_b</vt:lpstr>
      <vt:lpstr>nte_ch4_not_1</vt:lpstr>
      <vt:lpstr>nte_ch4_not_1_b</vt:lpstr>
      <vt:lpstr>nte_glin</vt:lpstr>
      <vt:lpstr>NTE_GLIN_0</vt:lpstr>
      <vt:lpstr>nte_glin_b</vt:lpstr>
      <vt:lpstr>nte_n2o</vt:lpstr>
      <vt:lpstr>NTE_N2O_0</vt:lpstr>
      <vt:lpstr>nte_n2o_b</vt:lpstr>
      <vt:lpstr>occur_dis</vt:lpstr>
      <vt:lpstr>occur_dis_1</vt:lpstr>
      <vt:lpstr>occur_dis_1_b</vt:lpstr>
      <vt:lpstr>occur_dis_b</vt:lpstr>
      <vt:lpstr>occur_dis_not_1</vt:lpstr>
      <vt:lpstr>occur_dis_not_1_b</vt:lpstr>
      <vt:lpstr>OCCUR_SCC</vt:lpstr>
      <vt:lpstr>ocean_co2_flux_annual</vt:lpstr>
      <vt:lpstr>ocean_co2_flux_annual_b</vt:lpstr>
      <vt:lpstr>ocean_long_comp_co2_proj</vt:lpstr>
      <vt:lpstr>ocean_long_comp_co2_proj_b</vt:lpstr>
      <vt:lpstr>OCEAN_PROP</vt:lpstr>
      <vt:lpstr>ocean_short_comp_co2_proj</vt:lpstr>
      <vt:lpstr>ocean_short_comp_co2_proj_b</vt:lpstr>
      <vt:lpstr>over_ch4</vt:lpstr>
      <vt:lpstr>over_ch4_b</vt:lpstr>
      <vt:lpstr>over_n2o</vt:lpstr>
      <vt:lpstr>over_n2o_b</vt:lpstr>
      <vt:lpstr>PAIR_15C</vt:lpstr>
      <vt:lpstr>PAIR_25C</vt:lpstr>
      <vt:lpstr>PAIR_2C</vt:lpstr>
      <vt:lpstr>PAIR_BAU</vt:lpstr>
      <vt:lpstr>PAIR_NDC</vt:lpstr>
      <vt:lpstr>PAIR_NDC_PART</vt:lpstr>
      <vt:lpstr>PAIR_RCP26</vt:lpstr>
      <vt:lpstr>PAIR_RCP45</vt:lpstr>
      <vt:lpstr>PAIR_RCP85</vt:lpstr>
      <vt:lpstr>PAIR_ZERO</vt:lpstr>
      <vt:lpstr>PARAM_ECON_IMPF_PAGE09_BURKE_MIMIC</vt:lpstr>
      <vt:lpstr>PARAM_ECON_IMPF_PAGE09_DEFAULT</vt:lpstr>
      <vt:lpstr>PARAM_ECON_IMPF_PAGE09_DELL_MIMIC</vt:lpstr>
      <vt:lpstr>PARAM_ECON_IMPF_PAGE09_IPCCAR5_BURKE</vt:lpstr>
      <vt:lpstr>pcdat</vt:lpstr>
      <vt:lpstr>pcdat_b</vt:lpstr>
      <vt:lpstr>pcdat_g</vt:lpstr>
      <vt:lpstr>pcdat_g_ab</vt:lpstr>
      <vt:lpstr>pcdat_g_b</vt:lpstr>
      <vt:lpstr>pcdat_gt</vt:lpstr>
      <vt:lpstr>pcdat_gt_b</vt:lpstr>
      <vt:lpstr>pcdt</vt:lpstr>
      <vt:lpstr>pcdt_b</vt:lpstr>
      <vt:lpstr>pcdt_g</vt:lpstr>
      <vt:lpstr>pcdt_g_ab</vt:lpstr>
      <vt:lpstr>pcdt_g_b</vt:lpstr>
      <vt:lpstr>pct</vt:lpstr>
      <vt:lpstr>pct_b</vt:lpstr>
      <vt:lpstr>pct_g</vt:lpstr>
      <vt:lpstr>pct_g_ab</vt:lpstr>
      <vt:lpstr>pct_g_b</vt:lpstr>
      <vt:lpstr>pct_per_cap</vt:lpstr>
      <vt:lpstr>pct_per_cap_b</vt:lpstr>
      <vt:lpstr>PDIS</vt:lpstr>
      <vt:lpstr>PERCENT_CO2_LAND</vt:lpstr>
      <vt:lpstr>PERCENT_CO2_OCEAN_LONG</vt:lpstr>
      <vt:lpstr>PERCENT_CO2_OCEAN_SHORT</vt:lpstr>
      <vt:lpstr>PERCENT_CO2_STAY</vt:lpstr>
      <vt:lpstr>PERM_INITIAL_C_STOCK_UNCERTAINTY</vt:lpstr>
      <vt:lpstr>PERM_JUL_AF</vt:lpstr>
      <vt:lpstr>PERM_JUL_CE_C_0</vt:lpstr>
      <vt:lpstr>perm_jul_ce_c_co2</vt:lpstr>
      <vt:lpstr>PERM_JUL_CE_C_CO2_0</vt:lpstr>
      <vt:lpstr>perm_jul_ce_c_co2_1</vt:lpstr>
      <vt:lpstr>perm_jul_ce_c_co2_1_b</vt:lpstr>
      <vt:lpstr>perm_jul_ce_c_co2_b</vt:lpstr>
      <vt:lpstr>perm_jul_ce_c_co2_not_1</vt:lpstr>
      <vt:lpstr>perm_jul_ce_c_co2_not_1_b</vt:lpstr>
      <vt:lpstr>perm_jul_ce_ch4</vt:lpstr>
      <vt:lpstr>PERM_JUL_CE_CH4_0</vt:lpstr>
      <vt:lpstr>perm_jul_ce_ch4_b</vt:lpstr>
      <vt:lpstr>perm_jul_ce_co2</vt:lpstr>
      <vt:lpstr>PERM_JUL_CE_CO2_0</vt:lpstr>
      <vt:lpstr>perm_jul_ce_co2_b</vt:lpstr>
      <vt:lpstr>PERM_JUL_CH4_CO2_C_RATIO</vt:lpstr>
      <vt:lpstr>perm_jul_e_co2</vt:lpstr>
      <vt:lpstr>PERM_JUL_E_CO2_0</vt:lpstr>
      <vt:lpstr>perm_jul_e_co2_b</vt:lpstr>
      <vt:lpstr>perm_jul_equilib_c_co2</vt:lpstr>
      <vt:lpstr>PERM_JUL_EQUILIB_C_CO2_0</vt:lpstr>
      <vt:lpstr>perm_jul_equilib_c_co2_1</vt:lpstr>
      <vt:lpstr>perm_jul_equilib_c_co2_1_b</vt:lpstr>
      <vt:lpstr>perm_jul_equilib_c_co2_b</vt:lpstr>
      <vt:lpstr>perm_jul_equilib_c_co2_not_1</vt:lpstr>
      <vt:lpstr>perm_jul_equilib_c_co2_not_1_b</vt:lpstr>
      <vt:lpstr>PERM_JUL_LAG_C_CO2</vt:lpstr>
      <vt:lpstr>perm_jul_lag_c_co2_correct</vt:lpstr>
      <vt:lpstr>PERM_JUL_LAG_C_CO2_CORRECT_0</vt:lpstr>
      <vt:lpstr>perm_jul_lag_c_co2_correct_1</vt:lpstr>
      <vt:lpstr>perm_jul_lag_c_co2_correct_1_b</vt:lpstr>
      <vt:lpstr>perm_jul_lag_c_co2_correct_b</vt:lpstr>
      <vt:lpstr>perm_jul_lag_c_co2_correct_not_1</vt:lpstr>
      <vt:lpstr>perm_jul_lag_c_co2_correct_not_1_b</vt:lpstr>
      <vt:lpstr>PERM_JUL_LAG_SLOPE_VS_T_CO2</vt:lpstr>
      <vt:lpstr>PERM_JUL_LIMIT_C</vt:lpstr>
      <vt:lpstr>PERM_JUL_LIMIT_T</vt:lpstr>
      <vt:lpstr>PERM_JUL_POW_C_CO2</vt:lpstr>
      <vt:lpstr>perm_jul_pow_c_co2_correct</vt:lpstr>
      <vt:lpstr>PERM_JUL_POW_C_CO2_CORRECT_0</vt:lpstr>
      <vt:lpstr>perm_jul_pow_c_co2_correct_1</vt:lpstr>
      <vt:lpstr>perm_jul_pow_c_co2_correct_1_b</vt:lpstr>
      <vt:lpstr>perm_jul_pow_c_co2_correct_b</vt:lpstr>
      <vt:lpstr>perm_jul_pow_c_co2_correct_not_1</vt:lpstr>
      <vt:lpstr>perm_jul_pow_c_co2_correct_not_1_b</vt:lpstr>
      <vt:lpstr>PERM_JUL_POW_SLOPE_VS_T_CO2</vt:lpstr>
      <vt:lpstr>PERM_JUL_SENS_C_CO2</vt:lpstr>
      <vt:lpstr>perm_jul_sens_c_co2_correct</vt:lpstr>
      <vt:lpstr>PERM_JUL_SENS_C_CO2_CORRECT_0</vt:lpstr>
      <vt:lpstr>perm_jul_sens_c_co2_correct_1</vt:lpstr>
      <vt:lpstr>perm_jul_sens_c_co2_correct_1_b</vt:lpstr>
      <vt:lpstr>perm_jul_sens_c_co2_correct_b</vt:lpstr>
      <vt:lpstr>perm_jul_sens_c_co2_correct_not_1</vt:lpstr>
      <vt:lpstr>perm_jul_sens_c_co2_correct_not_1_b</vt:lpstr>
      <vt:lpstr>PERM_JUL_SENS_SLOPE_VS_T_CO2</vt:lpstr>
      <vt:lpstr>perm_jul_temp</vt:lpstr>
      <vt:lpstr>PERM_JUL_TEMP_0</vt:lpstr>
      <vt:lpstr>perm_jul_temp_b</vt:lpstr>
      <vt:lpstr>PERM_SIB_AF</vt:lpstr>
      <vt:lpstr>PERM_SIB_CE_C_0</vt:lpstr>
      <vt:lpstr>perm_sib_ce_c_ch4</vt:lpstr>
      <vt:lpstr>PERM_SIB_CE_C_CH4_0</vt:lpstr>
      <vt:lpstr>perm_sib_ce_c_ch4_b</vt:lpstr>
      <vt:lpstr>perm_sib_ce_c_co2</vt:lpstr>
      <vt:lpstr>PERM_SIB_CE_C_CO2_0</vt:lpstr>
      <vt:lpstr>perm_sib_ce_c_co2_1</vt:lpstr>
      <vt:lpstr>perm_sib_ce_c_co2_1_b</vt:lpstr>
      <vt:lpstr>perm_sib_ce_c_co2_b</vt:lpstr>
      <vt:lpstr>perm_sib_ce_c_co2_not_1</vt:lpstr>
      <vt:lpstr>perm_sib_ce_c_co2_not_1_b</vt:lpstr>
      <vt:lpstr>perm_sib_ce_ch4</vt:lpstr>
      <vt:lpstr>PERM_SIB_CE_CH4_0</vt:lpstr>
      <vt:lpstr>perm_sib_ce_ch4_1</vt:lpstr>
      <vt:lpstr>perm_sib_ce_ch4_1_b</vt:lpstr>
      <vt:lpstr>perm_sib_ce_ch4_b</vt:lpstr>
      <vt:lpstr>perm_sib_ce_ch4_not_1</vt:lpstr>
      <vt:lpstr>perm_sib_ce_ch4_not_1_b</vt:lpstr>
      <vt:lpstr>perm_sib_ce_co2</vt:lpstr>
      <vt:lpstr>PERM_SIB_CE_CO2_0</vt:lpstr>
      <vt:lpstr>perm_sib_ce_co2_1_b</vt:lpstr>
      <vt:lpstr>perm_sib_ce_co2_b</vt:lpstr>
      <vt:lpstr>perm_sib_ce_co2_not_1_b</vt:lpstr>
      <vt:lpstr>perm_sib_e_co2</vt:lpstr>
      <vt:lpstr>PERM_SIB_E_CO2_0</vt:lpstr>
      <vt:lpstr>PERM_SIB_E_CO2_0_b</vt:lpstr>
      <vt:lpstr>perm_sib_e_co2_b</vt:lpstr>
      <vt:lpstr>perm_sib_equilib_c_ch4_1</vt:lpstr>
      <vt:lpstr>perm_sib_equilib_c_ch4_1_b</vt:lpstr>
      <vt:lpstr>perm_sib_equilib_c_ch4_not_1</vt:lpstr>
      <vt:lpstr>perm_sib_equilib_c_ch4_not_1_b</vt:lpstr>
      <vt:lpstr>perm_sib_equilib_c_co2</vt:lpstr>
      <vt:lpstr>PERM_SIB_EQUILIB_C_CO2_0</vt:lpstr>
      <vt:lpstr>perm_sib_equilib_c_co2_1</vt:lpstr>
      <vt:lpstr>perm_sib_equilib_c_co2_1_b</vt:lpstr>
      <vt:lpstr>perm_sib_equilib_c_co2_b</vt:lpstr>
      <vt:lpstr>perm_sib_equilib_c_co2_not_1</vt:lpstr>
      <vt:lpstr>perm_sib_equilib_c_co2_not_1_b</vt:lpstr>
      <vt:lpstr>PERM_SIB_LAG_C_CH4</vt:lpstr>
      <vt:lpstr>perm_sib_lag_c_ch4_correct</vt:lpstr>
      <vt:lpstr>PERM_SIB_LAG_C_CH4_CORRECT_0</vt:lpstr>
      <vt:lpstr>perm_sib_lag_c_ch4_correct_1</vt:lpstr>
      <vt:lpstr>perm_sib_lag_c_ch4_correct_1_b</vt:lpstr>
      <vt:lpstr>perm_sib_lag_c_ch4_correct_b</vt:lpstr>
      <vt:lpstr>perm_sib_lag_c_ch4_correct_not_1</vt:lpstr>
      <vt:lpstr>perm_sib_lag_c_ch4_correct_not_1_b</vt:lpstr>
      <vt:lpstr>PERM_SIB_LAG_C_CO2</vt:lpstr>
      <vt:lpstr>perm_sib_lag_c_co2_correct</vt:lpstr>
      <vt:lpstr>PERM_SIB_LAG_C_CO2_CORRECT_0</vt:lpstr>
      <vt:lpstr>perm_sib_lag_c_co2_correct_1</vt:lpstr>
      <vt:lpstr>perm_sib_lag_c_co2_correct_1_b</vt:lpstr>
      <vt:lpstr>perm_sib_lag_c_co2_correct_b</vt:lpstr>
      <vt:lpstr>perm_sib_lag_c_co2_correct_not_1</vt:lpstr>
      <vt:lpstr>perm_sib_lag_c_co2_correct_not_1_b</vt:lpstr>
      <vt:lpstr>PERM_SIB_LAG_SLOPE_VS_T_CH4</vt:lpstr>
      <vt:lpstr>PERM_SIB_LAG_SLOPE_VS_T_CO2</vt:lpstr>
      <vt:lpstr>PERM_SIB_LIMIT_C</vt:lpstr>
      <vt:lpstr>PERM_SIB_LIMIT_T</vt:lpstr>
      <vt:lpstr>PERM_SIB_POW_C_CH4</vt:lpstr>
      <vt:lpstr>perm_sib_pow_c_ch4_correct</vt:lpstr>
      <vt:lpstr>PERM_SIB_POW_C_CH4_CORRECT_0</vt:lpstr>
      <vt:lpstr>perm_sib_pow_c_ch4_correct_1</vt:lpstr>
      <vt:lpstr>perm_sib_pow_c_ch4_correct_1_b</vt:lpstr>
      <vt:lpstr>perm_sib_pow_c_ch4_correct_b</vt:lpstr>
      <vt:lpstr>perm_sib_pow_c_ch4_correct_not_1</vt:lpstr>
      <vt:lpstr>perm_sib_pow_c_ch4_correct_not_1_b</vt:lpstr>
      <vt:lpstr>PERM_SIB_POW_C_CO2</vt:lpstr>
      <vt:lpstr>perm_sib_pow_c_co2_correct</vt:lpstr>
      <vt:lpstr>PERM_SIB_POW_C_CO2_CORRECT_0</vt:lpstr>
      <vt:lpstr>perm_sib_pow_c_co2_correct_1</vt:lpstr>
      <vt:lpstr>perm_sib_pow_c_co2_correct_1_b</vt:lpstr>
      <vt:lpstr>perm_sib_pow_c_co2_correct_b</vt:lpstr>
      <vt:lpstr>perm_sib_pow_c_co2_correct_not_1</vt:lpstr>
      <vt:lpstr>perm_sib_pow_c_co2_correct_not_1_b</vt:lpstr>
      <vt:lpstr>PERM_SIB_POW_SLOPE_VS_T_CH4</vt:lpstr>
      <vt:lpstr>PERM_SIB_POW_SLOPE_VS_T_CO2</vt:lpstr>
      <vt:lpstr>PERM_SIB_SENS_C_CH4</vt:lpstr>
      <vt:lpstr>perm_sib_sens_c_ch4_correct</vt:lpstr>
      <vt:lpstr>PERM_SIB_SENS_C_CH4_CORRECT_0</vt:lpstr>
      <vt:lpstr>perm_sib_sens_c_ch4_correct_1</vt:lpstr>
      <vt:lpstr>perm_sib_sens_c_ch4_correct_1_b</vt:lpstr>
      <vt:lpstr>perm_sib_sens_c_ch4_correct_b</vt:lpstr>
      <vt:lpstr>perm_sib_sens_c_ch4_correct_not_1</vt:lpstr>
      <vt:lpstr>perm_sib_sens_c_ch4_correct_not_1_b</vt:lpstr>
      <vt:lpstr>PERM_SIB_SENS_C_CO2</vt:lpstr>
      <vt:lpstr>perm_sib_sens_c_co2_correct</vt:lpstr>
      <vt:lpstr>PERM_SIB_SENS_C_CO2_CORRECT_0</vt:lpstr>
      <vt:lpstr>perm_sib_sens_c_co2_correct_1</vt:lpstr>
      <vt:lpstr>perm_sib_sens_c_co2_correct_1_b</vt:lpstr>
      <vt:lpstr>perm_sib_sens_c_co2_correct_b</vt:lpstr>
      <vt:lpstr>perm_sib_sens_c_co2_correct_not_1</vt:lpstr>
      <vt:lpstr>perm_sib_sens_c_co2_correct_not_1_b</vt:lpstr>
      <vt:lpstr>PERM_SIB_SENS_SLOPE_VS_T_CH4</vt:lpstr>
      <vt:lpstr>PERM_SIB_SENS_SLOPE_VS_T_CO2</vt:lpstr>
      <vt:lpstr>perm_sib_temp</vt:lpstr>
      <vt:lpstr>PERM_SIB_TEMP_0</vt:lpstr>
      <vt:lpstr>perm_sib_temp_1</vt:lpstr>
      <vt:lpstr>perm_sib_temp_1_b</vt:lpstr>
      <vt:lpstr>perm_sib_temp_b</vt:lpstr>
      <vt:lpstr>perm_sib_temp_not_1</vt:lpstr>
      <vt:lpstr>perm_sib_temp_not_1_b</vt:lpstr>
      <vt:lpstr>perm_teay_ch4</vt:lpstr>
      <vt:lpstr>perm_teay_ch4_b</vt:lpstr>
      <vt:lpstr>perm_tot_ce_ch4</vt:lpstr>
      <vt:lpstr>PERM_TOT_CE_CH4_0</vt:lpstr>
      <vt:lpstr>PERM_TOT_CE_CH4_0_b</vt:lpstr>
      <vt:lpstr>perm_tot_ce_ch4_1</vt:lpstr>
      <vt:lpstr>perm_tot_ce_ch4_1_b</vt:lpstr>
      <vt:lpstr>perm_tot_ce_ch4_b</vt:lpstr>
      <vt:lpstr>perm_tot_ce_ch4_not_1</vt:lpstr>
      <vt:lpstr>perm_tot_ce_ch4_not_1_b</vt:lpstr>
      <vt:lpstr>perm_tot_ce_co2</vt:lpstr>
      <vt:lpstr>PERM_TOT_CE_CO2_0</vt:lpstr>
      <vt:lpstr>PERM_TOT_CE_CO2_0_b</vt:lpstr>
      <vt:lpstr>perm_tot_ce_co2_b</vt:lpstr>
      <vt:lpstr>perm_tot_e_co2</vt:lpstr>
      <vt:lpstr>PERM_TOT_E_CO2_0</vt:lpstr>
      <vt:lpstr>PERM_TOT_E_CO2_0_b</vt:lpstr>
      <vt:lpstr>perm_tot_e_co2_b</vt:lpstr>
      <vt:lpstr>PEXF_0</vt:lpstr>
      <vt:lpstr>pexf_1_a</vt:lpstr>
      <vt:lpstr>pexf_1_b</vt:lpstr>
      <vt:lpstr>pexf_a</vt:lpstr>
      <vt:lpstr>pexf_b</vt:lpstr>
      <vt:lpstr>pexf_final_a</vt:lpstr>
      <vt:lpstr>pexf_final_b</vt:lpstr>
      <vt:lpstr>pexf_not_1_a</vt:lpstr>
      <vt:lpstr>pexf_not_1_b</vt:lpstr>
      <vt:lpstr>PIC</vt:lpstr>
      <vt:lpstr>PIC_CH4</vt:lpstr>
      <vt:lpstr>PIC_CO2</vt:lpstr>
      <vt:lpstr>PIC_GLIN</vt:lpstr>
      <vt:lpstr>PIC_N2O</vt:lpstr>
      <vt:lpstr>plateau_1_a</vt:lpstr>
      <vt:lpstr>plateau_1_b</vt:lpstr>
      <vt:lpstr>plateau_2_a</vt:lpstr>
      <vt:lpstr>plateau_2_b</vt:lpstr>
      <vt:lpstr>plateau_s_a</vt:lpstr>
      <vt:lpstr>plateau_s_b</vt:lpstr>
      <vt:lpstr>POP</vt:lpstr>
      <vt:lpstr>POP_0</vt:lpstr>
      <vt:lpstr>POP_B</vt:lpstr>
      <vt:lpstr>POP_G</vt:lpstr>
      <vt:lpstr>POP_G_0</vt:lpstr>
      <vt:lpstr>POP_G_1</vt:lpstr>
      <vt:lpstr>POP_G_1_B</vt:lpstr>
      <vt:lpstr>POP_G_B</vt:lpstr>
      <vt:lpstr>POP_G_NOT_1</vt:lpstr>
      <vt:lpstr>POP_G_NOT_1_B</vt:lpstr>
      <vt:lpstr>POP_GRW</vt:lpstr>
      <vt:lpstr>POP_GRW_1</vt:lpstr>
      <vt:lpstr>POP_GRW_1_B</vt:lpstr>
      <vt:lpstr>POP_GRW_B</vt:lpstr>
      <vt:lpstr>POP_GRW_G</vt:lpstr>
      <vt:lpstr>POP_GRW_G_B</vt:lpstr>
      <vt:lpstr>POP_GRW_NOT_1</vt:lpstr>
      <vt:lpstr>POP_GRW_NOT_1_B</vt:lpstr>
      <vt:lpstr>POP_NOT_1</vt:lpstr>
      <vt:lpstr>POP_NOT_1_B</vt:lpstr>
      <vt:lpstr>POP_UNIT_NAME</vt:lpstr>
      <vt:lpstr>POW_1</vt:lpstr>
      <vt:lpstr>POW_2</vt:lpstr>
      <vt:lpstr>POW_S</vt:lpstr>
      <vt:lpstr>prob_dis</vt:lpstr>
      <vt:lpstr>prob_dis_b</vt:lpstr>
      <vt:lpstr>pse_1_a</vt:lpstr>
      <vt:lpstr>pse_1_b</vt:lpstr>
      <vt:lpstr>pse_a</vt:lpstr>
      <vt:lpstr>pse_b</vt:lpstr>
      <vt:lpstr>pse_final_a</vt:lpstr>
      <vt:lpstr>pse_final_b</vt:lpstr>
      <vt:lpstr>pse_not_1_a</vt:lpstr>
      <vt:lpstr>pse_not_1_b</vt:lpstr>
      <vt:lpstr>pstart_1_a</vt:lpstr>
      <vt:lpstr>pstart_1_b</vt:lpstr>
      <vt:lpstr>pstart_2_a</vt:lpstr>
      <vt:lpstr>pstart_2_b</vt:lpstr>
      <vt:lpstr>pstart_s_a</vt:lpstr>
      <vt:lpstr>pstart_s_b</vt:lpstr>
      <vt:lpstr>pt_g</vt:lpstr>
      <vt:lpstr>pt_g_1</vt:lpstr>
      <vt:lpstr>pt_g_1_b</vt:lpstr>
      <vt:lpstr>pt_g_b</vt:lpstr>
      <vt:lpstr>pt_g_not_1</vt:lpstr>
      <vt:lpstr>pt_g_not_1_b</vt:lpstr>
      <vt:lpstr>PTP</vt:lpstr>
      <vt:lpstr>pyears_1_a</vt:lpstr>
      <vt:lpstr>pyears_1_b</vt:lpstr>
      <vt:lpstr>pyears_2_a</vt:lpstr>
      <vt:lpstr>pyears_2_b</vt:lpstr>
      <vt:lpstr>pyears_s_a</vt:lpstr>
      <vt:lpstr>pyears_s_b</vt:lpstr>
      <vt:lpstr>Q0_CH4</vt:lpstr>
      <vt:lpstr>Q0_CO2</vt:lpstr>
      <vt:lpstr>Q0_GLIN</vt:lpstr>
      <vt:lpstr>Q0_N2O</vt:lpstr>
      <vt:lpstr>Q0_PROP_CH4</vt:lpstr>
      <vt:lpstr>Q0_PROP_CO2</vt:lpstr>
      <vt:lpstr>Q0_PROP_GLIN</vt:lpstr>
      <vt:lpstr>Q0_PROP_INIT_CH4</vt:lpstr>
      <vt:lpstr>Q0_PROP_INIT_CH4_1</vt:lpstr>
      <vt:lpstr>Q0_PROP_INIT_CO2</vt:lpstr>
      <vt:lpstr>Q0_PROP_INIT_CO2_1</vt:lpstr>
      <vt:lpstr>Q0_PROP_INIT_GLIN</vt:lpstr>
      <vt:lpstr>Q0_PROP_INIT_GLIN_1</vt:lpstr>
      <vt:lpstr>Q0_PROP_INIT_N2O</vt:lpstr>
      <vt:lpstr>Q0_PROP_INIT_N2O_1</vt:lpstr>
      <vt:lpstr>Q0_PROP_N2O</vt:lpstr>
      <vt:lpstr>Q0F</vt:lpstr>
      <vt:lpstr>Q0PROPG</vt:lpstr>
      <vt:lpstr>Q0PROPMULT</vt:lpstr>
      <vt:lpstr>QMAX_CH4</vt:lpstr>
      <vt:lpstr>QMAX_CO2</vt:lpstr>
      <vt:lpstr>QMAX_GLIN</vt:lpstr>
      <vt:lpstr>QMAX_MINUS_Q0_PROP_CH4</vt:lpstr>
      <vt:lpstr>QMAX_MINUS_Q0_PROP_CO2</vt:lpstr>
      <vt:lpstr>QMAX_MINUS_Q0_PROP_GLIN</vt:lpstr>
      <vt:lpstr>QMAX_MINUS_Q0_PROP_INIT_CH4</vt:lpstr>
      <vt:lpstr>QMAX_MINUS_Q0_PROP_INIT_CO2</vt:lpstr>
      <vt:lpstr>QMAX_MINUS_Q0_PROP_INIT_GLIN</vt:lpstr>
      <vt:lpstr>QMAX_MINUS_Q0_PROP_INIT_N2O</vt:lpstr>
      <vt:lpstr>QMAX_MINUS_Q0_PROP_N2O</vt:lpstr>
      <vt:lpstr>QMAX_MINUS_Q0_PROPG</vt:lpstr>
      <vt:lpstr>QMAX_MINUS_Q0_PROPMULT</vt:lpstr>
      <vt:lpstr>QMAX_N2O</vt:lpstr>
      <vt:lpstr>R_CODE</vt:lpstr>
      <vt:lpstr>R_CODE_1</vt:lpstr>
      <vt:lpstr>R_CODE_NOT_1</vt:lpstr>
      <vt:lpstr>R_NAME</vt:lpstr>
      <vt:lpstr>R_NAME_1</vt:lpstr>
      <vt:lpstr>RAND_DIS</vt:lpstr>
      <vt:lpstr>rate_fgt</vt:lpstr>
      <vt:lpstr>rate_fgt_b</vt:lpstr>
      <vt:lpstr>rcons_1_per_cap</vt:lpstr>
      <vt:lpstr>rcons_1_per_cap_b</vt:lpstr>
      <vt:lpstr>rcons_2_per_cap</vt:lpstr>
      <vt:lpstr>rcons_2_per_cap_b</vt:lpstr>
      <vt:lpstr>rcons_s_per_cap</vt:lpstr>
      <vt:lpstr>rcons_s_per_cap_b</vt:lpstr>
      <vt:lpstr>rconsdis_per_cap</vt:lpstr>
      <vt:lpstr>rconsdis_per_cap_b</vt:lpstr>
      <vt:lpstr>RCP26_CH4</vt:lpstr>
      <vt:lpstr>RCP26_CH4_1</vt:lpstr>
      <vt:lpstr>RCP26_CH4_NOT_1</vt:lpstr>
      <vt:lpstr>RCP26_CO2</vt:lpstr>
      <vt:lpstr>RCP26_CO2_1</vt:lpstr>
      <vt:lpstr>RCP26_CO2_2100</vt:lpstr>
      <vt:lpstr>RCP26_CO2_NOT_1</vt:lpstr>
      <vt:lpstr>RCP26_Excess</vt:lpstr>
      <vt:lpstr>RCP26_Lin</vt:lpstr>
      <vt:lpstr>RCP26_Lin_1</vt:lpstr>
      <vt:lpstr>RCP26_Lin_NOT_1</vt:lpstr>
      <vt:lpstr>RCP26_N2O</vt:lpstr>
      <vt:lpstr>RCP26_N2O_1</vt:lpstr>
      <vt:lpstr>RCP26_N2O_NOT_1</vt:lpstr>
      <vt:lpstr>RCP26_sulph</vt:lpstr>
      <vt:lpstr>RCP26_sulph_1</vt:lpstr>
      <vt:lpstr>RCP26_sulph_NOT_1</vt:lpstr>
      <vt:lpstr>RCP26extra_CH4</vt:lpstr>
      <vt:lpstr>RCP26extra_CH4_B</vt:lpstr>
      <vt:lpstr>RCP26extra_CO2</vt:lpstr>
      <vt:lpstr>RCP26extra_CO2_B</vt:lpstr>
      <vt:lpstr>RCP26extra_Excess</vt:lpstr>
      <vt:lpstr>RCP26extra_Excess_B</vt:lpstr>
      <vt:lpstr>RCP26extra_Lin</vt:lpstr>
      <vt:lpstr>RCP26extra_Lin_B</vt:lpstr>
      <vt:lpstr>RCP26extra_N2O</vt:lpstr>
      <vt:lpstr>RCP26extra_N2O_B</vt:lpstr>
      <vt:lpstr>RCP26extra_sulph</vt:lpstr>
      <vt:lpstr>RCP26extra_sulph_B</vt:lpstr>
      <vt:lpstr>RCP45_CH4</vt:lpstr>
      <vt:lpstr>RCP45_CO2</vt:lpstr>
      <vt:lpstr>RCP45_Excess</vt:lpstr>
      <vt:lpstr>RCP45_Lin</vt:lpstr>
      <vt:lpstr>RCP45_N2O</vt:lpstr>
      <vt:lpstr>RCP45_sulph</vt:lpstr>
      <vt:lpstr>RCP85_CH4</vt:lpstr>
      <vt:lpstr>RCP85_CO2</vt:lpstr>
      <vt:lpstr>RCP85_Excess</vt:lpstr>
      <vt:lpstr>RCP85_Lin</vt:lpstr>
      <vt:lpstr>RCP85_N2O</vt:lpstr>
      <vt:lpstr>RCP85_sulph</vt:lpstr>
      <vt:lpstr>RCPW_CH4</vt:lpstr>
      <vt:lpstr>RCPW_CH4_B</vt:lpstr>
      <vt:lpstr>RCPW_CO2</vt:lpstr>
      <vt:lpstr>RCPW_CO2_B</vt:lpstr>
      <vt:lpstr>RCPW_Excess</vt:lpstr>
      <vt:lpstr>RCPW_Excess_B</vt:lpstr>
      <vt:lpstr>RCPW_Lin</vt:lpstr>
      <vt:lpstr>RCPW_Lin_B</vt:lpstr>
      <vt:lpstr>RCPW_N2O</vt:lpstr>
      <vt:lpstr>RCPW_N2O_B</vt:lpstr>
      <vt:lpstr>RCPW_sulph</vt:lpstr>
      <vt:lpstr>RCPW_sulph_B</vt:lpstr>
      <vt:lpstr>re_ch4</vt:lpstr>
      <vt:lpstr>RE_CH4_0</vt:lpstr>
      <vt:lpstr>re_ch4_b</vt:lpstr>
      <vt:lpstr>re_co2</vt:lpstr>
      <vt:lpstr>RE_CO2_0</vt:lpstr>
      <vt:lpstr>re_co2_1</vt:lpstr>
      <vt:lpstr>re_co2_1_b</vt:lpstr>
      <vt:lpstr>re_co2_b</vt:lpstr>
      <vt:lpstr>RE_CO2_NO_CCF_0</vt:lpstr>
      <vt:lpstr>re_co2_no_ccff</vt:lpstr>
      <vt:lpstr>re_co2_no_ccff_b</vt:lpstr>
      <vt:lpstr>re_co2_not_1</vt:lpstr>
      <vt:lpstr>re_co2_not_1_b</vt:lpstr>
      <vt:lpstr>re_glin</vt:lpstr>
      <vt:lpstr>RE_GLIN_0</vt:lpstr>
      <vt:lpstr>re_glin_b</vt:lpstr>
      <vt:lpstr>re_n2o</vt:lpstr>
      <vt:lpstr>RE_N2O_0</vt:lpstr>
      <vt:lpstr>re_n2o_b</vt:lpstr>
      <vt:lpstr>ref_ch4</vt:lpstr>
      <vt:lpstr>ref_ch4_b</vt:lpstr>
      <vt:lpstr>ref_glin</vt:lpstr>
      <vt:lpstr>ref_glin_b</vt:lpstr>
      <vt:lpstr>ref_n2o</vt:lpstr>
      <vt:lpstr>ref_n2o_b</vt:lpstr>
      <vt:lpstr>RES_CH4</vt:lpstr>
      <vt:lpstr>RES_GLIN</vt:lpstr>
      <vt:lpstr>RES_N2O</vt:lpstr>
      <vt:lpstr>rgdp_1_per_cap</vt:lpstr>
      <vt:lpstr>rgdp_1_per_cap_b</vt:lpstr>
      <vt:lpstr>rgdp_2_per_cap</vt:lpstr>
      <vt:lpstr>rgdp_2_per_cap_b</vt:lpstr>
      <vt:lpstr>rgdp_s_per_cap</vt:lpstr>
      <vt:lpstr>rgdp_s_per_cap_b</vt:lpstr>
      <vt:lpstr>rgdpdis_per_cap</vt:lpstr>
      <vt:lpstr>rgdpdis_per_cap_b</vt:lpstr>
      <vt:lpstr>rt_g</vt:lpstr>
      <vt:lpstr>RT_G_0</vt:lpstr>
      <vt:lpstr>RT_G_0_MEAN</vt:lpstr>
      <vt:lpstr>rt_g_1</vt:lpstr>
      <vt:lpstr>rt_g_1_b</vt:lpstr>
      <vt:lpstr>rt_g_2</vt:lpstr>
      <vt:lpstr>rt_g_b</vt:lpstr>
      <vt:lpstr>RT_G_CMIP5_BASE</vt:lpstr>
      <vt:lpstr>rt_g_not_1</vt:lpstr>
      <vt:lpstr>rt_g_not_1_b</vt:lpstr>
      <vt:lpstr>rt_g_not_2</vt:lpstr>
      <vt:lpstr>rtl</vt:lpstr>
      <vt:lpstr>RTL_0</vt:lpstr>
      <vt:lpstr>rtl_1_b</vt:lpstr>
      <vt:lpstr>RTL_ABS_0</vt:lpstr>
      <vt:lpstr>RTL_ABS_CMIP5_BASE</vt:lpstr>
      <vt:lpstr>rtl_b</vt:lpstr>
      <vt:lpstr>rtl_g</vt:lpstr>
      <vt:lpstr>RTL_G_0</vt:lpstr>
      <vt:lpstr>rtl_g_b</vt:lpstr>
      <vt:lpstr>rtl_not_1_b</vt:lpstr>
      <vt:lpstr>rto_g</vt:lpstr>
      <vt:lpstr>RTO_G_0</vt:lpstr>
      <vt:lpstr>s</vt:lpstr>
      <vt:lpstr>S_0</vt:lpstr>
      <vt:lpstr>s_a</vt:lpstr>
      <vt:lpstr>s_b</vt:lpstr>
      <vt:lpstr>SAVE</vt:lpstr>
      <vt:lpstr>SCAL</vt:lpstr>
      <vt:lpstr>SCCO2</vt:lpstr>
      <vt:lpstr>SCENARIO_PAIR</vt:lpstr>
      <vt:lpstr>SCENARIO_PAIR_B</vt:lpstr>
      <vt:lpstr>SCENARIO_PAIR_B_PRELIM</vt:lpstr>
      <vt:lpstr>SCENARIO_SWITCH</vt:lpstr>
      <vt:lpstr>SCENARIO_SWITCH_B</vt:lpstr>
      <vt:lpstr>SE_0</vt:lpstr>
      <vt:lpstr>RiskSerializationData8!SerializationHeader</vt:lpstr>
      <vt:lpstr>sfx</vt:lpstr>
      <vt:lpstr>SFX_0</vt:lpstr>
      <vt:lpstr>sfx_b</vt:lpstr>
      <vt:lpstr>sfx_g</vt:lpstr>
      <vt:lpstr>SFX_G_0</vt:lpstr>
      <vt:lpstr>sfx_g_b</vt:lpstr>
      <vt:lpstr>SLA</vt:lpstr>
      <vt:lpstr>SLTAU</vt:lpstr>
      <vt:lpstr>SLTEMP</vt:lpstr>
      <vt:lpstr>SSP1_GDP_RATE</vt:lpstr>
      <vt:lpstr>SSP1_POP_RATE</vt:lpstr>
      <vt:lpstr>SSP2_GDP_RATE</vt:lpstr>
      <vt:lpstr>SSP2_POP_RATE</vt:lpstr>
      <vt:lpstr>SSP234_GDP_RATE</vt:lpstr>
      <vt:lpstr>SSP234_POP_RATE</vt:lpstr>
      <vt:lpstr>SSP3_GDP_RATE</vt:lpstr>
      <vt:lpstr>SSP3_POP_RATE</vt:lpstr>
      <vt:lpstr>SSP4_GDP_RATE</vt:lpstr>
      <vt:lpstr>SSP4_POP_RATE</vt:lpstr>
      <vt:lpstr>SSP5_GDP_RATE</vt:lpstr>
      <vt:lpstr>SSP5_POP_RATE</vt:lpstr>
      <vt:lpstr>SSPW_GDP_RATE</vt:lpstr>
      <vt:lpstr>SSPW_GDP_RATE_B</vt:lpstr>
      <vt:lpstr>SSPW_POP_RATE</vt:lpstr>
      <vt:lpstr>SSPW_POP_RATE_B</vt:lpstr>
      <vt:lpstr>STIM_CH4</vt:lpstr>
      <vt:lpstr>STIM_GLIN</vt:lpstr>
      <vt:lpstr>STIM_N2O</vt:lpstr>
      <vt:lpstr>switch_perm</vt:lpstr>
      <vt:lpstr>switch_perm_b</vt:lpstr>
      <vt:lpstr>switch_seaice</vt:lpstr>
      <vt:lpstr>switch_seaice_b</vt:lpstr>
      <vt:lpstr>tac</vt:lpstr>
      <vt:lpstr>tac_ab</vt:lpstr>
      <vt:lpstr>tac_b</vt:lpstr>
      <vt:lpstr>tc_ch4</vt:lpstr>
      <vt:lpstr>tc_ch4_b</vt:lpstr>
      <vt:lpstr>tc_co2</vt:lpstr>
      <vt:lpstr>tc_co2_b</vt:lpstr>
      <vt:lpstr>tc_glin</vt:lpstr>
      <vt:lpstr>tc_glin_b</vt:lpstr>
      <vt:lpstr>tc_n2o</vt:lpstr>
      <vt:lpstr>tc_n2o_b</vt:lpstr>
      <vt:lpstr>TCAL</vt:lpstr>
      <vt:lpstr>TCAL_BURKE</vt:lpstr>
      <vt:lpstr>TCQ0_CH4</vt:lpstr>
      <vt:lpstr>TCQ0_CO2</vt:lpstr>
      <vt:lpstr>TCQ0_GLIN</vt:lpstr>
      <vt:lpstr>TCQ0_N2O</vt:lpstr>
      <vt:lpstr>TCR</vt:lpstr>
      <vt:lpstr>tct</vt:lpstr>
      <vt:lpstr>tct_b</vt:lpstr>
      <vt:lpstr>tct_g</vt:lpstr>
      <vt:lpstr>tct_per_cap</vt:lpstr>
      <vt:lpstr>tct_per_cap_b</vt:lpstr>
      <vt:lpstr>td</vt:lpstr>
      <vt:lpstr>td_ab</vt:lpstr>
      <vt:lpstr>td_b</vt:lpstr>
      <vt:lpstr>TDIS</vt:lpstr>
      <vt:lpstr>tdu</vt:lpstr>
      <vt:lpstr>tdu_b</vt:lpstr>
      <vt:lpstr>te_a</vt:lpstr>
      <vt:lpstr>te_ab</vt:lpstr>
      <vt:lpstr>te_b</vt:lpstr>
      <vt:lpstr>tea_ch4</vt:lpstr>
      <vt:lpstr>TEA_CH4_0</vt:lpstr>
      <vt:lpstr>tea_ch4_b</vt:lpstr>
      <vt:lpstr>tea_ch4_not_1</vt:lpstr>
      <vt:lpstr>tea_ch4_not_1_b</vt:lpstr>
      <vt:lpstr>tea_glin</vt:lpstr>
      <vt:lpstr>TEA_GLIN_0</vt:lpstr>
      <vt:lpstr>tea_glin_b</vt:lpstr>
      <vt:lpstr>tea_glin_not_1</vt:lpstr>
      <vt:lpstr>tea_glin_not_1_b</vt:lpstr>
      <vt:lpstr>tea_n2o</vt:lpstr>
      <vt:lpstr>TEA_N2O_0</vt:lpstr>
      <vt:lpstr>tea_n2o_b</vt:lpstr>
      <vt:lpstr>tea_n2o_not_1</vt:lpstr>
      <vt:lpstr>tea_n2o_not_1_b</vt:lpstr>
      <vt:lpstr>teay_ch4</vt:lpstr>
      <vt:lpstr>teay_ch4_b</vt:lpstr>
      <vt:lpstr>teay_glin</vt:lpstr>
      <vt:lpstr>teay_glin_b</vt:lpstr>
      <vt:lpstr>teay_n2o</vt:lpstr>
      <vt:lpstr>teay_n2o_b</vt:lpstr>
      <vt:lpstr>teay_perm_anthr_co2</vt:lpstr>
      <vt:lpstr>teay_perm_anthr_co2_1</vt:lpstr>
      <vt:lpstr>teay_perm_anthr_co2_1_b</vt:lpstr>
      <vt:lpstr>teay_perm_anthr_co2_b</vt:lpstr>
      <vt:lpstr>teay_perm_anthr_co2_not_1</vt:lpstr>
      <vt:lpstr>teay_perm_anthr_co2_not_1_b</vt:lpstr>
      <vt:lpstr>thipf_ch4_b</vt:lpstr>
      <vt:lpstr>thispf_ch4</vt:lpstr>
      <vt:lpstr>thispf_glin</vt:lpstr>
      <vt:lpstr>thispf_glin_b</vt:lpstr>
      <vt:lpstr>thispf_n2o</vt:lpstr>
      <vt:lpstr>thispf_n2o_b</vt:lpstr>
      <vt:lpstr>TIME_CO2_HIST</vt:lpstr>
      <vt:lpstr>TIME_CO2_HIST_b</vt:lpstr>
      <vt:lpstr>TIME_CO2_LAND</vt:lpstr>
      <vt:lpstr>TIME_CO2_OCEAN_LONG</vt:lpstr>
      <vt:lpstr>TIME_CO2_OCEAN_SHORT</vt:lpstr>
      <vt:lpstr>TOTAL_CE_CO2_0</vt:lpstr>
      <vt:lpstr>TOTAL_CE_CO2_0_b</vt:lpstr>
      <vt:lpstr>total_e_co2</vt:lpstr>
      <vt:lpstr>TOTAL_E_CO2_0</vt:lpstr>
      <vt:lpstr>TOTAL_E_CO2_0_b</vt:lpstr>
      <vt:lpstr>total_e_co2_1</vt:lpstr>
      <vt:lpstr>total_e_co2_1_b</vt:lpstr>
      <vt:lpstr>total_e_co2_b</vt:lpstr>
      <vt:lpstr>total_e_co2_not_1</vt:lpstr>
      <vt:lpstr>total_e_co2_not_1_b</vt:lpstr>
      <vt:lpstr>tpc</vt:lpstr>
      <vt:lpstr>tpc_ab</vt:lpstr>
      <vt:lpstr>tpc_b</vt:lpstr>
      <vt:lpstr>UDF</vt:lpstr>
      <vt:lpstr>UDFT</vt:lpstr>
      <vt:lpstr>VERSION</vt:lpstr>
      <vt:lpstr>VERSION_DATE</vt:lpstr>
      <vt:lpstr>VERSION_PARENT</vt:lpstr>
      <vt:lpstr>W_1</vt:lpstr>
      <vt:lpstr>W_2</vt:lpstr>
      <vt:lpstr>W_S</vt:lpstr>
      <vt:lpstr>wacdt</vt:lpstr>
      <vt:lpstr>wacdt_b</vt:lpstr>
      <vt:lpstr>wacdt_g</vt:lpstr>
      <vt:lpstr>wacdt_g_ab</vt:lpstr>
      <vt:lpstr>wacdt_g_b</vt:lpstr>
      <vt:lpstr>wact</vt:lpstr>
      <vt:lpstr>wact_b</vt:lpstr>
      <vt:lpstr>wact_g</vt:lpstr>
      <vt:lpstr>wact_g_ab</vt:lpstr>
      <vt:lpstr>wact_g_b</vt:lpstr>
      <vt:lpstr>wact_per_cap</vt:lpstr>
      <vt:lpstr>wact_per_cap_b</vt:lpstr>
      <vt:lpstr>WDIS</vt:lpstr>
      <vt:lpstr>WEIGHT_25C</vt:lpstr>
      <vt:lpstr>WEIGHT_BAU</vt:lpstr>
      <vt:lpstr>WEIGHT_NDC</vt:lpstr>
      <vt:lpstr>WEIGHT_NDC_PART</vt:lpstr>
      <vt:lpstr>WEIGHT_SCENARIOS</vt:lpstr>
      <vt:lpstr>WEIGHT_SCENARIOS_B</vt:lpstr>
      <vt:lpstr>WEIGHTING_AND_DISCOUNTING</vt:lpstr>
      <vt:lpstr>WEIGHTING_WITH_EQUITY</vt:lpstr>
      <vt:lpstr>WEIGHTING_WITHOUT_EQUITY</vt:lpstr>
      <vt:lpstr>WF_1</vt:lpstr>
      <vt:lpstr>WF_2</vt:lpstr>
      <vt:lpstr>WF_S</vt:lpstr>
      <vt:lpstr>widt</vt:lpstr>
      <vt:lpstr>widt_b</vt:lpstr>
      <vt:lpstr>widt_g</vt:lpstr>
      <vt:lpstr>widt_g_ab</vt:lpstr>
      <vt:lpstr>widt_g_b</vt:lpstr>
      <vt:lpstr>WINCF_1</vt:lpstr>
      <vt:lpstr>WINCF_2</vt:lpstr>
      <vt:lpstr>WINCF_S</vt:lpstr>
      <vt:lpstr>wit</vt:lpstr>
      <vt:lpstr>wit_b</vt:lpstr>
      <vt:lpstr>wit_g</vt:lpstr>
      <vt:lpstr>wit_g_ab</vt:lpstr>
      <vt:lpstr>wit_g_b</vt:lpstr>
      <vt:lpstr>WORLDB_GDPPOP_CHOICE</vt:lpstr>
      <vt:lpstr>WORLDB_GDPPOP_SWITCH</vt:lpstr>
      <vt:lpstr>WORLDB_OPTION_NO</vt:lpstr>
      <vt:lpstr>WORLDB_OPTION_YES</vt:lpstr>
      <vt:lpstr>wtct_per_cap</vt:lpstr>
      <vt:lpstr>wtct_per_cap_b</vt:lpstr>
      <vt:lpstr>Y</vt:lpstr>
      <vt:lpstr>Y_0</vt:lpstr>
      <vt:lpstr>Y_1</vt:lpstr>
      <vt:lpstr>Y_HI</vt:lpstr>
      <vt:lpstr>Y_LAST</vt:lpstr>
      <vt:lpstr>Y_LAST_SSP</vt:lpstr>
      <vt:lpstr>Y_LO</vt:lpstr>
      <vt:lpstr>Y_NOT_1</vt:lpstr>
      <vt:lpstr>Y_SCC</vt:lpstr>
      <vt:lpstr>YAGG</vt:lpstr>
      <vt:lpstr>YMINUSY0</vt:lpstr>
      <vt:lpstr>YMINUSY0_LAST</vt:lpstr>
      <vt:lpstr>YP</vt:lpstr>
      <vt:lpstr>YP_1</vt:lpstr>
      <vt:lpstr>YP_2</vt:lpstr>
      <vt:lpstr>YP_NOT_1</vt:lpstr>
      <vt:lpstr>YP_NOT_2</vt:lpstr>
      <vt:lpstr>ZC_CH4</vt:lpstr>
      <vt:lpstr>ZC_CH4_1</vt:lpstr>
      <vt:lpstr>ZC_CH4_NOT_1</vt:lpstr>
      <vt:lpstr>ZC_CO2</vt:lpstr>
      <vt:lpstr>ZC_CO2_1</vt:lpstr>
      <vt:lpstr>ZC_CO2_NOT_1</vt:lpstr>
      <vt:lpstr>ZC_GLIN</vt:lpstr>
      <vt:lpstr>ZC_GLIN_1</vt:lpstr>
      <vt:lpstr>ZC_GLIN_NOT_1</vt:lpstr>
      <vt:lpstr>ZC_N2O</vt:lpstr>
      <vt:lpstr>ZC_N2O_1</vt:lpstr>
      <vt:lpstr>ZC_N2O_NOT_1</vt:lpstr>
    </vt:vector>
  </TitlesOfParts>
  <Manager>d.yumashev@lancaster.ac.uk</Manager>
  <Company>University of Cambridge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Hope;Dmitry Yumashev</dc:creator>
  <cp:lastModifiedBy>DELL</cp:lastModifiedBy>
  <dcterms:created xsi:type="dcterms:W3CDTF">2002-04-11T13:30:58Z</dcterms:created>
  <dcterms:modified xsi:type="dcterms:W3CDTF">2021-05-28T17:49:52Z</dcterms:modified>
  <cp:contentStatus/>
</cp:coreProperties>
</file>