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64011"/>
  <mc:AlternateContent xmlns:mc="http://schemas.openxmlformats.org/markup-compatibility/2006">
    <mc:Choice Requires="x15">
      <x15ac:absPath xmlns:x15ac="http://schemas.microsoft.com/office/spreadsheetml/2010/11/ac" url="C:\Users\Owner\Desktop\"/>
    </mc:Choice>
  </mc:AlternateContent>
  <bookViews>
    <workbookView xWindow="0" yWindow="0" windowWidth="24000" windowHeight="9510"/>
  </bookViews>
  <sheets>
    <sheet name="Answers" sheetId="2" r:id="rId1"/>
    <sheet name="Calculations" sheetId="3" r:id="rId2"/>
    <sheet name="Conditions" sheetId="4" r:id="rId3"/>
  </sheets>
  <definedNames>
    <definedName name="a10000000">Calculations!$A$999988</definedName>
    <definedName name="a2000000">Calculations!$A$1000059</definedName>
    <definedName name="a9900000">Calculations!$A$999988</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0" i="2" l="1"/>
  <c r="E2" i="3"/>
  <c r="E3" i="3"/>
  <c r="E35" i="3"/>
  <c r="C3" i="4" l="1"/>
  <c r="B35" i="3"/>
  <c r="A5" i="3"/>
  <c r="E5" i="3" s="1"/>
  <c r="A6" i="3"/>
  <c r="A4" i="3"/>
  <c r="A4" i="4"/>
  <c r="C4" i="4" s="1"/>
  <c r="C5" i="4" s="1"/>
  <c r="B4" i="3"/>
  <c r="B3" i="3"/>
  <c r="H7" i="3"/>
  <c r="D4" i="4"/>
  <c r="D3" i="4"/>
  <c r="B4" i="4"/>
  <c r="B5" i="4" s="1"/>
  <c r="A7" i="3" l="1"/>
  <c r="E7" i="3" s="1"/>
  <c r="E6" i="3"/>
  <c r="C4" i="3"/>
  <c r="E4" i="3"/>
  <c r="B6" i="3"/>
  <c r="B5" i="3"/>
  <c r="B7" i="3"/>
  <c r="A8" i="3"/>
  <c r="E8" i="3" s="1"/>
  <c r="B8" i="3"/>
  <c r="A5" i="4"/>
  <c r="B6" i="4"/>
  <c r="D5" i="4"/>
  <c r="A9" i="3" l="1"/>
  <c r="E9" i="3" s="1"/>
  <c r="A6" i="4"/>
  <c r="A7" i="4" s="1"/>
  <c r="B7" i="4"/>
  <c r="D6" i="4"/>
  <c r="C6" i="4" l="1"/>
  <c r="F4" i="3"/>
  <c r="B9" i="3"/>
  <c r="A10" i="3"/>
  <c r="E10" i="3" s="1"/>
  <c r="A8" i="4"/>
  <c r="A9" i="4" s="1"/>
  <c r="A10" i="4" s="1"/>
  <c r="A11" i="4" s="1"/>
  <c r="A12" i="4" s="1"/>
  <c r="A13" i="4" s="1"/>
  <c r="A14" i="4" s="1"/>
  <c r="A15" i="4" s="1"/>
  <c r="A16" i="4" s="1"/>
  <c r="A17" i="4" s="1"/>
  <c r="A18" i="4" s="1"/>
  <c r="A19" i="4" s="1"/>
  <c r="C7" i="4"/>
  <c r="B8" i="4"/>
  <c r="D7" i="4"/>
  <c r="A20" i="4" l="1"/>
  <c r="A21" i="4" s="1"/>
  <c r="A22" i="4" s="1"/>
  <c r="A23" i="4" s="1"/>
  <c r="A24" i="4" s="1"/>
  <c r="A25" i="4" s="1"/>
  <c r="A26" i="4" s="1"/>
  <c r="A27" i="4" s="1"/>
  <c r="A28" i="4" s="1"/>
  <c r="A29" i="4" s="1"/>
  <c r="A30" i="4" s="1"/>
  <c r="A31" i="4" s="1"/>
  <c r="A32" i="4" s="1"/>
  <c r="A33" i="4" s="1"/>
  <c r="A34" i="4" s="1"/>
  <c r="A35" i="4" s="1"/>
  <c r="A36" i="4" s="1"/>
  <c r="F2" i="3"/>
  <c r="F3" i="3"/>
  <c r="F5" i="3"/>
  <c r="C8" i="4"/>
  <c r="B10" i="3"/>
  <c r="A11" i="3"/>
  <c r="E11" i="3" s="1"/>
  <c r="D4" i="3"/>
  <c r="C7" i="3"/>
  <c r="D7" i="3" s="1"/>
  <c r="C6" i="3"/>
  <c r="D6" i="3" s="1"/>
  <c r="C2" i="3"/>
  <c r="D2" i="3" s="1"/>
  <c r="C5" i="3"/>
  <c r="D5" i="3" s="1"/>
  <c r="C8" i="3"/>
  <c r="D8" i="3" s="1"/>
  <c r="C3" i="3"/>
  <c r="D3" i="3" s="1"/>
  <c r="B9" i="4"/>
  <c r="D8" i="4"/>
  <c r="C9" i="4" l="1"/>
  <c r="A12" i="3"/>
  <c r="E12" i="3" s="1"/>
  <c r="B11" i="3"/>
  <c r="B10" i="4"/>
  <c r="C9" i="3" s="1"/>
  <c r="D9" i="3" s="1"/>
  <c r="D9" i="4"/>
  <c r="F6" i="3"/>
  <c r="C10" i="4" l="1"/>
  <c r="B12" i="3"/>
  <c r="A13" i="3"/>
  <c r="E13" i="3" s="1"/>
  <c r="B11" i="4"/>
  <c r="C10" i="3" s="1"/>
  <c r="D10" i="3" s="1"/>
  <c r="D10" i="4"/>
  <c r="F7" i="3"/>
  <c r="C11" i="4" l="1"/>
  <c r="A14" i="3"/>
  <c r="E14" i="3" s="1"/>
  <c r="B13" i="3"/>
  <c r="B12" i="4"/>
  <c r="C11" i="3" s="1"/>
  <c r="D11" i="3" s="1"/>
  <c r="D11" i="4"/>
  <c r="F8" i="3"/>
  <c r="C12" i="4" l="1"/>
  <c r="A15" i="3"/>
  <c r="E15" i="3" s="1"/>
  <c r="B14" i="3"/>
  <c r="B13" i="4"/>
  <c r="C12" i="3" s="1"/>
  <c r="D12" i="3" s="1"/>
  <c r="D12" i="4"/>
  <c r="F9" i="3"/>
  <c r="C13" i="4" l="1"/>
  <c r="F11" i="3"/>
  <c r="A16" i="3"/>
  <c r="E16" i="3" s="1"/>
  <c r="B15" i="3"/>
  <c r="B14" i="4"/>
  <c r="C13" i="3" s="1"/>
  <c r="D13" i="3" s="1"/>
  <c r="D13" i="4"/>
  <c r="F10" i="3"/>
  <c r="C14" i="4" l="1"/>
  <c r="F12" i="3"/>
  <c r="A17" i="3"/>
  <c r="E17" i="3" s="1"/>
  <c r="B16" i="3"/>
  <c r="B15" i="4"/>
  <c r="C14" i="3" s="1"/>
  <c r="D14" i="3" s="1"/>
  <c r="D14" i="4"/>
  <c r="C15" i="4" l="1"/>
  <c r="F13" i="3"/>
  <c r="A18" i="3"/>
  <c r="E18" i="3" s="1"/>
  <c r="B17" i="3"/>
  <c r="B16" i="4"/>
  <c r="C15" i="3" s="1"/>
  <c r="D15" i="3" s="1"/>
  <c r="D15" i="4"/>
  <c r="C16" i="4" l="1"/>
  <c r="F14" i="3"/>
  <c r="A19" i="3"/>
  <c r="E19" i="3" s="1"/>
  <c r="B18" i="3"/>
  <c r="B17" i="4"/>
  <c r="D16" i="4"/>
  <c r="C17" i="4" l="1"/>
  <c r="F15" i="3"/>
  <c r="B19" i="3"/>
  <c r="A20" i="3"/>
  <c r="E20" i="3" s="1"/>
  <c r="B18" i="4"/>
  <c r="D17" i="4"/>
  <c r="C16" i="3"/>
  <c r="D16" i="3" s="1"/>
  <c r="C18" i="4" l="1"/>
  <c r="F16" i="3"/>
  <c r="B20" i="3"/>
  <c r="A21" i="3"/>
  <c r="E21" i="3" s="1"/>
  <c r="B19" i="4"/>
  <c r="D18" i="4"/>
  <c r="C19" i="4" l="1"/>
  <c r="F17" i="3"/>
  <c r="A22" i="3"/>
  <c r="E22" i="3" s="1"/>
  <c r="B21" i="3"/>
  <c r="B20" i="4"/>
  <c r="D19" i="4"/>
  <c r="C20" i="4" l="1"/>
  <c r="F18" i="3"/>
  <c r="B22" i="3"/>
  <c r="A23" i="3"/>
  <c r="E23" i="3" s="1"/>
  <c r="B21" i="4"/>
  <c r="D20" i="4"/>
  <c r="C21" i="4" l="1"/>
  <c r="F19" i="3"/>
  <c r="A24" i="3"/>
  <c r="E24" i="3" s="1"/>
  <c r="B23" i="3"/>
  <c r="B22" i="4"/>
  <c r="D21" i="4"/>
  <c r="C22" i="4" l="1"/>
  <c r="F20" i="3"/>
  <c r="B24" i="3"/>
  <c r="A25" i="3"/>
  <c r="E25" i="3" s="1"/>
  <c r="B23" i="4"/>
  <c r="D22" i="4"/>
  <c r="C17" i="3"/>
  <c r="D17" i="3" s="1"/>
  <c r="C23" i="4" l="1"/>
  <c r="F21" i="3"/>
  <c r="A26" i="3"/>
  <c r="E26" i="3" s="1"/>
  <c r="B25" i="3"/>
  <c r="B24" i="4"/>
  <c r="D23" i="4"/>
  <c r="C24" i="4" l="1"/>
  <c r="F22" i="3"/>
  <c r="A27" i="3"/>
  <c r="E27" i="3" s="1"/>
  <c r="B26" i="3"/>
  <c r="B25" i="4"/>
  <c r="D24" i="4"/>
  <c r="C25" i="4" l="1"/>
  <c r="F23" i="3"/>
  <c r="A28" i="3"/>
  <c r="E28" i="3" s="1"/>
  <c r="B27" i="3"/>
  <c r="B26" i="4"/>
  <c r="D25" i="4"/>
  <c r="C26" i="4" l="1"/>
  <c r="F24" i="3"/>
  <c r="B28" i="3"/>
  <c r="A29" i="3"/>
  <c r="E29" i="3" s="1"/>
  <c r="B27" i="4"/>
  <c r="D26" i="4"/>
  <c r="C18" i="3"/>
  <c r="D18" i="3" s="1"/>
  <c r="C27" i="4" l="1"/>
  <c r="F25" i="3"/>
  <c r="A30" i="3"/>
  <c r="E30" i="3" s="1"/>
  <c r="B29" i="3"/>
  <c r="B28" i="4"/>
  <c r="D27" i="4"/>
  <c r="C28" i="4" l="1"/>
  <c r="F26" i="3"/>
  <c r="B30" i="3"/>
  <c r="A31" i="3"/>
  <c r="E31" i="3" s="1"/>
  <c r="B29" i="4"/>
  <c r="D28" i="4"/>
  <c r="C29" i="4" l="1"/>
  <c r="F27" i="3"/>
  <c r="B31" i="3"/>
  <c r="A32" i="3"/>
  <c r="E32" i="3" s="1"/>
  <c r="B30" i="4"/>
  <c r="D29" i="4"/>
  <c r="C30" i="4" l="1"/>
  <c r="F28" i="3"/>
  <c r="B32" i="3"/>
  <c r="A33" i="3"/>
  <c r="E33" i="3" s="1"/>
  <c r="B31" i="4"/>
  <c r="D30" i="4"/>
  <c r="C31" i="4" l="1"/>
  <c r="F29" i="3"/>
  <c r="B33" i="3"/>
  <c r="A34" i="3"/>
  <c r="E34" i="3" s="1"/>
  <c r="B32" i="4"/>
  <c r="D31" i="4"/>
  <c r="C19" i="3"/>
  <c r="D19" i="3" s="1"/>
  <c r="C32" i="4" l="1"/>
  <c r="F30" i="3"/>
  <c r="A36" i="3"/>
  <c r="E36" i="3" s="1"/>
  <c r="B34" i="3"/>
  <c r="B33" i="4"/>
  <c r="D32" i="4"/>
  <c r="C20" i="3"/>
  <c r="D20" i="3" s="1"/>
  <c r="C33" i="4" l="1"/>
  <c r="F31" i="3"/>
  <c r="B36" i="3"/>
  <c r="B34" i="4"/>
  <c r="D33" i="4"/>
  <c r="C21" i="3"/>
  <c r="D21" i="3" s="1"/>
  <c r="C34" i="4" l="1"/>
  <c r="F32" i="3"/>
  <c r="B35" i="4"/>
  <c r="C35" i="3" s="1"/>
  <c r="D35" i="3" s="1"/>
  <c r="D34" i="4"/>
  <c r="C22" i="3"/>
  <c r="D22" i="3" s="1"/>
  <c r="C35" i="4" l="1"/>
  <c r="F33" i="3"/>
  <c r="B36" i="4"/>
  <c r="D35" i="4"/>
  <c r="C25" i="3"/>
  <c r="D25" i="3" s="1"/>
  <c r="C23" i="3"/>
  <c r="D23" i="3" s="1"/>
  <c r="C24" i="3"/>
  <c r="D24" i="3" s="1"/>
  <c r="C36" i="4" l="1"/>
  <c r="F35" i="3"/>
  <c r="F34" i="3"/>
  <c r="D36" i="4"/>
  <c r="C26" i="3"/>
  <c r="D26" i="3" s="1"/>
  <c r="C27" i="3"/>
  <c r="D27" i="3" s="1"/>
  <c r="F36" i="3" l="1"/>
  <c r="C28" i="3" l="1"/>
  <c r="D28" i="3" s="1"/>
  <c r="C29" i="3" l="1"/>
  <c r="D29" i="3" s="1"/>
  <c r="C30" i="3" l="1"/>
  <c r="D30" i="3" s="1"/>
  <c r="C31" i="3" l="1"/>
  <c r="D31" i="3" s="1"/>
  <c r="C32" i="3" l="1"/>
  <c r="D32" i="3" s="1"/>
  <c r="C33" i="3" l="1"/>
  <c r="D33" i="3" s="1"/>
  <c r="C34" i="3" l="1"/>
  <c r="D34" i="3" s="1"/>
  <c r="C36" i="3" l="1"/>
  <c r="D36" i="3" s="1"/>
</calcChain>
</file>

<file path=xl/sharedStrings.xml><?xml version="1.0" encoding="utf-8"?>
<sst xmlns="http://schemas.openxmlformats.org/spreadsheetml/2006/main" count="28" uniqueCount="24">
  <si>
    <t xml:space="preserve"> By what year will all bitcoins have been mined? And how many?</t>
  </si>
  <si>
    <t>How many bitcoin spendable units are there currently? How does that compare with the spendable units available in the world economy today? Could bitcoin be used as a global currency?</t>
  </si>
  <si>
    <t>What's the current size of the bitcoin blockchain? How quickly is it growing?</t>
  </si>
  <si>
    <t>What's the theoretical maximum transaction throughput of the bitcoin payments network?</t>
  </si>
  <si>
    <t>What's the market capitalization of bitcoin measured in USD$?</t>
  </si>
  <si>
    <t>Date Time</t>
  </si>
  <si>
    <t>Units Available (Satoshis)</t>
  </si>
  <si>
    <t>Block Number</t>
  </si>
  <si>
    <t>Blocks Mined</t>
  </si>
  <si>
    <t>Reward (in bitcoins)</t>
  </si>
  <si>
    <t>Reward (in Satoshis)</t>
  </si>
  <si>
    <t>Calculating Throughput</t>
  </si>
  <si>
    <t>Each transaction is 500 bytes</t>
  </si>
  <si>
    <t>Each block is 1MB  so 1,000,000 bytes</t>
  </si>
  <si>
    <t xml:space="preserve">So the maximum number of transactions on a block is </t>
  </si>
  <si>
    <r>
      <t xml:space="preserve">In theory, all 21 million bitcoins will be mined by </t>
    </r>
    <r>
      <rPr>
        <b/>
        <sz val="11"/>
        <color theme="1"/>
        <rFont val="Calibri"/>
        <family val="2"/>
        <scheme val="minor"/>
      </rPr>
      <t>April 15, 2408</t>
    </r>
    <r>
      <rPr>
        <sz val="11"/>
        <color theme="1"/>
        <rFont val="Calibri"/>
        <family val="2"/>
        <scheme val="minor"/>
      </rPr>
      <t xml:space="preserve"> (assuming the same mining rate). In practice, people will probably stop mining bitcoin by </t>
    </r>
    <r>
      <rPr>
        <b/>
        <sz val="11"/>
        <color theme="1"/>
        <rFont val="Calibri"/>
        <family val="2"/>
        <scheme val="minor"/>
      </rPr>
      <t>October 8, 2140</t>
    </r>
    <r>
      <rPr>
        <sz val="11"/>
        <color theme="1"/>
        <rFont val="Calibri"/>
        <family val="2"/>
        <scheme val="minor"/>
      </rPr>
      <t xml:space="preserve"> when the value earned from each additional block mined would be less than one Satoshi.</t>
    </r>
  </si>
  <si>
    <t>Questions and Answers</t>
  </si>
  <si>
    <t>Reward Lookup Table</t>
  </si>
  <si>
    <t>Bitcoins Mined (Cummulative)</t>
  </si>
  <si>
    <t xml:space="preserve">The theoretical limit is 2,000 transactions per block and 906,900,000 transactions in total occuring at once. </t>
  </si>
  <si>
    <t>The current market capitalization of bitcoin is $16,878,376,093.73 at $1043.97 per bitcoin and 16,168,025 bitcoins available for circulation.</t>
  </si>
  <si>
    <t>There are 1,616.8025 trillion Satoshis present in the world currrently. Meanwhile the world has about $7 trillion in circulation as bank notes and coins, according to the money project</t>
  </si>
  <si>
    <t>Source</t>
  </si>
  <si>
    <t>The current bitcoin chain size is 453,450 blocks. It's growing at one block mined approximately every 10 minutes (9 minutes and 29 seconds according to bitcoinwatch.com) Using the approximation that there is a new block mined every 10 minutes, the current size of the bitcoin blockchain should be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</si>
</sst>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8" formatCode="m/d/yy\ h:mm;@"/>
    <numFmt numFmtId="171" formatCode="_(* #,##0_);_(* \(#,##0\);_(* &quot;-&quot;??_);_(@_)"/>
    <numFmt numFmtId="172" formatCode="_(* #,##0.000_);_(* \(#,##0.000\);_(* &quot;-&quot;??_);_(@_)"/>
    <numFmt numFmtId="175" formatCode="_(* #,##0.000000_);_(* \(#,##0.000000\);_(* &quot;-&quot;??_);_(@_)"/>
    <numFmt numFmtId="176" formatCode="0.000"/>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16"/>
      <color theme="1"/>
      <name val="Calibri"/>
      <family val="2"/>
      <scheme val="minor"/>
    </font>
    <font>
      <b/>
      <sz val="22"/>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3">
    <xf numFmtId="0" fontId="0" fillId="0" borderId="0"/>
    <xf numFmtId="43" fontId="1" fillId="0" borderId="0" applyFont="0" applyFill="0" applyBorder="0" applyAlignment="0" applyProtection="0"/>
    <xf numFmtId="0" fontId="5" fillId="0" borderId="0" applyNumberFormat="0" applyFill="0" applyBorder="0" applyAlignment="0" applyProtection="0"/>
  </cellStyleXfs>
  <cellXfs count="43">
    <xf numFmtId="0" fontId="0" fillId="0" borderId="0" xfId="0"/>
    <xf numFmtId="0" fontId="0" fillId="2" borderId="0" xfId="0" applyFill="1" applyBorder="1"/>
    <xf numFmtId="0" fontId="4" fillId="2" borderId="0" xfId="0" applyFont="1" applyFill="1" applyBorder="1"/>
    <xf numFmtId="168" fontId="0" fillId="0" borderId="0" xfId="0" applyNumberFormat="1"/>
    <xf numFmtId="0" fontId="0" fillId="0" borderId="0" xfId="0" applyAlignment="1">
      <alignment horizontal="center"/>
    </xf>
    <xf numFmtId="168" fontId="0" fillId="0" borderId="0" xfId="0" applyNumberFormat="1" applyAlignment="1">
      <alignment horizontal="center"/>
    </xf>
    <xf numFmtId="171" fontId="0" fillId="0" borderId="0" xfId="1" applyNumberFormat="1" applyFont="1"/>
    <xf numFmtId="172" fontId="0" fillId="0" borderId="0" xfId="1" applyNumberFormat="1" applyFont="1"/>
    <xf numFmtId="175" fontId="0" fillId="0" borderId="0" xfId="1" applyNumberFormat="1" applyFont="1"/>
    <xf numFmtId="0" fontId="2" fillId="0" borderId="0" xfId="0" applyFont="1"/>
    <xf numFmtId="171" fontId="0" fillId="0" borderId="0" xfId="1" applyNumberFormat="1" applyFont="1" applyAlignment="1">
      <alignment horizontal="center"/>
    </xf>
    <xf numFmtId="0" fontId="0" fillId="2" borderId="1" xfId="0" applyFill="1" applyBorder="1" applyAlignment="1">
      <alignment horizontal="left"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1" xfId="0"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xf>
    <xf numFmtId="0" fontId="0" fillId="2" borderId="5" xfId="0" applyFill="1" applyBorder="1" applyAlignment="1">
      <alignment horizontal="left"/>
    </xf>
    <xf numFmtId="0" fontId="0" fillId="2" borderId="6" xfId="0" applyFill="1" applyBorder="1" applyAlignment="1">
      <alignment horizontal="left"/>
    </xf>
    <xf numFmtId="0" fontId="0" fillId="2" borderId="7" xfId="0" applyFill="1" applyBorder="1" applyAlignment="1">
      <alignment horizontal="left"/>
    </xf>
    <xf numFmtId="0" fontId="0" fillId="2" borderId="0" xfId="0" applyFill="1" applyBorder="1" applyAlignment="1">
      <alignment horizontal="left"/>
    </xf>
    <xf numFmtId="0" fontId="0" fillId="2" borderId="8" xfId="0" applyFill="1" applyBorder="1" applyAlignment="1">
      <alignment horizontal="left"/>
    </xf>
    <xf numFmtId="171" fontId="2" fillId="2" borderId="9" xfId="1" applyNumberFormat="1" applyFont="1" applyFill="1" applyBorder="1" applyAlignment="1">
      <alignment horizontal="left"/>
    </xf>
    <xf numFmtId="0" fontId="0" fillId="2" borderId="10" xfId="0" applyFill="1" applyBorder="1" applyAlignment="1">
      <alignment horizontal="left"/>
    </xf>
    <xf numFmtId="0" fontId="0" fillId="2" borderId="11" xfId="0" applyFill="1" applyBorder="1" applyAlignment="1">
      <alignment horizontal="left"/>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171" fontId="0" fillId="0" borderId="0" xfId="1" applyNumberFormat="1" applyFont="1" applyFill="1"/>
    <xf numFmtId="168" fontId="0" fillId="0" borderId="0" xfId="0" applyNumberFormat="1" applyFill="1"/>
    <xf numFmtId="0" fontId="0" fillId="0" borderId="0" xfId="0" applyFill="1"/>
    <xf numFmtId="172" fontId="0" fillId="0" borderId="0" xfId="1" applyNumberFormat="1" applyFont="1" applyFill="1"/>
    <xf numFmtId="176" fontId="0" fillId="0" borderId="0" xfId="0" applyNumberFormat="1"/>
    <xf numFmtId="176" fontId="0" fillId="0" borderId="0" xfId="0" applyNumberFormat="1" applyFill="1"/>
    <xf numFmtId="175" fontId="0" fillId="0" borderId="0" xfId="1" applyNumberFormat="1" applyFont="1" applyFill="1"/>
    <xf numFmtId="0" fontId="5" fillId="2" borderId="0" xfId="2" applyFill="1" applyBorder="1"/>
    <xf numFmtId="0" fontId="0" fillId="2" borderId="15" xfId="0" applyFill="1" applyBorder="1" applyAlignment="1">
      <alignment horizontal="left" vertical="center" wrapText="1"/>
    </xf>
    <xf numFmtId="0" fontId="0" fillId="2" borderId="16" xfId="0" applyFill="1" applyBorder="1" applyAlignment="1">
      <alignment horizontal="left" vertical="center" wrapText="1"/>
    </xf>
    <xf numFmtId="0" fontId="0" fillId="2" borderId="17" xfId="0" applyFill="1" applyBorder="1" applyAlignment="1">
      <alignment horizontal="left" vertical="center" wrapText="1"/>
    </xf>
    <xf numFmtId="171" fontId="3" fillId="2" borderId="12" xfId="1" applyNumberFormat="1" applyFont="1" applyFill="1" applyBorder="1" applyAlignment="1">
      <alignment horizontal="center" vertical="center"/>
    </xf>
    <xf numFmtId="171" fontId="3" fillId="2" borderId="13" xfId="1" applyNumberFormat="1" applyFont="1" applyFill="1" applyBorder="1" applyAlignment="1">
      <alignment horizontal="center" vertical="center"/>
    </xf>
    <xf numFmtId="171" fontId="3" fillId="2" borderId="14" xfId="1" applyNumberFormat="1" applyFont="1" applyFill="1" applyBorder="1" applyAlignment="1">
      <alignment horizontal="center" vertical="center"/>
    </xf>
  </cellXfs>
  <cellStyles count="3">
    <cellStyle name="Comma" xfId="1" builtinId="3"/>
    <cellStyle name="Hyperlink" xfId="2" builtinId="8"/>
    <cellStyle name="Normal" xfId="0" builtinId="0"/>
  </cellStyles>
  <dxfs count="13">
    <dxf>
      <font>
        <b val="0"/>
        <i val="0"/>
        <strike val="0"/>
        <condense val="0"/>
        <extend val="0"/>
        <outline val="0"/>
        <shadow val="0"/>
        <u val="none"/>
        <vertAlign val="baseline"/>
        <sz val="11"/>
        <color theme="1"/>
        <name val="Calibri"/>
        <family val="2"/>
        <scheme val="minor"/>
      </font>
      <numFmt numFmtId="171" formatCode="_(* #,##0_);_(* \(#,##0\);_(* &quot;-&quot;??_);_(@_)"/>
      <fill>
        <patternFill patternType="solid">
          <fgColor indexed="64"/>
          <bgColor theme="2"/>
        </patternFill>
      </fill>
    </dxf>
    <dxf>
      <numFmt numFmtId="176" formatCode="0.000"/>
      <fill>
        <patternFill patternType="solid">
          <fgColor indexed="64"/>
          <bgColor theme="2"/>
        </patternFill>
      </fill>
    </dxf>
    <dxf>
      <font>
        <b val="0"/>
        <i val="0"/>
        <strike val="0"/>
        <condense val="0"/>
        <extend val="0"/>
        <outline val="0"/>
        <shadow val="0"/>
        <u val="none"/>
        <vertAlign val="baseline"/>
        <sz val="11"/>
        <color theme="1"/>
        <name val="Calibri"/>
        <family val="2"/>
        <scheme val="minor"/>
      </font>
      <numFmt numFmtId="172" formatCode="_(* #,##0.000_);_(* \(#,##0.000\);_(* &quot;-&quot;??_);_(@_)"/>
      <fill>
        <patternFill patternType="solid">
          <fgColor indexed="64"/>
          <bgColor theme="2"/>
        </patternFill>
      </fill>
    </dxf>
    <dxf>
      <fill>
        <patternFill patternType="solid">
          <fgColor indexed="64"/>
          <bgColor theme="2"/>
        </patternFill>
      </fill>
    </dxf>
    <dxf>
      <numFmt numFmtId="168" formatCode="m/d/yy\ h:mm;@"/>
      <fill>
        <patternFill patternType="solid">
          <fgColor indexed="64"/>
          <bgColor theme="2"/>
        </patternFill>
      </fill>
    </dxf>
    <dxf>
      <font>
        <b val="0"/>
        <i val="0"/>
        <strike val="0"/>
        <condense val="0"/>
        <extend val="0"/>
        <outline val="0"/>
        <shadow val="0"/>
        <u val="none"/>
        <vertAlign val="baseline"/>
        <sz val="11"/>
        <color theme="1"/>
        <name val="Calibri"/>
        <family val="2"/>
        <scheme val="minor"/>
      </font>
      <numFmt numFmtId="171" formatCode="_(* #,##0_);_(* \(#,##0\);_(* &quot;-&quot;??_);_(@_)"/>
      <fill>
        <patternFill patternType="solid">
          <fgColor indexed="64"/>
          <bgColor theme="2"/>
        </patternFill>
      </fill>
    </dxf>
    <dxf>
      <alignment horizontal="center"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75" formatCode="_(* #,##0.000000_);_(* \(#,##0.000000\);_(* &quot;-&quot;??_);_(@_)"/>
      <fill>
        <patternFill patternType="solid">
          <fgColor indexed="64"/>
          <bgColor theme="2"/>
        </patternFill>
      </fill>
    </dxf>
    <dxf>
      <numFmt numFmtId="172" formatCode="_(* #,##0.000_);_(* \(#,##0.000\);_(* &quot;-&quot;??_);_(@_)"/>
      <fill>
        <patternFill patternType="solid">
          <fgColor indexed="64"/>
          <bgColor theme="2"/>
        </patternFill>
      </fill>
    </dxf>
    <dxf>
      <fill>
        <patternFill patternType="solid">
          <fgColor indexed="64"/>
          <bgColor theme="2"/>
        </patternFill>
      </fill>
    </dxf>
    <dxf>
      <font>
        <b val="0"/>
        <i val="0"/>
        <strike val="0"/>
        <condense val="0"/>
        <extend val="0"/>
        <outline val="0"/>
        <shadow val="0"/>
        <u val="none"/>
        <vertAlign val="baseline"/>
        <sz val="11"/>
        <color theme="1"/>
        <name val="Calibri"/>
        <family val="2"/>
        <scheme val="minor"/>
      </font>
      <numFmt numFmtId="171" formatCode="_(* #,##0_);_(* \(#,##0\);_(* &quot;-&quot;??_);_(@_)"/>
      <fill>
        <patternFill patternType="solid">
          <fgColor indexed="64"/>
          <bgColor theme="2"/>
        </patternFill>
      </fill>
    </dxf>
    <dxf>
      <border outline="0">
        <top style="medium">
          <color indexed="64"/>
        </top>
      </border>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3" name="Table3" displayName="Table3" ref="A1:F36" totalsRowShown="0" headerRowDxfId="6">
  <autoFilter ref="A1:F36"/>
  <tableColumns count="6">
    <tableColumn id="1" name="Block Number" dataDxfId="5" dataCellStyle="Comma"/>
    <tableColumn id="2" name="Date Time" dataDxfId="4">
      <calculatedColumnFormula>$B$2+((A2-$A$2)*10/1440)</calculatedColumnFormula>
    </tableColumn>
    <tableColumn id="3" name="Reward (in bitcoins)" dataDxfId="3">
      <calculatedColumnFormula>LOOKUP(A2,Conditions!$A$3:$A$36,Conditions!$B$3:$B$36)</calculatedColumnFormula>
    </tableColumn>
    <tableColumn id="4" name="Reward (in Satoshis)" dataDxfId="2" dataCellStyle="Comma">
      <calculatedColumnFormula>C2*100000000</calculatedColumnFormula>
    </tableColumn>
    <tableColumn id="5" name="Bitcoins Mined (Cummulative)" dataDxfId="1">
      <calculatedColumnFormula>LOOKUP(Table3[[#This Row],[Block Number]],Table2[Blocks Mined],Table2[Bitcoins Mined (Cummulative)])</calculatedColumnFormula>
    </tableColumn>
    <tableColumn id="6" name="Units Available (Satoshis)" dataDxfId="0" dataCellStyle="Comma"/>
  </tableColumns>
  <tableStyleInfo name="TableStyleMedium6" showFirstColumn="0" showLastColumn="0" showRowStripes="1" showColumnStripes="0"/>
</table>
</file>

<file path=xl/tables/table2.xml><?xml version="1.0" encoding="utf-8"?>
<table xmlns="http://schemas.openxmlformats.org/spreadsheetml/2006/main" id="2" name="Table2" displayName="Table2" ref="A2:D36" totalsRowShown="0" headerRowDxfId="12" tableBorderDxfId="11">
  <autoFilter ref="A2:D36"/>
  <tableColumns count="4">
    <tableColumn id="1" name="Blocks Mined" dataDxfId="10" dataCellStyle="Comma"/>
    <tableColumn id="2" name="Reward (in bitcoins)" dataDxfId="9">
      <calculatedColumnFormula>B2/2</calculatedColumnFormula>
    </tableColumn>
    <tableColumn id="4" name="Bitcoins Mined (Cummulative)" dataDxfId="8" dataCellStyle="Comma">
      <calculatedColumnFormula>Table2[[#This Row],[Blocks Mined]]*Table2[[#This Row],[Reward (in bitcoins)]]</calculatedColumnFormula>
    </tableColumn>
    <tableColumn id="3" name="Reward (in Satoshis)" dataDxfId="7" dataCellStyle="Comma">
      <calculatedColumnFormula>B3*100000000</calculatedColumnFormula>
    </tableColumn>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itcoinwatch.com/" TargetMode="External"/><Relationship Id="rId1" Type="http://schemas.openxmlformats.org/officeDocument/2006/relationships/hyperlink" Target="http://money.visualcapitalist.com/all-of-the-worlds-money-and-markets-in-one-visualization/"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6"/>
  <sheetViews>
    <sheetView tabSelected="1" topLeftCell="B1" workbookViewId="0">
      <selection activeCell="B9" sqref="B9:U9"/>
    </sheetView>
  </sheetViews>
  <sheetFormatPr defaultRowHeight="15" x14ac:dyDescent="0.25"/>
  <cols>
    <col min="1" max="1" width="2.85546875" style="1" customWidth="1"/>
    <col min="2" max="16384" width="9.140625" style="1"/>
  </cols>
  <sheetData>
    <row r="1" spans="1:22" s="2" customFormat="1" ht="28.5" x14ac:dyDescent="0.45">
      <c r="B1" s="2" t="s">
        <v>16</v>
      </c>
    </row>
    <row r="2" spans="1:22" x14ac:dyDescent="0.25">
      <c r="A2" s="1">
        <v>1</v>
      </c>
      <c r="B2" s="1" t="s">
        <v>0</v>
      </c>
    </row>
    <row r="3" spans="1:22" ht="32.1" customHeight="1" x14ac:dyDescent="0.25">
      <c r="B3" s="14" t="s">
        <v>15</v>
      </c>
      <c r="C3" s="15"/>
      <c r="D3" s="15"/>
      <c r="E3" s="15"/>
      <c r="F3" s="15"/>
      <c r="G3" s="15"/>
      <c r="H3" s="15"/>
      <c r="I3" s="15"/>
      <c r="J3" s="15"/>
      <c r="K3" s="15"/>
      <c r="L3" s="15"/>
      <c r="M3" s="15"/>
      <c r="N3" s="15"/>
      <c r="O3" s="15"/>
      <c r="P3" s="15"/>
      <c r="Q3" s="15"/>
      <c r="R3" s="15"/>
      <c r="S3" s="15"/>
      <c r="T3" s="15"/>
      <c r="U3" s="16"/>
    </row>
    <row r="5" spans="1:22" x14ac:dyDescent="0.25">
      <c r="A5" s="1">
        <v>2</v>
      </c>
      <c r="B5" s="1" t="s">
        <v>1</v>
      </c>
    </row>
    <row r="6" spans="1:22" ht="32.1" customHeight="1" x14ac:dyDescent="0.25">
      <c r="B6" s="11" t="s">
        <v>21</v>
      </c>
      <c r="C6" s="12"/>
      <c r="D6" s="12"/>
      <c r="E6" s="12"/>
      <c r="F6" s="12"/>
      <c r="G6" s="12"/>
      <c r="H6" s="12"/>
      <c r="I6" s="12"/>
      <c r="J6" s="12"/>
      <c r="K6" s="12"/>
      <c r="L6" s="12"/>
      <c r="M6" s="12"/>
      <c r="N6" s="12"/>
      <c r="O6" s="12"/>
      <c r="P6" s="12"/>
      <c r="Q6" s="12"/>
      <c r="R6" s="12"/>
      <c r="S6" s="12"/>
      <c r="T6" s="12"/>
      <c r="U6" s="13"/>
      <c r="V6" s="36" t="s">
        <v>22</v>
      </c>
    </row>
    <row r="8" spans="1:22" x14ac:dyDescent="0.25">
      <c r="A8" s="1">
        <v>3</v>
      </c>
      <c r="B8" s="1" t="s">
        <v>2</v>
      </c>
    </row>
    <row r="9" spans="1:22" ht="32.1" customHeight="1" thickBot="1" x14ac:dyDescent="0.3">
      <c r="B9" s="37" t="s">
        <v>23</v>
      </c>
      <c r="C9" s="38"/>
      <c r="D9" s="38"/>
      <c r="E9" s="38"/>
      <c r="F9" s="38"/>
      <c r="G9" s="38"/>
      <c r="H9" s="38"/>
      <c r="I9" s="38"/>
      <c r="J9" s="38"/>
      <c r="K9" s="38"/>
      <c r="L9" s="38"/>
      <c r="M9" s="38"/>
      <c r="N9" s="38"/>
      <c r="O9" s="38"/>
      <c r="P9" s="38"/>
      <c r="Q9" s="38"/>
      <c r="R9" s="38"/>
      <c r="S9" s="38"/>
      <c r="T9" s="38"/>
      <c r="U9" s="39"/>
      <c r="V9" s="36" t="s">
        <v>22</v>
      </c>
    </row>
    <row r="10" spans="1:22" ht="32.1" customHeight="1" thickBot="1" x14ac:dyDescent="0.3">
      <c r="B10" s="40">
        <f ca="1">(NOW() - Calculations!B2)*144</f>
        <v>427169.65823333419</v>
      </c>
      <c r="C10" s="41"/>
      <c r="D10" s="41"/>
      <c r="E10" s="41"/>
      <c r="F10" s="41"/>
      <c r="G10" s="41"/>
      <c r="H10" s="41"/>
      <c r="I10" s="41"/>
      <c r="J10" s="41"/>
      <c r="K10" s="41"/>
      <c r="L10" s="41"/>
      <c r="M10" s="41"/>
      <c r="N10" s="41"/>
      <c r="O10" s="41"/>
      <c r="P10" s="41"/>
      <c r="Q10" s="41"/>
      <c r="R10" s="41"/>
      <c r="S10" s="41"/>
      <c r="T10" s="41"/>
      <c r="U10" s="42"/>
    </row>
    <row r="12" spans="1:22" x14ac:dyDescent="0.25">
      <c r="A12" s="1">
        <v>4</v>
      </c>
      <c r="B12" s="1" t="s">
        <v>3</v>
      </c>
    </row>
    <row r="13" spans="1:22" ht="32.1" customHeight="1" x14ac:dyDescent="0.25">
      <c r="B13" s="11" t="s">
        <v>19</v>
      </c>
      <c r="C13" s="12"/>
      <c r="D13" s="12"/>
      <c r="E13" s="12"/>
      <c r="F13" s="12"/>
      <c r="G13" s="12"/>
      <c r="H13" s="12"/>
      <c r="I13" s="12"/>
      <c r="J13" s="12"/>
      <c r="K13" s="12"/>
      <c r="L13" s="12"/>
      <c r="M13" s="12"/>
      <c r="N13" s="12"/>
      <c r="O13" s="12"/>
      <c r="P13" s="12"/>
      <c r="Q13" s="12"/>
      <c r="R13" s="12"/>
      <c r="S13" s="12"/>
      <c r="T13" s="12"/>
      <c r="U13" s="13"/>
    </row>
    <row r="15" spans="1:22" x14ac:dyDescent="0.25">
      <c r="A15" s="1">
        <v>5</v>
      </c>
      <c r="B15" s="1" t="s">
        <v>4</v>
      </c>
    </row>
    <row r="16" spans="1:22" ht="32.1" customHeight="1" x14ac:dyDescent="0.25">
      <c r="B16" s="14" t="s">
        <v>20</v>
      </c>
      <c r="C16" s="15"/>
      <c r="D16" s="15"/>
      <c r="E16" s="15"/>
      <c r="F16" s="15"/>
      <c r="G16" s="15"/>
      <c r="H16" s="15"/>
      <c r="I16" s="15"/>
      <c r="J16" s="15"/>
      <c r="K16" s="15"/>
      <c r="L16" s="15"/>
      <c r="M16" s="15"/>
      <c r="N16" s="15"/>
      <c r="O16" s="15"/>
      <c r="P16" s="15"/>
      <c r="Q16" s="15"/>
      <c r="R16" s="15"/>
      <c r="S16" s="15"/>
      <c r="T16" s="15"/>
      <c r="U16" s="16"/>
    </row>
  </sheetData>
  <mergeCells count="6">
    <mergeCell ref="B3:U3"/>
    <mergeCell ref="B6:U6"/>
    <mergeCell ref="B9:U9"/>
    <mergeCell ref="B13:U13"/>
    <mergeCell ref="B16:U16"/>
    <mergeCell ref="B10:U10"/>
  </mergeCells>
  <hyperlinks>
    <hyperlink ref="V6" r:id="rId1"/>
    <hyperlink ref="V9"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
  <sheetViews>
    <sheetView workbookViewId="0">
      <selection activeCell="A38" sqref="A38"/>
    </sheetView>
  </sheetViews>
  <sheetFormatPr defaultRowHeight="15" x14ac:dyDescent="0.25"/>
  <cols>
    <col min="1" max="1" width="20.5703125" customWidth="1"/>
    <col min="2" max="2" width="19.7109375" style="3" customWidth="1"/>
    <col min="3" max="3" width="23.5703125" bestFit="1" customWidth="1"/>
    <col min="4" max="4" width="25.28515625" style="6" bestFit="1" customWidth="1"/>
    <col min="5" max="5" width="33.140625" bestFit="1" customWidth="1"/>
    <col min="6" max="6" width="31.5703125" customWidth="1"/>
    <col min="8" max="8" width="13.28515625" bestFit="1" customWidth="1"/>
  </cols>
  <sheetData>
    <row r="1" spans="1:12" ht="15.75" thickBot="1" x14ac:dyDescent="0.3">
      <c r="A1" s="4" t="s">
        <v>7</v>
      </c>
      <c r="B1" s="5" t="s">
        <v>5</v>
      </c>
      <c r="C1" s="4" t="s">
        <v>9</v>
      </c>
      <c r="D1" s="10" t="s">
        <v>10</v>
      </c>
      <c r="E1" s="4" t="s">
        <v>18</v>
      </c>
      <c r="F1" s="4" t="s">
        <v>6</v>
      </c>
    </row>
    <row r="2" spans="1:12" x14ac:dyDescent="0.25">
      <c r="A2" s="6">
        <v>1</v>
      </c>
      <c r="B2" s="3">
        <v>39816.760474537034</v>
      </c>
      <c r="C2">
        <f>LOOKUP(A2,Conditions!$A$3:$A$36,Conditions!$B$3:$B$36)</f>
        <v>50</v>
      </c>
      <c r="D2" s="7">
        <f>C2*100000000</f>
        <v>5000000000</v>
      </c>
      <c r="E2" s="33">
        <f>LOOKUP(Table3[[#This Row],[Block Number]],Table2[Blocks Mined],Table2[Bitcoins Mined (Cummulative)])</f>
        <v>50</v>
      </c>
      <c r="F2" s="6">
        <f>E2*100000000</f>
        <v>5000000000</v>
      </c>
      <c r="H2" s="17" t="s">
        <v>11</v>
      </c>
      <c r="I2" s="18"/>
      <c r="J2" s="18"/>
      <c r="K2" s="18"/>
      <c r="L2" s="19"/>
    </row>
    <row r="3" spans="1:12" x14ac:dyDescent="0.25">
      <c r="A3" s="6">
        <v>210000</v>
      </c>
      <c r="B3" s="3">
        <f>$B$2+((A3-$A$2)*10/1440)</f>
        <v>41275.086863425924</v>
      </c>
      <c r="C3">
        <f>LOOKUP(A3,Conditions!$A$3:$A$36,Conditions!$B$3:$B$36)</f>
        <v>25</v>
      </c>
      <c r="D3" s="7">
        <f t="shared" ref="D3:D36" si="0">C3*100000000</f>
        <v>2500000000</v>
      </c>
      <c r="E3" s="33">
        <f>LOOKUP(Table3[[#This Row],[Block Number]],Table2[Blocks Mined],Table2[Bitcoins Mined (Cummulative)])</f>
        <v>10500000</v>
      </c>
      <c r="F3" s="6">
        <f t="shared" ref="F3:F36" si="1">E3*100000000</f>
        <v>1050000000000000</v>
      </c>
      <c r="H3" s="20" t="s">
        <v>13</v>
      </c>
      <c r="I3" s="21"/>
      <c r="J3" s="21"/>
      <c r="K3" s="21"/>
      <c r="L3" s="22"/>
    </row>
    <row r="4" spans="1:12" x14ac:dyDescent="0.25">
      <c r="A4" s="6">
        <f>A3+210000</f>
        <v>420000</v>
      </c>
      <c r="B4" s="3">
        <f t="shared" ref="B4:B36" si="2">$B$2+((A4-$A$2)*10/1440)</f>
        <v>42733.420196759253</v>
      </c>
      <c r="C4">
        <f>LOOKUP(A4,Conditions!$A$3:$A$36,Conditions!$B$3:$B$36)</f>
        <v>12.5</v>
      </c>
      <c r="D4" s="7">
        <f t="shared" si="0"/>
        <v>1250000000</v>
      </c>
      <c r="E4" s="33">
        <f>LOOKUP(Table3[[#This Row],[Block Number]],Table2[Blocks Mined],Table2[Bitcoins Mined (Cummulative)])</f>
        <v>15750000</v>
      </c>
      <c r="F4" s="6">
        <f t="shared" si="1"/>
        <v>1575000000000000</v>
      </c>
      <c r="H4" s="20" t="s">
        <v>12</v>
      </c>
      <c r="I4" s="21"/>
      <c r="J4" s="21"/>
      <c r="K4" s="21"/>
      <c r="L4" s="22"/>
    </row>
    <row r="5" spans="1:12" x14ac:dyDescent="0.25">
      <c r="A5" s="6">
        <f t="shared" ref="A5:A34" si="3">A4+210000</f>
        <v>630000</v>
      </c>
      <c r="B5" s="3">
        <f t="shared" si="2"/>
        <v>44191.753530092588</v>
      </c>
      <c r="C5">
        <f>LOOKUP(A5,Conditions!$A$3:$A$36,Conditions!$B$3:$B$36)</f>
        <v>6.25</v>
      </c>
      <c r="D5" s="7">
        <f t="shared" si="0"/>
        <v>625000000</v>
      </c>
      <c r="E5" s="33">
        <f>LOOKUP(Table3[[#This Row],[Block Number]],Table2[Blocks Mined],Table2[Bitcoins Mined (Cummulative)])</f>
        <v>18375000</v>
      </c>
      <c r="F5" s="6">
        <f t="shared" si="1"/>
        <v>1837500000000000</v>
      </c>
      <c r="H5" s="20"/>
      <c r="I5" s="21"/>
      <c r="J5" s="21"/>
      <c r="K5" s="21"/>
      <c r="L5" s="22"/>
    </row>
    <row r="6" spans="1:12" x14ac:dyDescent="0.25">
      <c r="A6" s="6">
        <f t="shared" si="3"/>
        <v>840000</v>
      </c>
      <c r="B6" s="3">
        <f t="shared" si="2"/>
        <v>45650.086863425924</v>
      </c>
      <c r="C6">
        <f>LOOKUP(A6,Conditions!$A$3:$A$36,Conditions!$B$3:$B$36)</f>
        <v>3.125</v>
      </c>
      <c r="D6" s="7">
        <f t="shared" si="0"/>
        <v>312500000</v>
      </c>
      <c r="E6" s="33">
        <f>LOOKUP(Table3[[#This Row],[Block Number]],Table2[Blocks Mined],Table2[Bitcoins Mined (Cummulative)])</f>
        <v>19687500</v>
      </c>
      <c r="F6" s="6">
        <f t="shared" si="1"/>
        <v>1968750000000000</v>
      </c>
      <c r="H6" s="20" t="s">
        <v>14</v>
      </c>
      <c r="I6" s="21"/>
      <c r="J6" s="21"/>
      <c r="K6" s="21"/>
      <c r="L6" s="22"/>
    </row>
    <row r="7" spans="1:12" ht="15.75" thickBot="1" x14ac:dyDescent="0.3">
      <c r="A7" s="6">
        <f t="shared" si="3"/>
        <v>1050000</v>
      </c>
      <c r="B7" s="3">
        <f t="shared" si="2"/>
        <v>47108.420196759253</v>
      </c>
      <c r="C7">
        <f>LOOKUP(A7,Conditions!$A$3:$A$36,Conditions!$B$3:$B$36)</f>
        <v>1.5625</v>
      </c>
      <c r="D7" s="7">
        <f t="shared" si="0"/>
        <v>156250000</v>
      </c>
      <c r="E7" s="33">
        <f>LOOKUP(Table3[[#This Row],[Block Number]],Table2[Blocks Mined],Table2[Bitcoins Mined (Cummulative)])</f>
        <v>20343750</v>
      </c>
      <c r="F7" s="6">
        <f t="shared" si="1"/>
        <v>2034375000000000</v>
      </c>
      <c r="H7" s="23">
        <f>1000000/500</f>
        <v>2000</v>
      </c>
      <c r="I7" s="24"/>
      <c r="J7" s="24"/>
      <c r="K7" s="24"/>
      <c r="L7" s="25"/>
    </row>
    <row r="8" spans="1:12" x14ac:dyDescent="0.25">
      <c r="A8" s="6">
        <f t="shared" si="3"/>
        <v>1260000</v>
      </c>
      <c r="B8" s="3">
        <f t="shared" si="2"/>
        <v>48566.753530092588</v>
      </c>
      <c r="C8">
        <f>LOOKUP(A8,Conditions!$A$3:$A$36,Conditions!$B$3:$B$36)</f>
        <v>0.78125</v>
      </c>
      <c r="D8" s="7">
        <f t="shared" si="0"/>
        <v>78125000</v>
      </c>
      <c r="E8" s="33">
        <f>LOOKUP(Table3[[#This Row],[Block Number]],Table2[Blocks Mined],Table2[Bitcoins Mined (Cummulative)])</f>
        <v>20671875</v>
      </c>
      <c r="F8" s="6">
        <f t="shared" si="1"/>
        <v>2067187500000000</v>
      </c>
    </row>
    <row r="9" spans="1:12" x14ac:dyDescent="0.25">
      <c r="A9" s="6">
        <f t="shared" si="3"/>
        <v>1470000</v>
      </c>
      <c r="B9" s="3">
        <f t="shared" si="2"/>
        <v>50025.086863425924</v>
      </c>
      <c r="C9">
        <f>LOOKUP(A9,Conditions!$A$3:$A$36,Conditions!$B$3:$B$36)</f>
        <v>0.390625</v>
      </c>
      <c r="D9" s="7">
        <f t="shared" si="0"/>
        <v>39062500</v>
      </c>
      <c r="E9" s="33">
        <f>LOOKUP(Table3[[#This Row],[Block Number]],Table2[Blocks Mined],Table2[Bitcoins Mined (Cummulative)])</f>
        <v>20835937.5</v>
      </c>
      <c r="F9" s="6">
        <f t="shared" si="1"/>
        <v>2083593750000000</v>
      </c>
    </row>
    <row r="10" spans="1:12" x14ac:dyDescent="0.25">
      <c r="A10" s="6">
        <f t="shared" si="3"/>
        <v>1680000</v>
      </c>
      <c r="B10" s="3">
        <f t="shared" si="2"/>
        <v>51483.420196759253</v>
      </c>
      <c r="C10">
        <f>LOOKUP(A10,Conditions!$A$3:$A$36,Conditions!$B$3:$B$36)</f>
        <v>0.1953125</v>
      </c>
      <c r="D10" s="7">
        <f t="shared" si="0"/>
        <v>19531250</v>
      </c>
      <c r="E10" s="33">
        <f>LOOKUP(Table3[[#This Row],[Block Number]],Table2[Blocks Mined],Table2[Bitcoins Mined (Cummulative)])</f>
        <v>20917968.75</v>
      </c>
      <c r="F10" s="6">
        <f t="shared" si="1"/>
        <v>2091796875000000</v>
      </c>
    </row>
    <row r="11" spans="1:12" x14ac:dyDescent="0.25">
      <c r="A11" s="6">
        <f t="shared" si="3"/>
        <v>1890000</v>
      </c>
      <c r="B11" s="3">
        <f t="shared" si="2"/>
        <v>52941.753530092588</v>
      </c>
      <c r="C11">
        <f>LOOKUP(A11,Conditions!$A$3:$A$36,Conditions!$B$3:$B$36)</f>
        <v>9.765625E-2</v>
      </c>
      <c r="D11" s="7">
        <f t="shared" si="0"/>
        <v>9765625</v>
      </c>
      <c r="E11" s="33">
        <f>LOOKUP(Table3[[#This Row],[Block Number]],Table2[Blocks Mined],Table2[Bitcoins Mined (Cummulative)])</f>
        <v>20958984.375</v>
      </c>
      <c r="F11" s="6">
        <f t="shared" si="1"/>
        <v>2095898437500000</v>
      </c>
    </row>
    <row r="12" spans="1:12" x14ac:dyDescent="0.25">
      <c r="A12" s="6">
        <f t="shared" si="3"/>
        <v>2100000</v>
      </c>
      <c r="B12" s="3">
        <f t="shared" si="2"/>
        <v>54400.086863425924</v>
      </c>
      <c r="C12">
        <f>LOOKUP(A12,Conditions!$A$3:$A$36,Conditions!$B$3:$B$36)</f>
        <v>4.8828125E-2</v>
      </c>
      <c r="D12" s="7">
        <f t="shared" si="0"/>
        <v>4882812.5</v>
      </c>
      <c r="E12" s="33">
        <f>LOOKUP(Table3[[#This Row],[Block Number]],Table2[Blocks Mined],Table2[Bitcoins Mined (Cummulative)])</f>
        <v>20979492.1875</v>
      </c>
      <c r="F12" s="6">
        <f t="shared" si="1"/>
        <v>2097949218750000</v>
      </c>
    </row>
    <row r="13" spans="1:12" x14ac:dyDescent="0.25">
      <c r="A13" s="6">
        <f t="shared" si="3"/>
        <v>2310000</v>
      </c>
      <c r="B13" s="3">
        <f t="shared" si="2"/>
        <v>55858.420196759253</v>
      </c>
      <c r="C13">
        <f>LOOKUP(A13,Conditions!$A$3:$A$36,Conditions!$B$3:$B$36)</f>
        <v>2.44140625E-2</v>
      </c>
      <c r="D13" s="7">
        <f t="shared" si="0"/>
        <v>2441406.25</v>
      </c>
      <c r="E13" s="33">
        <f>LOOKUP(Table3[[#This Row],[Block Number]],Table2[Blocks Mined],Table2[Bitcoins Mined (Cummulative)])</f>
        <v>20989746.09375</v>
      </c>
      <c r="F13" s="6">
        <f t="shared" si="1"/>
        <v>2098974609375000</v>
      </c>
    </row>
    <row r="14" spans="1:12" x14ac:dyDescent="0.25">
      <c r="A14" s="6">
        <f t="shared" si="3"/>
        <v>2520000</v>
      </c>
      <c r="B14" s="3">
        <f t="shared" si="2"/>
        <v>57316.753530092588</v>
      </c>
      <c r="C14">
        <f>LOOKUP(A14,Conditions!$A$3:$A$36,Conditions!$B$3:$B$36)</f>
        <v>1.220703125E-2</v>
      </c>
      <c r="D14" s="7">
        <f t="shared" si="0"/>
        <v>1220703.125</v>
      </c>
      <c r="E14" s="33">
        <f>LOOKUP(Table3[[#This Row],[Block Number]],Table2[Blocks Mined],Table2[Bitcoins Mined (Cummulative)])</f>
        <v>20994873.046875</v>
      </c>
      <c r="F14" s="6">
        <f t="shared" si="1"/>
        <v>2099487304687500</v>
      </c>
    </row>
    <row r="15" spans="1:12" x14ac:dyDescent="0.25">
      <c r="A15" s="6">
        <f t="shared" si="3"/>
        <v>2730000</v>
      </c>
      <c r="B15" s="3">
        <f t="shared" si="2"/>
        <v>58775.086863425924</v>
      </c>
      <c r="C15">
        <f>LOOKUP(A15,Conditions!$A$3:$A$36,Conditions!$B$3:$B$36)</f>
        <v>6.103515625E-3</v>
      </c>
      <c r="D15" s="7">
        <f t="shared" si="0"/>
        <v>610351.5625</v>
      </c>
      <c r="E15" s="33">
        <f>LOOKUP(Table3[[#This Row],[Block Number]],Table2[Blocks Mined],Table2[Bitcoins Mined (Cummulative)])</f>
        <v>20997436.5234375</v>
      </c>
      <c r="F15" s="6">
        <f t="shared" si="1"/>
        <v>2099743652343750</v>
      </c>
    </row>
    <row r="16" spans="1:12" x14ac:dyDescent="0.25">
      <c r="A16" s="6">
        <f t="shared" si="3"/>
        <v>2940000</v>
      </c>
      <c r="B16" s="3">
        <f t="shared" si="2"/>
        <v>60233.420196759253</v>
      </c>
      <c r="C16">
        <f>LOOKUP(A16,Conditions!$A$3:$A$36,Conditions!$B$3:$B$36)</f>
        <v>3.0517578125E-3</v>
      </c>
      <c r="D16" s="7">
        <f t="shared" si="0"/>
        <v>305175.78125</v>
      </c>
      <c r="E16" s="33">
        <f>LOOKUP(Table3[[#This Row],[Block Number]],Table2[Blocks Mined],Table2[Bitcoins Mined (Cummulative)])</f>
        <v>20998718.26171875</v>
      </c>
      <c r="F16" s="6">
        <f t="shared" si="1"/>
        <v>2099871826171875</v>
      </c>
    </row>
    <row r="17" spans="1:6" x14ac:dyDescent="0.25">
      <c r="A17" s="6">
        <f t="shared" si="3"/>
        <v>3150000</v>
      </c>
      <c r="B17" s="3">
        <f t="shared" si="2"/>
        <v>61691.753530092588</v>
      </c>
      <c r="C17">
        <f>LOOKUP(A17,Conditions!$A$3:$A$36,Conditions!$B$3:$B$36)</f>
        <v>1.52587890625E-3</v>
      </c>
      <c r="D17" s="7">
        <f t="shared" si="0"/>
        <v>152587.890625</v>
      </c>
      <c r="E17" s="33">
        <f>LOOKUP(Table3[[#This Row],[Block Number]],Table2[Blocks Mined],Table2[Bitcoins Mined (Cummulative)])</f>
        <v>20999359.130859375</v>
      </c>
      <c r="F17" s="6">
        <f t="shared" si="1"/>
        <v>2099935913085937.5</v>
      </c>
    </row>
    <row r="18" spans="1:6" x14ac:dyDescent="0.25">
      <c r="A18" s="6">
        <f t="shared" si="3"/>
        <v>3360000</v>
      </c>
      <c r="B18" s="3">
        <f t="shared" si="2"/>
        <v>63150.086863425924</v>
      </c>
      <c r="C18">
        <f>LOOKUP(A18,Conditions!$A$3:$A$36,Conditions!$B$3:$B$36)</f>
        <v>7.62939453125E-4</v>
      </c>
      <c r="D18" s="7">
        <f t="shared" si="0"/>
        <v>76293.9453125</v>
      </c>
      <c r="E18" s="33">
        <f>LOOKUP(Table3[[#This Row],[Block Number]],Table2[Blocks Mined],Table2[Bitcoins Mined (Cummulative)])</f>
        <v>20999679.565429688</v>
      </c>
      <c r="F18" s="6">
        <f t="shared" si="1"/>
        <v>2099967956542968.8</v>
      </c>
    </row>
    <row r="19" spans="1:6" x14ac:dyDescent="0.25">
      <c r="A19" s="6">
        <f t="shared" si="3"/>
        <v>3570000</v>
      </c>
      <c r="B19" s="3">
        <f t="shared" si="2"/>
        <v>64608.420196759253</v>
      </c>
      <c r="C19">
        <f>LOOKUP(A19,Conditions!$A$3:$A$36,Conditions!$B$3:$B$36)</f>
        <v>3.814697265625E-4</v>
      </c>
      <c r="D19" s="7">
        <f t="shared" si="0"/>
        <v>38146.97265625</v>
      </c>
      <c r="E19" s="33">
        <f>LOOKUP(Table3[[#This Row],[Block Number]],Table2[Blocks Mined],Table2[Bitcoins Mined (Cummulative)])</f>
        <v>20999839.782714844</v>
      </c>
      <c r="F19" s="6">
        <f t="shared" si="1"/>
        <v>2099983978271484.5</v>
      </c>
    </row>
    <row r="20" spans="1:6" x14ac:dyDescent="0.25">
      <c r="A20" s="6">
        <f t="shared" si="3"/>
        <v>3780000</v>
      </c>
      <c r="B20" s="3">
        <f t="shared" si="2"/>
        <v>66066.753530092596</v>
      </c>
      <c r="C20">
        <f>LOOKUP(A20,Conditions!$A$3:$A$36,Conditions!$B$3:$B$36)</f>
        <v>1.9073486328125E-4</v>
      </c>
      <c r="D20" s="7">
        <f t="shared" si="0"/>
        <v>19073.486328125</v>
      </c>
      <c r="E20" s="33">
        <f>LOOKUP(Table3[[#This Row],[Block Number]],Table2[Blocks Mined],Table2[Bitcoins Mined (Cummulative)])</f>
        <v>20999919.891357422</v>
      </c>
      <c r="F20" s="6">
        <f t="shared" si="1"/>
        <v>2099991989135742.3</v>
      </c>
    </row>
    <row r="21" spans="1:6" x14ac:dyDescent="0.25">
      <c r="A21" s="6">
        <f t="shared" si="3"/>
        <v>3990000</v>
      </c>
      <c r="B21" s="3">
        <f t="shared" si="2"/>
        <v>67525.086863425924</v>
      </c>
      <c r="C21">
        <f>LOOKUP(A21,Conditions!$A$3:$A$36,Conditions!$B$3:$B$36)</f>
        <v>9.5367431640625E-5</v>
      </c>
      <c r="D21" s="7">
        <f t="shared" si="0"/>
        <v>9536.7431640625</v>
      </c>
      <c r="E21" s="33">
        <f>LOOKUP(Table3[[#This Row],[Block Number]],Table2[Blocks Mined],Table2[Bitcoins Mined (Cummulative)])</f>
        <v>20999959.945678711</v>
      </c>
      <c r="F21" s="6">
        <f t="shared" si="1"/>
        <v>2099995994567871</v>
      </c>
    </row>
    <row r="22" spans="1:6" x14ac:dyDescent="0.25">
      <c r="A22" s="6">
        <f t="shared" si="3"/>
        <v>4200000</v>
      </c>
      <c r="B22" s="3">
        <f t="shared" si="2"/>
        <v>68983.420196759253</v>
      </c>
      <c r="C22">
        <f>LOOKUP(A22,Conditions!$A$3:$A$36,Conditions!$B$3:$B$36)</f>
        <v>4.76837158203125E-5</v>
      </c>
      <c r="D22" s="7">
        <f t="shared" si="0"/>
        <v>4768.37158203125</v>
      </c>
      <c r="E22" s="33">
        <f>LOOKUP(Table3[[#This Row],[Block Number]],Table2[Blocks Mined],Table2[Bitcoins Mined (Cummulative)])</f>
        <v>20999979.972839355</v>
      </c>
      <c r="F22" s="6">
        <f t="shared" si="1"/>
        <v>2099997997283935.5</v>
      </c>
    </row>
    <row r="23" spans="1:6" x14ac:dyDescent="0.25">
      <c r="A23" s="6">
        <f t="shared" si="3"/>
        <v>4410000</v>
      </c>
      <c r="B23" s="3">
        <f t="shared" si="2"/>
        <v>70441.753530092596</v>
      </c>
      <c r="C23">
        <f>LOOKUP(A23,Conditions!$A$3:$A$36,Conditions!$B$3:$B$36)</f>
        <v>2.384185791015625E-5</v>
      </c>
      <c r="D23" s="7">
        <f t="shared" si="0"/>
        <v>2384.185791015625</v>
      </c>
      <c r="E23" s="33">
        <f>LOOKUP(Table3[[#This Row],[Block Number]],Table2[Blocks Mined],Table2[Bitcoins Mined (Cummulative)])</f>
        <v>20999989.986419678</v>
      </c>
      <c r="F23" s="6">
        <f t="shared" si="1"/>
        <v>2099998998641967.8</v>
      </c>
    </row>
    <row r="24" spans="1:6" x14ac:dyDescent="0.25">
      <c r="A24" s="6">
        <f t="shared" si="3"/>
        <v>4620000</v>
      </c>
      <c r="B24" s="3">
        <f t="shared" si="2"/>
        <v>71900.086863425924</v>
      </c>
      <c r="C24">
        <f>LOOKUP(A24,Conditions!$A$3:$A$36,Conditions!$B$3:$B$36)</f>
        <v>1.1920928955078125E-5</v>
      </c>
      <c r="D24" s="7">
        <f t="shared" si="0"/>
        <v>1192.0928955078125</v>
      </c>
      <c r="E24" s="33">
        <f>LOOKUP(Table3[[#This Row],[Block Number]],Table2[Blocks Mined],Table2[Bitcoins Mined (Cummulative)])</f>
        <v>20999994.993209839</v>
      </c>
      <c r="F24" s="6">
        <f t="shared" si="1"/>
        <v>2099999499320984</v>
      </c>
    </row>
    <row r="25" spans="1:6" x14ac:dyDescent="0.25">
      <c r="A25" s="6">
        <f t="shared" si="3"/>
        <v>4830000</v>
      </c>
      <c r="B25" s="3">
        <f t="shared" si="2"/>
        <v>73358.420196759253</v>
      </c>
      <c r="C25">
        <f>LOOKUP(A25,Conditions!$A$3:$A$36,Conditions!$B$3:$B$36)</f>
        <v>5.9604644775390625E-6</v>
      </c>
      <c r="D25" s="7">
        <f t="shared" si="0"/>
        <v>596.04644775390625</v>
      </c>
      <c r="E25" s="33">
        <f>LOOKUP(Table3[[#This Row],[Block Number]],Table2[Blocks Mined],Table2[Bitcoins Mined (Cummulative)])</f>
        <v>20999997.496604919</v>
      </c>
      <c r="F25" s="6">
        <f t="shared" si="1"/>
        <v>2099999749660492</v>
      </c>
    </row>
    <row r="26" spans="1:6" x14ac:dyDescent="0.25">
      <c r="A26" s="6">
        <f t="shared" si="3"/>
        <v>5040000</v>
      </c>
      <c r="B26" s="30">
        <f t="shared" si="2"/>
        <v>74816.753530092596</v>
      </c>
      <c r="C26" s="31">
        <f>LOOKUP(A26,Conditions!$A$3:$A$36,Conditions!$B$3:$B$36)</f>
        <v>2.9802322387695313E-6</v>
      </c>
      <c r="D26" s="32">
        <f t="shared" si="0"/>
        <v>298.02322387695313</v>
      </c>
      <c r="E26" s="34">
        <f>LOOKUP(Table3[[#This Row],[Block Number]],Table2[Blocks Mined],Table2[Bitcoins Mined (Cummulative)])</f>
        <v>20999998.74830246</v>
      </c>
      <c r="F26" s="29">
        <f t="shared" si="1"/>
        <v>2099999874830246</v>
      </c>
    </row>
    <row r="27" spans="1:6" x14ac:dyDescent="0.25">
      <c r="A27" s="6">
        <f t="shared" si="3"/>
        <v>5250000</v>
      </c>
      <c r="B27" s="30">
        <f t="shared" si="2"/>
        <v>76275.086863425924</v>
      </c>
      <c r="C27" s="31">
        <f>LOOKUP(A27,Conditions!$A$3:$A$36,Conditions!$B$3:$B$36)</f>
        <v>1.4901161193847656E-6</v>
      </c>
      <c r="D27" s="32">
        <f t="shared" si="0"/>
        <v>149.01161193847656</v>
      </c>
      <c r="E27" s="34">
        <f>LOOKUP(Table3[[#This Row],[Block Number]],Table2[Blocks Mined],Table2[Bitcoins Mined (Cummulative)])</f>
        <v>20999999.37415123</v>
      </c>
      <c r="F27" s="29">
        <f t="shared" si="1"/>
        <v>2099999937415123</v>
      </c>
    </row>
    <row r="28" spans="1:6" x14ac:dyDescent="0.25">
      <c r="A28" s="6">
        <f t="shared" si="3"/>
        <v>5460000</v>
      </c>
      <c r="B28" s="30">
        <f t="shared" si="2"/>
        <v>77733.420196759253</v>
      </c>
      <c r="C28" s="31">
        <f>LOOKUP(A28,Conditions!$A$3:$A$36,Conditions!$B$3:$B$36)</f>
        <v>7.4505805969238281E-7</v>
      </c>
      <c r="D28" s="32">
        <f t="shared" si="0"/>
        <v>74.505805969238281</v>
      </c>
      <c r="E28" s="34">
        <f>LOOKUP(Table3[[#This Row],[Block Number]],Table2[Blocks Mined],Table2[Bitcoins Mined (Cummulative)])</f>
        <v>20999999.687075615</v>
      </c>
      <c r="F28" s="29">
        <f t="shared" si="1"/>
        <v>2099999968707561.5</v>
      </c>
    </row>
    <row r="29" spans="1:6" x14ac:dyDescent="0.25">
      <c r="A29" s="6">
        <f t="shared" si="3"/>
        <v>5670000</v>
      </c>
      <c r="B29" s="30">
        <f t="shared" si="2"/>
        <v>79191.753530092596</v>
      </c>
      <c r="C29" s="31">
        <f>LOOKUP(A29,Conditions!$A$3:$A$36,Conditions!$B$3:$B$36)</f>
        <v>3.7252902984619141E-7</v>
      </c>
      <c r="D29" s="32">
        <f t="shared" si="0"/>
        <v>37.252902984619141</v>
      </c>
      <c r="E29" s="34">
        <f>LOOKUP(Table3[[#This Row],[Block Number]],Table2[Blocks Mined],Table2[Bitcoins Mined (Cummulative)])</f>
        <v>20999999.843537807</v>
      </c>
      <c r="F29" s="29">
        <f t="shared" si="1"/>
        <v>2099999984353780.8</v>
      </c>
    </row>
    <row r="30" spans="1:6" x14ac:dyDescent="0.25">
      <c r="A30" s="6">
        <f t="shared" si="3"/>
        <v>5880000</v>
      </c>
      <c r="B30" s="30">
        <f t="shared" si="2"/>
        <v>80650.086863425924</v>
      </c>
      <c r="C30" s="31">
        <f>LOOKUP(A30,Conditions!$A$3:$A$36,Conditions!$B$3:$B$36)</f>
        <v>1.862645149230957E-7</v>
      </c>
      <c r="D30" s="32">
        <f t="shared" si="0"/>
        <v>18.62645149230957</v>
      </c>
      <c r="E30" s="34">
        <f>LOOKUP(Table3[[#This Row],[Block Number]],Table2[Blocks Mined],Table2[Bitcoins Mined (Cummulative)])</f>
        <v>20999999.921768904</v>
      </c>
      <c r="F30" s="29">
        <f t="shared" si="1"/>
        <v>2099999992176890.3</v>
      </c>
    </row>
    <row r="31" spans="1:6" x14ac:dyDescent="0.25">
      <c r="A31" s="6">
        <f t="shared" si="3"/>
        <v>6090000</v>
      </c>
      <c r="B31" s="30">
        <f t="shared" si="2"/>
        <v>82108.420196759253</v>
      </c>
      <c r="C31" s="31">
        <f>LOOKUP(A31,Conditions!$A$3:$A$36,Conditions!$B$3:$B$36)</f>
        <v>9.3132257461547852E-8</v>
      </c>
      <c r="D31" s="32">
        <f t="shared" si="0"/>
        <v>9.3132257461547852</v>
      </c>
      <c r="E31" s="34">
        <f>LOOKUP(Table3[[#This Row],[Block Number]],Table2[Blocks Mined],Table2[Bitcoins Mined (Cummulative)])</f>
        <v>20999999.960884452</v>
      </c>
      <c r="F31" s="29">
        <f t="shared" si="1"/>
        <v>2099999996088445.3</v>
      </c>
    </row>
    <row r="32" spans="1:6" x14ac:dyDescent="0.25">
      <c r="A32" s="6">
        <f t="shared" si="3"/>
        <v>6300000</v>
      </c>
      <c r="B32" s="30">
        <f t="shared" si="2"/>
        <v>83566.753530092596</v>
      </c>
      <c r="C32" s="31">
        <f>LOOKUP(A32,Conditions!$A$3:$A$36,Conditions!$B$3:$B$36)</f>
        <v>4.6566128730773926E-8</v>
      </c>
      <c r="D32" s="32">
        <f t="shared" si="0"/>
        <v>4.6566128730773926</v>
      </c>
      <c r="E32" s="34">
        <f>LOOKUP(Table3[[#This Row],[Block Number]],Table2[Blocks Mined],Table2[Bitcoins Mined (Cummulative)])</f>
        <v>20999999.980442226</v>
      </c>
      <c r="F32" s="29">
        <f t="shared" si="1"/>
        <v>2099999998044222.5</v>
      </c>
    </row>
    <row r="33" spans="1:6" x14ac:dyDescent="0.25">
      <c r="A33" s="6">
        <f t="shared" si="3"/>
        <v>6510000</v>
      </c>
      <c r="B33" s="30">
        <f t="shared" si="2"/>
        <v>85025.086863425924</v>
      </c>
      <c r="C33" s="31">
        <f>LOOKUP(A33,Conditions!$A$3:$A$36,Conditions!$B$3:$B$36)</f>
        <v>2.3283064365386963E-8</v>
      </c>
      <c r="D33" s="32">
        <f t="shared" si="0"/>
        <v>2.3283064365386963</v>
      </c>
      <c r="E33" s="34">
        <f>LOOKUP(Table3[[#This Row],[Block Number]],Table2[Blocks Mined],Table2[Bitcoins Mined (Cummulative)])</f>
        <v>20999999.990221113</v>
      </c>
      <c r="F33" s="29">
        <f t="shared" si="1"/>
        <v>2099999999022111.3</v>
      </c>
    </row>
    <row r="34" spans="1:6" x14ac:dyDescent="0.25">
      <c r="A34" s="6">
        <f t="shared" si="3"/>
        <v>6720000</v>
      </c>
      <c r="B34" s="30">
        <f t="shared" si="2"/>
        <v>86483.420196759253</v>
      </c>
      <c r="C34" s="31">
        <f>LOOKUP(A34,Conditions!$A$3:$A$36,Conditions!$B$3:$B$36)</f>
        <v>1.1641532182693481E-8</v>
      </c>
      <c r="D34" s="32">
        <f t="shared" si="0"/>
        <v>1.1641532182693481</v>
      </c>
      <c r="E34" s="34">
        <f>LOOKUP(Table3[[#This Row],[Block Number]],Table2[Blocks Mined],Table2[Bitcoins Mined (Cummulative)])</f>
        <v>20999999.995110556</v>
      </c>
      <c r="F34" s="29">
        <f t="shared" si="1"/>
        <v>2099999999511055.8</v>
      </c>
    </row>
    <row r="35" spans="1:6" x14ac:dyDescent="0.25">
      <c r="A35" s="6">
        <v>6929999</v>
      </c>
      <c r="B35" s="30">
        <f>$B$2+((A35-$A$2)*10/1440)</f>
        <v>87941.746585648143</v>
      </c>
      <c r="C35" s="31">
        <f>LOOKUP(A35,Conditions!$A$3:$A$36,Conditions!$B$3:$B$36)</f>
        <v>1.1641532182693481E-8</v>
      </c>
      <c r="D35" s="32">
        <f>C35*100000000</f>
        <v>1.1641532182693481</v>
      </c>
      <c r="E35" s="34">
        <f>LOOKUP(Table3[[#This Row],[Block Number]],Table2[Blocks Mined],Table2[Bitcoins Mined (Cummulative)])</f>
        <v>20999999.995110556</v>
      </c>
      <c r="F35" s="29">
        <f t="shared" si="1"/>
        <v>2099999999511055.8</v>
      </c>
    </row>
    <row r="36" spans="1:6" x14ac:dyDescent="0.25">
      <c r="A36" s="6">
        <f>A34+210000</f>
        <v>6930000</v>
      </c>
      <c r="B36" s="30">
        <f t="shared" si="2"/>
        <v>87941.753530092596</v>
      </c>
      <c r="C36" s="31">
        <f>LOOKUP(A36,Conditions!$A$3:$A$36,Conditions!$B$3:$B$36)</f>
        <v>5.8207660913467407E-9</v>
      </c>
      <c r="D36" s="32">
        <f t="shared" si="0"/>
        <v>0.58207660913467407</v>
      </c>
      <c r="E36" s="34">
        <f>LOOKUP(Table3[[#This Row],[Block Number]],Table2[Blocks Mined],Table2[Bitcoins Mined (Cummulative)])</f>
        <v>20999999.997555278</v>
      </c>
      <c r="F36" s="29">
        <f t="shared" si="1"/>
        <v>2099999999755527.8</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1"/>
  <sheetViews>
    <sheetView workbookViewId="0">
      <selection activeCell="A37" sqref="A37"/>
    </sheetView>
  </sheetViews>
  <sheetFormatPr defaultRowHeight="15" x14ac:dyDescent="0.25"/>
  <cols>
    <col min="1" max="1" width="18" customWidth="1"/>
    <col min="2" max="2" width="22.85546875" customWidth="1"/>
    <col min="3" max="3" width="30.85546875" bestFit="1" customWidth="1"/>
    <col min="4" max="4" width="24.5703125" customWidth="1"/>
  </cols>
  <sheetData>
    <row r="1" spans="1:4" x14ac:dyDescent="0.25">
      <c r="A1" s="26" t="s">
        <v>17</v>
      </c>
      <c r="B1" s="27"/>
      <c r="C1" s="27"/>
      <c r="D1" s="28"/>
    </row>
    <row r="2" spans="1:4" x14ac:dyDescent="0.25">
      <c r="A2" s="9" t="s">
        <v>8</v>
      </c>
      <c r="B2" s="9" t="s">
        <v>9</v>
      </c>
      <c r="C2" s="9" t="s">
        <v>18</v>
      </c>
      <c r="D2" s="9" t="s">
        <v>10</v>
      </c>
    </row>
    <row r="3" spans="1:4" x14ac:dyDescent="0.25">
      <c r="A3">
        <v>1</v>
      </c>
      <c r="B3">
        <v>50</v>
      </c>
      <c r="C3" s="7">
        <f>Table2[[#This Row],[Blocks Mined]]*Table2[[#This Row],[Reward (in bitcoins)]]</f>
        <v>50</v>
      </c>
      <c r="D3" s="8">
        <f>B3*100000000</f>
        <v>5000000000</v>
      </c>
    </row>
    <row r="4" spans="1:4" x14ac:dyDescent="0.25">
      <c r="A4" s="6">
        <f>210000</f>
        <v>210000</v>
      </c>
      <c r="B4">
        <f>B3/2</f>
        <v>25</v>
      </c>
      <c r="C4" s="7">
        <f>((Table2[[#This Row],[Blocks Mined]]-A3)*B3)+C3</f>
        <v>10500000</v>
      </c>
      <c r="D4" s="8">
        <f t="shared" ref="D4:D36" si="0">B4*100000000</f>
        <v>2500000000</v>
      </c>
    </row>
    <row r="5" spans="1:4" x14ac:dyDescent="0.25">
      <c r="A5" s="6">
        <f t="shared" ref="A5:A36" si="1">A4+210000</f>
        <v>420000</v>
      </c>
      <c r="B5">
        <f t="shared" ref="B5:B36" si="2">B4/2</f>
        <v>12.5</v>
      </c>
      <c r="C5" s="7">
        <f>((Table2[[#This Row],[Blocks Mined]]-A4)*B4)+C4</f>
        <v>15750000</v>
      </c>
      <c r="D5" s="8">
        <f t="shared" si="0"/>
        <v>1250000000</v>
      </c>
    </row>
    <row r="6" spans="1:4" x14ac:dyDescent="0.25">
      <c r="A6" s="6">
        <f t="shared" si="1"/>
        <v>630000</v>
      </c>
      <c r="B6">
        <f t="shared" si="2"/>
        <v>6.25</v>
      </c>
      <c r="C6" s="7">
        <f>((Table2[[#This Row],[Blocks Mined]]-A5)*B5)+C5</f>
        <v>18375000</v>
      </c>
      <c r="D6" s="8">
        <f t="shared" si="0"/>
        <v>625000000</v>
      </c>
    </row>
    <row r="7" spans="1:4" x14ac:dyDescent="0.25">
      <c r="A7" s="6">
        <f t="shared" si="1"/>
        <v>840000</v>
      </c>
      <c r="B7">
        <f t="shared" si="2"/>
        <v>3.125</v>
      </c>
      <c r="C7" s="7">
        <f>((Table2[[#This Row],[Blocks Mined]]-A6)*B6)+C6</f>
        <v>19687500</v>
      </c>
      <c r="D7" s="8">
        <f t="shared" si="0"/>
        <v>312500000</v>
      </c>
    </row>
    <row r="8" spans="1:4" x14ac:dyDescent="0.25">
      <c r="A8" s="6">
        <f t="shared" si="1"/>
        <v>1050000</v>
      </c>
      <c r="B8">
        <f t="shared" si="2"/>
        <v>1.5625</v>
      </c>
      <c r="C8" s="7">
        <f>((Table2[[#This Row],[Blocks Mined]]-A7)*B7)+C7</f>
        <v>20343750</v>
      </c>
      <c r="D8" s="8">
        <f t="shared" si="0"/>
        <v>156250000</v>
      </c>
    </row>
    <row r="9" spans="1:4" x14ac:dyDescent="0.25">
      <c r="A9" s="6">
        <f t="shared" si="1"/>
        <v>1260000</v>
      </c>
      <c r="B9">
        <f t="shared" si="2"/>
        <v>0.78125</v>
      </c>
      <c r="C9" s="7">
        <f>((Table2[[#This Row],[Blocks Mined]]-A8)*B8)+C8</f>
        <v>20671875</v>
      </c>
      <c r="D9" s="8">
        <f t="shared" si="0"/>
        <v>78125000</v>
      </c>
    </row>
    <row r="10" spans="1:4" x14ac:dyDescent="0.25">
      <c r="A10" s="6">
        <f t="shared" si="1"/>
        <v>1470000</v>
      </c>
      <c r="B10">
        <f t="shared" si="2"/>
        <v>0.390625</v>
      </c>
      <c r="C10" s="7">
        <f>((Table2[[#This Row],[Blocks Mined]]-A9)*B9)+C9</f>
        <v>20835937.5</v>
      </c>
      <c r="D10" s="8">
        <f t="shared" si="0"/>
        <v>39062500</v>
      </c>
    </row>
    <row r="11" spans="1:4" x14ac:dyDescent="0.25">
      <c r="A11" s="6">
        <f t="shared" si="1"/>
        <v>1680000</v>
      </c>
      <c r="B11">
        <f t="shared" si="2"/>
        <v>0.1953125</v>
      </c>
      <c r="C11" s="7">
        <f>((Table2[[#This Row],[Blocks Mined]]-A10)*B10)+C10</f>
        <v>20917968.75</v>
      </c>
      <c r="D11" s="8">
        <f t="shared" si="0"/>
        <v>19531250</v>
      </c>
    </row>
    <row r="12" spans="1:4" x14ac:dyDescent="0.25">
      <c r="A12" s="6">
        <f t="shared" si="1"/>
        <v>1890000</v>
      </c>
      <c r="B12">
        <f t="shared" si="2"/>
        <v>9.765625E-2</v>
      </c>
      <c r="C12" s="7">
        <f>((Table2[[#This Row],[Blocks Mined]]-A11)*B11)+C11</f>
        <v>20958984.375</v>
      </c>
      <c r="D12" s="8">
        <f t="shared" si="0"/>
        <v>9765625</v>
      </c>
    </row>
    <row r="13" spans="1:4" x14ac:dyDescent="0.25">
      <c r="A13" s="6">
        <f t="shared" si="1"/>
        <v>2100000</v>
      </c>
      <c r="B13">
        <f t="shared" si="2"/>
        <v>4.8828125E-2</v>
      </c>
      <c r="C13" s="7">
        <f>((Table2[[#This Row],[Blocks Mined]]-A12)*B12)+C12</f>
        <v>20979492.1875</v>
      </c>
      <c r="D13" s="8">
        <f t="shared" si="0"/>
        <v>4882812.5</v>
      </c>
    </row>
    <row r="14" spans="1:4" x14ac:dyDescent="0.25">
      <c r="A14" s="6">
        <f t="shared" si="1"/>
        <v>2310000</v>
      </c>
      <c r="B14">
        <f t="shared" si="2"/>
        <v>2.44140625E-2</v>
      </c>
      <c r="C14" s="7">
        <f>((Table2[[#This Row],[Blocks Mined]]-A13)*B13)+C13</f>
        <v>20989746.09375</v>
      </c>
      <c r="D14" s="8">
        <f t="shared" si="0"/>
        <v>2441406.25</v>
      </c>
    </row>
    <row r="15" spans="1:4" x14ac:dyDescent="0.25">
      <c r="A15" s="6">
        <f>A14+210000</f>
        <v>2520000</v>
      </c>
      <c r="B15">
        <f t="shared" si="2"/>
        <v>1.220703125E-2</v>
      </c>
      <c r="C15" s="7">
        <f>((Table2[[#This Row],[Blocks Mined]]-A14)*B14)+C14</f>
        <v>20994873.046875</v>
      </c>
      <c r="D15" s="8">
        <f t="shared" si="0"/>
        <v>1220703.125</v>
      </c>
    </row>
    <row r="16" spans="1:4" x14ac:dyDescent="0.25">
      <c r="A16" s="6">
        <f t="shared" si="1"/>
        <v>2730000</v>
      </c>
      <c r="B16">
        <f t="shared" si="2"/>
        <v>6.103515625E-3</v>
      </c>
      <c r="C16" s="7">
        <f>((Table2[[#This Row],[Blocks Mined]]-A15)*B15)+C15</f>
        <v>20997436.5234375</v>
      </c>
      <c r="D16" s="8">
        <f t="shared" si="0"/>
        <v>610351.5625</v>
      </c>
    </row>
    <row r="17" spans="1:4" x14ac:dyDescent="0.25">
      <c r="A17" s="6">
        <f t="shared" si="1"/>
        <v>2940000</v>
      </c>
      <c r="B17">
        <f t="shared" si="2"/>
        <v>3.0517578125E-3</v>
      </c>
      <c r="C17" s="7">
        <f>((Table2[[#This Row],[Blocks Mined]]-A16)*B16)+C16</f>
        <v>20998718.26171875</v>
      </c>
      <c r="D17" s="8">
        <f t="shared" si="0"/>
        <v>305175.78125</v>
      </c>
    </row>
    <row r="18" spans="1:4" x14ac:dyDescent="0.25">
      <c r="A18" s="6">
        <f t="shared" si="1"/>
        <v>3150000</v>
      </c>
      <c r="B18">
        <f t="shared" si="2"/>
        <v>1.52587890625E-3</v>
      </c>
      <c r="C18" s="7">
        <f>((Table2[[#This Row],[Blocks Mined]]-A17)*B17)+C17</f>
        <v>20999359.130859375</v>
      </c>
      <c r="D18" s="8">
        <f t="shared" si="0"/>
        <v>152587.890625</v>
      </c>
    </row>
    <row r="19" spans="1:4" x14ac:dyDescent="0.25">
      <c r="A19" s="6">
        <f t="shared" si="1"/>
        <v>3360000</v>
      </c>
      <c r="B19">
        <f t="shared" si="2"/>
        <v>7.62939453125E-4</v>
      </c>
      <c r="C19" s="7">
        <f>((Table2[[#This Row],[Blocks Mined]]-A18)*B18)+C18</f>
        <v>20999679.565429688</v>
      </c>
      <c r="D19" s="8">
        <f t="shared" si="0"/>
        <v>76293.9453125</v>
      </c>
    </row>
    <row r="20" spans="1:4" x14ac:dyDescent="0.25">
      <c r="A20" s="6">
        <f t="shared" si="1"/>
        <v>3570000</v>
      </c>
      <c r="B20">
        <f t="shared" si="2"/>
        <v>3.814697265625E-4</v>
      </c>
      <c r="C20" s="7">
        <f>((Table2[[#This Row],[Blocks Mined]]-A19)*B19)+C19</f>
        <v>20999839.782714844</v>
      </c>
      <c r="D20" s="8">
        <f t="shared" si="0"/>
        <v>38146.97265625</v>
      </c>
    </row>
    <row r="21" spans="1:4" x14ac:dyDescent="0.25">
      <c r="A21" s="6">
        <f t="shared" si="1"/>
        <v>3780000</v>
      </c>
      <c r="B21">
        <f t="shared" si="2"/>
        <v>1.9073486328125E-4</v>
      </c>
      <c r="C21" s="7">
        <f>((Table2[[#This Row],[Blocks Mined]]-A20)*B20)+C20</f>
        <v>20999919.891357422</v>
      </c>
      <c r="D21" s="8">
        <f t="shared" si="0"/>
        <v>19073.486328125</v>
      </c>
    </row>
    <row r="22" spans="1:4" x14ac:dyDescent="0.25">
      <c r="A22" s="6">
        <f t="shared" si="1"/>
        <v>3990000</v>
      </c>
      <c r="B22">
        <f t="shared" si="2"/>
        <v>9.5367431640625E-5</v>
      </c>
      <c r="C22" s="7">
        <f>((Table2[[#This Row],[Blocks Mined]]-A21)*B21)+C21</f>
        <v>20999959.945678711</v>
      </c>
      <c r="D22" s="8">
        <f t="shared" si="0"/>
        <v>9536.7431640625</v>
      </c>
    </row>
    <row r="23" spans="1:4" x14ac:dyDescent="0.25">
      <c r="A23" s="6">
        <f t="shared" si="1"/>
        <v>4200000</v>
      </c>
      <c r="B23">
        <f t="shared" si="2"/>
        <v>4.76837158203125E-5</v>
      </c>
      <c r="C23" s="7">
        <f>((Table2[[#This Row],[Blocks Mined]]-A22)*B22)+C22</f>
        <v>20999979.972839355</v>
      </c>
      <c r="D23" s="8">
        <f t="shared" si="0"/>
        <v>4768.37158203125</v>
      </c>
    </row>
    <row r="24" spans="1:4" x14ac:dyDescent="0.25">
      <c r="A24" s="6">
        <f t="shared" si="1"/>
        <v>4410000</v>
      </c>
      <c r="B24">
        <f t="shared" si="2"/>
        <v>2.384185791015625E-5</v>
      </c>
      <c r="C24" s="7">
        <f>((Table2[[#This Row],[Blocks Mined]]-A23)*B23)+C23</f>
        <v>20999989.986419678</v>
      </c>
      <c r="D24" s="8">
        <f t="shared" si="0"/>
        <v>2384.185791015625</v>
      </c>
    </row>
    <row r="25" spans="1:4" x14ac:dyDescent="0.25">
      <c r="A25" s="6">
        <f t="shared" si="1"/>
        <v>4620000</v>
      </c>
      <c r="B25">
        <f t="shared" si="2"/>
        <v>1.1920928955078125E-5</v>
      </c>
      <c r="C25" s="7">
        <f>((Table2[[#This Row],[Blocks Mined]]-A24)*B24)+C24</f>
        <v>20999994.993209839</v>
      </c>
      <c r="D25" s="8">
        <f t="shared" si="0"/>
        <v>1192.0928955078125</v>
      </c>
    </row>
    <row r="26" spans="1:4" x14ac:dyDescent="0.25">
      <c r="A26" s="6">
        <f t="shared" si="1"/>
        <v>4830000</v>
      </c>
      <c r="B26">
        <f t="shared" si="2"/>
        <v>5.9604644775390625E-6</v>
      </c>
      <c r="C26" s="7">
        <f>((Table2[[#This Row],[Blocks Mined]]-A25)*B25)+C25</f>
        <v>20999997.496604919</v>
      </c>
      <c r="D26" s="8">
        <f t="shared" si="0"/>
        <v>596.04644775390625</v>
      </c>
    </row>
    <row r="27" spans="1:4" x14ac:dyDescent="0.25">
      <c r="A27" s="6">
        <f t="shared" si="1"/>
        <v>5040000</v>
      </c>
      <c r="B27">
        <f t="shared" si="2"/>
        <v>2.9802322387695313E-6</v>
      </c>
      <c r="C27" s="7">
        <f>((Table2[[#This Row],[Blocks Mined]]-A26)*B26)+C26</f>
        <v>20999998.74830246</v>
      </c>
      <c r="D27" s="8">
        <f t="shared" si="0"/>
        <v>298.02322387695313</v>
      </c>
    </row>
    <row r="28" spans="1:4" x14ac:dyDescent="0.25">
      <c r="A28" s="6">
        <f t="shared" si="1"/>
        <v>5250000</v>
      </c>
      <c r="B28">
        <f t="shared" si="2"/>
        <v>1.4901161193847656E-6</v>
      </c>
      <c r="C28" s="7">
        <f>((Table2[[#This Row],[Blocks Mined]]-A27)*B27)+C27</f>
        <v>20999999.37415123</v>
      </c>
      <c r="D28" s="8">
        <f t="shared" si="0"/>
        <v>149.01161193847656</v>
      </c>
    </row>
    <row r="29" spans="1:4" x14ac:dyDescent="0.25">
      <c r="A29" s="29">
        <f t="shared" si="1"/>
        <v>5460000</v>
      </c>
      <c r="B29" s="31">
        <f t="shared" si="2"/>
        <v>7.4505805969238281E-7</v>
      </c>
      <c r="C29" s="32">
        <f>((Table2[[#This Row],[Blocks Mined]]-A28)*B28)+C28</f>
        <v>20999999.687075615</v>
      </c>
      <c r="D29" s="35">
        <f t="shared" si="0"/>
        <v>74.505805969238281</v>
      </c>
    </row>
    <row r="30" spans="1:4" x14ac:dyDescent="0.25">
      <c r="A30" s="29">
        <f t="shared" si="1"/>
        <v>5670000</v>
      </c>
      <c r="B30" s="31">
        <f t="shared" si="2"/>
        <v>3.7252902984619141E-7</v>
      </c>
      <c r="C30" s="32">
        <f>((Table2[[#This Row],[Blocks Mined]]-A29)*B29)+C29</f>
        <v>20999999.843537807</v>
      </c>
      <c r="D30" s="35">
        <f t="shared" si="0"/>
        <v>37.252902984619141</v>
      </c>
    </row>
    <row r="31" spans="1:4" x14ac:dyDescent="0.25">
      <c r="A31" s="29">
        <f t="shared" si="1"/>
        <v>5880000</v>
      </c>
      <c r="B31" s="31">
        <f t="shared" si="2"/>
        <v>1.862645149230957E-7</v>
      </c>
      <c r="C31" s="32">
        <f>((Table2[[#This Row],[Blocks Mined]]-A30)*B30)+C30</f>
        <v>20999999.921768904</v>
      </c>
      <c r="D31" s="35">
        <f t="shared" si="0"/>
        <v>18.62645149230957</v>
      </c>
    </row>
    <row r="32" spans="1:4" x14ac:dyDescent="0.25">
      <c r="A32" s="29">
        <f t="shared" si="1"/>
        <v>6090000</v>
      </c>
      <c r="B32" s="31">
        <f t="shared" si="2"/>
        <v>9.3132257461547852E-8</v>
      </c>
      <c r="C32" s="32">
        <f>((Table2[[#This Row],[Blocks Mined]]-A31)*B31)+C31</f>
        <v>20999999.960884452</v>
      </c>
      <c r="D32" s="35">
        <f t="shared" si="0"/>
        <v>9.3132257461547852</v>
      </c>
    </row>
    <row r="33" spans="1:4" x14ac:dyDescent="0.25">
      <c r="A33" s="29">
        <f t="shared" si="1"/>
        <v>6300000</v>
      </c>
      <c r="B33" s="31">
        <f t="shared" si="2"/>
        <v>4.6566128730773926E-8</v>
      </c>
      <c r="C33" s="32">
        <f>((Table2[[#This Row],[Blocks Mined]]-A32)*B32)+C32</f>
        <v>20999999.980442226</v>
      </c>
      <c r="D33" s="35">
        <f t="shared" si="0"/>
        <v>4.6566128730773926</v>
      </c>
    </row>
    <row r="34" spans="1:4" x14ac:dyDescent="0.25">
      <c r="A34" s="29">
        <f t="shared" si="1"/>
        <v>6510000</v>
      </c>
      <c r="B34" s="31">
        <f t="shared" si="2"/>
        <v>2.3283064365386963E-8</v>
      </c>
      <c r="C34" s="32">
        <f>((Table2[[#This Row],[Blocks Mined]]-A33)*B33)+C33</f>
        <v>20999999.990221113</v>
      </c>
      <c r="D34" s="35">
        <f t="shared" si="0"/>
        <v>2.3283064365386963</v>
      </c>
    </row>
    <row r="35" spans="1:4" x14ac:dyDescent="0.25">
      <c r="A35" s="29">
        <f t="shared" si="1"/>
        <v>6720000</v>
      </c>
      <c r="B35" s="31">
        <f t="shared" si="2"/>
        <v>1.1641532182693481E-8</v>
      </c>
      <c r="C35" s="32">
        <f>((Table2[[#This Row],[Blocks Mined]]-A34)*B34)+C34</f>
        <v>20999999.995110556</v>
      </c>
      <c r="D35" s="35">
        <f t="shared" si="0"/>
        <v>1.1641532182693481</v>
      </c>
    </row>
    <row r="36" spans="1:4" x14ac:dyDescent="0.25">
      <c r="A36" s="29">
        <f t="shared" si="1"/>
        <v>6930000</v>
      </c>
      <c r="B36" s="31">
        <f t="shared" si="2"/>
        <v>5.8207660913467407E-9</v>
      </c>
      <c r="C36" s="32">
        <f>((Table2[[#This Row],[Blocks Mined]]-A35)*B35)+C35</f>
        <v>20999999.997555278</v>
      </c>
      <c r="D36" s="35">
        <f t="shared" si="0"/>
        <v>0.58207660913467407</v>
      </c>
    </row>
    <row r="104" spans="1:1" x14ac:dyDescent="0.25">
      <c r="A104" s="6"/>
    </row>
    <row r="105" spans="1:1" x14ac:dyDescent="0.25">
      <c r="A105" s="6"/>
    </row>
    <row r="106" spans="1:1" x14ac:dyDescent="0.25">
      <c r="A106" s="6"/>
    </row>
    <row r="107" spans="1:1" x14ac:dyDescent="0.25">
      <c r="A107" s="6"/>
    </row>
    <row r="108" spans="1:1" x14ac:dyDescent="0.25">
      <c r="A108" s="6"/>
    </row>
    <row r="109" spans="1:1" x14ac:dyDescent="0.25">
      <c r="A109" s="6"/>
    </row>
    <row r="110" spans="1:1" x14ac:dyDescent="0.25">
      <c r="A110" s="6"/>
    </row>
    <row r="111" spans="1:1" x14ac:dyDescent="0.25">
      <c r="A111" s="6"/>
    </row>
    <row r="112" spans="1:1" x14ac:dyDescent="0.25">
      <c r="A112" s="6"/>
    </row>
    <row r="113" spans="1:1" x14ac:dyDescent="0.25">
      <c r="A113" s="6"/>
    </row>
    <row r="114" spans="1:1" x14ac:dyDescent="0.25">
      <c r="A114" s="6"/>
    </row>
    <row r="115" spans="1:1" x14ac:dyDescent="0.25">
      <c r="A115" s="6"/>
    </row>
    <row r="116" spans="1:1" x14ac:dyDescent="0.25">
      <c r="A116" s="6"/>
    </row>
    <row r="117" spans="1:1" x14ac:dyDescent="0.25">
      <c r="A117" s="6"/>
    </row>
    <row r="118" spans="1:1" x14ac:dyDescent="0.25">
      <c r="A118" s="6"/>
    </row>
    <row r="119" spans="1:1" x14ac:dyDescent="0.25">
      <c r="A119" s="6"/>
    </row>
    <row r="120" spans="1:1" x14ac:dyDescent="0.25">
      <c r="A120" s="6"/>
    </row>
    <row r="121" spans="1:1" x14ac:dyDescent="0.25">
      <c r="A121" s="6"/>
    </row>
    <row r="122" spans="1:1" x14ac:dyDescent="0.25">
      <c r="A122" s="6"/>
    </row>
    <row r="123" spans="1:1" x14ac:dyDescent="0.25">
      <c r="A123" s="6"/>
    </row>
    <row r="124" spans="1:1" x14ac:dyDescent="0.25">
      <c r="A124" s="6"/>
    </row>
    <row r="125" spans="1:1" x14ac:dyDescent="0.25">
      <c r="A125" s="6"/>
    </row>
    <row r="126" spans="1:1" x14ac:dyDescent="0.25">
      <c r="A126" s="6"/>
    </row>
    <row r="127" spans="1:1" x14ac:dyDescent="0.25">
      <c r="A127" s="6"/>
    </row>
    <row r="128" spans="1:1" x14ac:dyDescent="0.25">
      <c r="A128" s="6"/>
    </row>
    <row r="129" spans="1:1" x14ac:dyDescent="0.25">
      <c r="A129" s="6"/>
    </row>
    <row r="130" spans="1:1" x14ac:dyDescent="0.25">
      <c r="A130" s="6"/>
    </row>
    <row r="131" spans="1:1" x14ac:dyDescent="0.25">
      <c r="A131" s="6"/>
    </row>
    <row r="132" spans="1:1" x14ac:dyDescent="0.25">
      <c r="A132" s="6"/>
    </row>
    <row r="133" spans="1:1" x14ac:dyDescent="0.25">
      <c r="A133" s="6"/>
    </row>
    <row r="134" spans="1:1" x14ac:dyDescent="0.25">
      <c r="A134" s="6"/>
    </row>
    <row r="135" spans="1:1" x14ac:dyDescent="0.25">
      <c r="A135" s="6"/>
    </row>
    <row r="136" spans="1:1" x14ac:dyDescent="0.25">
      <c r="A136" s="6"/>
    </row>
    <row r="137" spans="1:1" x14ac:dyDescent="0.25">
      <c r="A137" s="6"/>
    </row>
    <row r="138" spans="1:1" x14ac:dyDescent="0.25">
      <c r="A138" s="6"/>
    </row>
    <row r="139" spans="1:1" x14ac:dyDescent="0.25">
      <c r="A139" s="6"/>
    </row>
    <row r="140" spans="1:1" x14ac:dyDescent="0.25">
      <c r="A140" s="6"/>
    </row>
    <row r="141" spans="1:1" x14ac:dyDescent="0.25">
      <c r="A141" s="6"/>
    </row>
    <row r="142" spans="1:1" x14ac:dyDescent="0.25">
      <c r="A142" s="6"/>
    </row>
    <row r="143" spans="1:1" x14ac:dyDescent="0.25">
      <c r="A143" s="6"/>
    </row>
    <row r="144" spans="1:1" x14ac:dyDescent="0.25">
      <c r="A144" s="6"/>
    </row>
    <row r="145" spans="1:1" x14ac:dyDescent="0.25">
      <c r="A145" s="6"/>
    </row>
    <row r="146" spans="1:1" x14ac:dyDescent="0.25">
      <c r="A146" s="6"/>
    </row>
    <row r="147" spans="1:1" x14ac:dyDescent="0.25">
      <c r="A147" s="6"/>
    </row>
    <row r="148" spans="1:1" x14ac:dyDescent="0.25">
      <c r="A148" s="6"/>
    </row>
    <row r="149" spans="1:1" x14ac:dyDescent="0.25">
      <c r="A149" s="6"/>
    </row>
    <row r="150" spans="1:1" x14ac:dyDescent="0.25">
      <c r="A150" s="6"/>
    </row>
    <row r="151" spans="1:1" x14ac:dyDescent="0.25">
      <c r="A151" s="6"/>
    </row>
    <row r="152" spans="1:1" x14ac:dyDescent="0.25">
      <c r="A152" s="6"/>
    </row>
    <row r="153" spans="1:1" x14ac:dyDescent="0.25">
      <c r="A153" s="6"/>
    </row>
    <row r="154" spans="1:1" x14ac:dyDescent="0.25">
      <c r="A154" s="6"/>
    </row>
    <row r="155" spans="1:1" x14ac:dyDescent="0.25">
      <c r="A155" s="6"/>
    </row>
    <row r="156" spans="1:1" x14ac:dyDescent="0.25">
      <c r="A156" s="6"/>
    </row>
    <row r="157" spans="1:1" x14ac:dyDescent="0.25">
      <c r="A157" s="6"/>
    </row>
    <row r="158" spans="1:1" x14ac:dyDescent="0.25">
      <c r="A158" s="6"/>
    </row>
    <row r="159" spans="1:1" x14ac:dyDescent="0.25">
      <c r="A159" s="6"/>
    </row>
    <row r="160" spans="1:1" x14ac:dyDescent="0.25">
      <c r="A160" s="6"/>
    </row>
    <row r="161" spans="1:1" x14ac:dyDescent="0.25">
      <c r="A161" s="6"/>
    </row>
    <row r="162" spans="1:1" x14ac:dyDescent="0.25">
      <c r="A162" s="6"/>
    </row>
    <row r="163" spans="1:1" x14ac:dyDescent="0.25">
      <c r="A163" s="6"/>
    </row>
    <row r="164" spans="1:1" x14ac:dyDescent="0.25">
      <c r="A164" s="6"/>
    </row>
    <row r="165" spans="1:1" x14ac:dyDescent="0.25">
      <c r="A165" s="6"/>
    </row>
    <row r="166" spans="1:1" x14ac:dyDescent="0.25">
      <c r="A166" s="6"/>
    </row>
    <row r="167" spans="1:1" x14ac:dyDescent="0.25">
      <c r="A167" s="6"/>
    </row>
    <row r="168" spans="1:1" x14ac:dyDescent="0.25">
      <c r="A168" s="6"/>
    </row>
    <row r="169" spans="1:1" x14ac:dyDescent="0.25">
      <c r="A169" s="6"/>
    </row>
    <row r="170" spans="1:1" x14ac:dyDescent="0.25">
      <c r="A170" s="6"/>
    </row>
    <row r="171" spans="1:1" x14ac:dyDescent="0.25">
      <c r="A171" s="6"/>
    </row>
    <row r="172" spans="1:1" x14ac:dyDescent="0.25">
      <c r="A172" s="6"/>
    </row>
    <row r="173" spans="1:1" x14ac:dyDescent="0.25">
      <c r="A173" s="6"/>
    </row>
    <row r="174" spans="1:1" x14ac:dyDescent="0.25">
      <c r="A174" s="6"/>
    </row>
    <row r="175" spans="1:1" x14ac:dyDescent="0.25">
      <c r="A175" s="6"/>
    </row>
    <row r="176" spans="1:1" x14ac:dyDescent="0.25">
      <c r="A176" s="6"/>
    </row>
    <row r="177" spans="1:1" x14ac:dyDescent="0.25">
      <c r="A177" s="6"/>
    </row>
    <row r="178" spans="1:1" x14ac:dyDescent="0.25">
      <c r="A178" s="6"/>
    </row>
    <row r="179" spans="1:1" x14ac:dyDescent="0.25">
      <c r="A179" s="6"/>
    </row>
    <row r="180" spans="1:1" x14ac:dyDescent="0.25">
      <c r="A180" s="6"/>
    </row>
    <row r="181" spans="1:1" x14ac:dyDescent="0.25">
      <c r="A181" s="6"/>
    </row>
    <row r="182" spans="1:1" x14ac:dyDescent="0.25">
      <c r="A182" s="6"/>
    </row>
    <row r="183" spans="1:1" x14ac:dyDescent="0.25">
      <c r="A183" s="6"/>
    </row>
    <row r="184" spans="1:1" x14ac:dyDescent="0.25">
      <c r="A184" s="6"/>
    </row>
    <row r="185" spans="1:1" x14ac:dyDescent="0.25">
      <c r="A185" s="6"/>
    </row>
    <row r="186" spans="1:1" x14ac:dyDescent="0.25">
      <c r="A186" s="6"/>
    </row>
    <row r="187" spans="1:1" x14ac:dyDescent="0.25">
      <c r="A187" s="6"/>
    </row>
    <row r="188" spans="1:1" x14ac:dyDescent="0.25">
      <c r="A188" s="6"/>
    </row>
    <row r="189" spans="1:1" x14ac:dyDescent="0.25">
      <c r="A189" s="6"/>
    </row>
    <row r="190" spans="1:1" x14ac:dyDescent="0.25">
      <c r="A190" s="6"/>
    </row>
    <row r="191" spans="1:1" x14ac:dyDescent="0.25">
      <c r="A191" s="6"/>
    </row>
    <row r="192" spans="1:1" x14ac:dyDescent="0.25">
      <c r="A192" s="6"/>
    </row>
    <row r="193" spans="1:1" x14ac:dyDescent="0.25">
      <c r="A193" s="6"/>
    </row>
    <row r="194" spans="1:1" x14ac:dyDescent="0.25">
      <c r="A194" s="6"/>
    </row>
    <row r="195" spans="1:1" x14ac:dyDescent="0.25">
      <c r="A195" s="6"/>
    </row>
    <row r="196" spans="1:1" x14ac:dyDescent="0.25">
      <c r="A196" s="6"/>
    </row>
    <row r="197" spans="1:1" x14ac:dyDescent="0.25">
      <c r="A197" s="6"/>
    </row>
    <row r="198" spans="1:1" x14ac:dyDescent="0.25">
      <c r="A198" s="6"/>
    </row>
    <row r="199" spans="1:1" x14ac:dyDescent="0.25">
      <c r="A199" s="6"/>
    </row>
    <row r="200" spans="1:1" x14ac:dyDescent="0.25">
      <c r="A200" s="6"/>
    </row>
    <row r="201" spans="1:1" x14ac:dyDescent="0.25">
      <c r="A201" s="6"/>
    </row>
    <row r="202" spans="1:1" x14ac:dyDescent="0.25">
      <c r="A202" s="6"/>
    </row>
    <row r="203" spans="1:1" x14ac:dyDescent="0.25">
      <c r="A203" s="6"/>
    </row>
    <row r="204" spans="1:1" x14ac:dyDescent="0.25">
      <c r="A204" s="6"/>
    </row>
    <row r="205" spans="1:1" x14ac:dyDescent="0.25">
      <c r="A205" s="6"/>
    </row>
    <row r="206" spans="1:1" x14ac:dyDescent="0.25">
      <c r="A206" s="6"/>
    </row>
    <row r="207" spans="1:1" x14ac:dyDescent="0.25">
      <c r="A207" s="6"/>
    </row>
    <row r="208" spans="1:1" x14ac:dyDescent="0.25">
      <c r="A208" s="6"/>
    </row>
    <row r="209" spans="1:1" x14ac:dyDescent="0.25">
      <c r="A209" s="6"/>
    </row>
    <row r="210" spans="1:1" x14ac:dyDescent="0.25">
      <c r="A210" s="6"/>
    </row>
    <row r="211" spans="1:1" x14ac:dyDescent="0.25">
      <c r="A211" s="6"/>
    </row>
    <row r="212" spans="1:1" x14ac:dyDescent="0.25">
      <c r="A212" s="6"/>
    </row>
    <row r="213" spans="1:1" x14ac:dyDescent="0.25">
      <c r="A213" s="6"/>
    </row>
    <row r="214" spans="1:1" x14ac:dyDescent="0.25">
      <c r="A214" s="6"/>
    </row>
    <row r="215" spans="1:1" x14ac:dyDescent="0.25">
      <c r="A215" s="6"/>
    </row>
    <row r="216" spans="1:1" x14ac:dyDescent="0.25">
      <c r="A216" s="6"/>
    </row>
    <row r="217" spans="1:1" x14ac:dyDescent="0.25">
      <c r="A217" s="6"/>
    </row>
    <row r="218" spans="1:1" x14ac:dyDescent="0.25">
      <c r="A218" s="6"/>
    </row>
    <row r="219" spans="1:1" x14ac:dyDescent="0.25">
      <c r="A219" s="6"/>
    </row>
    <row r="220" spans="1:1" x14ac:dyDescent="0.25">
      <c r="A220" s="6"/>
    </row>
    <row r="221" spans="1:1" x14ac:dyDescent="0.25">
      <c r="A221" s="6"/>
    </row>
    <row r="222" spans="1:1" x14ac:dyDescent="0.25">
      <c r="A222" s="6"/>
    </row>
    <row r="223" spans="1:1" x14ac:dyDescent="0.25">
      <c r="A223" s="6"/>
    </row>
    <row r="224" spans="1:1" x14ac:dyDescent="0.25">
      <c r="A224" s="6"/>
    </row>
    <row r="225" spans="1:1" x14ac:dyDescent="0.25">
      <c r="A225" s="6"/>
    </row>
    <row r="226" spans="1:1" x14ac:dyDescent="0.25">
      <c r="A226" s="6"/>
    </row>
    <row r="227" spans="1:1" x14ac:dyDescent="0.25">
      <c r="A227" s="6"/>
    </row>
    <row r="228" spans="1:1" x14ac:dyDescent="0.25">
      <c r="A228" s="6"/>
    </row>
    <row r="229" spans="1:1" x14ac:dyDescent="0.25">
      <c r="A229" s="6"/>
    </row>
    <row r="230" spans="1:1" x14ac:dyDescent="0.25">
      <c r="A230" s="6"/>
    </row>
    <row r="231" spans="1:1" x14ac:dyDescent="0.25">
      <c r="A231" s="6"/>
    </row>
    <row r="232" spans="1:1" x14ac:dyDescent="0.25">
      <c r="A232" s="6"/>
    </row>
    <row r="233" spans="1:1" x14ac:dyDescent="0.25">
      <c r="A233" s="6"/>
    </row>
    <row r="234" spans="1:1" x14ac:dyDescent="0.25">
      <c r="A234" s="6"/>
    </row>
    <row r="235" spans="1:1" x14ac:dyDescent="0.25">
      <c r="A235" s="6"/>
    </row>
    <row r="236" spans="1:1" x14ac:dyDescent="0.25">
      <c r="A236" s="6"/>
    </row>
    <row r="237" spans="1:1" x14ac:dyDescent="0.25">
      <c r="A237" s="6"/>
    </row>
    <row r="238" spans="1:1" x14ac:dyDescent="0.25">
      <c r="A238" s="6"/>
    </row>
    <row r="239" spans="1:1" x14ac:dyDescent="0.25">
      <c r="A239" s="6"/>
    </row>
    <row r="240" spans="1:1" x14ac:dyDescent="0.25">
      <c r="A240" s="6"/>
    </row>
    <row r="241" spans="1:1" x14ac:dyDescent="0.25">
      <c r="A241" s="6"/>
    </row>
    <row r="242" spans="1:1" x14ac:dyDescent="0.25">
      <c r="A242" s="6"/>
    </row>
    <row r="243" spans="1:1" x14ac:dyDescent="0.25">
      <c r="A243" s="6"/>
    </row>
    <row r="244" spans="1:1" x14ac:dyDescent="0.25">
      <c r="A244" s="6"/>
    </row>
    <row r="245" spans="1:1" x14ac:dyDescent="0.25">
      <c r="A245" s="6"/>
    </row>
    <row r="246" spans="1:1" x14ac:dyDescent="0.25">
      <c r="A246" s="6"/>
    </row>
    <row r="247" spans="1:1" x14ac:dyDescent="0.25">
      <c r="A247" s="6"/>
    </row>
    <row r="248" spans="1:1" x14ac:dyDescent="0.25">
      <c r="A248" s="6"/>
    </row>
    <row r="249" spans="1:1" x14ac:dyDescent="0.25">
      <c r="A249" s="6"/>
    </row>
    <row r="250" spans="1:1" x14ac:dyDescent="0.25">
      <c r="A250" s="6"/>
    </row>
    <row r="251" spans="1:1" x14ac:dyDescent="0.25">
      <c r="A251" s="6"/>
    </row>
    <row r="252" spans="1:1" x14ac:dyDescent="0.25">
      <c r="A252" s="6"/>
    </row>
    <row r="253" spans="1:1" x14ac:dyDescent="0.25">
      <c r="A253" s="6"/>
    </row>
    <row r="254" spans="1:1" x14ac:dyDescent="0.25">
      <c r="A254" s="6"/>
    </row>
    <row r="255" spans="1:1" x14ac:dyDescent="0.25">
      <c r="A255" s="6"/>
    </row>
    <row r="256" spans="1:1" x14ac:dyDescent="0.25">
      <c r="A256" s="6"/>
    </row>
    <row r="257" spans="1:1" x14ac:dyDescent="0.25">
      <c r="A257" s="6"/>
    </row>
    <row r="258" spans="1:1" x14ac:dyDescent="0.25">
      <c r="A258" s="6"/>
    </row>
    <row r="259" spans="1:1" x14ac:dyDescent="0.25">
      <c r="A259" s="6"/>
    </row>
    <row r="260" spans="1:1" x14ac:dyDescent="0.25">
      <c r="A260" s="6"/>
    </row>
    <row r="261" spans="1:1" x14ac:dyDescent="0.25">
      <c r="A261" s="6"/>
    </row>
    <row r="262" spans="1:1" x14ac:dyDescent="0.25">
      <c r="A262" s="6"/>
    </row>
    <row r="263" spans="1:1" x14ac:dyDescent="0.25">
      <c r="A263" s="6"/>
    </row>
    <row r="264" spans="1:1" x14ac:dyDescent="0.25">
      <c r="A264" s="6"/>
    </row>
    <row r="265" spans="1:1" x14ac:dyDescent="0.25">
      <c r="A265" s="6"/>
    </row>
    <row r="266" spans="1:1" x14ac:dyDescent="0.25">
      <c r="A266" s="6"/>
    </row>
    <row r="267" spans="1:1" x14ac:dyDescent="0.25">
      <c r="A267" s="6"/>
    </row>
    <row r="268" spans="1:1" x14ac:dyDescent="0.25">
      <c r="A268" s="6"/>
    </row>
    <row r="269" spans="1:1" x14ac:dyDescent="0.25">
      <c r="A269" s="6"/>
    </row>
    <row r="270" spans="1:1" x14ac:dyDescent="0.25">
      <c r="A270" s="6"/>
    </row>
    <row r="271" spans="1:1" x14ac:dyDescent="0.25">
      <c r="A271" s="6"/>
    </row>
    <row r="272" spans="1:1" x14ac:dyDescent="0.25">
      <c r="A272" s="6"/>
    </row>
    <row r="273" spans="1:1" x14ac:dyDescent="0.25">
      <c r="A273" s="6"/>
    </row>
    <row r="274" spans="1:1" x14ac:dyDescent="0.25">
      <c r="A274" s="6"/>
    </row>
    <row r="275" spans="1:1" x14ac:dyDescent="0.25">
      <c r="A275" s="6"/>
    </row>
    <row r="276" spans="1:1" x14ac:dyDescent="0.25">
      <c r="A276" s="6"/>
    </row>
    <row r="277" spans="1:1" x14ac:dyDescent="0.25">
      <c r="A277" s="6"/>
    </row>
    <row r="278" spans="1:1" x14ac:dyDescent="0.25">
      <c r="A278" s="6"/>
    </row>
    <row r="279" spans="1:1" x14ac:dyDescent="0.25">
      <c r="A279" s="6"/>
    </row>
    <row r="280" spans="1:1" x14ac:dyDescent="0.25">
      <c r="A280" s="6"/>
    </row>
    <row r="281" spans="1:1" x14ac:dyDescent="0.25">
      <c r="A281" s="6"/>
    </row>
    <row r="282" spans="1:1" x14ac:dyDescent="0.25">
      <c r="A282" s="6"/>
    </row>
    <row r="283" spans="1:1" x14ac:dyDescent="0.25">
      <c r="A283" s="6"/>
    </row>
    <row r="284" spans="1:1" x14ac:dyDescent="0.25">
      <c r="A284" s="6"/>
    </row>
    <row r="285" spans="1:1" x14ac:dyDescent="0.25">
      <c r="A285" s="6"/>
    </row>
    <row r="286" spans="1:1" x14ac:dyDescent="0.25">
      <c r="A286" s="6"/>
    </row>
    <row r="287" spans="1:1" x14ac:dyDescent="0.25">
      <c r="A287" s="6"/>
    </row>
    <row r="288" spans="1:1" x14ac:dyDescent="0.25">
      <c r="A288" s="6"/>
    </row>
    <row r="289" spans="1:1" x14ac:dyDescent="0.25">
      <c r="A289" s="6"/>
    </row>
    <row r="290" spans="1:1" x14ac:dyDescent="0.25">
      <c r="A290" s="6"/>
    </row>
    <row r="291" spans="1:1" x14ac:dyDescent="0.25">
      <c r="A291" s="6"/>
    </row>
  </sheetData>
  <mergeCells count="1">
    <mergeCell ref="A1:D1"/>
  </mergeCells>
  <pageMargins left="0.7" right="0.7" top="0.75" bottom="0.75" header="0.3" footer="0.3"/>
  <ignoredErrors>
    <ignoredError sqref="C4 C5:C36" calculatedColumn="1"/>
  </ignoredErrors>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Answers</vt:lpstr>
      <vt:lpstr>Calculations</vt:lpstr>
      <vt:lpstr>Conditions</vt:lpstr>
      <vt:lpstr>a10000000</vt:lpstr>
      <vt:lpstr>a2000000</vt:lpstr>
      <vt:lpstr>a9900000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Oore Ladipo</dc:creator>
  <cp:lastModifiedBy>Oore Ladipo</cp:lastModifiedBy>
  <dcterms:created xsi:type="dcterms:W3CDTF">2017-02-15T22:27:14Z</dcterms:created>
  <dcterms:modified xsi:type="dcterms:W3CDTF">2017-02-17T10:13:28Z</dcterms:modified>
</cp:coreProperties>
</file>