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D:\LocalGitHub\energy-market-smart-contract\DoubleAuction-python\"/>
    </mc:Choice>
  </mc:AlternateContent>
  <xr:revisionPtr revIDLastSave="0" documentId="13_ncr:1_{679B4355-5735-42FD-9632-6986C2321529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test1" sheetId="1" r:id="rId1"/>
    <sheet name="test-50" sheetId="3" r:id="rId2"/>
  </sheets>
  <definedNames>
    <definedName name="ExternalData_1" localSheetId="1" hidden="1">'test-50'!$A$1:$D$26</definedName>
    <definedName name="ME">test1!$J$24</definedName>
    <definedName name="MP">test1!$M$1</definedName>
    <definedName name="Qc">test1!$J$4</definedName>
    <definedName name="Qp">test1!$J$2</definedName>
    <definedName name="Vc">test1!$J$3</definedName>
    <definedName name="Vp">test1!$J$1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1" l="1"/>
  <c r="J5" i="1"/>
  <c r="C32" i="1"/>
  <c r="J22" i="1"/>
  <c r="J18" i="1"/>
  <c r="E27" i="1"/>
  <c r="J19" i="1" s="1"/>
  <c r="E19" i="1"/>
  <c r="E20" i="1"/>
  <c r="E6" i="1"/>
  <c r="E21" i="1"/>
  <c r="E7" i="1"/>
  <c r="E8" i="1"/>
  <c r="E9" i="1"/>
  <c r="E22" i="1"/>
  <c r="E10" i="1"/>
  <c r="E23" i="1"/>
  <c r="E11" i="1"/>
  <c r="E24" i="1"/>
  <c r="E12" i="1"/>
  <c r="E13" i="1"/>
  <c r="E25" i="1"/>
  <c r="E14" i="1"/>
  <c r="E26" i="1"/>
  <c r="E5" i="1"/>
  <c r="S5" i="1"/>
  <c r="S4" i="1"/>
  <c r="S2" i="1"/>
  <c r="S3" i="1"/>
  <c r="J9" i="1"/>
  <c r="J8" i="1"/>
  <c r="J7" i="1"/>
  <c r="J4" i="1"/>
  <c r="J2" i="1"/>
  <c r="J6" i="1"/>
  <c r="E4" i="1"/>
  <c r="E15" i="1"/>
  <c r="E16" i="1"/>
  <c r="E17" i="1"/>
  <c r="E2" i="1"/>
  <c r="E18" i="1"/>
  <c r="E3" i="1"/>
  <c r="J23" i="1" l="1"/>
  <c r="J16" i="1"/>
  <c r="C33" i="1" s="1"/>
  <c r="J13" i="1"/>
  <c r="J12" i="1"/>
  <c r="J14" i="1"/>
  <c r="J3" i="1"/>
  <c r="J1" i="1"/>
  <c r="M1" i="1" l="1"/>
  <c r="F20" i="1" l="1"/>
  <c r="F8" i="1"/>
  <c r="F23" i="1"/>
  <c r="F13" i="1"/>
  <c r="F17" i="1"/>
  <c r="F22" i="1"/>
  <c r="F27" i="1"/>
  <c r="F6" i="1"/>
  <c r="F9" i="1"/>
  <c r="F11" i="1"/>
  <c r="F25" i="1"/>
  <c r="F5" i="1"/>
  <c r="F4" i="1"/>
  <c r="F2" i="1"/>
  <c r="F21" i="1"/>
  <c r="F14" i="1"/>
  <c r="F15" i="1"/>
  <c r="F18" i="1"/>
  <c r="F19" i="1"/>
  <c r="F7" i="1"/>
  <c r="F10" i="1"/>
  <c r="F12" i="1"/>
  <c r="F26" i="1"/>
  <c r="F16" i="1"/>
  <c r="F3" i="1"/>
  <c r="F24" i="1"/>
  <c r="M4" i="1" l="1"/>
  <c r="M3" i="1"/>
  <c r="M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E5AD34-A043-4BAA-9A6D-33DEC79DC58F}" keepAlive="1" name="Query - test-50" description="Connection to the 'test-50' query in the workbook." type="5" refreshedVersion="8" background="1" saveData="1">
    <dbPr connection="Provider=Microsoft.Mashup.OleDb.1;Data Source=$Workbook$;Location=test-50;Extended Properties=&quot;&quot;" command="SELECT * FROM [test-50]"/>
  </connection>
</connections>
</file>

<file path=xl/sharedStrings.xml><?xml version="1.0" encoding="utf-8"?>
<sst xmlns="http://schemas.openxmlformats.org/spreadsheetml/2006/main" count="55" uniqueCount="41">
  <si>
    <t>ID</t>
  </si>
  <si>
    <t>Type</t>
  </si>
  <si>
    <t>Quantity</t>
  </si>
  <si>
    <t>Price</t>
  </si>
  <si>
    <t>Prov_Q</t>
  </si>
  <si>
    <t>Prov_V</t>
  </si>
  <si>
    <t>Con_V</t>
  </si>
  <si>
    <t>Profit</t>
  </si>
  <si>
    <t>Market Price</t>
  </si>
  <si>
    <t>Volume</t>
  </si>
  <si>
    <t>Prov_profit</t>
  </si>
  <si>
    <t>Con_profit</t>
  </si>
  <si>
    <t>Max_Prov</t>
  </si>
  <si>
    <t>Min_Prov</t>
  </si>
  <si>
    <t>Max_Con</t>
  </si>
  <si>
    <t>Min_Con</t>
  </si>
  <si>
    <t>Price B</t>
  </si>
  <si>
    <t>Price C</t>
  </si>
  <si>
    <t>Price D</t>
  </si>
  <si>
    <t>C</t>
  </si>
  <si>
    <t>D</t>
  </si>
  <si>
    <t>Price model</t>
  </si>
  <si>
    <t>Price E</t>
  </si>
  <si>
    <t>E</t>
  </si>
  <si>
    <t>Media entre el máximo de los máximos y el mínimo de los mínimos</t>
  </si>
  <si>
    <t>Media de los límites de precios</t>
  </si>
  <si>
    <t>Media entre el mínimo de los máximos y el máximo de los mínimos</t>
  </si>
  <si>
    <t>B</t>
  </si>
  <si>
    <t>Iguala los profits de proveedores y consumidores</t>
  </si>
  <si>
    <t>off-market</t>
  </si>
  <si>
    <t>q</t>
  </si>
  <si>
    <t>v</t>
  </si>
  <si>
    <t>V</t>
  </si>
  <si>
    <t>off</t>
  </si>
  <si>
    <t>Y</t>
  </si>
  <si>
    <t>MARKET</t>
  </si>
  <si>
    <t>D-P</t>
  </si>
  <si>
    <t>Consumers</t>
  </si>
  <si>
    <t>Q</t>
  </si>
  <si>
    <t>P</t>
  </si>
  <si>
    <t>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</si>
</sst>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0" xfId="0" applyNumberFormat="1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3" borderId="0" xfId="0" applyFill="1"/>
  </cellXfs>
  <cellStyles count="1">
    <cellStyle name="Normal" xfId="0" builtinId="0"/>
  </cellStyles>
  <dxfs count="5">
    <dxf>
      <numFmt numFmtId="0" formatCode="General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5E7753-E4EF-4F38-AF79-29E1D492B4F5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Type" tableColumnId="2"/>
      <queryTableField id="3" name="Quantity" tableColumnId="3"/>
      <queryTableField id="4" name="Price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3DA804-E10F-4F87-A7E0-1DD7757D734C}" name="order" displayName="order" ref="A1:G27" totalsRowShown="0">
  <autoFilter ref="A1:G27" xr:uid="{213DA804-E10F-4F87-A7E0-1DD7757D734C}"/>
  <sortState xmlns:xlrd2="http://schemas.microsoft.com/office/spreadsheetml/2017/richdata2" ref="A2:G26">
    <sortCondition ref="G2:G27"/>
    <sortCondition ref="B2:B27"/>
  </sortState>
  <tableColumns count="7">
    <tableColumn id="1" xr3:uid="{0B184223-C67B-412F-957E-9358A1CF84CE}" name="ID"/>
    <tableColumn id="2" xr3:uid="{1C5678D8-405F-4086-8C6E-BFA281F602ED}" name="Type"/>
    <tableColumn id="3" xr3:uid="{87BBCB5C-E52A-4095-B59A-58E606A33893}" name="Quantity"/>
    <tableColumn id="4" xr3:uid="{7022A12B-66EE-449B-B2B4-72868D595473}" name="Price"/>
    <tableColumn id="5" xr3:uid="{06CACF1F-98A9-453D-B72A-80EC04D07244}" name="Volume" dataDxfId="4">
      <calculatedColumnFormula>order[[#This Row],[Quantity]]*order[[#This Row],[Price]]</calculatedColumnFormula>
    </tableColumn>
    <tableColumn id="6" xr3:uid="{0C4E06BE-E305-490F-8C09-5B8CDBFE4F58}" name="Profit" dataDxfId="3">
      <calculatedColumnFormula>order[[#This Row],[Quantity]]*IF(order[[#This Row],[Type]],MP-order[[#This Row],[Price]],order[[#This Row],[Price]]-MP)</calculatedColumnFormula>
    </tableColumn>
    <tableColumn id="7" xr3:uid="{A60B36E3-BEBE-41DB-853D-E63D8DDB8D87}" name="off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0859AF-00EA-459F-8739-DC2F94607A3E}" name="Table3" displayName="Table3" ref="O1:S5" totalsRowShown="0">
  <autoFilter ref="O1:S5" xr:uid="{0F0859AF-00EA-459F-8739-DC2F94607A3E}"/>
  <tableColumns count="5">
    <tableColumn id="1" xr3:uid="{C4BC883A-F1CA-4BBE-B0F7-F33C78AAB1F8}" name="Price model"/>
    <tableColumn id="2" xr3:uid="{E159754D-53D3-479F-8B2B-872F0B243EF4}" name="Price" dataDxfId="1"/>
    <tableColumn id="3" xr3:uid="{66B593B3-07A2-40C7-9614-A7B6937F16EE}" name="Prov_profit"/>
    <tableColumn id="4" xr3:uid="{C3657703-93EE-4DB1-807A-30F46453FEEB}" name="Con_profit"/>
    <tableColumn id="5" xr3:uid="{A27AE4F5-06E4-4944-BFF4-D1F29C5784FA}" name="Profit" dataDxfId="0">
      <calculatedColumnFormula>SUM(Table3[[#This Row],[Prov_profit]:[Con_profit]])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BE9134-1674-4132-9926-C109C19A91B5}" name="Table_test_50" displayName="Table_test_50" ref="A1:D26" tableType="queryTable" totalsRowShown="0">
  <autoFilter ref="A1:D26" xr:uid="{6BBE9134-1674-4132-9926-C109C19A91B5}"/>
  <tableColumns count="4">
    <tableColumn id="1" xr3:uid="{AEB52271-AD07-4E32-820C-3550F09D67A4}" uniqueName="1" name="ID" queryTableFieldId="1"/>
    <tableColumn id="2" xr3:uid="{C9D7295F-8398-4425-AB9C-A1311D70401F}" uniqueName="2" name="Type" queryTableFieldId="2"/>
    <tableColumn id="3" xr3:uid="{4B698A6D-2C72-4825-8DF4-897912C523F2}" uniqueName="3" name="Quantity" queryTableFieldId="3"/>
    <tableColumn id="4" xr3:uid="{4B15D4C3-A486-4F8D-BB98-77B289841DAE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J25" sqref="J25"/>
    </sheetView>
  </sheetViews>
  <sheetFormatPr defaultRowHeight="15" x14ac:dyDescent="0.25"/>
  <cols>
    <col min="3" max="3" width="10.85546875" customWidth="1"/>
    <col min="5" max="5" width="9.7109375" customWidth="1"/>
    <col min="6" max="6" width="10.42578125" customWidth="1"/>
    <col min="7" max="7" width="8" customWidth="1"/>
    <col min="8" max="8" width="9.7109375" customWidth="1"/>
    <col min="9" max="9" width="14.85546875" customWidth="1"/>
    <col min="11" max="11" width="4.7109375" customWidth="1"/>
    <col min="12" max="12" width="14.5703125" customWidth="1"/>
    <col min="13" max="13" width="9.5703125" bestFit="1" customWidth="1"/>
    <col min="14" max="14" width="5.140625" customWidth="1"/>
    <col min="15" max="15" width="14.5703125" customWidth="1"/>
    <col min="17" max="18" width="13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7</v>
      </c>
      <c r="G1" t="s">
        <v>33</v>
      </c>
      <c r="I1" t="s">
        <v>5</v>
      </c>
      <c r="J1">
        <f>SUMIF(order[Type],1,order[Volume])</f>
        <v>151994</v>
      </c>
      <c r="L1" t="s">
        <v>8</v>
      </c>
      <c r="M1" s="1">
        <f>ME</f>
        <v>41.302510022659924</v>
      </c>
      <c r="O1" t="s">
        <v>21</v>
      </c>
      <c r="P1" t="s">
        <v>3</v>
      </c>
      <c r="Q1" t="s">
        <v>10</v>
      </c>
      <c r="R1" t="s">
        <v>11</v>
      </c>
      <c r="S1" t="s">
        <v>7</v>
      </c>
    </row>
    <row r="2" spans="1:19" x14ac:dyDescent="0.25">
      <c r="A2">
        <v>4</v>
      </c>
      <c r="B2">
        <v>0</v>
      </c>
      <c r="C2">
        <v>801</v>
      </c>
      <c r="D2">
        <v>75</v>
      </c>
      <c r="E2">
        <f>order[[#This Row],[Quantity]]*order[[#This Row],[Price]]</f>
        <v>60075</v>
      </c>
      <c r="F2">
        <f>order[[#This Row],[Quantity]]*IF(order[[#This Row],[Type]],MP-order[[#This Row],[Price]],order[[#This Row],[Price]]-MP)</f>
        <v>26991.6894718494</v>
      </c>
      <c r="I2" t="s">
        <v>4</v>
      </c>
      <c r="J2">
        <f>SUMIF(order[Type],1,order[Quantity])</f>
        <v>6033</v>
      </c>
      <c r="L2" t="s">
        <v>7</v>
      </c>
      <c r="M2" s="4">
        <f>SUM(order[Profit])</f>
        <v>185102.54296670732</v>
      </c>
      <c r="O2" t="s">
        <v>19</v>
      </c>
      <c r="P2" s="2">
        <v>11.25</v>
      </c>
      <c r="Q2">
        <v>-3537.5</v>
      </c>
      <c r="R2">
        <v>-2062.5</v>
      </c>
      <c r="S2">
        <f>SUM(Table3[[#This Row],[Prov_profit]:[Con_profit]])</f>
        <v>-5600</v>
      </c>
    </row>
    <row r="3" spans="1:19" x14ac:dyDescent="0.25">
      <c r="A3">
        <v>6</v>
      </c>
      <c r="B3">
        <v>0</v>
      </c>
      <c r="C3">
        <v>708</v>
      </c>
      <c r="D3">
        <v>56</v>
      </c>
      <c r="E3">
        <f>order[[#This Row],[Quantity]]*order[[#This Row],[Price]]</f>
        <v>39648</v>
      </c>
      <c r="F3">
        <f>order[[#This Row],[Quantity]]*IF(order[[#This Row],[Type]],MP-order[[#This Row],[Price]],order[[#This Row],[Price]]-MP)</f>
        <v>10405.822903956774</v>
      </c>
      <c r="I3" t="s">
        <v>6</v>
      </c>
      <c r="J3">
        <f>SUMIF(order[Type],0,order[Volume])</f>
        <v>324871</v>
      </c>
      <c r="L3" t="s">
        <v>10</v>
      </c>
      <c r="M3" s="4">
        <f>SUMIFS(order[Profit],order[Type],"1",order[off],"&lt;&gt;Y")</f>
        <v>87918.499999999985</v>
      </c>
      <c r="O3" t="s">
        <v>20</v>
      </c>
      <c r="P3" s="2">
        <v>6.5</v>
      </c>
      <c r="Q3">
        <v>-5675</v>
      </c>
      <c r="R3">
        <v>75</v>
      </c>
      <c r="S3">
        <f>SUM(Table3[[#This Row],[Prov_profit]:[Con_profit]])</f>
        <v>-5600</v>
      </c>
    </row>
    <row r="4" spans="1:19" x14ac:dyDescent="0.25">
      <c r="A4">
        <v>7</v>
      </c>
      <c r="B4">
        <v>0</v>
      </c>
      <c r="C4">
        <v>807</v>
      </c>
      <c r="D4">
        <v>62</v>
      </c>
      <c r="E4">
        <f>order[[#This Row],[Quantity]]*order[[#This Row],[Price]]</f>
        <v>50034</v>
      </c>
      <c r="F4">
        <f>order[[#This Row],[Quantity]]*IF(order[[#This Row],[Type]],MP-order[[#This Row],[Price]],order[[#This Row],[Price]]-MP)</f>
        <v>16702.874411713441</v>
      </c>
      <c r="I4" t="s">
        <v>4</v>
      </c>
      <c r="J4">
        <f>SUMIF(order[Type],0,order[Quantity])</f>
        <v>5737</v>
      </c>
      <c r="L4" t="s">
        <v>11</v>
      </c>
      <c r="M4" s="4">
        <f>SUMIFS(order[Profit],order[Type],"0",order[off],"&lt;&gt;Y")</f>
        <v>87918.5</v>
      </c>
      <c r="O4" t="s">
        <v>23</v>
      </c>
      <c r="P4" s="2">
        <v>16</v>
      </c>
      <c r="Q4">
        <v>-1400</v>
      </c>
      <c r="R4">
        <v>-4200</v>
      </c>
      <c r="S4">
        <f>SUM(Table3[[#This Row],[Prov_profit]:[Con_profit]])</f>
        <v>-5600</v>
      </c>
    </row>
    <row r="5" spans="1:19" x14ac:dyDescent="0.25">
      <c r="A5">
        <v>8</v>
      </c>
      <c r="B5">
        <v>0</v>
      </c>
      <c r="C5">
        <v>847</v>
      </c>
      <c r="D5">
        <v>67</v>
      </c>
      <c r="E5">
        <f>order[[#This Row],[Quantity]]*order[[#This Row],[Price]]</f>
        <v>56749</v>
      </c>
      <c r="F5">
        <f>order[[#This Row],[Quantity]]*IF(order[[#This Row],[Type]],MP-order[[#This Row],[Price]],order[[#This Row],[Price]]-MP)</f>
        <v>21765.774010807043</v>
      </c>
      <c r="I5" t="s">
        <v>9</v>
      </c>
      <c r="J5">
        <f>Vp+Vc</f>
        <v>476865</v>
      </c>
      <c r="O5" t="s">
        <v>27</v>
      </c>
      <c r="P5" s="2">
        <v>12.888888888888889</v>
      </c>
      <c r="Q5">
        <v>-2800</v>
      </c>
      <c r="R5">
        <v>-2800</v>
      </c>
      <c r="S5">
        <f>SUM(Table3[[#This Row],[Prov_profit]:[Con_profit]])</f>
        <v>-5600</v>
      </c>
    </row>
    <row r="6" spans="1:19" x14ac:dyDescent="0.25">
      <c r="A6">
        <v>11</v>
      </c>
      <c r="B6">
        <v>0</v>
      </c>
      <c r="C6">
        <v>173</v>
      </c>
      <c r="D6">
        <v>40</v>
      </c>
      <c r="E6">
        <f>order[[#This Row],[Quantity]]*order[[#This Row],[Price]]</f>
        <v>6920</v>
      </c>
      <c r="F6">
        <f>order[[#This Row],[Quantity]]*IF(order[[#This Row],[Type]],MP-order[[#This Row],[Price]],order[[#This Row],[Price]]-MP)</f>
        <v>-225.33423392016678</v>
      </c>
      <c r="I6" t="s">
        <v>12</v>
      </c>
      <c r="J6">
        <f>_xlfn.MAXIFS(order[Price],order[Type],1)</f>
        <v>35</v>
      </c>
    </row>
    <row r="7" spans="1:19" x14ac:dyDescent="0.25">
      <c r="A7">
        <v>13</v>
      </c>
      <c r="B7">
        <v>0</v>
      </c>
      <c r="C7">
        <v>394</v>
      </c>
      <c r="D7">
        <v>72</v>
      </c>
      <c r="E7">
        <f>order[[#This Row],[Quantity]]*order[[#This Row],[Price]]</f>
        <v>28368</v>
      </c>
      <c r="F7">
        <f>order[[#This Row],[Quantity]]*IF(order[[#This Row],[Type]],MP-order[[#This Row],[Price]],order[[#This Row],[Price]]-MP)</f>
        <v>12094.811051071991</v>
      </c>
      <c r="I7" t="s">
        <v>13</v>
      </c>
      <c r="J7">
        <f>_xlfn.MINIFS(order[Price],order[Type],1)</f>
        <v>10</v>
      </c>
    </row>
    <row r="8" spans="1:19" x14ac:dyDescent="0.25">
      <c r="A8">
        <v>14</v>
      </c>
      <c r="B8">
        <v>0</v>
      </c>
      <c r="C8">
        <v>37</v>
      </c>
      <c r="D8">
        <v>32</v>
      </c>
      <c r="E8">
        <f>order[[#This Row],[Quantity]]*order[[#This Row],[Price]]</f>
        <v>1184</v>
      </c>
      <c r="F8">
        <f>order[[#This Row],[Quantity]]*IF(order[[#This Row],[Type]],MP-order[[#This Row],[Price]],order[[#This Row],[Price]]-MP)</f>
        <v>-344.19287083841715</v>
      </c>
      <c r="I8" t="s">
        <v>14</v>
      </c>
      <c r="J8">
        <f>_xlfn.MAXIFS(order[Price],order[Type],0)</f>
        <v>75</v>
      </c>
    </row>
    <row r="9" spans="1:19" x14ac:dyDescent="0.25">
      <c r="A9">
        <v>15</v>
      </c>
      <c r="B9">
        <v>0</v>
      </c>
      <c r="C9">
        <v>84</v>
      </c>
      <c r="D9">
        <v>35</v>
      </c>
      <c r="E9">
        <f>order[[#This Row],[Quantity]]*order[[#This Row],[Price]]</f>
        <v>2940</v>
      </c>
      <c r="F9">
        <f>order[[#This Row],[Quantity]]*IF(order[[#This Row],[Type]],MP-order[[#This Row],[Price]],order[[#This Row],[Price]]-MP)</f>
        <v>-529.41084190343361</v>
      </c>
      <c r="I9" t="s">
        <v>15</v>
      </c>
      <c r="J9">
        <f>_xlfn.MINIFS(order[Price],order[Type],0)</f>
        <v>32</v>
      </c>
    </row>
    <row r="10" spans="1:19" x14ac:dyDescent="0.25">
      <c r="A10">
        <v>17</v>
      </c>
      <c r="B10">
        <v>0</v>
      </c>
      <c r="C10">
        <v>202</v>
      </c>
      <c r="D10">
        <v>39</v>
      </c>
      <c r="E10">
        <f>order[[#This Row],[Quantity]]*order[[#This Row],[Price]]</f>
        <v>7878</v>
      </c>
      <c r="F10">
        <f>order[[#This Row],[Quantity]]*IF(order[[#This Row],[Type]],MP-order[[#This Row],[Price]],order[[#This Row],[Price]]-MP)</f>
        <v>-465.10702457730457</v>
      </c>
    </row>
    <row r="11" spans="1:19" x14ac:dyDescent="0.25">
      <c r="A11">
        <v>19</v>
      </c>
      <c r="B11">
        <v>0</v>
      </c>
      <c r="C11">
        <v>888</v>
      </c>
      <c r="D11">
        <v>33</v>
      </c>
      <c r="E11">
        <f>order[[#This Row],[Quantity]]*order[[#This Row],[Price]]</f>
        <v>29304</v>
      </c>
      <c r="F11">
        <f>order[[#This Row],[Quantity]]*IF(order[[#This Row],[Type]],MP-order[[#This Row],[Price]],order[[#This Row],[Price]]-MP)</f>
        <v>-7372.6289001220121</v>
      </c>
    </row>
    <row r="12" spans="1:19" x14ac:dyDescent="0.25">
      <c r="A12">
        <v>21</v>
      </c>
      <c r="B12">
        <v>0</v>
      </c>
      <c r="C12">
        <v>49</v>
      </c>
      <c r="D12">
        <v>62</v>
      </c>
      <c r="E12">
        <f>order[[#This Row],[Quantity]]*order[[#This Row],[Price]]</f>
        <v>3038</v>
      </c>
      <c r="F12">
        <f>order[[#This Row],[Quantity]]*IF(order[[#This Row],[Type]],MP-order[[#This Row],[Price]],order[[#This Row],[Price]]-MP)</f>
        <v>1014.1770088896637</v>
      </c>
      <c r="I12" t="s">
        <v>17</v>
      </c>
      <c r="J12">
        <f>(J6+J8+J7+J9)/4</f>
        <v>38</v>
      </c>
      <c r="K12" t="s">
        <v>25</v>
      </c>
    </row>
    <row r="13" spans="1:19" x14ac:dyDescent="0.25">
      <c r="A13">
        <v>22</v>
      </c>
      <c r="B13">
        <v>0</v>
      </c>
      <c r="C13">
        <v>640</v>
      </c>
      <c r="D13">
        <v>54</v>
      </c>
      <c r="E13">
        <f>order[[#This Row],[Quantity]]*order[[#This Row],[Price]]</f>
        <v>34560</v>
      </c>
      <c r="F13">
        <f>order[[#This Row],[Quantity]]*IF(order[[#This Row],[Type]],MP-order[[#This Row],[Price]],order[[#This Row],[Price]]-MP)</f>
        <v>8126.3935854976489</v>
      </c>
      <c r="I13" t="s">
        <v>18</v>
      </c>
      <c r="J13">
        <f>(MIN(J6,J8)+MAX(J7,J9))/2</f>
        <v>33.5</v>
      </c>
      <c r="K13" t="s">
        <v>26</v>
      </c>
    </row>
    <row r="14" spans="1:19" x14ac:dyDescent="0.25">
      <c r="A14">
        <v>24</v>
      </c>
      <c r="B14">
        <v>0</v>
      </c>
      <c r="C14">
        <v>107</v>
      </c>
      <c r="D14">
        <v>39</v>
      </c>
      <c r="E14">
        <f>order[[#This Row],[Quantity]]*order[[#This Row],[Price]]</f>
        <v>4173</v>
      </c>
      <c r="F14">
        <f>order[[#This Row],[Quantity]]*IF(order[[#This Row],[Type]],MP-order[[#This Row],[Price]],order[[#This Row],[Price]]-MP)</f>
        <v>-246.36857242461181</v>
      </c>
      <c r="I14" t="s">
        <v>22</v>
      </c>
      <c r="J14">
        <f>(MAX(J6,J8)+MIN(J7,J9))/2</f>
        <v>42.5</v>
      </c>
      <c r="K14" t="s">
        <v>24</v>
      </c>
    </row>
    <row r="15" spans="1:19" x14ac:dyDescent="0.25">
      <c r="A15">
        <v>1</v>
      </c>
      <c r="B15">
        <v>1</v>
      </c>
      <c r="C15">
        <v>454</v>
      </c>
      <c r="D15">
        <v>28</v>
      </c>
      <c r="E15">
        <f>order[[#This Row],[Quantity]]*order[[#This Row],[Price]]</f>
        <v>12712</v>
      </c>
      <c r="F15">
        <f>order[[#This Row],[Quantity]]*IF(order[[#This Row],[Type]],MP-order[[#This Row],[Price]],order[[#This Row],[Price]]-MP)</f>
        <v>6039.3395502876056</v>
      </c>
    </row>
    <row r="16" spans="1:19" x14ac:dyDescent="0.25">
      <c r="A16">
        <v>2</v>
      </c>
      <c r="B16">
        <v>1</v>
      </c>
      <c r="C16">
        <v>625</v>
      </c>
      <c r="D16">
        <v>24</v>
      </c>
      <c r="E16">
        <f>order[[#This Row],[Quantity]]*order[[#This Row],[Price]]</f>
        <v>15000</v>
      </c>
      <c r="F16">
        <f>order[[#This Row],[Quantity]]*IF(order[[#This Row],[Type]],MP-order[[#This Row],[Price]],order[[#This Row],[Price]]-MP)</f>
        <v>10814.068764162452</v>
      </c>
      <c r="I16" t="s">
        <v>36</v>
      </c>
      <c r="J16">
        <f>Qc-Qp</f>
        <v>-296</v>
      </c>
    </row>
    <row r="17" spans="1:11" x14ac:dyDescent="0.25">
      <c r="A17">
        <v>3</v>
      </c>
      <c r="B17">
        <v>1</v>
      </c>
      <c r="C17">
        <v>489</v>
      </c>
      <c r="D17">
        <v>19</v>
      </c>
      <c r="E17">
        <f>order[[#This Row],[Quantity]]*order[[#This Row],[Price]]</f>
        <v>9291</v>
      </c>
      <c r="F17">
        <f>order[[#This Row],[Quantity]]*IF(order[[#This Row],[Type]],MP-order[[#This Row],[Price]],order[[#This Row],[Price]]-MP)</f>
        <v>10905.927401080702</v>
      </c>
      <c r="I17" t="s">
        <v>29</v>
      </c>
    </row>
    <row r="18" spans="1:11" x14ac:dyDescent="0.25">
      <c r="A18">
        <v>5</v>
      </c>
      <c r="B18">
        <v>1</v>
      </c>
      <c r="C18" s="5">
        <v>125</v>
      </c>
      <c r="D18">
        <v>10</v>
      </c>
      <c r="E18">
        <f>order[[#This Row],[Quantity]]*order[[#This Row],[Price]]</f>
        <v>1250</v>
      </c>
      <c r="F18">
        <f>order[[#This Row],[Quantity]]*IF(order[[#This Row],[Type]],MP-order[[#This Row],[Price]],order[[#This Row],[Price]]-MP)</f>
        <v>3912.8137528324905</v>
      </c>
      <c r="I18" t="s">
        <v>30</v>
      </c>
      <c r="J18">
        <f>SUMIF(order[off],"Y",order[Quantity])</f>
        <v>296</v>
      </c>
    </row>
    <row r="19" spans="1:11" x14ac:dyDescent="0.25">
      <c r="A19">
        <v>9</v>
      </c>
      <c r="B19">
        <v>1</v>
      </c>
      <c r="C19">
        <v>461</v>
      </c>
      <c r="D19">
        <v>19</v>
      </c>
      <c r="E19">
        <f>order[[#This Row],[Quantity]]*order[[#This Row],[Price]]</f>
        <v>8759</v>
      </c>
      <c r="F19">
        <f>order[[#This Row],[Quantity]]*IF(order[[#This Row],[Type]],MP-order[[#This Row],[Price]],order[[#This Row],[Price]]-MP)</f>
        <v>10281.457120446225</v>
      </c>
      <c r="I19" t="s">
        <v>31</v>
      </c>
      <c r="J19">
        <f>SUMIF(order[off],"Y",order[Volume])</f>
        <v>2960</v>
      </c>
    </row>
    <row r="20" spans="1:11" x14ac:dyDescent="0.25">
      <c r="A20">
        <v>10</v>
      </c>
      <c r="B20">
        <v>1</v>
      </c>
      <c r="C20">
        <v>757</v>
      </c>
      <c r="D20">
        <v>33</v>
      </c>
      <c r="E20">
        <f>order[[#This Row],[Quantity]]*order[[#This Row],[Price]]</f>
        <v>24981</v>
      </c>
      <c r="F20">
        <f>order[[#This Row],[Quantity]]*IF(order[[#This Row],[Type]],MP-order[[#This Row],[Price]],order[[#This Row],[Price]]-MP)</f>
        <v>6285.0000871535622</v>
      </c>
    </row>
    <row r="21" spans="1:11" x14ac:dyDescent="0.25">
      <c r="A21">
        <v>12</v>
      </c>
      <c r="B21">
        <v>1</v>
      </c>
      <c r="C21">
        <v>365</v>
      </c>
      <c r="D21">
        <v>35</v>
      </c>
      <c r="E21">
        <f>order[[#This Row],[Quantity]]*order[[#This Row],[Price]]</f>
        <v>12775</v>
      </c>
      <c r="F21">
        <f>order[[#This Row],[Quantity]]*IF(order[[#This Row],[Type]],MP-order[[#This Row],[Price]],order[[#This Row],[Price]]-MP)</f>
        <v>2300.4161582708721</v>
      </c>
      <c r="I21" t="s">
        <v>35</v>
      </c>
    </row>
    <row r="22" spans="1:11" x14ac:dyDescent="0.25">
      <c r="A22">
        <v>16</v>
      </c>
      <c r="B22">
        <v>1</v>
      </c>
      <c r="C22">
        <v>508</v>
      </c>
      <c r="D22">
        <v>34</v>
      </c>
      <c r="E22">
        <f>order[[#This Row],[Quantity]]*order[[#This Row],[Price]]</f>
        <v>17272</v>
      </c>
      <c r="F22">
        <f>order[[#This Row],[Quantity]]*IF(order[[#This Row],[Type]],MP-order[[#This Row],[Price]],order[[#This Row],[Price]]-MP)</f>
        <v>3709.6750915112411</v>
      </c>
      <c r="I22" t="s">
        <v>30</v>
      </c>
      <c r="J22">
        <f>SUMIF(order[off],"&lt;&gt;Y",order[Quantity])</f>
        <v>11474</v>
      </c>
    </row>
    <row r="23" spans="1:11" x14ac:dyDescent="0.25">
      <c r="A23">
        <v>18</v>
      </c>
      <c r="B23">
        <v>1</v>
      </c>
      <c r="C23">
        <v>175</v>
      </c>
      <c r="D23">
        <v>29</v>
      </c>
      <c r="E23">
        <f>order[[#This Row],[Quantity]]*order[[#This Row],[Price]]</f>
        <v>5075</v>
      </c>
      <c r="F23">
        <f>order[[#This Row],[Quantity]]*IF(order[[#This Row],[Type]],MP-order[[#This Row],[Price]],order[[#This Row],[Price]]-MP)</f>
        <v>2152.9392539654868</v>
      </c>
      <c r="I23" t="s">
        <v>31</v>
      </c>
      <c r="J23">
        <f>SUMIF(order[off],"&lt;&gt;Y",order[Volume])</f>
        <v>473905</v>
      </c>
    </row>
    <row r="24" spans="1:11" x14ac:dyDescent="0.25">
      <c r="A24">
        <v>20</v>
      </c>
      <c r="B24">
        <v>1</v>
      </c>
      <c r="C24">
        <v>605</v>
      </c>
      <c r="D24">
        <v>15</v>
      </c>
      <c r="E24">
        <f>order[[#This Row],[Quantity]]*order[[#This Row],[Price]]</f>
        <v>9075</v>
      </c>
      <c r="F24">
        <f>order[[#This Row],[Quantity]]*IF(order[[#This Row],[Type]],MP-order[[#This Row],[Price]],order[[#This Row],[Price]]-MP)</f>
        <v>15913.018563709255</v>
      </c>
      <c r="I24" t="s">
        <v>16</v>
      </c>
      <c r="J24" s="3">
        <f>J23/(J22)</f>
        <v>41.302510022659924</v>
      </c>
      <c r="K24" t="s">
        <v>28</v>
      </c>
    </row>
    <row r="25" spans="1:11" x14ac:dyDescent="0.25">
      <c r="A25">
        <v>23</v>
      </c>
      <c r="B25">
        <v>1</v>
      </c>
      <c r="C25">
        <v>212</v>
      </c>
      <c r="D25">
        <v>28</v>
      </c>
      <c r="E25">
        <f>order[[#This Row],[Quantity]]*order[[#This Row],[Price]]</f>
        <v>5936</v>
      </c>
      <c r="F25">
        <f>order[[#This Row],[Quantity]]*IF(order[[#This Row],[Type]],MP-order[[#This Row],[Price]],order[[#This Row],[Price]]-MP)</f>
        <v>2820.1321248039039</v>
      </c>
    </row>
    <row r="26" spans="1:11" x14ac:dyDescent="0.25">
      <c r="A26">
        <v>25</v>
      </c>
      <c r="B26">
        <v>1</v>
      </c>
      <c r="C26">
        <v>961</v>
      </c>
      <c r="D26">
        <v>28</v>
      </c>
      <c r="E26">
        <f>order[[#This Row],[Quantity]]*order[[#This Row],[Price]]</f>
        <v>26908</v>
      </c>
      <c r="F26">
        <f>order[[#This Row],[Quantity]]*IF(order[[#This Row],[Type]],MP-order[[#This Row],[Price]],order[[#This Row],[Price]]-MP)</f>
        <v>12783.712131776187</v>
      </c>
    </row>
    <row r="27" spans="1:11" x14ac:dyDescent="0.25">
      <c r="B27">
        <v>1</v>
      </c>
      <c r="C27" s="5">
        <v>296</v>
      </c>
      <c r="D27">
        <v>10</v>
      </c>
      <c r="E27">
        <f>order[[#This Row],[Quantity]]*order[[#This Row],[Price]]</f>
        <v>2960</v>
      </c>
      <c r="F27">
        <f>order[[#This Row],[Quantity]]*IF(order[[#This Row],[Type]],MP-order[[#This Row],[Price]],order[[#This Row],[Price]]-MP)</f>
        <v>9265.5429667073367</v>
      </c>
      <c r="G27" t="s">
        <v>34</v>
      </c>
    </row>
    <row r="28" spans="1:11" x14ac:dyDescent="0.25">
      <c r="I28" t="s">
        <v>37</v>
      </c>
    </row>
    <row r="29" spans="1:11" x14ac:dyDescent="0.25">
      <c r="I29" t="s">
        <v>38</v>
      </c>
      <c r="J29">
        <v>5737</v>
      </c>
    </row>
    <row r="30" spans="1:11" x14ac:dyDescent="0.25">
      <c r="I30" t="s">
        <v>32</v>
      </c>
      <c r="J30">
        <v>324871</v>
      </c>
    </row>
    <row r="31" spans="1:11" x14ac:dyDescent="0.25">
      <c r="I31" t="s">
        <v>39</v>
      </c>
      <c r="J31">
        <v>207713.2819</v>
      </c>
    </row>
    <row r="32" spans="1:11" x14ac:dyDescent="0.25">
      <c r="C32">
        <f>C18+C27</f>
        <v>421</v>
      </c>
      <c r="I32" t="s">
        <v>40</v>
      </c>
    </row>
    <row r="33" spans="3:9" x14ac:dyDescent="0.25">
      <c r="C33">
        <f>C32+J16</f>
        <v>125</v>
      </c>
      <c r="I33" t="s">
        <v>38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4D1B-00BD-4E12-B818-D16B0965CD00}">
  <dimension ref="A1:D26"/>
  <sheetViews>
    <sheetView workbookViewId="0">
      <selection activeCell="G29" sqref="G29"/>
    </sheetView>
  </sheetViews>
  <sheetFormatPr defaultRowHeight="15" x14ac:dyDescent="0.25"/>
  <cols>
    <col min="1" max="1" width="5.140625" bestFit="1" customWidth="1"/>
    <col min="2" max="2" width="7.5703125" bestFit="1" customWidth="1"/>
    <col min="3" max="3" width="11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454</v>
      </c>
      <c r="D2">
        <v>28</v>
      </c>
    </row>
    <row r="3" spans="1:4" x14ac:dyDescent="0.25">
      <c r="A3">
        <v>2</v>
      </c>
      <c r="B3">
        <v>1</v>
      </c>
      <c r="C3">
        <v>625</v>
      </c>
      <c r="D3">
        <v>24</v>
      </c>
    </row>
    <row r="4" spans="1:4" x14ac:dyDescent="0.25">
      <c r="A4">
        <v>3</v>
      </c>
      <c r="B4">
        <v>1</v>
      </c>
      <c r="C4">
        <v>489</v>
      </c>
      <c r="D4">
        <v>19</v>
      </c>
    </row>
    <row r="5" spans="1:4" x14ac:dyDescent="0.25">
      <c r="A5">
        <v>4</v>
      </c>
      <c r="B5">
        <v>0</v>
      </c>
      <c r="C5">
        <v>801</v>
      </c>
      <c r="D5">
        <v>75</v>
      </c>
    </row>
    <row r="6" spans="1:4" x14ac:dyDescent="0.25">
      <c r="A6">
        <v>5</v>
      </c>
      <c r="B6">
        <v>1</v>
      </c>
      <c r="C6">
        <v>421</v>
      </c>
      <c r="D6">
        <v>10</v>
      </c>
    </row>
    <row r="7" spans="1:4" x14ac:dyDescent="0.25">
      <c r="A7">
        <v>6</v>
      </c>
      <c r="B7">
        <v>0</v>
      </c>
      <c r="C7">
        <v>708</v>
      </c>
      <c r="D7">
        <v>56</v>
      </c>
    </row>
    <row r="8" spans="1:4" x14ac:dyDescent="0.25">
      <c r="A8">
        <v>7</v>
      </c>
      <c r="B8">
        <v>0</v>
      </c>
      <c r="C8">
        <v>807</v>
      </c>
      <c r="D8">
        <v>62</v>
      </c>
    </row>
    <row r="9" spans="1:4" x14ac:dyDescent="0.25">
      <c r="A9">
        <v>8</v>
      </c>
      <c r="B9">
        <v>0</v>
      </c>
      <c r="C9">
        <v>847</v>
      </c>
      <c r="D9">
        <v>67</v>
      </c>
    </row>
    <row r="10" spans="1:4" x14ac:dyDescent="0.25">
      <c r="A10">
        <v>9</v>
      </c>
      <c r="B10">
        <v>1</v>
      </c>
      <c r="C10">
        <v>461</v>
      </c>
      <c r="D10">
        <v>19</v>
      </c>
    </row>
    <row r="11" spans="1:4" x14ac:dyDescent="0.25">
      <c r="A11">
        <v>10</v>
      </c>
      <c r="B11">
        <v>1</v>
      </c>
      <c r="C11">
        <v>757</v>
      </c>
      <c r="D11">
        <v>33</v>
      </c>
    </row>
    <row r="12" spans="1:4" x14ac:dyDescent="0.25">
      <c r="A12">
        <v>11</v>
      </c>
      <c r="B12">
        <v>0</v>
      </c>
      <c r="C12">
        <v>173</v>
      </c>
      <c r="D12">
        <v>40</v>
      </c>
    </row>
    <row r="13" spans="1:4" x14ac:dyDescent="0.25">
      <c r="A13">
        <v>12</v>
      </c>
      <c r="B13">
        <v>1</v>
      </c>
      <c r="C13">
        <v>365</v>
      </c>
      <c r="D13">
        <v>35</v>
      </c>
    </row>
    <row r="14" spans="1:4" x14ac:dyDescent="0.25">
      <c r="A14">
        <v>13</v>
      </c>
      <c r="B14">
        <v>0</v>
      </c>
      <c r="C14">
        <v>394</v>
      </c>
      <c r="D14">
        <v>72</v>
      </c>
    </row>
    <row r="15" spans="1:4" x14ac:dyDescent="0.25">
      <c r="A15">
        <v>14</v>
      </c>
      <c r="B15">
        <v>0</v>
      </c>
      <c r="C15">
        <v>37</v>
      </c>
      <c r="D15">
        <v>32</v>
      </c>
    </row>
    <row r="16" spans="1:4" x14ac:dyDescent="0.25">
      <c r="A16">
        <v>15</v>
      </c>
      <c r="B16">
        <v>0</v>
      </c>
      <c r="C16">
        <v>84</v>
      </c>
      <c r="D16">
        <v>35</v>
      </c>
    </row>
    <row r="17" spans="1:4" x14ac:dyDescent="0.25">
      <c r="A17">
        <v>16</v>
      </c>
      <c r="B17">
        <v>1</v>
      </c>
      <c r="C17">
        <v>508</v>
      </c>
      <c r="D17">
        <v>34</v>
      </c>
    </row>
    <row r="18" spans="1:4" x14ac:dyDescent="0.25">
      <c r="A18">
        <v>17</v>
      </c>
      <c r="B18">
        <v>0</v>
      </c>
      <c r="C18">
        <v>202</v>
      </c>
      <c r="D18">
        <v>39</v>
      </c>
    </row>
    <row r="19" spans="1:4" x14ac:dyDescent="0.25">
      <c r="A19">
        <v>18</v>
      </c>
      <c r="B19">
        <v>1</v>
      </c>
      <c r="C19">
        <v>175</v>
      </c>
      <c r="D19">
        <v>29</v>
      </c>
    </row>
    <row r="20" spans="1:4" x14ac:dyDescent="0.25">
      <c r="A20">
        <v>19</v>
      </c>
      <c r="B20">
        <v>0</v>
      </c>
      <c r="C20">
        <v>888</v>
      </c>
      <c r="D20">
        <v>33</v>
      </c>
    </row>
    <row r="21" spans="1:4" x14ac:dyDescent="0.25">
      <c r="A21">
        <v>20</v>
      </c>
      <c r="B21">
        <v>1</v>
      </c>
      <c r="C21">
        <v>605</v>
      </c>
      <c r="D21">
        <v>15</v>
      </c>
    </row>
    <row r="22" spans="1:4" x14ac:dyDescent="0.25">
      <c r="A22">
        <v>21</v>
      </c>
      <c r="B22">
        <v>0</v>
      </c>
      <c r="C22">
        <v>49</v>
      </c>
      <c r="D22">
        <v>62</v>
      </c>
    </row>
    <row r="23" spans="1:4" x14ac:dyDescent="0.25">
      <c r="A23">
        <v>22</v>
      </c>
      <c r="B23">
        <v>0</v>
      </c>
      <c r="C23">
        <v>640</v>
      </c>
      <c r="D23">
        <v>54</v>
      </c>
    </row>
    <row r="24" spans="1:4" x14ac:dyDescent="0.25">
      <c r="A24">
        <v>23</v>
      </c>
      <c r="B24">
        <v>1</v>
      </c>
      <c r="C24">
        <v>212</v>
      </c>
      <c r="D24">
        <v>28</v>
      </c>
    </row>
    <row r="25" spans="1:4" x14ac:dyDescent="0.25">
      <c r="A25">
        <v>24</v>
      </c>
      <c r="B25">
        <v>0</v>
      </c>
      <c r="C25">
        <v>107</v>
      </c>
      <c r="D25">
        <v>39</v>
      </c>
    </row>
    <row r="26" spans="1:4" x14ac:dyDescent="0.25">
      <c r="A26">
        <v>25</v>
      </c>
      <c r="B26">
        <v>1</v>
      </c>
      <c r="C26">
        <v>961</v>
      </c>
      <c r="D26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54E542-4E89-4B6F-A314-8DF6F95B12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test1</vt:lpstr>
      <vt:lpstr>test-50</vt:lpstr>
      <vt:lpstr>ME</vt:lpstr>
      <vt:lpstr>MP</vt:lpstr>
      <vt:lpstr>Qc</vt:lpstr>
      <vt:lpstr>Qp</vt:lpstr>
      <vt:lpstr>Vc</vt:lpstr>
      <vt:lpstr>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Pantoja</dc:creator>
  <cp:lastModifiedBy>Antonio Pantoja</cp:lastModifiedBy>
  <dcterms:created xsi:type="dcterms:W3CDTF">2015-06-05T18:17:20Z</dcterms:created>
  <dcterms:modified xsi:type="dcterms:W3CDTF">2023-08-19T16:14:16Z</dcterms:modified>
</cp:coreProperties>
</file>