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lafkym\Desktop\USPAS June 2022\Homework\"/>
    </mc:Choice>
  </mc:AlternateContent>
  <xr:revisionPtr revIDLastSave="0" documentId="13_ncr:1_{04A5A7A0-D69C-444E-981B-B5B33EC1543C}" xr6:coauthVersionLast="47" xr6:coauthVersionMax="47" xr10:uidLastSave="{00000000-0000-0000-0000-000000000000}"/>
  <bookViews>
    <workbookView xWindow="-120" yWindow="-120" windowWidth="29040" windowHeight="15840" activeTab="1" xr2:uid="{00000000-000D-0000-FFFF-FFFF00000000}"/>
  </bookViews>
  <sheets>
    <sheet name="HW3.3" sheetId="1" r:id="rId1"/>
    <sheet name="HW3.4"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6" i="2" l="1"/>
  <c r="C92" i="2"/>
  <c r="C91" i="2"/>
  <c r="B16" i="2"/>
  <c r="C63" i="2"/>
  <c r="B10" i="1"/>
  <c r="K5" i="1"/>
  <c r="B4" i="1"/>
  <c r="D16" i="1"/>
  <c r="D13" i="1" s="1"/>
  <c r="D14" i="1" s="1"/>
  <c r="B5" i="2"/>
  <c r="K9" i="2"/>
  <c r="K8" i="2"/>
  <c r="H10" i="1"/>
  <c r="H5" i="1"/>
  <c r="K7" i="2"/>
  <c r="K6" i="2"/>
  <c r="C29" i="2"/>
  <c r="B15" i="2"/>
  <c r="I14" i="1"/>
  <c r="I18" i="1"/>
  <c r="I15" i="1"/>
  <c r="I19" i="1" s="1"/>
  <c r="I10" i="1"/>
  <c r="I5" i="1"/>
  <c r="B17" i="2"/>
  <c r="C30" i="2" s="1"/>
  <c r="K5" i="2"/>
  <c r="B18" i="2" s="1"/>
  <c r="B11" i="2"/>
  <c r="B10" i="2"/>
  <c r="G10" i="1"/>
  <c r="H18" i="1"/>
  <c r="G18" i="1"/>
  <c r="F18" i="1"/>
  <c r="C18" i="1"/>
  <c r="B18" i="1"/>
  <c r="H4" i="1"/>
  <c r="F4" i="1"/>
  <c r="E4" i="1"/>
  <c r="E18" i="1" s="1"/>
  <c r="D4" i="1"/>
  <c r="D18" i="1" s="1"/>
  <c r="C4" i="1"/>
  <c r="G5" i="1"/>
  <c r="F5" i="1"/>
  <c r="E5" i="1"/>
  <c r="D5" i="1"/>
  <c r="C5" i="1"/>
  <c r="B5" i="1"/>
  <c r="F10" i="1"/>
  <c r="E10" i="1"/>
  <c r="D10" i="1"/>
  <c r="C10" i="1"/>
  <c r="H15" i="1"/>
  <c r="H19" i="1" s="1"/>
  <c r="G15" i="1"/>
  <c r="G19" i="1" s="1"/>
  <c r="F15" i="1"/>
  <c r="F19" i="1" s="1"/>
  <c r="E15" i="1"/>
  <c r="E19" i="1" s="1"/>
  <c r="D15" i="1"/>
  <c r="D19" i="1" s="1"/>
  <c r="C15" i="1"/>
  <c r="C19" i="1" s="1"/>
  <c r="B15" i="1"/>
  <c r="B19" i="1" s="1"/>
  <c r="B24" i="2" l="1"/>
  <c r="C64" i="2"/>
  <c r="C53" i="2"/>
  <c r="I16" i="1"/>
  <c r="C31" i="2"/>
  <c r="C33" i="2" s="1"/>
  <c r="C54" i="2" s="1"/>
  <c r="C65" i="2" s="1"/>
  <c r="B19" i="2"/>
  <c r="B12" i="2"/>
  <c r="D20" i="1"/>
  <c r="D22" i="1" s="1"/>
  <c r="C16" i="1"/>
  <c r="F16" i="1"/>
  <c r="E16" i="1"/>
  <c r="G16" i="1"/>
  <c r="H16" i="1"/>
  <c r="B16" i="1"/>
  <c r="B13" i="1" s="1"/>
  <c r="B14" i="1" s="1"/>
  <c r="C44" i="2" l="1"/>
  <c r="C69" i="2"/>
  <c r="C42" i="2"/>
  <c r="C43" i="2" s="1"/>
  <c r="B14" i="2"/>
  <c r="C55" i="2"/>
  <c r="D80" i="2" s="1"/>
  <c r="F13" i="1"/>
  <c r="F14" i="1" s="1"/>
  <c r="F20" i="1" s="1"/>
  <c r="F22" i="1" s="1"/>
  <c r="G13" i="1"/>
  <c r="G14" i="1" s="1"/>
  <c r="G20" i="1" s="1"/>
  <c r="G22" i="1" s="1"/>
  <c r="C13" i="1"/>
  <c r="C14" i="1" s="1"/>
  <c r="C20" i="1" s="1"/>
  <c r="C22" i="1" s="1"/>
  <c r="H13" i="1"/>
  <c r="H14" i="1" s="1"/>
  <c r="H20" i="1" s="1"/>
  <c r="H22" i="1" s="1"/>
  <c r="E13" i="1"/>
  <c r="E14" i="1" s="1"/>
  <c r="E20" i="1" s="1"/>
  <c r="E22" i="1" s="1"/>
  <c r="I20" i="1"/>
  <c r="I22" i="1" s="1"/>
  <c r="I13" i="1"/>
  <c r="B20" i="1"/>
  <c r="B22" i="1" s="1"/>
  <c r="C38" i="2"/>
  <c r="C49" i="2"/>
  <c r="C24" i="2"/>
  <c r="C80" i="2" l="1"/>
  <c r="C82" i="2"/>
  <c r="C45" i="2"/>
  <c r="C59" i="2"/>
  <c r="C61" i="2"/>
  <c r="C62" i="2" s="1"/>
  <c r="C67" i="2" s="1"/>
  <c r="C56" i="2"/>
  <c r="C83" i="2" l="1"/>
  <c r="C81" i="2"/>
  <c r="D92" i="2" s="1"/>
  <c r="C68" i="2"/>
  <c r="C70" i="2" s="1"/>
  <c r="C71" i="2" s="1"/>
  <c r="D91" i="2" l="1"/>
  <c r="C84" i="2"/>
  <c r="C85" i="2" s="1"/>
  <c r="C75" i="2"/>
</calcChain>
</file>

<file path=xl/sharedStrings.xml><?xml version="1.0" encoding="utf-8"?>
<sst xmlns="http://schemas.openxmlformats.org/spreadsheetml/2006/main" count="150" uniqueCount="115">
  <si>
    <t>Parameters</t>
  </si>
  <si>
    <t>UCLA/LANL</t>
  </si>
  <si>
    <t>VISA</t>
  </si>
  <si>
    <t>LEUTL</t>
  </si>
  <si>
    <t>TTF</t>
  </si>
  <si>
    <t>FERMI</t>
  </si>
  <si>
    <t>LCLS</t>
  </si>
  <si>
    <t>SACLA</t>
  </si>
  <si>
    <t>γmc^2 [GeV]</t>
  </si>
  <si>
    <t>K</t>
  </si>
  <si>
    <t>Lu</t>
  </si>
  <si>
    <r>
      <t>2πβ</t>
    </r>
    <r>
      <rPr>
        <sz val="8"/>
        <color theme="1"/>
        <rFont val="Calibri"/>
        <family val="2"/>
        <scheme val="minor"/>
      </rPr>
      <t>x</t>
    </r>
    <r>
      <rPr>
        <sz val="11"/>
        <color theme="1"/>
        <rFont val="Calibri"/>
        <family val="2"/>
        <scheme val="minor"/>
      </rPr>
      <t xml:space="preserve"> [m]</t>
    </r>
  </si>
  <si>
    <t>Constants</t>
  </si>
  <si>
    <t>pi</t>
  </si>
  <si>
    <t>c [m/s]</t>
  </si>
  <si>
    <r>
      <t>I</t>
    </r>
    <r>
      <rPr>
        <sz val="8"/>
        <color theme="1"/>
        <rFont val="Calibri"/>
        <family val="2"/>
        <scheme val="minor"/>
      </rPr>
      <t>A</t>
    </r>
    <r>
      <rPr>
        <sz val="11"/>
        <color theme="1"/>
        <rFont val="Calibri"/>
        <family val="2"/>
        <scheme val="minor"/>
      </rPr>
      <t xml:space="preserve"> [A]</t>
    </r>
  </si>
  <si>
    <t>Calculated parameters</t>
  </si>
  <si>
    <t>Term1</t>
  </si>
  <si>
    <t>Term2</t>
  </si>
  <si>
    <t>Term3</t>
  </si>
  <si>
    <t>γ</t>
  </si>
  <si>
    <t>m0 [Gev]</t>
  </si>
  <si>
    <t>ρ (eq 3.87)</t>
  </si>
  <si>
    <r>
      <t>σ</t>
    </r>
    <r>
      <rPr>
        <sz val="8"/>
        <color theme="2" tint="-0.499984740745262"/>
        <rFont val="Arial"/>
        <family val="2"/>
      </rPr>
      <t>γ</t>
    </r>
    <r>
      <rPr>
        <sz val="12"/>
        <color theme="2" tint="-0.499984740745262"/>
        <rFont val="Arial"/>
        <family val="2"/>
      </rPr>
      <t>/γ [%]</t>
    </r>
  </si>
  <si>
    <r>
      <t>σ</t>
    </r>
    <r>
      <rPr>
        <sz val="8"/>
        <color theme="1"/>
        <rFont val="Calibri"/>
        <family val="2"/>
        <scheme val="minor"/>
      </rPr>
      <t>x</t>
    </r>
    <r>
      <rPr>
        <sz val="11"/>
        <color theme="1"/>
        <rFont val="Calibri"/>
        <family val="2"/>
        <scheme val="minor"/>
      </rPr>
      <t xml:space="preserve"> [m]</t>
    </r>
  </si>
  <si>
    <r>
      <t>Ɛ</t>
    </r>
    <r>
      <rPr>
        <sz val="8"/>
        <color rgb="FF4D5156"/>
        <rFont val="Arial"/>
        <family val="2"/>
      </rPr>
      <t>x,n</t>
    </r>
    <r>
      <rPr>
        <sz val="11"/>
        <color rgb="FF4D5156"/>
        <rFont val="Arial"/>
        <family val="2"/>
      </rPr>
      <t xml:space="preserve"> [m]</t>
    </r>
  </si>
  <si>
    <t>I [A]</t>
  </si>
  <si>
    <r>
      <t>λ</t>
    </r>
    <r>
      <rPr>
        <sz val="8"/>
        <color theme="1"/>
        <rFont val="Calibri"/>
        <family val="2"/>
        <scheme val="minor"/>
      </rPr>
      <t>1</t>
    </r>
    <r>
      <rPr>
        <sz val="11"/>
        <color theme="1"/>
        <rFont val="Calibri"/>
        <family val="2"/>
        <scheme val="minor"/>
      </rPr>
      <t xml:space="preserve"> [m]</t>
    </r>
  </si>
  <si>
    <r>
      <t>λ</t>
    </r>
    <r>
      <rPr>
        <sz val="8"/>
        <color theme="2" tint="-0.499984740745262"/>
        <rFont val="Calibri"/>
        <family val="2"/>
        <scheme val="minor"/>
      </rPr>
      <t>u</t>
    </r>
    <r>
      <rPr>
        <sz val="11"/>
        <color theme="2" tint="-0.499984740745262"/>
        <rFont val="Calibri"/>
        <family val="2"/>
        <scheme val="minor"/>
      </rPr>
      <t>[cm]</t>
    </r>
  </si>
  <si>
    <t>Bunch Length (s)</t>
  </si>
  <si>
    <t>λ1\λu</t>
  </si>
  <si>
    <t>Answer:</t>
  </si>
  <si>
    <t>Resonance condition met!</t>
  </si>
  <si>
    <t>(1+K^2)/(2*γ^2)</t>
  </si>
  <si>
    <r>
      <t>σ</t>
    </r>
    <r>
      <rPr>
        <sz val="8"/>
        <color theme="1"/>
        <rFont val="Calibri"/>
        <family val="2"/>
        <scheme val="minor"/>
      </rPr>
      <t>x'</t>
    </r>
    <r>
      <rPr>
        <sz val="11"/>
        <color theme="1"/>
        <rFont val="Calibri"/>
        <family val="2"/>
        <scheme val="minor"/>
      </rPr>
      <t xml:space="preserve"> [rad]</t>
    </r>
  </si>
  <si>
    <t>Test</t>
  </si>
  <si>
    <t>ρ (eq 3.87) =</t>
  </si>
  <si>
    <t>Lsat = λu\ρ</t>
  </si>
  <si>
    <t>c) Calculate Saturation Length</t>
  </si>
  <si>
    <t>b) Calculate Pierce Parameter</t>
  </si>
  <si>
    <t>a) Verify resonance condition is met</t>
  </si>
  <si>
    <t>d) What is the saturated peak power of the SASE x-rays? How many photons/sec does this correspond to?</t>
  </si>
  <si>
    <t>Answer 1:</t>
  </si>
  <si>
    <t>Pbeam = (I/e)*γmc^2</t>
  </si>
  <si>
    <t>m0 [kg]</t>
  </si>
  <si>
    <t>e-</t>
  </si>
  <si>
    <t>Watts</t>
  </si>
  <si>
    <t>Psatt = Pbeam*ρ</t>
  </si>
  <si>
    <t xml:space="preserve">PhotonEnergy = </t>
  </si>
  <si>
    <t>h-bar(eV*s)</t>
  </si>
  <si>
    <t>ω</t>
  </si>
  <si>
    <t>h-bar(J*s)</t>
  </si>
  <si>
    <t>J</t>
  </si>
  <si>
    <t>Answer 2:</t>
  </si>
  <si>
    <t xml:space="preserve">N = </t>
  </si>
  <si>
    <t>Photons/Second</t>
  </si>
  <si>
    <t>Δω/ω ~ ρ (pg 101)</t>
  </si>
  <si>
    <t>f) What are the rms mode size and angle of the SASE x-rays?</t>
  </si>
  <si>
    <r>
      <t>ε</t>
    </r>
    <r>
      <rPr>
        <sz val="8"/>
        <color theme="1"/>
        <rFont val="Calibri"/>
        <family val="2"/>
        <scheme val="minor"/>
      </rPr>
      <t>r=</t>
    </r>
    <r>
      <rPr>
        <sz val="11"/>
        <color theme="1"/>
        <rFont val="Calibri"/>
        <family val="2"/>
        <scheme val="minor"/>
      </rPr>
      <t>λ/4*pi</t>
    </r>
  </si>
  <si>
    <t>m*rad</t>
  </si>
  <si>
    <r>
      <t>L</t>
    </r>
    <r>
      <rPr>
        <sz val="8"/>
        <color theme="1"/>
        <rFont val="Calibri"/>
        <family val="2"/>
        <scheme val="minor"/>
      </rPr>
      <t>G0</t>
    </r>
    <r>
      <rPr>
        <sz val="11"/>
        <color theme="1"/>
        <rFont val="Calibri"/>
        <family val="2"/>
        <scheme val="minor"/>
      </rPr>
      <t>=λu/(4*pi*sqrt(3)*ρ)</t>
    </r>
  </si>
  <si>
    <r>
      <t>σr = sqrt(εr*L</t>
    </r>
    <r>
      <rPr>
        <sz val="8"/>
        <color rgb="FF202124"/>
        <rFont val="Calibri Light"/>
        <family val="2"/>
        <scheme val="major"/>
      </rPr>
      <t>G0</t>
    </r>
    <r>
      <rPr>
        <sz val="11"/>
        <color rgb="FF202124"/>
        <rFont val="Calibri Light"/>
        <family val="2"/>
        <scheme val="major"/>
      </rPr>
      <t>)</t>
    </r>
  </si>
  <si>
    <t>σr' = εr/σr</t>
  </si>
  <si>
    <t>m</t>
  </si>
  <si>
    <t>rad</t>
  </si>
  <si>
    <t>Ɛx [m]</t>
  </si>
  <si>
    <t>Ɛx</t>
  </si>
  <si>
    <t>[JJ]</t>
  </si>
  <si>
    <t>Trans. Area = 2*2*pi*σr^2</t>
  </si>
  <si>
    <t>g) Compute the spontaneous undulator radiation within the SASE bandwidth in units of photons per sec.</t>
  </si>
  <si>
    <t>term 1</t>
  </si>
  <si>
    <t>term 2</t>
  </si>
  <si>
    <t>term 3</t>
  </si>
  <si>
    <t>term 4</t>
  </si>
  <si>
    <t>Joules</t>
  </si>
  <si>
    <t>Hz</t>
  </si>
  <si>
    <t xml:space="preserve">N Photons = </t>
  </si>
  <si>
    <r>
      <t>σ</t>
    </r>
    <r>
      <rPr>
        <sz val="8"/>
        <rFont val="Arial"/>
        <family val="2"/>
      </rPr>
      <t>γ</t>
    </r>
    <r>
      <rPr>
        <sz val="12"/>
        <rFont val="Arial"/>
        <family val="2"/>
      </rPr>
      <t>/γ [%]</t>
    </r>
  </si>
  <si>
    <r>
      <t>Ɛ</t>
    </r>
    <r>
      <rPr>
        <sz val="8"/>
        <rFont val="Arial"/>
        <family val="2"/>
      </rPr>
      <t>x,n</t>
    </r>
    <r>
      <rPr>
        <sz val="11"/>
        <rFont val="Arial"/>
        <family val="2"/>
      </rPr>
      <t xml:space="preserve"> [m]</t>
    </r>
  </si>
  <si>
    <r>
      <t>2πβ</t>
    </r>
    <r>
      <rPr>
        <sz val="8"/>
        <rFont val="Calibri"/>
        <family val="2"/>
        <scheme val="minor"/>
      </rPr>
      <t>x</t>
    </r>
    <r>
      <rPr>
        <sz val="11"/>
        <rFont val="Calibri"/>
        <family val="2"/>
        <scheme val="minor"/>
      </rPr>
      <t xml:space="preserve"> [m]</t>
    </r>
  </si>
  <si>
    <r>
      <t>λ</t>
    </r>
    <r>
      <rPr>
        <sz val="8"/>
        <rFont val="Calibri"/>
        <family val="2"/>
        <scheme val="minor"/>
      </rPr>
      <t>u</t>
    </r>
    <r>
      <rPr>
        <sz val="11"/>
        <rFont val="Calibri"/>
        <family val="2"/>
        <scheme val="minor"/>
      </rPr>
      <t>[m]</t>
    </r>
  </si>
  <si>
    <r>
      <t>λ</t>
    </r>
    <r>
      <rPr>
        <sz val="8"/>
        <rFont val="Calibri"/>
        <family val="2"/>
        <scheme val="minor"/>
      </rPr>
      <t>1</t>
    </r>
    <r>
      <rPr>
        <sz val="11"/>
        <rFont val="Calibri"/>
        <family val="2"/>
        <scheme val="minor"/>
      </rPr>
      <t xml:space="preserve"> [m]</t>
    </r>
  </si>
  <si>
    <t>Trans. Area = 2pi*(σr^2+σx^2)</t>
  </si>
  <si>
    <t>eq 3.49</t>
  </si>
  <si>
    <t>eq 3.50</t>
  </si>
  <si>
    <t>1-d Pwr spectrum eq 4.42 (energy)</t>
  </si>
  <si>
    <t>eq 4.43</t>
  </si>
  <si>
    <t xml:space="preserve">Spectral-Power (eq 4.43)*(spec-width)= </t>
  </si>
  <si>
    <t>h) What is the amplification factor as computed from the ratio of
the photon flux calculated in (d) and (g)? How does it compare
with the number of electrons in one coherence length?</t>
  </si>
  <si>
    <t>Amplification factor=</t>
  </si>
  <si>
    <t>e) What is the relative spectral bandwidth of the SASE x-rays?</t>
  </si>
  <si>
    <t>Spec-width (Δω~ω*ρ)</t>
  </si>
  <si>
    <t>i) Assuming that the SASE radiation is 100% transversely coherent,
what is the peak spectral brightness of the SASE x-ray beam in
units of # of photons/[sec(mm)2
(mrad)2
(0.1%BW)]?</t>
  </si>
  <si>
    <t xml:space="preserve">Answer 1: </t>
  </si>
  <si>
    <t xml:space="preserve">B (eq 2.107) = </t>
  </si>
  <si>
    <r>
      <t>Σ</t>
    </r>
    <r>
      <rPr>
        <sz val="8"/>
        <color rgb="FF4D5156"/>
        <rFont val="Arial"/>
        <family val="2"/>
      </rPr>
      <t>y</t>
    </r>
  </si>
  <si>
    <r>
      <t>Σ</t>
    </r>
    <r>
      <rPr>
        <sz val="8"/>
        <color rgb="FF4D5156"/>
        <rFont val="Arial"/>
        <family val="2"/>
      </rPr>
      <t>y</t>
    </r>
    <r>
      <rPr>
        <sz val="11"/>
        <color rgb="FF4D5156"/>
        <rFont val="Arial"/>
        <family val="2"/>
      </rPr>
      <t>'</t>
    </r>
  </si>
  <si>
    <r>
      <t>Σ</t>
    </r>
    <r>
      <rPr>
        <sz val="8"/>
        <color rgb="FF4D5156"/>
        <rFont val="Arial"/>
        <family val="2"/>
      </rPr>
      <t>x</t>
    </r>
    <r>
      <rPr>
        <sz val="11"/>
        <color rgb="FF4D5156"/>
        <rFont val="Arial"/>
        <family val="2"/>
      </rPr>
      <t>'</t>
    </r>
  </si>
  <si>
    <r>
      <t>Σ</t>
    </r>
    <r>
      <rPr>
        <sz val="8"/>
        <color rgb="FF4D5156"/>
        <rFont val="Arial"/>
        <family val="2"/>
      </rPr>
      <t>x</t>
    </r>
    <r>
      <rPr>
        <sz val="11"/>
        <color rgb="FF4D5156"/>
        <rFont val="Arial"/>
        <family val="2"/>
      </rPr>
      <t>=sqrt(σx^2+σr^2)</t>
    </r>
  </si>
  <si>
    <t>Assumes emit_x=emit_y</t>
  </si>
  <si>
    <t>photons * .1% BW / (sec * mm^2 mrad^2)</t>
  </si>
  <si>
    <t>photons * .1% BW / (sec*m^2*rad^2)</t>
  </si>
  <si>
    <t>j)  Explain the brightness enhancement of the SASE source as computed in (i) compared to the third generation light sources in terms of the different
factors (the amplification factor, the transverse phase space, and
the duration of the photon pulse).</t>
  </si>
  <si>
    <t>&lt;- Clearly too high but I don't know where my power calculation (g) went wrong.</t>
  </si>
  <si>
    <t>3rd Generation Synch</t>
  </si>
  <si>
    <t>FEL</t>
  </si>
  <si>
    <t>mm*mrad</t>
  </si>
  <si>
    <t>Σx*Σx'</t>
  </si>
  <si>
    <t>Σy*Σy'</t>
  </si>
  <si>
    <t>Bunch Length</t>
  </si>
  <si>
    <t>230 fs</t>
  </si>
  <si>
    <t>2 ns</t>
  </si>
  <si>
    <t>3rd Generation Synch (500 MhZ)</t>
  </si>
  <si>
    <t>Transverse phase space</t>
  </si>
  <si>
    <r>
      <t>Nlcoh (e1 3.112) = (I/(e*c))*(λ</t>
    </r>
    <r>
      <rPr>
        <sz val="8"/>
        <color theme="1"/>
        <rFont val="Calibri"/>
        <family val="2"/>
        <scheme val="minor"/>
      </rPr>
      <t>1</t>
    </r>
    <r>
      <rPr>
        <sz val="11"/>
        <color theme="1"/>
        <rFont val="Calibri"/>
        <family val="2"/>
        <scheme val="minor"/>
      </rPr>
      <t>/ρ)</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</si>
</sst>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E+00"/>
    <numFmt numFmtId="165" formatCode="0.000E+00"/>
  </numFmts>
  <fonts count="18" x14ac:knownFonts="1">
    <font>
      <sz val="11"/>
      <color theme="1"/>
      <name val="Calibri"/>
      <family val="2"/>
      <scheme val="minor"/>
    </font>
    <font>
      <b/>
      <sz val="11"/>
      <color theme="1"/>
      <name val="Calibri"/>
      <family val="2"/>
      <scheme val="minor"/>
    </font>
    <font>
      <b/>
      <sz val="11"/>
      <color rgb="FF202124"/>
      <name val="Arial"/>
      <family val="2"/>
    </font>
    <font>
      <sz val="11"/>
      <color rgb="FF4D5156"/>
      <name val="Arial"/>
      <family val="2"/>
    </font>
    <font>
      <sz val="8"/>
      <color rgb="FF4D5156"/>
      <name val="Arial"/>
      <family val="2"/>
    </font>
    <font>
      <sz val="8"/>
      <color theme="1"/>
      <name val="Calibri"/>
      <family val="2"/>
      <scheme val="minor"/>
    </font>
    <font>
      <sz val="11"/>
      <color theme="2" tint="-0.499984740745262"/>
      <name val="Calibri"/>
      <family val="2"/>
      <scheme val="minor"/>
    </font>
    <font>
      <sz val="12"/>
      <color theme="2" tint="-0.499984740745262"/>
      <name val="Arial"/>
      <family val="2"/>
    </font>
    <font>
      <sz val="8"/>
      <color theme="2" tint="-0.499984740745262"/>
      <name val="Arial"/>
      <family val="2"/>
    </font>
    <font>
      <sz val="8"/>
      <color theme="2" tint="-0.499984740745262"/>
      <name val="Calibri"/>
      <family val="2"/>
      <scheme val="minor"/>
    </font>
    <font>
      <sz val="11"/>
      <color rgb="FF202124"/>
      <name val="Arial"/>
      <family val="2"/>
    </font>
    <font>
      <sz val="11"/>
      <color rgb="FF202124"/>
      <name val="Calibri Light"/>
      <family val="2"/>
      <scheme val="major"/>
    </font>
    <font>
      <sz val="8"/>
      <color rgb="FF202124"/>
      <name val="Calibri Light"/>
      <family val="2"/>
      <scheme val="major"/>
    </font>
    <font>
      <sz val="12"/>
      <name val="Arial"/>
      <family val="2"/>
    </font>
    <font>
      <sz val="8"/>
      <name val="Arial"/>
      <family val="2"/>
    </font>
    <font>
      <sz val="11"/>
      <name val="Calibri"/>
      <family val="2"/>
      <scheme val="minor"/>
    </font>
    <font>
      <sz val="11"/>
      <name val="Arial"/>
      <family val="2"/>
    </font>
    <font>
      <sz val="8"/>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3" fillId="0" borderId="0" xfId="0" applyFont="1"/>
    <xf numFmtId="0" fontId="0" fillId="0" borderId="0" xfId="0" applyFont="1"/>
    <xf numFmtId="0" fontId="6" fillId="0" borderId="0" xfId="0" applyFont="1"/>
    <xf numFmtId="0" fontId="7" fillId="0" borderId="0" xfId="0" applyFont="1"/>
    <xf numFmtId="165" fontId="0" fillId="0" borderId="0" xfId="0" applyNumberFormat="1"/>
    <xf numFmtId="11" fontId="0" fillId="0" borderId="0" xfId="0" applyNumberFormat="1"/>
    <xf numFmtId="0" fontId="2" fillId="0" borderId="1" xfId="0" applyFont="1" applyBorder="1"/>
    <xf numFmtId="164" fontId="0" fillId="0" borderId="1" xfId="0" applyNumberFormat="1" applyBorder="1"/>
    <xf numFmtId="0" fontId="10" fillId="0" borderId="2" xfId="0" applyFont="1" applyBorder="1"/>
    <xf numFmtId="0" fontId="10" fillId="0" borderId="3" xfId="0" applyFont="1" applyBorder="1"/>
    <xf numFmtId="165" fontId="0" fillId="0" borderId="4" xfId="0" applyNumberFormat="1" applyBorder="1"/>
    <xf numFmtId="0" fontId="0" fillId="0" borderId="2" xfId="0" applyBorder="1"/>
    <xf numFmtId="0" fontId="0" fillId="0" borderId="3" xfId="0" applyBorder="1"/>
    <xf numFmtId="0" fontId="0" fillId="0" borderId="4" xfId="0" applyBorder="1"/>
    <xf numFmtId="11" fontId="0" fillId="0" borderId="4" xfId="0" applyNumberFormat="1" applyBorder="1"/>
    <xf numFmtId="0" fontId="3" fillId="0" borderId="3" xfId="0" applyFont="1" applyBorder="1"/>
    <xf numFmtId="0" fontId="0" fillId="0" borderId="5" xfId="0" applyBorder="1"/>
    <xf numFmtId="0" fontId="11" fillId="0" borderId="6" xfId="0" applyFont="1" applyBorder="1"/>
    <xf numFmtId="0" fontId="0" fillId="0" borderId="7" xfId="0" applyBorder="1"/>
    <xf numFmtId="0" fontId="0" fillId="0" borderId="8" xfId="0" applyBorder="1"/>
    <xf numFmtId="0" fontId="0" fillId="0" borderId="9" xfId="0" applyBorder="1"/>
    <xf numFmtId="165" fontId="0" fillId="0" borderId="10" xfId="0" applyNumberFormat="1" applyBorder="1"/>
    <xf numFmtId="0" fontId="13" fillId="0" borderId="0" xfId="0" applyFont="1"/>
    <xf numFmtId="0" fontId="15" fillId="0" borderId="0" xfId="0" applyFont="1"/>
    <xf numFmtId="0" fontId="16" fillId="0" borderId="0" xfId="0" applyFont="1"/>
    <xf numFmtId="11" fontId="15" fillId="0" borderId="0" xfId="0" applyNumberFormat="1" applyFont="1"/>
    <xf numFmtId="165" fontId="15" fillId="0" borderId="0" xfId="0" applyNumberFormat="1" applyFo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workbookViewId="0">
      <selection activeCell="G21" sqref="G21"/>
    </sheetView>
  </sheetViews>
  <sheetFormatPr defaultRowHeight="15" x14ac:dyDescent="0.25"/>
  <cols>
    <col min="1" max="1" width="20.5703125" customWidth="1"/>
    <col min="2" max="2" width="13.7109375" customWidth="1"/>
    <col min="3" max="3" width="11.28515625" bestFit="1" customWidth="1"/>
    <col min="4" max="4" width="12" bestFit="1" customWidth="1"/>
    <col min="5" max="5" width="11.28515625" bestFit="1" customWidth="1"/>
    <col min="6" max="6" width="12" bestFit="1" customWidth="1"/>
    <col min="7" max="8" width="11.28515625" bestFit="1" customWidth="1"/>
    <col min="9" max="9" width="12" bestFit="1" customWidth="1"/>
    <col min="10" max="10" width="11.140625" customWidth="1"/>
    <col min="11" max="11" width="16.85546875" customWidth="1"/>
  </cols>
  <sheetData>
    <row r="1" spans="1:11" x14ac:dyDescent="0.25">
      <c r="A1" t="s">
        <v>0</v>
      </c>
      <c r="B1" t="s">
        <v>1</v>
      </c>
      <c r="C1" t="s">
        <v>2</v>
      </c>
      <c r="D1" t="s">
        <v>3</v>
      </c>
      <c r="E1" t="s">
        <v>4</v>
      </c>
      <c r="F1" t="s">
        <v>5</v>
      </c>
      <c r="G1" t="s">
        <v>6</v>
      </c>
      <c r="H1" t="s">
        <v>7</v>
      </c>
      <c r="I1" t="s">
        <v>35</v>
      </c>
      <c r="J1" t="s">
        <v>12</v>
      </c>
    </row>
    <row r="2" spans="1:11" x14ac:dyDescent="0.25">
      <c r="A2" s="3" t="s">
        <v>8</v>
      </c>
      <c r="B2">
        <v>1.7999999999999999E-2</v>
      </c>
      <c r="C2">
        <v>7.0999999999999994E-2</v>
      </c>
      <c r="D2">
        <v>0.22</v>
      </c>
      <c r="E2">
        <v>0.23300000000000001</v>
      </c>
      <c r="F2">
        <v>1.2</v>
      </c>
      <c r="G2">
        <v>13.6</v>
      </c>
      <c r="H2">
        <v>6.14</v>
      </c>
      <c r="I2">
        <v>14.35</v>
      </c>
      <c r="J2" t="s">
        <v>13</v>
      </c>
      <c r="K2">
        <v>3.1415926540000001</v>
      </c>
    </row>
    <row r="3" spans="1:11" ht="15.75" x14ac:dyDescent="0.25">
      <c r="A3" s="5" t="s">
        <v>23</v>
      </c>
      <c r="B3" s="4">
        <v>0.25</v>
      </c>
      <c r="C3" s="4">
        <v>0.18</v>
      </c>
      <c r="D3" s="4">
        <v>0.2</v>
      </c>
      <c r="E3" s="4">
        <v>0.15</v>
      </c>
      <c r="F3" s="4">
        <v>1.4999999999999999E-2</v>
      </c>
      <c r="G3" s="4">
        <v>0.01</v>
      </c>
      <c r="H3" s="4">
        <v>0.01</v>
      </c>
      <c r="I3" s="4">
        <v>0.01</v>
      </c>
      <c r="J3" t="s">
        <v>14</v>
      </c>
      <c r="K3">
        <v>299792458</v>
      </c>
    </row>
    <row r="4" spans="1:11" x14ac:dyDescent="0.25">
      <c r="A4" s="3" t="s">
        <v>26</v>
      </c>
      <c r="B4">
        <f>0.17*1000</f>
        <v>170</v>
      </c>
      <c r="C4">
        <f>0.25*1000</f>
        <v>250</v>
      </c>
      <c r="D4">
        <f>0.2*1000</f>
        <v>200</v>
      </c>
      <c r="E4">
        <f>0.4*1000</f>
        <v>400</v>
      </c>
      <c r="F4">
        <f>0.8*1000</f>
        <v>800</v>
      </c>
      <c r="G4">
        <v>3000</v>
      </c>
      <c r="H4">
        <f>3*1000</f>
        <v>3000</v>
      </c>
      <c r="I4">
        <v>3500</v>
      </c>
      <c r="J4" t="s">
        <v>15</v>
      </c>
      <c r="K4">
        <v>17045</v>
      </c>
    </row>
    <row r="5" spans="1:11" x14ac:dyDescent="0.25">
      <c r="A5" s="2" t="s">
        <v>25</v>
      </c>
      <c r="B5" s="7">
        <f>4*0.000001</f>
        <v>3.9999999999999998E-6</v>
      </c>
      <c r="C5" s="7">
        <f>2*0.000001</f>
        <v>1.9999999999999999E-6</v>
      </c>
      <c r="D5" s="7">
        <f>7*0.000001</f>
        <v>6.9999999999999999E-6</v>
      </c>
      <c r="E5" s="7">
        <f>6*0.000001</f>
        <v>6.0000000000000002E-6</v>
      </c>
      <c r="F5" s="7">
        <f>0.8*0.000001</f>
        <v>7.9999999999999996E-7</v>
      </c>
      <c r="G5" s="7">
        <f>0.4*0.000001</f>
        <v>3.9999999999999998E-7</v>
      </c>
      <c r="H5" s="7">
        <f>0.85*0.000001</f>
        <v>8.4999999999999991E-7</v>
      </c>
      <c r="I5" s="7">
        <f>0.4*0.000001</f>
        <v>3.9999999999999998E-7</v>
      </c>
      <c r="J5" t="s">
        <v>21</v>
      </c>
      <c r="K5">
        <f>0.511/1000</f>
        <v>5.1100000000000006E-4</v>
      </c>
    </row>
    <row r="6" spans="1:11" x14ac:dyDescent="0.25">
      <c r="A6" s="3" t="s">
        <v>11</v>
      </c>
      <c r="B6">
        <v>1.2</v>
      </c>
      <c r="C6">
        <v>1.8</v>
      </c>
      <c r="D6">
        <v>9</v>
      </c>
      <c r="E6">
        <v>6</v>
      </c>
      <c r="F6">
        <v>50</v>
      </c>
      <c r="G6">
        <v>140</v>
      </c>
      <c r="H6">
        <v>185</v>
      </c>
      <c r="I6">
        <v>140</v>
      </c>
    </row>
    <row r="7" spans="1:11" x14ac:dyDescent="0.25">
      <c r="A7" s="4" t="s">
        <v>28</v>
      </c>
      <c r="B7" s="4">
        <v>2.0499999999999998</v>
      </c>
      <c r="C7" s="4">
        <v>1.8</v>
      </c>
      <c r="D7" s="4">
        <v>3.3</v>
      </c>
      <c r="E7" s="4">
        <v>2.7</v>
      </c>
      <c r="F7" s="4">
        <v>3.5</v>
      </c>
      <c r="G7" s="4">
        <v>3</v>
      </c>
      <c r="H7" s="4">
        <v>1.5</v>
      </c>
      <c r="I7" s="4">
        <v>3</v>
      </c>
    </row>
    <row r="8" spans="1:11" x14ac:dyDescent="0.25">
      <c r="A8" s="3" t="s">
        <v>9</v>
      </c>
      <c r="B8">
        <v>1.2</v>
      </c>
      <c r="C8">
        <v>1.04</v>
      </c>
      <c r="D8">
        <v>3.1</v>
      </c>
      <c r="E8">
        <v>1.2</v>
      </c>
      <c r="F8">
        <v>1</v>
      </c>
      <c r="G8">
        <v>3.5</v>
      </c>
      <c r="H8">
        <v>1.36</v>
      </c>
      <c r="I8">
        <v>3.7</v>
      </c>
    </row>
    <row r="9" spans="1:11" s="4" customFormat="1" x14ac:dyDescent="0.25">
      <c r="A9" s="4" t="s">
        <v>10</v>
      </c>
      <c r="B9" s="4">
        <v>2</v>
      </c>
      <c r="C9" s="4">
        <v>4</v>
      </c>
      <c r="D9" s="4">
        <v>30</v>
      </c>
      <c r="E9" s="4">
        <v>27</v>
      </c>
      <c r="F9" s="4">
        <v>20</v>
      </c>
      <c r="G9" s="4">
        <v>110</v>
      </c>
      <c r="H9" s="4">
        <v>100</v>
      </c>
      <c r="I9" s="4">
        <v>110</v>
      </c>
    </row>
    <row r="10" spans="1:11" x14ac:dyDescent="0.25">
      <c r="A10" s="3" t="s">
        <v>27</v>
      </c>
      <c r="B10" s="6">
        <f>12000*0.000000001</f>
        <v>1.2E-5</v>
      </c>
      <c r="C10" s="6">
        <f>800*0.000000001</f>
        <v>8.0000000000000007E-7</v>
      </c>
      <c r="D10" s="6">
        <f>385*0.000000001</f>
        <v>3.8500000000000002E-7</v>
      </c>
      <c r="E10" s="6">
        <f>100*0.000000001</f>
        <v>1.0000000000000001E-7</v>
      </c>
      <c r="F10" s="6">
        <f>4*0.000000001</f>
        <v>4.0000000000000002E-9</v>
      </c>
      <c r="G10" s="6">
        <f>0.15*0.000000001</f>
        <v>1.5E-10</v>
      </c>
      <c r="H10" s="6">
        <f>0.1*0.000000001</f>
        <v>1.0000000000000002E-10</v>
      </c>
      <c r="I10" s="6">
        <f>0.15*0.000000001</f>
        <v>1.5E-10</v>
      </c>
    </row>
    <row r="12" spans="1:11" x14ac:dyDescent="0.25">
      <c r="A12" s="1" t="s">
        <v>16</v>
      </c>
    </row>
    <row r="13" spans="1:11" x14ac:dyDescent="0.25">
      <c r="A13" s="3" t="s">
        <v>65</v>
      </c>
      <c r="B13" s="7">
        <f>B5/B16</f>
        <v>1.1355555555555557E-7</v>
      </c>
      <c r="C13" s="7">
        <f t="shared" ref="C13:I13" si="0">C5/C16</f>
        <v>1.43943661971831E-8</v>
      </c>
      <c r="D13" s="7">
        <f t="shared" si="0"/>
        <v>1.6259090909090911E-8</v>
      </c>
      <c r="E13" s="7">
        <f t="shared" si="0"/>
        <v>1.3158798283261804E-8</v>
      </c>
      <c r="F13" s="7">
        <f t="shared" si="0"/>
        <v>3.4066666666666668E-10</v>
      </c>
      <c r="G13" s="7">
        <f t="shared" si="0"/>
        <v>1.5029411764705882E-11</v>
      </c>
      <c r="H13" s="7">
        <f t="shared" si="0"/>
        <v>7.0741042345276885E-11</v>
      </c>
      <c r="I13" s="7">
        <f t="shared" si="0"/>
        <v>1.4243902439024391E-11</v>
      </c>
    </row>
    <row r="14" spans="1:11" x14ac:dyDescent="0.25">
      <c r="A14" s="3" t="s">
        <v>24</v>
      </c>
      <c r="B14">
        <f>SQRT(B13*(B6/(2*$K$2)))</f>
        <v>1.4726681084285015E-4</v>
      </c>
      <c r="C14">
        <f t="shared" ref="C14:H14" si="1">SQRT(C13*(C6/(2*$K$2)))</f>
        <v>6.4215902693829659E-5</v>
      </c>
      <c r="D14">
        <f t="shared" si="1"/>
        <v>1.5260875529346239E-4</v>
      </c>
      <c r="E14">
        <f t="shared" si="1"/>
        <v>1.1209695245608077E-4</v>
      </c>
      <c r="F14">
        <f t="shared" si="1"/>
        <v>5.206668029534796E-5</v>
      </c>
      <c r="G14">
        <f t="shared" si="1"/>
        <v>1.8299746564708852E-5</v>
      </c>
      <c r="H14">
        <f t="shared" si="1"/>
        <v>4.5638531034006284E-5</v>
      </c>
      <c r="I14" s="7">
        <f>30*0.000001</f>
        <v>2.9999999999999997E-5</v>
      </c>
    </row>
    <row r="15" spans="1:11" x14ac:dyDescent="0.25">
      <c r="A15" s="3" t="s">
        <v>67</v>
      </c>
      <c r="B15">
        <f t="shared" ref="B15:H15" si="2">BESSELJ((B8^2/(4+2*(B8^2))),0)-BESSELJ((B8^2/(4+2*(B8^2))),1)</f>
        <v>0.88499894067315477</v>
      </c>
      <c r="C15">
        <f t="shared" si="2"/>
        <v>0.90490608292946773</v>
      </c>
      <c r="D15">
        <f t="shared" si="2"/>
        <v>0.75510012367402568</v>
      </c>
      <c r="E15">
        <f t="shared" si="2"/>
        <v>0.88499894067315477</v>
      </c>
      <c r="F15">
        <f t="shared" si="2"/>
        <v>0.91002328886925454</v>
      </c>
      <c r="G15">
        <f t="shared" si="2"/>
        <v>0.7443560680549246</v>
      </c>
      <c r="H15">
        <f t="shared" si="2"/>
        <v>0.86637207568358976</v>
      </c>
      <c r="I15">
        <f t="shared" ref="I15" si="3">BESSELJ((I8^2/(4+2*(I8^2))),0)-BESSELJ((I8^2/(4+2*(I8^2))),1)</f>
        <v>0.73999721850711531</v>
      </c>
    </row>
    <row r="16" spans="1:11" x14ac:dyDescent="0.25">
      <c r="A16" s="3" t="s">
        <v>20</v>
      </c>
      <c r="B16">
        <f>B2/$K$5</f>
        <v>35.225048923679054</v>
      </c>
      <c r="C16">
        <f t="shared" ref="C16:H16" si="4">C2/$K$5</f>
        <v>138.9432485322896</v>
      </c>
      <c r="D16">
        <f t="shared" si="4"/>
        <v>430.52837573385511</v>
      </c>
      <c r="E16">
        <f t="shared" si="4"/>
        <v>455.96868884540112</v>
      </c>
      <c r="F16">
        <f t="shared" si="4"/>
        <v>2348.336594911937</v>
      </c>
      <c r="G16">
        <f t="shared" si="4"/>
        <v>26614.481409001954</v>
      </c>
      <c r="H16">
        <f t="shared" si="4"/>
        <v>12015.655577299411</v>
      </c>
      <c r="I16">
        <f t="shared" ref="I16" si="5">I2/$K$5</f>
        <v>28082.191780821915</v>
      </c>
    </row>
    <row r="18" spans="1:9" x14ac:dyDescent="0.25">
      <c r="A18" s="3" t="s">
        <v>17</v>
      </c>
      <c r="B18">
        <f>(1/(8*$K$2))*((B4)/$K$4)</f>
        <v>3.9683690704149868E-4</v>
      </c>
      <c r="C18">
        <f t="shared" ref="C18:H18" si="6">(1/(8*$K$2))*((C4)/$K$4)</f>
        <v>5.8358368682573348E-4</v>
      </c>
      <c r="D18">
        <f t="shared" si="6"/>
        <v>4.6686694946058673E-4</v>
      </c>
      <c r="E18">
        <f t="shared" si="6"/>
        <v>9.3373389892117346E-4</v>
      </c>
      <c r="F18">
        <f t="shared" si="6"/>
        <v>1.8674677978423469E-3</v>
      </c>
      <c r="G18">
        <f t="shared" si="6"/>
        <v>7.0030042419088013E-3</v>
      </c>
      <c r="H18">
        <f t="shared" si="6"/>
        <v>7.0030042419088013E-3</v>
      </c>
      <c r="I18">
        <f t="shared" ref="I18" si="7">(1/(8*$K$2))*((I4)/$K$4)</f>
        <v>8.1701716155602681E-3</v>
      </c>
    </row>
    <row r="19" spans="1:9" x14ac:dyDescent="0.25">
      <c r="A19" s="3" t="s">
        <v>18</v>
      </c>
      <c r="B19">
        <f>(B8*B15/(1+(B8^2)/2))^2</f>
        <v>0.38123353839553564</v>
      </c>
      <c r="C19">
        <f t="shared" ref="C19:I19" si="8">(C8*C15/(1+(C8^2)/2))^2</f>
        <v>0.37306212035863079</v>
      </c>
      <c r="D19">
        <f t="shared" si="8"/>
        <v>0.16260280093518836</v>
      </c>
      <c r="E19">
        <f t="shared" si="8"/>
        <v>0.38123353839553564</v>
      </c>
      <c r="F19">
        <f t="shared" si="8"/>
        <v>0.36806328279307327</v>
      </c>
      <c r="G19">
        <f t="shared" si="8"/>
        <v>0.13369889490407724</v>
      </c>
      <c r="H19">
        <f t="shared" si="8"/>
        <v>0.37472743354366972</v>
      </c>
      <c r="I19">
        <f t="shared" si="8"/>
        <v>0.12180853695744273</v>
      </c>
    </row>
    <row r="20" spans="1:9" x14ac:dyDescent="0.25">
      <c r="A20" s="3" t="s">
        <v>19</v>
      </c>
      <c r="B20">
        <f>(B16*(B10)^2)/(2*$K$2*B14^2)</f>
        <v>3.7224122150267491E-2</v>
      </c>
      <c r="C20">
        <f t="shared" ref="C20:H20" si="9">(C16*(C10)^2)/(2*$K$2*C14^2)</f>
        <v>3.4320402333698854E-3</v>
      </c>
      <c r="D20">
        <f t="shared" si="9"/>
        <v>4.360983775508074E-4</v>
      </c>
      <c r="E20">
        <f t="shared" si="9"/>
        <v>5.7752068113165077E-5</v>
      </c>
      <c r="F20">
        <f t="shared" si="9"/>
        <v>2.2058739052010365E-6</v>
      </c>
      <c r="G20">
        <f t="shared" si="9"/>
        <v>2.8459712437638374E-7</v>
      </c>
      <c r="H20">
        <f t="shared" si="9"/>
        <v>9.1813023181104264E-9</v>
      </c>
      <c r="I20">
        <f t="shared" ref="I20" si="10">(I16*(I10)^2)/(2*$K$2*I14^2)</f>
        <v>1.1173549085472045E-7</v>
      </c>
    </row>
    <row r="22" spans="1:9" x14ac:dyDescent="0.25">
      <c r="A22" s="8" t="s">
        <v>22</v>
      </c>
      <c r="B22" s="9">
        <f>(B18*B19*B20)^(1/3)</f>
        <v>1.7791362432943686E-2</v>
      </c>
      <c r="C22" s="9">
        <f t="shared" ref="C22:H22" si="11">(C18*C19*C20)^(1/3)</f>
        <v>9.0742809769724098E-3</v>
      </c>
      <c r="D22" s="9">
        <f t="shared" si="11"/>
        <v>3.2109623098932893E-3</v>
      </c>
      <c r="E22" s="9">
        <f t="shared" si="11"/>
        <v>2.7394324065403344E-3</v>
      </c>
      <c r="F22" s="9">
        <f t="shared" si="11"/>
        <v>1.1488202972802081E-3</v>
      </c>
      <c r="G22" s="9">
        <f t="shared" si="11"/>
        <v>6.4349854834600689E-4</v>
      </c>
      <c r="H22" s="9">
        <f t="shared" si="11"/>
        <v>2.888249600816635E-4</v>
      </c>
      <c r="I22" s="9">
        <f t="shared" ref="I22" si="12">(I18*I19*I20)^(1/3)</f>
        <v>4.8087627305206819E-4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442C2-DA44-4BEF-B2DE-0C4F96731CA9}">
  <dimension ref="A1:K95"/>
  <sheetViews>
    <sheetView tabSelected="1" topLeftCell="A37" workbookViewId="0">
      <selection activeCell="D77" sqref="D77"/>
    </sheetView>
  </sheetViews>
  <sheetFormatPr defaultRowHeight="15" x14ac:dyDescent="0.25"/>
  <cols>
    <col min="1" max="1" width="15.85546875" customWidth="1"/>
    <col min="2" max="2" width="36.28515625" customWidth="1"/>
    <col min="3" max="3" width="30.140625" customWidth="1"/>
    <col min="4" max="4" width="21.140625" customWidth="1"/>
    <col min="10" max="10" width="13.7109375" customWidth="1"/>
    <col min="11" max="11" width="10" bestFit="1" customWidth="1"/>
  </cols>
  <sheetData>
    <row r="1" spans="1:11" x14ac:dyDescent="0.25">
      <c r="A1" t="s">
        <v>0</v>
      </c>
      <c r="B1" t="s">
        <v>6</v>
      </c>
      <c r="J1" t="s">
        <v>12</v>
      </c>
    </row>
    <row r="2" spans="1:11" x14ac:dyDescent="0.25">
      <c r="A2" s="3" t="s">
        <v>8</v>
      </c>
      <c r="B2">
        <v>14.35</v>
      </c>
      <c r="J2" t="s">
        <v>13</v>
      </c>
      <c r="K2">
        <v>3.1415926540000001</v>
      </c>
    </row>
    <row r="3" spans="1:11" ht="15.75" x14ac:dyDescent="0.25">
      <c r="A3" s="24" t="s">
        <v>77</v>
      </c>
      <c r="B3" s="25">
        <v>0.01</v>
      </c>
      <c r="J3" t="s">
        <v>14</v>
      </c>
      <c r="K3">
        <v>299792458</v>
      </c>
    </row>
    <row r="4" spans="1:11" x14ac:dyDescent="0.25">
      <c r="A4" s="25" t="s">
        <v>26</v>
      </c>
      <c r="B4" s="25">
        <v>3500</v>
      </c>
      <c r="J4" t="s">
        <v>15</v>
      </c>
      <c r="K4">
        <v>17045</v>
      </c>
    </row>
    <row r="5" spans="1:11" x14ac:dyDescent="0.25">
      <c r="A5" s="26" t="s">
        <v>78</v>
      </c>
      <c r="B5" s="27">
        <f>0.4*0.00001</f>
        <v>4.0000000000000007E-6</v>
      </c>
      <c r="J5" t="s">
        <v>21</v>
      </c>
      <c r="K5">
        <f>0.511/1000</f>
        <v>5.1100000000000006E-4</v>
      </c>
    </row>
    <row r="6" spans="1:11" x14ac:dyDescent="0.25">
      <c r="A6" s="25" t="s">
        <v>79</v>
      </c>
      <c r="B6" s="25">
        <v>140</v>
      </c>
      <c r="J6" t="s">
        <v>44</v>
      </c>
      <c r="K6">
        <f>9.109E-31</f>
        <v>9.1089999999999993E-31</v>
      </c>
    </row>
    <row r="7" spans="1:11" x14ac:dyDescent="0.25">
      <c r="A7" s="25" t="s">
        <v>80</v>
      </c>
      <c r="B7" s="25">
        <v>0.03</v>
      </c>
      <c r="J7" t="s">
        <v>45</v>
      </c>
      <c r="K7">
        <f>1.6E-19</f>
        <v>1.5999999999999999E-19</v>
      </c>
    </row>
    <row r="8" spans="1:11" x14ac:dyDescent="0.25">
      <c r="A8" s="25" t="s">
        <v>9</v>
      </c>
      <c r="B8" s="25">
        <v>3.7</v>
      </c>
      <c r="J8" t="s">
        <v>49</v>
      </c>
      <c r="K8">
        <f>0.0000000000000006582</f>
        <v>6.5820000000000003E-16</v>
      </c>
    </row>
    <row r="9" spans="1:11" x14ac:dyDescent="0.25">
      <c r="A9" s="25" t="s">
        <v>10</v>
      </c>
      <c r="B9" s="25">
        <v>110</v>
      </c>
      <c r="J9" t="s">
        <v>51</v>
      </c>
      <c r="K9">
        <f>6.62E-34</f>
        <v>6.6200000000000001E-34</v>
      </c>
    </row>
    <row r="10" spans="1:11" x14ac:dyDescent="0.25">
      <c r="A10" s="25" t="s">
        <v>81</v>
      </c>
      <c r="B10" s="28">
        <f>0.15*0.000000001</f>
        <v>1.5E-10</v>
      </c>
    </row>
    <row r="11" spans="1:11" x14ac:dyDescent="0.25">
      <c r="A11" s="25" t="s">
        <v>29</v>
      </c>
      <c r="B11" s="25">
        <f>230*0.000000000000001</f>
        <v>2.3000000000000003E-13</v>
      </c>
    </row>
    <row r="12" spans="1:11" x14ac:dyDescent="0.25">
      <c r="A12" s="25" t="s">
        <v>20</v>
      </c>
      <c r="B12" s="25">
        <f>B2/$K$5</f>
        <v>28082.191780821915</v>
      </c>
    </row>
    <row r="13" spans="1:11" x14ac:dyDescent="0.25">
      <c r="A13" s="3"/>
    </row>
    <row r="14" spans="1:11" x14ac:dyDescent="0.25">
      <c r="A14" s="3" t="s">
        <v>66</v>
      </c>
      <c r="B14" s="7">
        <f>B5/B12</f>
        <v>1.4243902439024394E-10</v>
      </c>
    </row>
    <row r="15" spans="1:11" x14ac:dyDescent="0.25">
      <c r="A15" s="3" t="s">
        <v>24</v>
      </c>
      <c r="B15">
        <f>30*0.000001</f>
        <v>2.9999999999999997E-5</v>
      </c>
    </row>
    <row r="16" spans="1:11" x14ac:dyDescent="0.25">
      <c r="A16" s="3" t="s">
        <v>34</v>
      </c>
      <c r="B16">
        <f>1.7*0.000001</f>
        <v>1.6999999999999998E-6</v>
      </c>
    </row>
    <row r="17" spans="1:3" x14ac:dyDescent="0.25">
      <c r="A17" s="3" t="s">
        <v>67</v>
      </c>
      <c r="B17">
        <f>BESSELJ((B8^2/(4+2*(B8^2))),0)-BESSELJ((B8^2/(4+2*(B8^2))),1)</f>
        <v>0.73999721850711531</v>
      </c>
    </row>
    <row r="18" spans="1:3" x14ac:dyDescent="0.25">
      <c r="A18" s="3" t="s">
        <v>20</v>
      </c>
      <c r="B18">
        <f>B2/$K$5</f>
        <v>28082.191780821915</v>
      </c>
    </row>
    <row r="19" spans="1:3" x14ac:dyDescent="0.25">
      <c r="A19" s="2" t="s">
        <v>50</v>
      </c>
      <c r="B19" s="6">
        <f>(2*K2*K3)/B10</f>
        <v>1.2557677117032049E+19</v>
      </c>
    </row>
    <row r="21" spans="1:3" x14ac:dyDescent="0.25">
      <c r="A21" t="s">
        <v>40</v>
      </c>
    </row>
    <row r="23" spans="1:3" x14ac:dyDescent="0.25">
      <c r="B23" s="6" t="s">
        <v>30</v>
      </c>
      <c r="C23" t="s">
        <v>33</v>
      </c>
    </row>
    <row r="24" spans="1:3" x14ac:dyDescent="0.25">
      <c r="B24" s="6">
        <f>B10/(B7)</f>
        <v>5.0000000000000001E-9</v>
      </c>
      <c r="C24">
        <f>(1+B8^2/2)/(2*B12^2)</f>
        <v>4.9739446757882226E-9</v>
      </c>
    </row>
    <row r="25" spans="1:3" x14ac:dyDescent="0.25">
      <c r="B25" s="6"/>
    </row>
    <row r="26" spans="1:3" x14ac:dyDescent="0.25">
      <c r="A26" s="13" t="s">
        <v>31</v>
      </c>
      <c r="B26" s="14" t="s">
        <v>32</v>
      </c>
      <c r="C26" s="15"/>
    </row>
    <row r="28" spans="1:3" x14ac:dyDescent="0.25">
      <c r="A28" t="s">
        <v>39</v>
      </c>
    </row>
    <row r="29" spans="1:3" x14ac:dyDescent="0.25">
      <c r="A29" s="3"/>
      <c r="B29" s="3" t="s">
        <v>17</v>
      </c>
      <c r="C29">
        <f>(1/(8*$K$2))*((B4)/$K$4)</f>
        <v>8.1701716155602681E-3</v>
      </c>
    </row>
    <row r="30" spans="1:3" x14ac:dyDescent="0.25">
      <c r="A30" s="3"/>
      <c r="B30" s="3" t="s">
        <v>18</v>
      </c>
      <c r="C30" s="6">
        <f>(B8*B17/(1+B8^2/2))^2</f>
        <v>0.12180853695744273</v>
      </c>
    </row>
    <row r="31" spans="1:3" x14ac:dyDescent="0.25">
      <c r="A31" s="3"/>
      <c r="B31" s="3" t="s">
        <v>19</v>
      </c>
      <c r="C31" s="6">
        <f>(B18*(B10)^2)/(2*$K$2*B15^2)</f>
        <v>1.1173549085472045E-7</v>
      </c>
    </row>
    <row r="32" spans="1:3" x14ac:dyDescent="0.25">
      <c r="A32" s="3"/>
      <c r="B32" s="3"/>
      <c r="C32" s="6"/>
    </row>
    <row r="33" spans="1:4" x14ac:dyDescent="0.25">
      <c r="A33" s="10" t="s">
        <v>31</v>
      </c>
      <c r="B33" s="11" t="s">
        <v>36</v>
      </c>
      <c r="C33" s="12">
        <f>(C29*C30*C31)^(1/3)</f>
        <v>4.8087627305206819E-4</v>
      </c>
    </row>
    <row r="36" spans="1:4" x14ac:dyDescent="0.25">
      <c r="A36" t="s">
        <v>38</v>
      </c>
    </row>
    <row r="38" spans="1:4" x14ac:dyDescent="0.25">
      <c r="A38" s="13" t="s">
        <v>31</v>
      </c>
      <c r="B38" s="14" t="s">
        <v>37</v>
      </c>
      <c r="C38" s="12">
        <f>B7/C33</f>
        <v>62.386109860636992</v>
      </c>
      <c r="D38" t="s">
        <v>63</v>
      </c>
    </row>
    <row r="40" spans="1:4" x14ac:dyDescent="0.25">
      <c r="A40" t="s">
        <v>41</v>
      </c>
    </row>
    <row r="42" spans="1:4" x14ac:dyDescent="0.25">
      <c r="B42" t="s">
        <v>43</v>
      </c>
      <c r="C42" s="7">
        <f>(B12*$K$6*B4*$K$3^2)/$K$7</f>
        <v>50291104129572.414</v>
      </c>
      <c r="D42" t="s">
        <v>46</v>
      </c>
    </row>
    <row r="43" spans="1:4" x14ac:dyDescent="0.25">
      <c r="A43" s="13" t="s">
        <v>42</v>
      </c>
      <c r="B43" s="14" t="s">
        <v>47</v>
      </c>
      <c r="C43" s="16">
        <f>C42*C33</f>
        <v>24183798721.502258</v>
      </c>
      <c r="D43" t="s">
        <v>46</v>
      </c>
    </row>
    <row r="44" spans="1:4" x14ac:dyDescent="0.25">
      <c r="B44" t="s">
        <v>48</v>
      </c>
      <c r="C44" s="6">
        <f>K9*B19</f>
        <v>8.3131822514752167E-15</v>
      </c>
      <c r="D44" t="s">
        <v>52</v>
      </c>
    </row>
    <row r="45" spans="1:4" x14ac:dyDescent="0.25">
      <c r="A45" s="13" t="s">
        <v>53</v>
      </c>
      <c r="B45" s="14" t="s">
        <v>54</v>
      </c>
      <c r="C45" s="16">
        <f>C43/C44</f>
        <v>2.9090904048459566E+24</v>
      </c>
      <c r="D45" t="s">
        <v>55</v>
      </c>
    </row>
    <row r="47" spans="1:4" x14ac:dyDescent="0.25">
      <c r="A47" t="s">
        <v>90</v>
      </c>
    </row>
    <row r="49" spans="1:5" x14ac:dyDescent="0.25">
      <c r="A49" s="13" t="s">
        <v>42</v>
      </c>
      <c r="B49" s="17" t="s">
        <v>56</v>
      </c>
      <c r="C49" s="12">
        <f>C33</f>
        <v>4.8087627305206819E-4</v>
      </c>
    </row>
    <row r="51" spans="1:5" x14ac:dyDescent="0.25">
      <c r="A51" t="s">
        <v>57</v>
      </c>
    </row>
    <row r="53" spans="1:5" x14ac:dyDescent="0.25">
      <c r="B53" t="s">
        <v>58</v>
      </c>
      <c r="C53" s="6">
        <f>B10/(4*$K$2)</f>
        <v>1.193662073033355E-11</v>
      </c>
      <c r="D53" t="s">
        <v>59</v>
      </c>
    </row>
    <row r="54" spans="1:5" x14ac:dyDescent="0.25">
      <c r="B54" t="s">
        <v>60</v>
      </c>
      <c r="C54" s="6">
        <f>(B7)/(4*$K$2*SQRT(3)*C33)</f>
        <v>2.8662720862197064</v>
      </c>
      <c r="D54" t="s">
        <v>63</v>
      </c>
    </row>
    <row r="55" spans="1:5" x14ac:dyDescent="0.25">
      <c r="A55" s="18" t="s">
        <v>42</v>
      </c>
      <c r="B55" s="19" t="s">
        <v>61</v>
      </c>
      <c r="C55" s="20">
        <f>SQRT(C53*C54)</f>
        <v>5.8492395063928215E-6</v>
      </c>
      <c r="D55" t="s">
        <v>63</v>
      </c>
    </row>
    <row r="56" spans="1:5" x14ac:dyDescent="0.25">
      <c r="A56" s="21" t="s">
        <v>53</v>
      </c>
      <c r="B56" s="22" t="s">
        <v>62</v>
      </c>
      <c r="C56" s="23">
        <f>C53/C55</f>
        <v>2.0407132785873503E-6</v>
      </c>
      <c r="D56" t="s">
        <v>64</v>
      </c>
      <c r="E56" s="6"/>
    </row>
    <row r="58" spans="1:5" x14ac:dyDescent="0.25">
      <c r="A58" t="s">
        <v>69</v>
      </c>
    </row>
    <row r="59" spans="1:5" hidden="1" x14ac:dyDescent="0.25">
      <c r="B59" t="s">
        <v>82</v>
      </c>
      <c r="C59">
        <f>2*3.14*(C55^2+B15^2)</f>
        <v>5.8668614256037606E-9</v>
      </c>
      <c r="E59" t="s">
        <v>83</v>
      </c>
    </row>
    <row r="61" spans="1:5" x14ac:dyDescent="0.25">
      <c r="B61" t="s">
        <v>68</v>
      </c>
      <c r="C61">
        <f>2*2*$K$2*C55^2</f>
        <v>4.2994081293295591E-10</v>
      </c>
      <c r="E61" t="s">
        <v>84</v>
      </c>
    </row>
    <row r="62" spans="1:5" hidden="1" x14ac:dyDescent="0.25">
      <c r="B62" t="s">
        <v>70</v>
      </c>
      <c r="C62" s="6">
        <f>(B10^2)/C61</f>
        <v>5.233278470706293E-11</v>
      </c>
    </row>
    <row r="63" spans="1:5" hidden="1" x14ac:dyDescent="0.25">
      <c r="B63" t="s">
        <v>71</v>
      </c>
      <c r="C63">
        <f>B4/$K$4</f>
        <v>0.20533880903490759</v>
      </c>
    </row>
    <row r="64" spans="1:5" hidden="1" x14ac:dyDescent="0.25">
      <c r="B64" t="s">
        <v>72</v>
      </c>
      <c r="C64">
        <f>((B8*B17)/(1+B8^2/2))^2</f>
        <v>0.12180853695744273</v>
      </c>
    </row>
    <row r="65" spans="1:4" hidden="1" x14ac:dyDescent="0.25">
      <c r="B65" t="s">
        <v>73</v>
      </c>
      <c r="C65" s="6">
        <f>(B18^2*K6*K3^2*(2*C54)^2)/(B7^2)</f>
        <v>2.3573627686277079</v>
      </c>
    </row>
    <row r="66" spans="1:4" hidden="1" x14ac:dyDescent="0.25">
      <c r="C66" s="6"/>
    </row>
    <row r="67" spans="1:4" x14ac:dyDescent="0.25">
      <c r="A67" t="s">
        <v>42</v>
      </c>
      <c r="B67" s="13" t="s">
        <v>85</v>
      </c>
      <c r="C67" s="12">
        <f>C62*C63*C64*C65</f>
        <v>3.0856668206112126E-12</v>
      </c>
      <c r="D67" t="s">
        <v>74</v>
      </c>
    </row>
    <row r="68" spans="1:4" x14ac:dyDescent="0.25">
      <c r="B68" t="s">
        <v>86</v>
      </c>
      <c r="C68" s="6">
        <f>(C61/B10^2)*C67</f>
        <v>5.896240450194818E-2</v>
      </c>
      <c r="D68" t="s">
        <v>74</v>
      </c>
    </row>
    <row r="69" spans="1:4" x14ac:dyDescent="0.25">
      <c r="B69" t="s">
        <v>91</v>
      </c>
      <c r="C69" s="6">
        <f>B19*C33</f>
        <v>6038688970229612</v>
      </c>
      <c r="D69" t="s">
        <v>75</v>
      </c>
    </row>
    <row r="70" spans="1:4" x14ac:dyDescent="0.25">
      <c r="B70" t="s">
        <v>87</v>
      </c>
      <c r="C70" s="6">
        <f>C68*C69</f>
        <v>356055621724131.31</v>
      </c>
      <c r="D70" t="s">
        <v>46</v>
      </c>
    </row>
    <row r="71" spans="1:4" x14ac:dyDescent="0.25">
      <c r="B71" s="13" t="s">
        <v>76</v>
      </c>
      <c r="C71" s="12">
        <f>C70/C44</f>
        <v>4.2830243696503515E+28</v>
      </c>
    </row>
    <row r="73" spans="1:4" x14ac:dyDescent="0.25">
      <c r="A73" s="29" t="s">
        <v>88</v>
      </c>
    </row>
    <row r="75" spans="1:4" x14ac:dyDescent="0.25">
      <c r="A75" t="s">
        <v>42</v>
      </c>
      <c r="B75" t="s">
        <v>89</v>
      </c>
      <c r="C75" s="6">
        <f>C71/C45</f>
        <v>14722.898822655008</v>
      </c>
    </row>
    <row r="76" spans="1:4" x14ac:dyDescent="0.25">
      <c r="B76" t="s">
        <v>114</v>
      </c>
      <c r="C76" s="6">
        <f>(B4/($K$7*$K$3))*(B10/C33)</f>
        <v>22760681.878151756</v>
      </c>
      <c r="D76" t="s">
        <v>45</v>
      </c>
    </row>
    <row r="78" spans="1:4" x14ac:dyDescent="0.25">
      <c r="A78" s="29" t="s">
        <v>92</v>
      </c>
    </row>
    <row r="80" spans="1:4" x14ac:dyDescent="0.25">
      <c r="B80" s="2" t="s">
        <v>98</v>
      </c>
      <c r="C80">
        <f>SQRT(B15^2+C55^2)</f>
        <v>3.0564908028704203E-5</v>
      </c>
      <c r="D80">
        <f>SQRT((B15*1000)^2+(C55*1000)^2)</f>
        <v>3.05649080287042E-2</v>
      </c>
    </row>
    <row r="81" spans="1:8" x14ac:dyDescent="0.25">
      <c r="B81" s="2" t="s">
        <v>97</v>
      </c>
      <c r="C81">
        <f>SQRT(C56^2+B16^2)</f>
        <v>2.656032884849646E-6</v>
      </c>
    </row>
    <row r="82" spans="1:8" x14ac:dyDescent="0.25">
      <c r="B82" s="2" t="s">
        <v>95</v>
      </c>
      <c r="C82">
        <f>SQRT(B15^2+C55^2)</f>
        <v>3.0564908028704203E-5</v>
      </c>
      <c r="D82" t="s">
        <v>99</v>
      </c>
    </row>
    <row r="83" spans="1:8" x14ac:dyDescent="0.25">
      <c r="B83" s="2" t="s">
        <v>96</v>
      </c>
      <c r="C83">
        <f>SQRT(C56^2+B16^2)</f>
        <v>2.656032884849646E-6</v>
      </c>
    </row>
    <row r="84" spans="1:8" x14ac:dyDescent="0.25">
      <c r="A84" t="s">
        <v>93</v>
      </c>
      <c r="B84" t="s">
        <v>94</v>
      </c>
      <c r="C84" s="6">
        <f>C71/(4*(($K$2)^2)*C80*C81*C82*C83*B19)</f>
        <v>1.3108965306742849E+28</v>
      </c>
      <c r="D84" t="s">
        <v>101</v>
      </c>
    </row>
    <row r="85" spans="1:8" x14ac:dyDescent="0.25">
      <c r="B85" s="13" t="s">
        <v>94</v>
      </c>
      <c r="C85" s="12">
        <f>C84*1000000000000</f>
        <v>1.3108965306742849E+40</v>
      </c>
      <c r="D85" t="s">
        <v>100</v>
      </c>
      <c r="H85" t="s">
        <v>103</v>
      </c>
    </row>
    <row r="88" spans="1:8" x14ac:dyDescent="0.25">
      <c r="A88" s="29" t="s">
        <v>102</v>
      </c>
    </row>
    <row r="90" spans="1:8" x14ac:dyDescent="0.25">
      <c r="A90" t="s">
        <v>31</v>
      </c>
      <c r="B90" t="s">
        <v>113</v>
      </c>
      <c r="C90" t="s">
        <v>104</v>
      </c>
      <c r="D90" t="s">
        <v>105</v>
      </c>
    </row>
    <row r="91" spans="1:8" x14ac:dyDescent="0.25">
      <c r="B91" t="s">
        <v>107</v>
      </c>
      <c r="C91">
        <f>10^-2</f>
        <v>0.01</v>
      </c>
      <c r="D91">
        <f>C80*C81*1000*1000</f>
        <v>8.1181400846643321E-5</v>
      </c>
      <c r="E91" t="s">
        <v>106</v>
      </c>
    </row>
    <row r="92" spans="1:8" x14ac:dyDescent="0.25">
      <c r="B92" t="s">
        <v>108</v>
      </c>
      <c r="C92">
        <f>10^-4</f>
        <v>1E-4</v>
      </c>
      <c r="D92">
        <f>C81*C82*1000*1000</f>
        <v>8.1181400846643321E-5</v>
      </c>
      <c r="E92" t="s">
        <v>106</v>
      </c>
    </row>
    <row r="94" spans="1:8" x14ac:dyDescent="0.25">
      <c r="B94" t="s">
        <v>109</v>
      </c>
      <c r="C94" t="s">
        <v>112</v>
      </c>
      <c r="D94" t="s">
        <v>105</v>
      </c>
    </row>
    <row r="95" spans="1:8" x14ac:dyDescent="0.25">
      <c r="C95" t="s">
        <v>111</v>
      </c>
      <c r="D95" t="s">
        <v>110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HW3.3</vt:lpstr>
      <vt:lpstr>HW3.4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Lafky</dc:creator>
  <cp:lastModifiedBy>lafkym</cp:lastModifiedBy>
  <dcterms:created xsi:type="dcterms:W3CDTF">2015-06-05T18:17:20Z</dcterms:created>
  <dcterms:modified xsi:type="dcterms:W3CDTF">2022-06-17T12:26:59Z</dcterms:modified>
</cp:coreProperties>
</file>