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<sst xmlns="http://schemas.openxmlformats.org/spreadsheetml/2006/main" count="49" uniqueCount="49">
  <si>
    <t>Analysis RUN</t>
  </si>
  <si>
    <t>Total # of trades</t>
  </si>
  <si>
    <t>Winning trades</t>
  </si>
  <si>
    <t>Winning percent</t>
  </si>
  <si>
    <t># of LONG</t>
  </si>
  <si>
    <t># of Long winning</t>
  </si>
  <si>
    <t>LONG WIN %</t>
  </si>
  <si>
    <t># of short trades</t>
  </si>
  <si>
    <t># of SHORT winning</t>
  </si>
  <si>
    <t>SHORT winning %</t>
  </si>
  <si>
    <t>BBSMAXOverMTM-SMA20-PSTL</t>
  </si>
  <si>
    <t>BBSMAXOverMTM-SMA20-PSTL-RANK-20</t>
  </si>
  <si>
    <t>BBSMAXOverMTM-SMA20-PSTL-RANK-5</t>
  </si>
  <si>
    <t>BBSMAXOverMTM-SMA20-NOPSTL</t>
  </si>
  <si>
    <t>BBSMAXOverMTM-SMA20-NOPSTL-RANK20</t>
  </si>
  <si>
    <t>BBSMAXOverMTM-SMA20-NOPSTL-RANK5</t>
  </si>
  <si>
    <t>BBSMAXOverMTM-SMA100-PSTL</t>
  </si>
  <si>
    <t>BBSMAXOverMTM-SMA100-PSTL-RANK20</t>
  </si>
  <si>
    <t>BBSMAXOverMTM-SMA100-PSTL-RANK5</t>
  </si>
  <si>
    <t>BBSMAXOverMTM-SMA100-NOPSTL</t>
  </si>
  <si>
    <t>BBSMAXOverMTM-SMA100-NOPSTL-RANK20</t>
  </si>
  <si>
    <t>BBSMAXOverMTM-SMA100-NOPSTL-RANK5</t>
  </si>
  <si>
    <t>BBSMAXOverMTM-SMA200-PSTL</t>
  </si>
  <si>
    <t>BBSMAXOverMTM-SMA200-PSTL-RANK20</t>
  </si>
  <si>
    <t>BBSMAXOverMTM-SMA200-PSTL-RANK5</t>
  </si>
  <si>
    <t>BBSMAXOverMTM-SMA200-NOPSTL</t>
  </si>
  <si>
    <t>BBSMAXOverMTM-SMA200-NOPSTL-RANK20</t>
  </si>
  <si>
    <t>BBSMAXOverMTM-SMA200-NOPSTL-RANK5</t>
  </si>
  <si>
    <t>BBSMAXOverMTM-EMA10-PSTL</t>
  </si>
  <si>
    <t>BBSMAXOverMTM-EMA10-PSTL-RANK20</t>
  </si>
  <si>
    <t>BBSMAXOverMTM-EMA10-PSTL-RANK5</t>
  </si>
  <si>
    <t>BBSMAXOverMTM-EMA10-NOPSTL</t>
  </si>
  <si>
    <t>BBSMAXOverMTM-EMA10-NOPSTL-RANK20</t>
  </si>
  <si>
    <t>BBSMAXOverMTM-EMA10-NOPSTL-RANK5</t>
  </si>
  <si>
    <t>BBSMAXOverMTM-EMA20-PSTL</t>
  </si>
  <si>
    <t>BBSMAXOverMTM-EMA20-PSTL-RANK20</t>
  </si>
  <si>
    <t>BBSMAXOverMTM-EMA20-PSTL-RANK5</t>
  </si>
  <si>
    <t>BBSMAXOverMTM-EMA20-NOPSTL</t>
  </si>
  <si>
    <t>BBSMAXOverMTM-EMA20-NOPSTL-RANK20</t>
  </si>
  <si>
    <t>BBSMAXOverMTM-EMA20-NOPSTL-RANK5</t>
  </si>
  <si>
    <t>BBSMAXOverMTM-EMA50-PSTL</t>
  </si>
  <si>
    <t>BBSMAXOverMTM-EMA50-PSTL-RANK20</t>
  </si>
  <si>
    <t>BBSMAXOverMTM-EMA50-PSTL-RANK5</t>
  </si>
  <si>
    <t>BBSMAXOverMTM-EMA50-NOPSTL</t>
  </si>
  <si>
    <t>BBSMAXOverMTM-EMA50-NOPSTL-RANK20</t>
  </si>
  <si>
    <t>BBSMAXOverMTM-EMA50-NOPSTL-RANK5</t>
  </si>
  <si>
    <t>COMBINED(BB1-5 +SMA-ALL+EMA-ALL)-RANK50</t>
  </si>
  <si>
    <t>COMBINED(BB1-5 +SMA-ALL+EMA-ALL)-RANK20</t>
  </si>
  <si>
    <t>COMBINED(BB1-5 +SMA-ALL+EMA-ALL)-RANK5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</si>
</sst>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19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00CC33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19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7:7"/>
    </sheetView>
  </sheetViews>
  <sheetFormatPr defaultRowHeight="12.8"/>
  <cols>
    <col collapsed="false" hidden="false" max="1" min="1" style="0" width="61.4132653061225"/>
    <col collapsed="false" hidden="false" max="2" min="2" style="0" width="21.2551020408163"/>
    <col collapsed="false" hidden="false" max="3" min="3" style="0" width="14.5867346938776"/>
    <col collapsed="false" hidden="false" max="6" min="4" style="0" width="11.5204081632653"/>
    <col collapsed="false" hidden="false" max="7" min="7" style="0" width="14.8673469387755"/>
    <col collapsed="false" hidden="false" max="8" min="8" style="0" width="11.5204081632653"/>
    <col collapsed="false" hidden="false" max="9" min="9" style="0" width="13.3367346938776"/>
    <col collapsed="false" hidden="false" max="10" min="10" style="0" width="19.1683673469388"/>
    <col collapsed="false" hidden="false" max="1025" min="11" style="0" width="11.5204081632653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2" customFormat="true" ht="15" hidden="false" customHeight="false" outlineLevel="0" collapsed="false">
      <c r="A2" s="2" t="s">
        <v>10</v>
      </c>
      <c r="B2" s="2" t="n">
        <v>1195</v>
      </c>
      <c r="C2" s="2" t="n">
        <v>632</v>
      </c>
      <c r="D2" s="2" t="n">
        <f aca="false">632/1195 * 100</f>
        <v>52.8870292887029</v>
      </c>
      <c r="E2" s="2" t="n">
        <v>651</v>
      </c>
      <c r="F2" s="2" t="n">
        <v>381</v>
      </c>
      <c r="G2" s="2" t="n">
        <f aca="false">381/651 * 100</f>
        <v>58.5253456221198</v>
      </c>
      <c r="H2" s="2" t="n">
        <f aca="false">1195-651</f>
        <v>544</v>
      </c>
      <c r="I2" s="2" t="n">
        <f aca="false">632-381</f>
        <v>251</v>
      </c>
      <c r="J2" s="2" t="n">
        <f aca="false">251/544 * 100</f>
        <v>46.1397058823529</v>
      </c>
    </row>
    <row r="3" s="2" customFormat="true" ht="15" hidden="false" customHeight="false" outlineLevel="0" collapsed="false">
      <c r="A3" s="2" t="s">
        <v>11</v>
      </c>
      <c r="B3" s="2" t="n">
        <v>424</v>
      </c>
      <c r="C3" s="2" t="n">
        <v>280</v>
      </c>
      <c r="D3" s="2" t="n">
        <f aca="false">280/424 * 100</f>
        <v>66.0377358490566</v>
      </c>
      <c r="E3" s="2" t="n">
        <v>232</v>
      </c>
      <c r="F3" s="2" t="n">
        <v>163</v>
      </c>
      <c r="G3" s="2" t="n">
        <f aca="false">163/232 * 100</f>
        <v>70.2586206896552</v>
      </c>
      <c r="H3" s="2" t="n">
        <f aca="false">424-232</f>
        <v>192</v>
      </c>
      <c r="I3" s="2" t="n">
        <f aca="false">280-163</f>
        <v>117</v>
      </c>
      <c r="J3" s="2" t="n">
        <f aca="false">117/192 * 100</f>
        <v>60.9375</v>
      </c>
    </row>
    <row r="4" s="2" customFormat="true" ht="15" hidden="false" customHeight="false" outlineLevel="0" collapsed="false">
      <c r="A4" s="2" t="s">
        <v>12</v>
      </c>
      <c r="B4" s="2" t="n">
        <v>240</v>
      </c>
      <c r="C4" s="2" t="n">
        <v>155</v>
      </c>
      <c r="D4" s="2" t="n">
        <f aca="false">155/240 * 100</f>
        <v>64.5833333333333</v>
      </c>
      <c r="E4" s="2" t="n">
        <v>131</v>
      </c>
      <c r="F4" s="2" t="n">
        <v>88</v>
      </c>
      <c r="G4" s="2" t="n">
        <f aca="false">88/131 * 100</f>
        <v>67.175572519084</v>
      </c>
      <c r="H4" s="2" t="n">
        <f aca="false">240-131</f>
        <v>109</v>
      </c>
      <c r="I4" s="2" t="n">
        <f aca="false">155-88</f>
        <v>67</v>
      </c>
      <c r="J4" s="2" t="n">
        <f aca="false">67/109 * 100</f>
        <v>61.4678899082569</v>
      </c>
    </row>
    <row r="5" s="2" customFormat="true" ht="1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</row>
    <row r="6" customFormat="false" ht="15" hidden="false" customHeight="false" outlineLevel="0" collapsed="false">
      <c r="A6" s="2" t="s">
        <v>13</v>
      </c>
      <c r="B6" s="2" t="n">
        <v>1144</v>
      </c>
      <c r="C6" s="2" t="n">
        <v>627</v>
      </c>
      <c r="D6" s="2" t="n">
        <f aca="false">627/1144 * 100</f>
        <v>54.8076923076923</v>
      </c>
      <c r="E6" s="2" t="n">
        <v>650</v>
      </c>
      <c r="F6" s="2" t="n">
        <v>379</v>
      </c>
      <c r="G6" s="2" t="n">
        <f aca="false">379/650 * 100</f>
        <v>58.3076923076923</v>
      </c>
      <c r="H6" s="2" t="n">
        <f aca="false">1144-650</f>
        <v>494</v>
      </c>
      <c r="I6" s="2" t="n">
        <f aca="false">627-379</f>
        <v>248</v>
      </c>
      <c r="J6" s="2" t="n">
        <f aca="false">248/494 * 100</f>
        <v>50.2024291497976</v>
      </c>
    </row>
    <row r="7" s="4" customFormat="true" ht="15" hidden="false" customHeight="false" outlineLevel="0" collapsed="false">
      <c r="A7" s="3" t="s">
        <v>14</v>
      </c>
      <c r="B7" s="3" t="n">
        <v>390</v>
      </c>
      <c r="C7" s="3" t="n">
        <v>263</v>
      </c>
      <c r="D7" s="3" t="n">
        <f aca="false">263/390 * 100</f>
        <v>67.4358974358974</v>
      </c>
      <c r="E7" s="3" t="n">
        <v>232</v>
      </c>
      <c r="F7" s="3" t="n">
        <v>160</v>
      </c>
      <c r="G7" s="3" t="n">
        <f aca="false">160/232 * 100</f>
        <v>68.9655172413793</v>
      </c>
      <c r="H7" s="3" t="n">
        <f aca="false">390-232</f>
        <v>158</v>
      </c>
      <c r="I7" s="3" t="n">
        <f aca="false">263-160</f>
        <v>103</v>
      </c>
      <c r="J7" s="3" t="n">
        <f aca="false">103/158 * 100</f>
        <v>65.1898734177215</v>
      </c>
    </row>
    <row r="8" s="5" customFormat="true" ht="15" hidden="false" customHeight="false" outlineLevel="0" collapsed="false">
      <c r="A8" s="5" t="s">
        <v>15</v>
      </c>
      <c r="B8" s="5" t="n">
        <v>220</v>
      </c>
      <c r="C8" s="5" t="n">
        <v>146</v>
      </c>
      <c r="D8" s="5" t="n">
        <f aca="false">146/220 * 100</f>
        <v>66.3636363636364</v>
      </c>
      <c r="E8" s="5" t="n">
        <v>131</v>
      </c>
      <c r="F8" s="5" t="n">
        <v>87</v>
      </c>
      <c r="G8" s="5" t="n">
        <f aca="false">87/131 * 100</f>
        <v>66.412213740458</v>
      </c>
      <c r="H8" s="5" t="n">
        <f aca="false">220-131</f>
        <v>89</v>
      </c>
      <c r="I8" s="5" t="n">
        <f aca="false">146-87</f>
        <v>59</v>
      </c>
      <c r="J8" s="5" t="n">
        <f aca="false">59/89 * 100</f>
        <v>66.2921348314607</v>
      </c>
    </row>
    <row r="9" s="2" customFormat="true" ht="15" hidden="false" customHeight="false" outlineLevel="0" collapsed="false"/>
    <row r="11" s="2" customFormat="true" ht="15" hidden="false" customHeight="false" outlineLevel="0" collapsed="false">
      <c r="A11" s="2" t="s">
        <v>16</v>
      </c>
      <c r="B11" s="2" t="n">
        <v>475</v>
      </c>
      <c r="C11" s="2" t="n">
        <v>227</v>
      </c>
      <c r="D11" s="2" t="n">
        <f aca="false">227/475 * 100</f>
        <v>47.7894736842105</v>
      </c>
      <c r="E11" s="2" t="n">
        <v>246</v>
      </c>
      <c r="F11" s="2" t="n">
        <v>131</v>
      </c>
      <c r="G11" s="2" t="n">
        <f aca="false">131/246 * 100</f>
        <v>53.2520325203252</v>
      </c>
      <c r="H11" s="2" t="n">
        <f aca="false">475-246</f>
        <v>229</v>
      </c>
      <c r="I11" s="2" t="n">
        <f aca="false">227-131</f>
        <v>96</v>
      </c>
      <c r="J11" s="2" t="n">
        <f aca="false">96/229 * 100</f>
        <v>41.9213973799127</v>
      </c>
    </row>
    <row r="12" s="2" customFormat="true" ht="15" hidden="false" customHeight="false" outlineLevel="0" collapsed="false">
      <c r="A12" s="2" t="s">
        <v>17</v>
      </c>
      <c r="B12" s="2" t="n">
        <v>179</v>
      </c>
      <c r="C12" s="2" t="n">
        <v>115</v>
      </c>
      <c r="D12" s="2" t="n">
        <f aca="false">115/179 * 100</f>
        <v>64.2458100558659</v>
      </c>
      <c r="E12" s="2" t="n">
        <v>101</v>
      </c>
      <c r="F12" s="2" t="n">
        <v>70</v>
      </c>
      <c r="G12" s="2" t="n">
        <f aca="false">70/101 * 100</f>
        <v>69.3069306930693</v>
      </c>
      <c r="H12" s="2" t="n">
        <f aca="false">179-101</f>
        <v>78</v>
      </c>
      <c r="I12" s="2" t="n">
        <f aca="false">115-70</f>
        <v>45</v>
      </c>
      <c r="J12" s="2" t="n">
        <f aca="false">45/78 * 100</f>
        <v>57.6923076923077</v>
      </c>
    </row>
    <row r="13" s="2" customFormat="true" ht="15" hidden="false" customHeight="false" outlineLevel="0" collapsed="false">
      <c r="A13" s="2" t="s">
        <v>18</v>
      </c>
      <c r="B13" s="2" t="n">
        <v>94</v>
      </c>
      <c r="C13" s="2" t="n">
        <v>65</v>
      </c>
      <c r="D13" s="2" t="n">
        <f aca="false">65/94 * 100</f>
        <v>69.1489361702128</v>
      </c>
      <c r="E13" s="2" t="n">
        <v>55</v>
      </c>
      <c r="F13" s="2" t="n">
        <v>41</v>
      </c>
      <c r="G13" s="2" t="n">
        <f aca="false">41/55 * 100</f>
        <v>74.5454545454546</v>
      </c>
      <c r="H13" s="2" t="n">
        <f aca="false">94-55</f>
        <v>39</v>
      </c>
      <c r="I13" s="2" t="n">
        <f aca="false">65-41</f>
        <v>24</v>
      </c>
      <c r="J13" s="2" t="n">
        <f aca="false">24/39 * 100</f>
        <v>61.5384615384615</v>
      </c>
    </row>
    <row r="14" s="2" customFormat="true" ht="1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</row>
    <row r="15" customFormat="false" ht="15" hidden="false" customHeight="false" outlineLevel="0" collapsed="false">
      <c r="A15" s="2" t="s">
        <v>19</v>
      </c>
      <c r="B15" s="2" t="n">
        <v>467</v>
      </c>
      <c r="C15" s="2" t="n">
        <v>237</v>
      </c>
      <c r="D15" s="2" t="n">
        <f aca="false">237/467 * 100</f>
        <v>50.7494646680942</v>
      </c>
      <c r="E15" s="2" t="n">
        <v>244</v>
      </c>
      <c r="F15" s="2" t="n">
        <v>128</v>
      </c>
      <c r="G15" s="2" t="n">
        <f aca="false">128/244 * 100</f>
        <v>52.4590163934426</v>
      </c>
      <c r="H15" s="2" t="n">
        <f aca="false">467-244</f>
        <v>223</v>
      </c>
      <c r="I15" s="2" t="n">
        <f aca="false">237-128</f>
        <v>109</v>
      </c>
      <c r="J15" s="2" t="n">
        <f aca="false">109/223 * 100</f>
        <v>48.8789237668162</v>
      </c>
    </row>
    <row r="16" s="4" customFormat="true" ht="15" hidden="false" customHeight="false" outlineLevel="0" collapsed="false">
      <c r="A16" s="3" t="s">
        <v>20</v>
      </c>
      <c r="B16" s="3" t="n">
        <v>176</v>
      </c>
      <c r="C16" s="3" t="n">
        <v>119</v>
      </c>
      <c r="D16" s="3" t="n">
        <f aca="false">119/176 * 100</f>
        <v>67.6136363636364</v>
      </c>
      <c r="E16" s="3" t="n">
        <v>101</v>
      </c>
      <c r="F16" s="3" t="n">
        <v>71</v>
      </c>
      <c r="G16" s="3" t="n">
        <f aca="false">71/101 * 100</f>
        <v>70.2970297029703</v>
      </c>
      <c r="H16" s="3" t="n">
        <f aca="false">176-101</f>
        <v>75</v>
      </c>
      <c r="I16" s="3" t="n">
        <f aca="false">119-71</f>
        <v>48</v>
      </c>
      <c r="J16" s="3" t="n">
        <f aca="false">48/75 * 100</f>
        <v>64</v>
      </c>
    </row>
    <row r="17" s="5" customFormat="true" ht="15" hidden="false" customHeight="false" outlineLevel="0" collapsed="false">
      <c r="A17" s="5" t="s">
        <v>21</v>
      </c>
      <c r="B17" s="5" t="n">
        <v>93</v>
      </c>
      <c r="C17" s="5" t="n">
        <v>68</v>
      </c>
      <c r="D17" s="5" t="n">
        <f aca="false">68/93 * 100</f>
        <v>73.1182795698925</v>
      </c>
      <c r="E17" s="5" t="n">
        <v>55</v>
      </c>
      <c r="F17" s="5" t="n">
        <v>41</v>
      </c>
      <c r="G17" s="5" t="n">
        <f aca="false">41/55 * 100</f>
        <v>74.5454545454546</v>
      </c>
      <c r="H17" s="5" t="n">
        <f aca="false">93-55</f>
        <v>38</v>
      </c>
      <c r="I17" s="5" t="n">
        <f aca="false">68-41</f>
        <v>27</v>
      </c>
      <c r="J17" s="5" t="n">
        <f aca="false">27/38 * 100</f>
        <v>71.0526315789474</v>
      </c>
    </row>
    <row r="18" s="2" customFormat="true" ht="15" hidden="false" customHeight="false" outlineLevel="0" collapsed="false"/>
    <row r="20" s="2" customFormat="true" ht="15.65" hidden="false" customHeight="false" outlineLevel="0" collapsed="false">
      <c r="A20" s="2" t="s">
        <v>22</v>
      </c>
      <c r="B20" s="2" t="n">
        <v>245</v>
      </c>
      <c r="C20" s="2" t="n">
        <v>109</v>
      </c>
      <c r="D20" s="2" t="n">
        <f aca="false">109/245 * 100</f>
        <v>44.4897959183674</v>
      </c>
      <c r="E20" s="2" t="n">
        <v>121</v>
      </c>
      <c r="F20" s="2" t="n">
        <v>63</v>
      </c>
      <c r="G20" s="2" t="n">
        <f aca="false">63/121 * 100</f>
        <v>52.0661157024794</v>
      </c>
      <c r="H20" s="2" t="n">
        <f aca="false">245-121</f>
        <v>124</v>
      </c>
      <c r="I20" s="2" t="n">
        <f aca="false">109-63</f>
        <v>46</v>
      </c>
      <c r="J20" s="2" t="n">
        <f aca="false">46/124 * 100</f>
        <v>37.0967741935484</v>
      </c>
    </row>
    <row r="21" s="2" customFormat="true" ht="15" hidden="false" customHeight="false" outlineLevel="0" collapsed="false">
      <c r="A21" s="2" t="s">
        <v>23</v>
      </c>
      <c r="B21" s="2" t="n">
        <v>85</v>
      </c>
      <c r="C21" s="2" t="n">
        <v>48</v>
      </c>
      <c r="D21" s="2" t="n">
        <f aca="false">48/85 * 100</f>
        <v>56.4705882352941</v>
      </c>
      <c r="E21" s="2" t="n">
        <v>42</v>
      </c>
      <c r="F21" s="2" t="n">
        <v>30</v>
      </c>
      <c r="G21" s="2" t="n">
        <f aca="false">30/42 * 100</f>
        <v>71.4285714285714</v>
      </c>
      <c r="H21" s="2" t="n">
        <f aca="false">85-42</f>
        <v>43</v>
      </c>
      <c r="I21" s="2" t="n">
        <v>18</v>
      </c>
      <c r="J21" s="2" t="n">
        <f aca="false">18/43 * 100</f>
        <v>41.8604651162791</v>
      </c>
    </row>
    <row r="22" s="2" customFormat="true" ht="15" hidden="false" customHeight="false" outlineLevel="0" collapsed="false">
      <c r="A22" s="2" t="s">
        <v>24</v>
      </c>
      <c r="B22" s="2" t="n">
        <v>51</v>
      </c>
      <c r="C22" s="2" t="n">
        <v>30</v>
      </c>
      <c r="D22" s="2" t="n">
        <f aca="false">30/51 * 100</f>
        <v>58.8235294117647</v>
      </c>
      <c r="E22" s="2" t="n">
        <v>26</v>
      </c>
      <c r="F22" s="2" t="n">
        <v>20</v>
      </c>
      <c r="G22" s="2" t="n">
        <f aca="false">20/26 * 100</f>
        <v>76.9230769230769</v>
      </c>
      <c r="H22" s="2" t="n">
        <f aca="false">51-26</f>
        <v>25</v>
      </c>
      <c r="I22" s="2" t="n">
        <v>10</v>
      </c>
      <c r="J22" s="2" t="n">
        <f aca="false">10/25 * 100</f>
        <v>40</v>
      </c>
    </row>
    <row r="23" s="2" customFormat="true" ht="15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</row>
    <row r="24" customFormat="false" ht="15" hidden="false" customHeight="false" outlineLevel="0" collapsed="false">
      <c r="A24" s="2" t="s">
        <v>25</v>
      </c>
      <c r="B24" s="2" t="n">
        <v>243</v>
      </c>
      <c r="C24" s="2" t="n">
        <v>116</v>
      </c>
      <c r="D24" s="2" t="n">
        <f aca="false">116/243 * 100</f>
        <v>47.7366255144033</v>
      </c>
      <c r="E24" s="2" t="n">
        <v>121</v>
      </c>
      <c r="F24" s="2" t="n">
        <v>62</v>
      </c>
      <c r="G24" s="2" t="n">
        <f aca="false">62/121 * 100</f>
        <v>51.2396694214876</v>
      </c>
      <c r="H24" s="2" t="n">
        <f aca="false">243-121</f>
        <v>122</v>
      </c>
      <c r="I24" s="2" t="n">
        <f aca="false">116-62</f>
        <v>54</v>
      </c>
      <c r="J24" s="2" t="n">
        <f aca="false">54/122 * 100</f>
        <v>44.2622950819672</v>
      </c>
    </row>
    <row r="25" s="4" customFormat="true" ht="15" hidden="false" customHeight="false" outlineLevel="0" collapsed="false">
      <c r="A25" s="3" t="s">
        <v>26</v>
      </c>
      <c r="B25" s="3" t="n">
        <v>85</v>
      </c>
      <c r="C25" s="3" t="n">
        <v>52</v>
      </c>
      <c r="D25" s="3" t="n">
        <f aca="false">52/85 * 100</f>
        <v>61.1764705882353</v>
      </c>
      <c r="E25" s="3" t="n">
        <v>42</v>
      </c>
      <c r="F25" s="3" t="n">
        <v>30</v>
      </c>
      <c r="G25" s="3" t="n">
        <f aca="false">30/42 * 100</f>
        <v>71.4285714285714</v>
      </c>
      <c r="H25" s="3" t="n">
        <f aca="false">85-42</f>
        <v>43</v>
      </c>
      <c r="I25" s="3" t="n">
        <v>22</v>
      </c>
      <c r="J25" s="3" t="n">
        <f aca="false">22/43 * 100</f>
        <v>51.1627906976744</v>
      </c>
    </row>
    <row r="26" s="5" customFormat="true" ht="15" hidden="false" customHeight="false" outlineLevel="0" collapsed="false">
      <c r="A26" s="5" t="s">
        <v>27</v>
      </c>
      <c r="B26" s="5" t="n">
        <v>51</v>
      </c>
      <c r="C26" s="5" t="n">
        <v>33</v>
      </c>
      <c r="D26" s="5" t="n">
        <f aca="false">33/51 * 100</f>
        <v>64.7058823529412</v>
      </c>
      <c r="E26" s="5" t="n">
        <v>26</v>
      </c>
      <c r="F26" s="5" t="n">
        <v>20</v>
      </c>
      <c r="G26" s="5" t="n">
        <f aca="false">20/26 * 100</f>
        <v>76.9230769230769</v>
      </c>
      <c r="H26" s="5" t="n">
        <f aca="false">51-26</f>
        <v>25</v>
      </c>
      <c r="I26" s="5" t="n">
        <v>13</v>
      </c>
      <c r="J26" s="5" t="n">
        <f aca="false">13/25 * 100</f>
        <v>52</v>
      </c>
    </row>
    <row r="27" s="2" customFormat="true" ht="15" hidden="false" customHeight="false" outlineLevel="0" collapsed="false"/>
    <row r="29" s="2" customFormat="true" ht="15" hidden="false" customHeight="false" outlineLevel="0" collapsed="false">
      <c r="A29" s="2" t="s">
        <v>28</v>
      </c>
      <c r="B29" s="2" t="n">
        <v>1026</v>
      </c>
      <c r="C29" s="2" t="n">
        <v>522</v>
      </c>
      <c r="D29" s="2" t="n">
        <f aca="false">522/1026 * 100</f>
        <v>50.8771929824562</v>
      </c>
      <c r="E29" s="2" t="n">
        <v>554</v>
      </c>
      <c r="F29" s="2" t="n">
        <v>310</v>
      </c>
      <c r="G29" s="2" t="n">
        <f aca="false">310/554 * 100</f>
        <v>55.956678700361</v>
      </c>
      <c r="H29" s="2" t="n">
        <f aca="false">1026-554</f>
        <v>472</v>
      </c>
      <c r="I29" s="2" t="n">
        <f aca="false">522-310</f>
        <v>212</v>
      </c>
      <c r="J29" s="2" t="n">
        <f aca="false">212/472 * 100</f>
        <v>44.9152542372881</v>
      </c>
    </row>
    <row r="30" s="2" customFormat="true" ht="15" hidden="false" customHeight="false" outlineLevel="0" collapsed="false">
      <c r="A30" s="2" t="s">
        <v>29</v>
      </c>
      <c r="B30" s="2" t="n">
        <v>339</v>
      </c>
      <c r="C30" s="2" t="n">
        <v>212</v>
      </c>
      <c r="D30" s="2" t="n">
        <f aca="false">212/339 * 100</f>
        <v>62.5368731563422</v>
      </c>
      <c r="E30" s="2" t="n">
        <v>181</v>
      </c>
      <c r="F30" s="2" t="n">
        <v>119</v>
      </c>
      <c r="G30" s="2" t="n">
        <f aca="false">119/181 * 100</f>
        <v>65.7458563535912</v>
      </c>
      <c r="H30" s="2" t="n">
        <f aca="false">339-181</f>
        <v>158</v>
      </c>
      <c r="I30" s="2" t="n">
        <f aca="false">212-119</f>
        <v>93</v>
      </c>
      <c r="J30" s="2" t="n">
        <f aca="false">93/158 * 100</f>
        <v>58.8607594936709</v>
      </c>
    </row>
    <row r="31" s="2" customFormat="true" ht="15" hidden="false" customHeight="false" outlineLevel="0" collapsed="false">
      <c r="A31" s="2" t="s">
        <v>30</v>
      </c>
      <c r="B31" s="2" t="n">
        <v>177</v>
      </c>
      <c r="C31" s="2" t="n">
        <v>111</v>
      </c>
      <c r="D31" s="2" t="n">
        <f aca="false">111/177 * 100</f>
        <v>62.7118644067797</v>
      </c>
      <c r="E31" s="2" t="n">
        <v>92</v>
      </c>
      <c r="F31" s="2" t="n">
        <v>62</v>
      </c>
      <c r="G31" s="2" t="n">
        <f aca="false">62/92 * 100</f>
        <v>67.3913043478261</v>
      </c>
      <c r="H31" s="2" t="n">
        <f aca="false">177-92</f>
        <v>85</v>
      </c>
      <c r="I31" s="2" t="n">
        <f aca="false">111-62</f>
        <v>49</v>
      </c>
      <c r="J31" s="2" t="n">
        <f aca="false">49/85 * 100</f>
        <v>57.6470588235294</v>
      </c>
    </row>
    <row r="32" s="2" customFormat="true" ht="15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</row>
    <row r="33" customFormat="false" ht="15" hidden="false" customHeight="false" outlineLevel="0" collapsed="false">
      <c r="A33" s="2" t="s">
        <v>31</v>
      </c>
      <c r="B33" s="2" t="n">
        <v>961</v>
      </c>
      <c r="C33" s="2" t="n">
        <v>545</v>
      </c>
      <c r="D33" s="2" t="n">
        <f aca="false">545/961 * 100</f>
        <v>56.7117585848075</v>
      </c>
      <c r="E33" s="2" t="n">
        <v>551</v>
      </c>
      <c r="F33" s="2" t="n">
        <v>312</v>
      </c>
      <c r="G33" s="2" t="n">
        <f aca="false">312/551 * 100</f>
        <v>56.6243194192377</v>
      </c>
      <c r="H33" s="2" t="n">
        <f aca="false">961-551</f>
        <v>410</v>
      </c>
      <c r="I33" s="2" t="n">
        <f aca="false">545-312</f>
        <v>233</v>
      </c>
      <c r="J33" s="2" t="n">
        <f aca="false">233/410 * 100</f>
        <v>56.8292682926829</v>
      </c>
    </row>
    <row r="34" s="4" customFormat="true" ht="15" hidden="false" customHeight="false" outlineLevel="0" collapsed="false">
      <c r="A34" s="3" t="s">
        <v>32</v>
      </c>
      <c r="B34" s="3" t="n">
        <v>309</v>
      </c>
      <c r="C34" s="3" t="n">
        <v>213</v>
      </c>
      <c r="D34" s="3" t="n">
        <f aca="false">213/309 * 100</f>
        <v>68.9320388349515</v>
      </c>
      <c r="E34" s="3" t="n">
        <v>180</v>
      </c>
      <c r="F34" s="3" t="n">
        <v>120</v>
      </c>
      <c r="G34" s="3" t="n">
        <f aca="false">120/180 * 100</f>
        <v>66.6666666666667</v>
      </c>
      <c r="H34" s="3" t="n">
        <f aca="false">309-180</f>
        <v>129</v>
      </c>
      <c r="I34" s="3" t="n">
        <f aca="false">213-120</f>
        <v>93</v>
      </c>
      <c r="J34" s="3" t="n">
        <f aca="false">93/129 * 100</f>
        <v>72.093023255814</v>
      </c>
    </row>
    <row r="35" s="5" customFormat="true" ht="15" hidden="false" customHeight="false" outlineLevel="0" collapsed="false">
      <c r="A35" s="5" t="s">
        <v>33</v>
      </c>
      <c r="B35" s="5" t="n">
        <v>160</v>
      </c>
      <c r="C35" s="5" t="n">
        <v>109</v>
      </c>
      <c r="D35" s="5" t="n">
        <f aca="false">109/160 * 100</f>
        <v>68.125</v>
      </c>
      <c r="E35" s="5" t="n">
        <v>92</v>
      </c>
      <c r="F35" s="5" t="n">
        <v>62</v>
      </c>
      <c r="G35" s="5" t="n">
        <f aca="false">62/92 * 100</f>
        <v>67.3913043478261</v>
      </c>
      <c r="H35" s="5" t="n">
        <f aca="false">160-92</f>
        <v>68</v>
      </c>
      <c r="I35" s="5" t="n">
        <f aca="false">109-62</f>
        <v>47</v>
      </c>
      <c r="J35" s="5" t="n">
        <f aca="false">47/68 * 100</f>
        <v>69.1176470588235</v>
      </c>
    </row>
    <row r="36" s="2" customFormat="true" ht="15" hidden="false" customHeight="false" outlineLevel="0" collapsed="false"/>
    <row r="38" s="2" customFormat="true" ht="15" hidden="false" customHeight="false" outlineLevel="0" collapsed="false">
      <c r="A38" s="2" t="s">
        <v>34</v>
      </c>
      <c r="B38" s="2" t="n">
        <v>821</v>
      </c>
      <c r="C38" s="2" t="n">
        <v>410</v>
      </c>
      <c r="D38" s="2" t="n">
        <f aca="false">410/821 * 100</f>
        <v>49.9390986601705</v>
      </c>
      <c r="E38" s="2" t="n">
        <v>434</v>
      </c>
      <c r="F38" s="2" t="n">
        <v>235</v>
      </c>
      <c r="G38" s="2" t="n">
        <f aca="false">235/434 * 100</f>
        <v>54.147465437788</v>
      </c>
      <c r="H38" s="2" t="n">
        <f aca="false">821-434</f>
        <v>387</v>
      </c>
      <c r="I38" s="2" t="n">
        <f aca="false">410-235</f>
        <v>175</v>
      </c>
      <c r="J38" s="2" t="n">
        <f aca="false">175/387 * 100</f>
        <v>45.2196382428941</v>
      </c>
    </row>
    <row r="39" s="2" customFormat="true" ht="15" hidden="false" customHeight="false" outlineLevel="0" collapsed="false">
      <c r="A39" s="2" t="s">
        <v>35</v>
      </c>
      <c r="B39" s="2" t="n">
        <v>294</v>
      </c>
      <c r="C39" s="2" t="n">
        <v>186</v>
      </c>
      <c r="D39" s="2" t="n">
        <f aca="false">186/294 * 100</f>
        <v>63.265306122449</v>
      </c>
      <c r="E39" s="2" t="n">
        <v>156</v>
      </c>
      <c r="F39" s="2" t="n">
        <v>100</v>
      </c>
      <c r="G39" s="2" t="n">
        <f aca="false">100/156 * 100</f>
        <v>64.1025641025641</v>
      </c>
      <c r="H39" s="2" t="n">
        <f aca="false">294-156</f>
        <v>138</v>
      </c>
      <c r="I39" s="2" t="n">
        <v>86</v>
      </c>
      <c r="J39" s="2" t="n">
        <f aca="false">86/138 * 100</f>
        <v>62.3188405797101</v>
      </c>
    </row>
    <row r="40" s="2" customFormat="true" ht="15" hidden="false" customHeight="false" outlineLevel="0" collapsed="false">
      <c r="A40" s="2" t="s">
        <v>36</v>
      </c>
      <c r="B40" s="2" t="n">
        <v>183</v>
      </c>
      <c r="C40" s="2" t="n">
        <v>114</v>
      </c>
      <c r="D40" s="2" t="n">
        <f aca="false">114/183 * 100</f>
        <v>62.2950819672131</v>
      </c>
      <c r="E40" s="2" t="n">
        <v>95</v>
      </c>
      <c r="F40" s="2" t="n">
        <v>58</v>
      </c>
      <c r="G40" s="2" t="n">
        <f aca="false">58/95 * 100</f>
        <v>61.0526315789474</v>
      </c>
      <c r="H40" s="2" t="n">
        <f aca="false">183-95</f>
        <v>88</v>
      </c>
      <c r="I40" s="2" t="n">
        <f aca="false">114-58</f>
        <v>56</v>
      </c>
      <c r="J40" s="2" t="n">
        <f aca="false">56/88 * 100</f>
        <v>63.6363636363636</v>
      </c>
    </row>
    <row r="41" s="2" customFormat="true" ht="15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</row>
    <row r="42" customFormat="false" ht="15" hidden="false" customHeight="false" outlineLevel="0" collapsed="false">
      <c r="A42" s="2" t="s">
        <v>37</v>
      </c>
      <c r="B42" s="2" t="n">
        <v>774</v>
      </c>
      <c r="C42" s="2" t="n">
        <v>430</v>
      </c>
      <c r="D42" s="2" t="n">
        <f aca="false">430/774 * 100</f>
        <v>55.5555555555556</v>
      </c>
      <c r="E42" s="2" t="n">
        <v>433</v>
      </c>
      <c r="F42" s="2" t="n">
        <v>241</v>
      </c>
      <c r="G42" s="2" t="n">
        <f aca="false">241/433 * 100</f>
        <v>55.6581986143187</v>
      </c>
      <c r="H42" s="2" t="n">
        <f aca="false">774-433</f>
        <v>341</v>
      </c>
      <c r="I42" s="2" t="n">
        <f aca="false">430-241</f>
        <v>189</v>
      </c>
      <c r="J42" s="2" t="n">
        <f aca="false">189/341 * 100</f>
        <v>55.425219941349</v>
      </c>
    </row>
    <row r="43" s="4" customFormat="true" ht="15" hidden="false" customHeight="false" outlineLevel="0" collapsed="false">
      <c r="A43" s="3" t="s">
        <v>38</v>
      </c>
      <c r="B43" s="3" t="n">
        <v>276</v>
      </c>
      <c r="C43" s="3" t="n">
        <v>187</v>
      </c>
      <c r="D43" s="3" t="n">
        <f aca="false">187/276 * 100</f>
        <v>67.7536231884058</v>
      </c>
      <c r="E43" s="3" t="n">
        <v>156</v>
      </c>
      <c r="F43" s="3" t="n">
        <v>101</v>
      </c>
      <c r="G43" s="3" t="n">
        <f aca="false">101/156 * 100</f>
        <v>64.7435897435898</v>
      </c>
      <c r="H43" s="3" t="n">
        <f aca="false">276-156</f>
        <v>120</v>
      </c>
      <c r="I43" s="3" t="n">
        <f aca="false">187-101</f>
        <v>86</v>
      </c>
      <c r="J43" s="3" t="n">
        <f aca="false">86/120 * 100</f>
        <v>71.6666666666667</v>
      </c>
    </row>
    <row r="44" s="5" customFormat="true" ht="15" hidden="false" customHeight="false" outlineLevel="0" collapsed="false">
      <c r="A44" s="5" t="s">
        <v>39</v>
      </c>
      <c r="B44" s="5" t="n">
        <v>173</v>
      </c>
      <c r="C44" s="5" t="n">
        <v>113</v>
      </c>
      <c r="D44" s="5" t="n">
        <f aca="false">113/173 * 100</f>
        <v>65.3179190751445</v>
      </c>
      <c r="E44" s="5" t="n">
        <v>95</v>
      </c>
      <c r="F44" s="5" t="n">
        <v>57</v>
      </c>
      <c r="G44" s="5" t="n">
        <f aca="false">57/95 * 100</f>
        <v>60</v>
      </c>
      <c r="H44" s="5" t="n">
        <f aca="false">173-95</f>
        <v>78</v>
      </c>
      <c r="I44" s="5" t="n">
        <f aca="false">113-57</f>
        <v>56</v>
      </c>
      <c r="J44" s="5" t="n">
        <f aca="false">56/78 * 100</f>
        <v>71.7948717948718</v>
      </c>
    </row>
    <row r="46" s="2" customFormat="true" ht="15" hidden="false" customHeight="false" outlineLevel="0" collapsed="false">
      <c r="A46" s="2" t="s">
        <v>40</v>
      </c>
      <c r="B46" s="2" t="n">
        <v>495</v>
      </c>
      <c r="C46" s="2" t="n">
        <v>238</v>
      </c>
      <c r="D46" s="2" t="n">
        <f aca="false">238/495 * 100</f>
        <v>48.0808080808081</v>
      </c>
      <c r="E46" s="2" t="n">
        <v>247</v>
      </c>
      <c r="F46" s="2" t="n">
        <v>133</v>
      </c>
      <c r="G46" s="2" t="n">
        <f aca="false">133/247 * 100</f>
        <v>53.8461538461539</v>
      </c>
      <c r="H46" s="2" t="n">
        <f aca="false">495-247</f>
        <v>248</v>
      </c>
      <c r="I46" s="2" t="n">
        <f aca="false">238-133</f>
        <v>105</v>
      </c>
      <c r="J46" s="2" t="n">
        <f aca="false">105/248 * 100</f>
        <v>42.3387096774194</v>
      </c>
    </row>
    <row r="47" s="2" customFormat="true" ht="15" hidden="false" customHeight="false" outlineLevel="0" collapsed="false">
      <c r="A47" s="2" t="s">
        <v>41</v>
      </c>
      <c r="B47" s="2" t="n">
        <v>176</v>
      </c>
      <c r="C47" s="2" t="n">
        <v>108</v>
      </c>
      <c r="D47" s="2" t="n">
        <f aca="false">108/176 * 100</f>
        <v>61.3636363636364</v>
      </c>
      <c r="E47" s="2" t="n">
        <v>100</v>
      </c>
      <c r="F47" s="2" t="n">
        <v>67</v>
      </c>
      <c r="G47" s="2" t="n">
        <f aca="false">67/100 * 100</f>
        <v>67</v>
      </c>
      <c r="H47" s="2" t="n">
        <f aca="false">176-108</f>
        <v>68</v>
      </c>
      <c r="I47" s="2" t="n">
        <f aca="false">108-67</f>
        <v>41</v>
      </c>
      <c r="J47" s="2" t="n">
        <f aca="false">41/68 *100</f>
        <v>60.2941176470588</v>
      </c>
    </row>
    <row r="48" s="2" customFormat="true" ht="15" hidden="false" customHeight="false" outlineLevel="0" collapsed="false">
      <c r="A48" s="2" t="s">
        <v>42</v>
      </c>
      <c r="B48" s="2" t="n">
        <v>109</v>
      </c>
      <c r="C48" s="2" t="n">
        <v>65</v>
      </c>
      <c r="D48" s="2" t="n">
        <f aca="false">65/109 * 100</f>
        <v>59.6330275229358</v>
      </c>
      <c r="E48" s="2" t="n">
        <v>60</v>
      </c>
      <c r="F48" s="2" t="n">
        <v>38</v>
      </c>
      <c r="G48" s="2" t="n">
        <f aca="false">38/60 * 100</f>
        <v>63.3333333333333</v>
      </c>
      <c r="H48" s="2" t="n">
        <f aca="false">109-60</f>
        <v>49</v>
      </c>
      <c r="I48" s="2" t="n">
        <f aca="false">65-38</f>
        <v>27</v>
      </c>
      <c r="J48" s="2" t="n">
        <f aca="false">27/49 * 100</f>
        <v>55.1020408163265</v>
      </c>
    </row>
    <row r="50" s="2" customFormat="true" ht="15" hidden="false" customHeight="false" outlineLevel="0" collapsed="false">
      <c r="A50" s="2" t="s">
        <v>43</v>
      </c>
      <c r="B50" s="2" t="n">
        <v>485</v>
      </c>
      <c r="C50" s="2" t="n">
        <v>259</v>
      </c>
      <c r="D50" s="2" t="n">
        <f aca="false">259/485 * 100</f>
        <v>53.4020618556701</v>
      </c>
      <c r="E50" s="2" t="n">
        <v>245</v>
      </c>
      <c r="F50" s="2" t="n">
        <v>135</v>
      </c>
      <c r="G50" s="2" t="n">
        <f aca="false">135/245 * 100</f>
        <v>55.1020408163265</v>
      </c>
      <c r="H50" s="2" t="n">
        <f aca="false">485-245</f>
        <v>240</v>
      </c>
      <c r="I50" s="2" t="n">
        <f aca="false">259-135</f>
        <v>124</v>
      </c>
      <c r="J50" s="2" t="n">
        <f aca="false">124/240 * 100</f>
        <v>51.6666666666667</v>
      </c>
    </row>
    <row r="51" s="3" customFormat="true" ht="15" hidden="false" customHeight="false" outlineLevel="0" collapsed="false">
      <c r="A51" s="3" t="s">
        <v>44</v>
      </c>
      <c r="B51" s="3" t="n">
        <v>171</v>
      </c>
      <c r="C51" s="3" t="n">
        <v>112</v>
      </c>
      <c r="D51" s="3" t="n">
        <f aca="false">112/171 * 100</f>
        <v>65.4970760233918</v>
      </c>
      <c r="E51" s="3" t="n">
        <v>99</v>
      </c>
      <c r="F51" s="3" t="n">
        <v>67</v>
      </c>
      <c r="G51" s="3" t="n">
        <f aca="false">67/99 * 100</f>
        <v>67.6767676767677</v>
      </c>
      <c r="H51" s="3" t="n">
        <f aca="false">171-99</f>
        <v>72</v>
      </c>
      <c r="I51" s="3" t="n">
        <f aca="false">112-67</f>
        <v>45</v>
      </c>
      <c r="J51" s="3" t="n">
        <f aca="false">45/72 * 100</f>
        <v>62.5</v>
      </c>
    </row>
    <row r="52" s="5" customFormat="true" ht="15" hidden="false" customHeight="false" outlineLevel="0" collapsed="false">
      <c r="A52" s="5" t="s">
        <v>45</v>
      </c>
      <c r="B52" s="5" t="n">
        <v>108</v>
      </c>
      <c r="C52" s="5" t="n">
        <v>69</v>
      </c>
      <c r="D52" s="5" t="n">
        <f aca="false">69/108 * 100</f>
        <v>63.8888888888889</v>
      </c>
      <c r="E52" s="5" t="n">
        <v>60</v>
      </c>
      <c r="F52" s="5" t="n">
        <v>38</v>
      </c>
      <c r="G52" s="5" t="n">
        <f aca="false">38/60 * 100</f>
        <v>63.3333333333333</v>
      </c>
      <c r="H52" s="5" t="n">
        <f aca="false">108-60</f>
        <v>48</v>
      </c>
      <c r="I52" s="5" t="n">
        <f aca="false">69-38</f>
        <v>31</v>
      </c>
      <c r="J52" s="5" t="n">
        <f aca="false">31/48 * 100</f>
        <v>64.5833333333333</v>
      </c>
    </row>
    <row r="55" s="3" customFormat="true" ht="15" hidden="false" customHeight="false" outlineLevel="0" collapsed="false">
      <c r="A55" s="3" t="s">
        <v>46</v>
      </c>
      <c r="B55" s="3" t="n">
        <v>2140</v>
      </c>
      <c r="C55" s="3" t="n">
        <v>1392</v>
      </c>
      <c r="D55" s="3" t="n">
        <f aca="false">1392/2140 * 100</f>
        <v>65.0467289719626</v>
      </c>
      <c r="E55" s="3" t="n">
        <v>1230</v>
      </c>
      <c r="F55" s="3" t="n">
        <v>818</v>
      </c>
      <c r="G55" s="3" t="n">
        <f aca="false">818/1230 * 100</f>
        <v>66.5040650406504</v>
      </c>
      <c r="H55" s="3" t="n">
        <f aca="false">2140-1230</f>
        <v>910</v>
      </c>
      <c r="I55" s="3" t="n">
        <f aca="false">1392-818</f>
        <v>574</v>
      </c>
      <c r="J55" s="3" t="n">
        <f aca="false">574/910 * 100</f>
        <v>63.0769230769231</v>
      </c>
    </row>
    <row r="56" s="3" customFormat="true" ht="15" hidden="false" customHeight="false" outlineLevel="0" collapsed="false">
      <c r="A56" s="3" t="s">
        <v>47</v>
      </c>
      <c r="B56" s="3" t="n">
        <v>1538</v>
      </c>
      <c r="C56" s="3" t="n">
        <v>1031</v>
      </c>
      <c r="D56" s="3" t="n">
        <f aca="false">1031/1538 * 100</f>
        <v>67.03511053316</v>
      </c>
      <c r="E56" s="3" t="n">
        <v>887</v>
      </c>
      <c r="F56" s="3" t="n">
        <v>602</v>
      </c>
      <c r="G56" s="3" t="n">
        <f aca="false">602/887 * 100</f>
        <v>67.869222096956</v>
      </c>
      <c r="H56" s="3" t="n">
        <f aca="false">1538-887</f>
        <v>651</v>
      </c>
      <c r="I56" s="3" t="n">
        <f aca="false">1031-602</f>
        <v>429</v>
      </c>
      <c r="J56" s="3" t="n">
        <f aca="false">429/651 * 100</f>
        <v>65.8986175115207</v>
      </c>
    </row>
    <row r="57" s="3" customFormat="true" ht="15" hidden="false" customHeight="false" outlineLevel="0" collapsed="false">
      <c r="A57" s="3" t="s">
        <v>48</v>
      </c>
      <c r="B57" s="3" t="n">
        <v>882</v>
      </c>
      <c r="C57" s="3" t="n">
        <v>588</v>
      </c>
      <c r="D57" s="3" t="n">
        <f aca="false">588/882 * 100</f>
        <v>66.6666666666667</v>
      </c>
      <c r="E57" s="3" t="n">
        <v>500</v>
      </c>
      <c r="F57" s="3" t="n">
        <v>335</v>
      </c>
      <c r="G57" s="3" t="n">
        <f aca="false">335/500 * 100</f>
        <v>67</v>
      </c>
      <c r="H57" s="3" t="n">
        <f aca="false">882-500</f>
        <v>382</v>
      </c>
      <c r="I57" s="3" t="n">
        <f aca="false">588-335</f>
        <v>253</v>
      </c>
      <c r="J57" s="3" t="n">
        <f aca="false">253/382 * 100</f>
        <v>66.2303664921466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7:7 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2015-09-02T08:51:04Z</dcterms:created>
  <dc:language>en-US</dc:language>
  <cp:revision>0</cp:revision>
</cp:coreProperties>
</file>