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guilar/Documents/GitHub/ucr/if-7200-i-2023/Examen I/"/>
    </mc:Choice>
  </mc:AlternateContent>
  <xr:revisionPtr revIDLastSave="0" documentId="13_ncr:1_{D88B740B-C55F-2D40-8BCF-09CBA0525D14}" xr6:coauthVersionLast="47" xr6:coauthVersionMax="47" xr10:uidLastSave="{00000000-0000-0000-0000-000000000000}"/>
  <bookViews>
    <workbookView xWindow="0" yWindow="740" windowWidth="30240" windowHeight="18900" activeTab="3" xr2:uid="{38009B09-E653-A64C-9AA0-31EF34CA7BE7}"/>
  </bookViews>
  <sheets>
    <sheet name="EJER 1" sheetId="1" r:id="rId1"/>
    <sheet name="EJER 2" sheetId="9" r:id="rId2"/>
    <sheet name="EJER 3" sheetId="10" r:id="rId3"/>
    <sheet name="EJER 4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1" l="1"/>
  <c r="G8" i="11"/>
  <c r="G6" i="11"/>
  <c r="F6" i="11"/>
  <c r="F7" i="11"/>
  <c r="F8" i="11"/>
  <c r="E7" i="11"/>
  <c r="E8" i="11"/>
  <c r="E6" i="11"/>
  <c r="C8" i="11"/>
  <c r="C7" i="11"/>
  <c r="C6" i="11"/>
  <c r="H8" i="11" l="1"/>
  <c r="H6" i="11"/>
  <c r="H7" i="11"/>
  <c r="B84" i="1"/>
  <c r="F84" i="1"/>
  <c r="F85" i="1"/>
  <c r="B95" i="1" s="1"/>
  <c r="D95" i="1" s="1" a="1"/>
  <c r="D95" i="1" s="1"/>
  <c r="C93" i="1"/>
  <c r="C94" i="1"/>
  <c r="C95" i="1"/>
  <c r="D69" i="1"/>
  <c r="D70" i="1"/>
  <c r="D71" i="1"/>
  <c r="B75" i="1"/>
  <c r="C75" i="1"/>
  <c r="D75" i="1"/>
  <c r="D40" i="1"/>
  <c r="D39" i="1"/>
  <c r="D38" i="1"/>
  <c r="D30" i="1"/>
  <c r="D29" i="1"/>
  <c r="D28" i="1"/>
  <c r="D18" i="1"/>
  <c r="D19" i="1"/>
  <c r="D20" i="1"/>
  <c r="F87" i="10"/>
  <c r="G87" i="10" s="1"/>
  <c r="D87" i="10"/>
  <c r="E87" i="10" s="1"/>
  <c r="G86" i="10"/>
  <c r="E86" i="10"/>
  <c r="C82" i="10"/>
  <c r="C77" i="10"/>
  <c r="F61" i="10"/>
  <c r="D61" i="10"/>
  <c r="F60" i="10"/>
  <c r="G60" i="10" s="1"/>
  <c r="E60" i="10"/>
  <c r="D60" i="10"/>
  <c r="F59" i="10"/>
  <c r="G59" i="10" s="1"/>
  <c r="D59" i="10"/>
  <c r="E59" i="10" s="1"/>
  <c r="F58" i="10"/>
  <c r="G58" i="10" s="1"/>
  <c r="E58" i="10"/>
  <c r="D58" i="10"/>
  <c r="F57" i="10"/>
  <c r="G57" i="10" s="1"/>
  <c r="D57" i="10"/>
  <c r="E57" i="10" s="1"/>
  <c r="F56" i="10"/>
  <c r="G56" i="10" s="1"/>
  <c r="E56" i="10"/>
  <c r="D56" i="10"/>
  <c r="F55" i="10"/>
  <c r="G55" i="10" s="1"/>
  <c r="D55" i="10"/>
  <c r="E55" i="10" s="1"/>
  <c r="F54" i="10"/>
  <c r="G54" i="10" s="1"/>
  <c r="E54" i="10"/>
  <c r="D54" i="10"/>
  <c r="F53" i="10"/>
  <c r="G53" i="10" s="1"/>
  <c r="D53" i="10"/>
  <c r="E53" i="10" s="1"/>
  <c r="F52" i="10"/>
  <c r="G52" i="10" s="1"/>
  <c r="E52" i="10"/>
  <c r="E64" i="10" s="1"/>
  <c r="D52" i="10"/>
  <c r="F39" i="10"/>
  <c r="D39" i="10"/>
  <c r="F38" i="10"/>
  <c r="G38" i="10" s="1"/>
  <c r="D38" i="10"/>
  <c r="E38" i="10" s="1"/>
  <c r="F37" i="10"/>
  <c r="G37" i="10" s="1"/>
  <c r="D37" i="10"/>
  <c r="E37" i="10" s="1"/>
  <c r="F36" i="10"/>
  <c r="G36" i="10" s="1"/>
  <c r="D36" i="10"/>
  <c r="E36" i="10" s="1"/>
  <c r="F35" i="10"/>
  <c r="G35" i="10" s="1"/>
  <c r="D35" i="10"/>
  <c r="E35" i="10" s="1"/>
  <c r="F34" i="10"/>
  <c r="G34" i="10" s="1"/>
  <c r="D34" i="10"/>
  <c r="E34" i="10" s="1"/>
  <c r="F33" i="10"/>
  <c r="G33" i="10" s="1"/>
  <c r="D33" i="10"/>
  <c r="E33" i="10" s="1"/>
  <c r="F32" i="10"/>
  <c r="G32" i="10" s="1"/>
  <c r="D32" i="10"/>
  <c r="E32" i="10" s="1"/>
  <c r="F31" i="10"/>
  <c r="G31" i="10" s="1"/>
  <c r="D31" i="10"/>
  <c r="E31" i="10" s="1"/>
  <c r="D30" i="10"/>
  <c r="E30" i="10" s="1"/>
  <c r="D15" i="10"/>
  <c r="E15" i="10" s="1"/>
  <c r="D14" i="10"/>
  <c r="E14" i="10" s="1"/>
  <c r="E13" i="10"/>
  <c r="D13" i="10"/>
  <c r="D12" i="10"/>
  <c r="E12" i="10" s="1"/>
  <c r="D11" i="10"/>
  <c r="E11" i="10" s="1"/>
  <c r="D10" i="10"/>
  <c r="E10" i="10" s="1"/>
  <c r="E9" i="10"/>
  <c r="D9" i="10"/>
  <c r="D8" i="10"/>
  <c r="E8" i="10" s="1"/>
  <c r="D7" i="10"/>
  <c r="E7" i="10" s="1"/>
  <c r="B93" i="1" l="1"/>
  <c r="D93" i="1" s="1" a="1"/>
  <c r="D93" i="1" s="1"/>
  <c r="B94" i="1"/>
  <c r="D94" i="1" s="1" a="1"/>
  <c r="D94" i="1" s="1"/>
  <c r="F88" i="10"/>
  <c r="D88" i="10"/>
  <c r="G64" i="10"/>
  <c r="G63" i="10"/>
  <c r="G65" i="10" s="1"/>
  <c r="E63" i="10"/>
  <c r="E65" i="10" s="1"/>
  <c r="E42" i="10"/>
  <c r="E41" i="10"/>
  <c r="E43" i="10" s="1"/>
  <c r="G42" i="10"/>
  <c r="G41" i="10"/>
  <c r="E16" i="10"/>
  <c r="E18" i="10" s="1"/>
  <c r="E17" i="10"/>
  <c r="F89" i="10" l="1"/>
  <c r="G88" i="10"/>
  <c r="D89" i="10"/>
  <c r="E88" i="10"/>
  <c r="G43" i="10"/>
  <c r="E89" i="10" l="1"/>
  <c r="D90" i="10"/>
  <c r="G89" i="10"/>
  <c r="F90" i="10"/>
  <c r="E90" i="10" l="1"/>
  <c r="D91" i="10"/>
  <c r="F91" i="10"/>
  <c r="G90" i="10"/>
  <c r="S41" i="9"/>
  <c r="U41" i="9" s="1"/>
  <c r="S35" i="9"/>
  <c r="U35" i="9" s="1"/>
  <c r="S32" i="9"/>
  <c r="U32" i="9" s="1"/>
  <c r="V33" i="9" s="1"/>
  <c r="R32" i="9"/>
  <c r="K32" i="9"/>
  <c r="H35" i="9" s="1"/>
  <c r="U28" i="9"/>
  <c r="S28" i="9"/>
  <c r="S21" i="9"/>
  <c r="U21" i="9" s="1"/>
  <c r="K19" i="9"/>
  <c r="H25" i="9" s="1"/>
  <c r="S18" i="9"/>
  <c r="U18" i="9" s="1"/>
  <c r="R18" i="9"/>
  <c r="U14" i="9"/>
  <c r="D13" i="9"/>
  <c r="U6" i="9"/>
  <c r="J5" i="9"/>
  <c r="U3" i="9"/>
  <c r="V4" i="9" s="1"/>
  <c r="G91" i="10" l="1"/>
  <c r="F92" i="10"/>
  <c r="E91" i="10"/>
  <c r="D92" i="10"/>
  <c r="V19" i="9"/>
  <c r="D29" i="9"/>
  <c r="E92" i="10" l="1"/>
  <c r="D93" i="10"/>
  <c r="F93" i="10"/>
  <c r="G92" i="10"/>
  <c r="D9" i="1"/>
  <c r="D8" i="1"/>
  <c r="D7" i="1"/>
  <c r="E93" i="10" l="1"/>
  <c r="D94" i="10"/>
  <c r="G93" i="10"/>
  <c r="F94" i="10"/>
  <c r="G97" i="10" l="1"/>
  <c r="G96" i="10"/>
  <c r="G98" i="10" s="1"/>
  <c r="E96" i="10"/>
  <c r="E97" i="10"/>
  <c r="E98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Robles Perez</author>
  </authors>
  <commentList>
    <comment ref="C6" authorId="0" shapeId="0" xr:uid="{5222D8DB-8A12-EB48-AD1A-DCD8149888F0}">
      <text>
        <r>
          <rPr>
            <b/>
            <sz val="9"/>
            <color rgb="FF000000"/>
            <rFont val="Tahoma"/>
            <family val="2"/>
          </rPr>
          <t>David Robles Perez: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Como está en el rango, se usa 700</t>
        </r>
      </text>
    </comment>
    <comment ref="C7" authorId="0" shapeId="0" xr:uid="{461B0CBD-10E7-1C44-9E18-99B4CC9B2DE4}">
      <text>
        <r>
          <rPr>
            <b/>
            <sz val="9"/>
            <color rgb="FF000000"/>
            <rFont val="Tahoma"/>
            <family val="2"/>
          </rPr>
          <t>David Robles Perez: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Como está fuera del rango, se usa el mínimo que es 1000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<sst xmlns="http://schemas.openxmlformats.org/spreadsheetml/2006/main" count="254" uniqueCount="141">
  <si>
    <t>Estado de la naturaleza</t>
  </si>
  <si>
    <t>Mercado</t>
  </si>
  <si>
    <t>Alternativa</t>
  </si>
  <si>
    <t>Favorable</t>
  </si>
  <si>
    <t>Desfavorable</t>
  </si>
  <si>
    <t>Máximo</t>
  </si>
  <si>
    <t>Planta grande</t>
  </si>
  <si>
    <t>Planta pequeña</t>
  </si>
  <si>
    <t>No hacer nada</t>
  </si>
  <si>
    <t>Basados en Maximax la alternativa que se escoge es la planta grande</t>
  </si>
  <si>
    <t>Mínimo (Maximin)</t>
  </si>
  <si>
    <t>Basados en Maximin la alternativa que se escoge es no hacer nada</t>
  </si>
  <si>
    <t>Alpha</t>
  </si>
  <si>
    <t>Realismo α=0.8</t>
  </si>
  <si>
    <t>Basados en Hurwicz la alternativa que se escoge es hacer la planta grande</t>
  </si>
  <si>
    <t>Basados en Laplace la alternativa que se escoge es hacer la planta pequeña</t>
  </si>
  <si>
    <t>Mejor pago favorable</t>
  </si>
  <si>
    <t>Mejor pago desfavorable</t>
  </si>
  <si>
    <t>Basados en Minimax la alternativa que se escoge es hacer la planta pequeña</t>
  </si>
  <si>
    <t>Probabilidad</t>
  </si>
  <si>
    <t>VME</t>
  </si>
  <si>
    <t>VEIP</t>
  </si>
  <si>
    <t>VEIP nos indica que lo más que se pagaría por información perfectra o imperfecta son 60000</t>
  </si>
  <si>
    <t>MAX favorable</t>
  </si>
  <si>
    <t>MAX desfavorable</t>
  </si>
  <si>
    <t>VECIP</t>
  </si>
  <si>
    <t>Con información perfecta (VECIP)</t>
  </si>
  <si>
    <t>Probabilidades</t>
  </si>
  <si>
    <t>POE</t>
  </si>
  <si>
    <t>Según la POE se escoge la planta pequeña, porque debe ser la mínima POE</t>
  </si>
  <si>
    <t>%</t>
  </si>
  <si>
    <t>PAGOS</t>
  </si>
  <si>
    <t>NO ENCONTRAR PETRÓLEO</t>
  </si>
  <si>
    <t>HACER POZO</t>
  </si>
  <si>
    <t>ENCONTRAR PETRÓLEO</t>
  </si>
  <si>
    <t>NO HACER ESTUDIO</t>
  </si>
  <si>
    <t>(sin estudio)</t>
  </si>
  <si>
    <t>NO HACER POZO</t>
  </si>
  <si>
    <t>(vender)</t>
  </si>
  <si>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ENCONTRAR PETRÓLEO</t>
    </r>
  </si>
  <si>
    <t>PERFORAR</t>
  </si>
  <si>
    <t>ESTUDIO FAVORABLE</t>
  </si>
  <si>
    <t>HACER ESTUDIO</t>
  </si>
  <si>
    <t>VENDER</t>
  </si>
  <si>
    <t>(con estudio)</t>
  </si>
  <si>
    <t>ESTUDIO DESFAVORABLE</t>
  </si>
  <si>
    <t>Año</t>
  </si>
  <si>
    <t>Computadoras</t>
  </si>
  <si>
    <t>Pronóstico Ventas</t>
  </si>
  <si>
    <t>Valor Absoluto</t>
  </si>
  <si>
    <t>Sumatoria=</t>
  </si>
  <si>
    <t>n=</t>
  </si>
  <si>
    <t>DMA=</t>
  </si>
  <si>
    <t>Lo que significa que, en promedio, cada pronóstico difiere del valor real en 17.8 unidades</t>
  </si>
  <si>
    <t>Exactitud del pronóstico DMA</t>
  </si>
  <si>
    <t>Promedio móvil</t>
  </si>
  <si>
    <t>Mes</t>
  </si>
  <si>
    <t>Ventas reales</t>
  </si>
  <si>
    <t>Promedio 3 meses</t>
  </si>
  <si>
    <t>Error</t>
  </si>
  <si>
    <t>Promedio 4 meses</t>
  </si>
  <si>
    <t>Error2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</si>
  <si>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</si>
  <si>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</si>
  <si>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</si>
  <si>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</si>
  <si>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</si>
  <si>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</si>
  <si>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</si>
  <si>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</si>
  <si>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</si>
  <si>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</si>
  <si>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</si>
  <si>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</si>
  <si>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sumatoria</t>
  </si>
  <si>
    <t>n</t>
  </si>
  <si>
    <t>DMA</t>
  </si>
  <si>
    <t>Promedio 3 meses 1-2-3</t>
  </si>
  <si>
    <t>Promedio 3 meses 3-2-1</t>
  </si>
  <si>
    <t>Promedio móvil ponderado</t>
  </si>
  <si>
    <t>Suavizamiento exponencial</t>
  </si>
  <si>
    <t>Predicción Febrero</t>
  </si>
  <si>
    <t>Demanda real</t>
  </si>
  <si>
    <t>a</t>
  </si>
  <si>
    <t>Demanda Marzo</t>
  </si>
  <si>
    <t>142 + 0.2 (153-142)</t>
  </si>
  <si>
    <t>Demanda real Marzo</t>
  </si>
  <si>
    <t>Demanda en Abril</t>
  </si>
  <si>
    <t>142 + 0.2 (136-144.2)</t>
  </si>
  <si>
    <t>Pronósticos</t>
  </si>
  <si>
    <t>Trimestre</t>
  </si>
  <si>
    <t>Real</t>
  </si>
  <si>
    <t>a= 0.1</t>
  </si>
  <si>
    <t>a= 0.5</t>
  </si>
  <si>
    <t>??</t>
  </si>
  <si>
    <t>Sumatoria</t>
  </si>
  <si>
    <t>MAXIMAX</t>
  </si>
  <si>
    <t>MAXIMN</t>
  </si>
  <si>
    <t>HURWICZ</t>
  </si>
  <si>
    <t>LAPLACE</t>
  </si>
  <si>
    <t>MINIMAX</t>
  </si>
  <si>
    <t xml:space="preserve"> ₡     -  </t>
  </si>
  <si>
    <t xml:space="preserve"> ₡                -  </t>
  </si>
  <si>
    <t>Unidades</t>
  </si>
  <si>
    <t>Precio Unitario</t>
  </si>
  <si>
    <t>CLE</t>
  </si>
  <si>
    <t>Cantidad a ordenar</t>
  </si>
  <si>
    <t>Costo anual del material</t>
  </si>
  <si>
    <t>Costo anual por ordenar</t>
  </si>
  <si>
    <t>Costo anual por almacenar</t>
  </si>
  <si>
    <t>Total</t>
  </si>
  <si>
    <t>1000-1999</t>
  </si>
  <si>
    <t>Demanda Annual</t>
  </si>
  <si>
    <t>Costo por ordenar</t>
  </si>
  <si>
    <t>Costo por almacenar</t>
  </si>
  <si>
    <t>1000 ordenes minimiza el costo total de inventario</t>
  </si>
  <si>
    <t>Q = número de piezas por orden o de corrida de producción</t>
  </si>
  <si>
    <t>Cs = costo por preparación</t>
  </si>
  <si>
    <t>Ch = costo anual por almacenar por unidad</t>
  </si>
  <si>
    <t>p = tasa de producción diaria</t>
  </si>
  <si>
    <t>d = tasa de demanda diaria</t>
  </si>
  <si>
    <t>t = magnitud de la corrida de producción en días</t>
  </si>
  <si>
    <t>D = demanda</t>
  </si>
  <si>
    <t>C = costo por compra por unidad</t>
  </si>
  <si>
    <t>Nivel máximo del inventario = Q(1-(d/p)</t>
  </si>
  <si>
    <t>Inventario promedio = (Q/2)*(1-(d/p))</t>
  </si>
  <si>
    <t>Costo anual por almacenar = Q/2*(1-(1/p))*Ch</t>
  </si>
  <si>
    <t>Costo anual por preparación = (D/Q)*Cs</t>
  </si>
  <si>
    <t>Costo anual por ordenar = (D/Q)*C0</t>
  </si>
  <si>
    <t>Costo anual por almacenar = costo anual por preparar</t>
  </si>
  <si>
    <r>
      <t>Cantidad óptima de producción = Q* = RAÍZ ((2</t>
    </r>
    <r>
      <rPr>
        <i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Cs)/Ch*(1-(d/p)))</t>
    </r>
  </si>
  <si>
    <t>Q = número de piezas a ordenar</t>
  </si>
  <si>
    <t>CLE = Q* = número óptmino de piezas a ordenar</t>
  </si>
  <si>
    <t>D = demanda anual en unidaddes del artículo en inventario</t>
  </si>
  <si>
    <t>Co = costo por colocar cada orden</t>
  </si>
  <si>
    <t>TC = costos por odenar y almacenar</t>
  </si>
  <si>
    <t>Costo anual de ordenar → (D/Q)*Co</t>
  </si>
  <si>
    <t>Costo anual por almacenar → (Q/2)*Ch</t>
  </si>
  <si>
    <r>
      <t>CLE = Q* = Raíz((2</t>
    </r>
    <r>
      <rPr>
        <i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Co) /Ch)</t>
    </r>
  </si>
  <si>
    <t>TC = (D/Q)*Co + (Q/2)*Ch</t>
  </si>
  <si>
    <t>Nivel promedio de inventario Q/2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</si>
</sst>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₡-140A]* #,##0.00_-;\-[$₡-140A]* #,##0.00_-;_-[$₡-140A]* &quot;-&quot;??_-;_-@_-"/>
    <numFmt numFmtId="165" formatCode="&quot;$&quot;#,##0.00"/>
    <numFmt numFmtId="166" formatCode="0.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4472C4"/>
      </patternFill>
    </fill>
    <fill>
      <patternFill patternType="solid">
        <fgColor rgb="FFE25F6D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0" fillId="3" borderId="0" xfId="0" applyFill="1"/>
    <xf numFmtId="0" fontId="4" fillId="3" borderId="2" xfId="0" applyFont="1" applyFill="1" applyBorder="1" applyAlignment="1">
      <alignment horizontal="center"/>
    </xf>
    <xf numFmtId="164" fontId="5" fillId="3" borderId="0" xfId="0" applyNumberFormat="1" applyFont="1" applyFill="1"/>
    <xf numFmtId="0" fontId="4" fillId="4" borderId="3" xfId="0" applyFont="1" applyFill="1" applyBorder="1"/>
    <xf numFmtId="0" fontId="4" fillId="4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5" fillId="0" borderId="4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0" fontId="5" fillId="2" borderId="5" xfId="0" applyFont="1" applyFill="1" applyBorder="1"/>
    <xf numFmtId="0" fontId="5" fillId="2" borderId="5" xfId="1" applyNumberFormat="1" applyFont="1" applyFill="1" applyBorder="1"/>
    <xf numFmtId="164" fontId="5" fillId="2" borderId="5" xfId="0" applyNumberFormat="1" applyFont="1" applyFill="1" applyBorder="1"/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10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0" fontId="0" fillId="0" borderId="0" xfId="0" applyNumberFormat="1"/>
    <xf numFmtId="165" fontId="0" fillId="0" borderId="0" xfId="0" applyNumberFormat="1"/>
    <xf numFmtId="165" fontId="7" fillId="5" borderId="0" xfId="0" applyNumberFormat="1" applyFont="1" applyFill="1" applyAlignment="1">
      <alignment horizontal="center" vertical="center"/>
    </xf>
    <xf numFmtId="165" fontId="7" fillId="5" borderId="0" xfId="0" applyNumberFormat="1" applyFont="1" applyFill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7" fillId="0" borderId="0" xfId="0" applyFont="1"/>
    <xf numFmtId="9" fontId="0" fillId="0" borderId="0" xfId="0" applyNumberFormat="1"/>
    <xf numFmtId="165" fontId="7" fillId="5" borderId="0" xfId="0" applyNumberFormat="1" applyFont="1" applyFill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/>
    <xf numFmtId="2" fontId="0" fillId="0" borderId="0" xfId="0" applyNumberFormat="1"/>
    <xf numFmtId="0" fontId="0" fillId="0" borderId="6" xfId="0" applyBorder="1"/>
    <xf numFmtId="0" fontId="0" fillId="0" borderId="0" xfId="0" applyAlignment="1">
      <alignment horizontal="center"/>
    </xf>
    <xf numFmtId="0" fontId="6" fillId="0" borderId="0" xfId="0" applyFont="1"/>
    <xf numFmtId="0" fontId="9" fillId="6" borderId="0" xfId="0" applyFont="1" applyFill="1"/>
    <xf numFmtId="0" fontId="11" fillId="0" borderId="0" xfId="0" applyFont="1"/>
    <xf numFmtId="0" fontId="10" fillId="6" borderId="3" xfId="0" applyFont="1" applyFill="1" applyBorder="1"/>
    <xf numFmtId="0" fontId="10" fillId="7" borderId="3" xfId="0" applyFont="1" applyFill="1" applyBorder="1"/>
    <xf numFmtId="0" fontId="10" fillId="7" borderId="7" xfId="0" applyFont="1" applyFill="1" applyBorder="1"/>
    <xf numFmtId="0" fontId="12" fillId="8" borderId="3" xfId="0" applyFont="1" applyFill="1" applyBorder="1"/>
    <xf numFmtId="164" fontId="12" fillId="8" borderId="8" xfId="0" applyNumberFormat="1" applyFont="1" applyFill="1" applyBorder="1"/>
    <xf numFmtId="164" fontId="8" fillId="8" borderId="9" xfId="0" applyNumberFormat="1" applyFont="1" applyFill="1" applyBorder="1"/>
    <xf numFmtId="0" fontId="12" fillId="0" borderId="0" xfId="0" applyFont="1"/>
    <xf numFmtId="0" fontId="12" fillId="0" borderId="3" xfId="0" applyFont="1" applyBorder="1"/>
    <xf numFmtId="164" fontId="12" fillId="0" borderId="8" xfId="0" applyNumberFormat="1" applyFont="1" applyBorder="1"/>
    <xf numFmtId="164" fontId="8" fillId="0" borderId="9" xfId="0" applyNumberFormat="1" applyFont="1" applyBorder="1"/>
    <xf numFmtId="164" fontId="12" fillId="0" borderId="0" xfId="0" applyNumberFormat="1" applyFont="1"/>
    <xf numFmtId="164" fontId="12" fillId="8" borderId="9" xfId="0" applyNumberFormat="1" applyFont="1" applyFill="1" applyBorder="1"/>
    <xf numFmtId="0" fontId="10" fillId="7" borderId="9" xfId="0" applyFont="1" applyFill="1" applyBorder="1"/>
    <xf numFmtId="164" fontId="12" fillId="0" borderId="9" xfId="0" applyNumberFormat="1" applyFont="1" applyBorder="1"/>
    <xf numFmtId="0" fontId="10" fillId="6" borderId="0" xfId="0" applyFont="1" applyFill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3" fillId="0" borderId="0" xfId="0" applyFont="1"/>
    <xf numFmtId="0" fontId="5" fillId="0" borderId="0" xfId="0" applyFont="1" applyAlignment="1">
      <alignment horizontal="left" indent="1"/>
    </xf>
    <xf numFmtId="0" fontId="12" fillId="0" borderId="0" xfId="0" applyFont="1" applyAlignment="1">
      <alignment horizontal="left" indent="1"/>
    </xf>
    <xf numFmtId="0" fontId="5" fillId="0" borderId="0" xfId="0" applyFont="1" applyAlignment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left" indent="1"/>
    </xf>
  </cellXfs>
  <cellStyles count="2">
    <cellStyle name="Normal" xfId="0" builtinId="0"/>
    <cellStyle name="Percent" xfId="1" builtinId="5"/>
  </cellStyles>
  <dxfs count="6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12695</xdr:colOff>
      <xdr:row>17</xdr:row>
      <xdr:rowOff>18632</xdr:rowOff>
    </xdr:from>
    <xdr:to>
      <xdr:col>3</xdr:col>
      <xdr:colOff>12695</xdr:colOff>
      <xdr:row>21</xdr:row>
      <xdr:rowOff>196432</xdr:rowOff>
    </xdr:to>
    <xdr:sp macro="" textlink="D30">
      <xdr:nvSpPr>
        <xdr:cNvPr id="2" name="Rectangle 1">
          <a:extLst>
            <a:ext uri="{FF2B5EF4-FFF2-40B4-BE49-F238E27FC236}">
              <a16:creationId xmlns:a16="http://schemas.microsoft.com/office/drawing/2014/main" id="{2F2EB9C1-385C-084B-86A5-8B1E503DCD0A}"/>
            </a:ext>
          </a:extLst>
        </xdr:cNvPr>
        <xdr:cNvSpPr/>
      </xdr:nvSpPr>
      <xdr:spPr>
        <a:xfrm>
          <a:off x="838195" y="3676232"/>
          <a:ext cx="165100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D075D20-E6F8-FB4C-AA0A-95503E07CC88}" type="TxLink">
            <a:rPr lang="en-US" sz="1200" b="0" i="0" u="none" strike="noStrike">
              <a:solidFill>
                <a:srgbClr val="FFFFFF"/>
              </a:solidFill>
              <a:latin typeface="Calibri"/>
              <a:cs typeface="Calibri"/>
            </a:rPr>
            <a:pPr algn="ctr"/>
            <a:t> </a:t>
          </a:fld>
          <a:endParaRPr lang="en-US" sz="1600"/>
        </a:p>
      </xdr:txBody>
    </xdr:sp>
    <xdr:clientData/>
  </xdr:twoCellAnchor>
  <xdr:twoCellAnchor>
    <xdr:from>
      <xdr:col>3</xdr:col>
      <xdr:colOff>12695</xdr:colOff>
      <xdr:row>19</xdr:row>
      <xdr:rowOff>107532</xdr:rowOff>
    </xdr:from>
    <xdr:to>
      <xdr:col>6</xdr:col>
      <xdr:colOff>20320</xdr:colOff>
      <xdr:row>28</xdr:row>
      <xdr:rowOff>30056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F17F723-BFA4-DB44-AADF-4DEAA0E179AD}"/>
            </a:ext>
          </a:extLst>
        </xdr:cNvPr>
        <xdr:cNvCxnSpPr>
          <a:cxnSpLocks/>
          <a:stCxn id="2" idx="3"/>
          <a:endCxn id="14" idx="2"/>
        </xdr:cNvCxnSpPr>
      </xdr:nvCxnSpPr>
      <xdr:spPr>
        <a:xfrm>
          <a:off x="2489195" y="4171532"/>
          <a:ext cx="3055625" cy="1751324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12695</xdr:colOff>
      <xdr:row>9</xdr:row>
      <xdr:rowOff>101600</xdr:rowOff>
    </xdr:from>
    <xdr:to>
      <xdr:col>6</xdr:col>
      <xdr:colOff>25400</xdr:colOff>
      <xdr:row>19</xdr:row>
      <xdr:rowOff>107532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7EC536D-E2A1-F44C-82F0-AE8EBF16BD63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2489195" y="2133600"/>
          <a:ext cx="3060705" cy="2037932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7</xdr:row>
      <xdr:rowOff>12700</xdr:rowOff>
    </xdr:from>
    <xdr:to>
      <xdr:col>8</xdr:col>
      <xdr:colOff>25400</xdr:colOff>
      <xdr:row>11</xdr:row>
      <xdr:rowOff>190500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30EFAF7-4623-0A45-A88B-9D38974F7F3D}"/>
            </a:ext>
          </a:extLst>
        </xdr:cNvPr>
        <xdr:cNvSpPr/>
      </xdr:nvSpPr>
      <xdr:spPr>
        <a:xfrm>
          <a:off x="5549900" y="1638300"/>
          <a:ext cx="171450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25400</xdr:colOff>
      <xdr:row>3</xdr:row>
      <xdr:rowOff>184150</xdr:rowOff>
    </xdr:from>
    <xdr:to>
      <xdr:col>11</xdr:col>
      <xdr:colOff>304800</xdr:colOff>
      <xdr:row>9</xdr:row>
      <xdr:rowOff>101600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C3A018D-4B7C-024D-A470-AEABDACFCC9A}"/>
            </a:ext>
          </a:extLst>
        </xdr:cNvPr>
        <xdr:cNvCxnSpPr>
          <a:stCxn id="5" idx="3"/>
          <a:endCxn id="9" idx="2"/>
        </xdr:cNvCxnSpPr>
      </xdr:nvCxnSpPr>
      <xdr:spPr>
        <a:xfrm flipV="1">
          <a:off x="7264400" y="996950"/>
          <a:ext cx="2984500" cy="113665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9</xdr:row>
      <xdr:rowOff>101600</xdr:rowOff>
    </xdr:from>
    <xdr:to>
      <xdr:col>11</xdr:col>
      <xdr:colOff>261206</xdr:colOff>
      <xdr:row>13</xdr:row>
      <xdr:rowOff>117092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9DC1293-A9E6-804E-95AD-2144763C7372}"/>
            </a:ext>
          </a:extLst>
        </xdr:cNvPr>
        <xdr:cNvCxnSpPr>
          <a:stCxn id="5" idx="3"/>
        </xdr:cNvCxnSpPr>
      </xdr:nvCxnSpPr>
      <xdr:spPr>
        <a:xfrm>
          <a:off x="7264400" y="2133600"/>
          <a:ext cx="2940906" cy="828292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254772</xdr:colOff>
      <xdr:row>13</xdr:row>
      <xdr:rowOff>116075</xdr:rowOff>
    </xdr:from>
    <xdr:to>
      <xdr:col>17</xdr:col>
      <xdr:colOff>6828</xdr:colOff>
      <xdr:row>13</xdr:row>
      <xdr:rowOff>119666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5240DF9-47B8-2547-A718-E8E761A18A41}"/>
            </a:ext>
          </a:extLst>
        </xdr:cNvPr>
        <xdr:cNvCxnSpPr/>
      </xdr:nvCxnSpPr>
      <xdr:spPr>
        <a:xfrm flipV="1">
          <a:off x="10198872" y="2960875"/>
          <a:ext cx="4705056" cy="3591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</xdr:row>
      <xdr:rowOff>88900</xdr:rowOff>
    </xdr:from>
    <xdr:to>
      <xdr:col>12</xdr:col>
      <xdr:colOff>482600</xdr:colOff>
      <xdr:row>6</xdr:row>
      <xdr:rowOff>76200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8B262845-83AC-864C-AB01-0E6E332FA3CA}"/>
            </a:ext>
          </a:extLst>
        </xdr:cNvPr>
        <xdr:cNvSpPr/>
      </xdr:nvSpPr>
      <xdr:spPr>
        <a:xfrm>
          <a:off x="10248900" y="495300"/>
          <a:ext cx="1003300" cy="1003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165100</xdr:colOff>
      <xdr:row>2</xdr:row>
      <xdr:rowOff>88900</xdr:rowOff>
    </xdr:from>
    <xdr:to>
      <xdr:col>17</xdr:col>
      <xdr:colOff>6828</xdr:colOff>
      <xdr:row>2</xdr:row>
      <xdr:rowOff>102419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EABFEED-0121-094A-9761-D87538D705CF}"/>
            </a:ext>
          </a:extLst>
        </xdr:cNvPr>
        <xdr:cNvCxnSpPr/>
      </xdr:nvCxnSpPr>
      <xdr:spPr>
        <a:xfrm>
          <a:off x="10934700" y="698500"/>
          <a:ext cx="3969228" cy="13519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322135</xdr:colOff>
      <xdr:row>5</xdr:row>
      <xdr:rowOff>83708</xdr:rowOff>
    </xdr:from>
    <xdr:to>
      <xdr:col>17</xdr:col>
      <xdr:colOff>6828</xdr:colOff>
      <xdr:row>5</xdr:row>
      <xdr:rowOff>102420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7414F63-9BEA-BB44-9FE0-AED85B30AD52}"/>
            </a:ext>
          </a:extLst>
        </xdr:cNvPr>
        <xdr:cNvCxnSpPr/>
      </xdr:nvCxnSpPr>
      <xdr:spPr>
        <a:xfrm>
          <a:off x="11091735" y="1302908"/>
          <a:ext cx="3812193" cy="18712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40640</xdr:colOff>
      <xdr:row>9</xdr:row>
      <xdr:rowOff>187203</xdr:rowOff>
    </xdr:from>
    <xdr:to>
      <xdr:col>9</xdr:col>
      <xdr:colOff>342126</xdr:colOff>
      <xdr:row>11</xdr:row>
      <xdr:rowOff>162560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F71A728-F99B-0943-AE94-AF92F33D15BE}"/>
            </a:ext>
          </a:extLst>
        </xdr:cNvPr>
        <xdr:cNvCxnSpPr/>
      </xdr:nvCxnSpPr>
      <xdr:spPr>
        <a:xfrm flipV="1">
          <a:off x="8105140" y="2219203"/>
          <a:ext cx="301486" cy="381757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10</xdr:row>
      <xdr:rowOff>34803</xdr:rowOff>
    </xdr:from>
    <xdr:to>
      <xdr:col>9</xdr:col>
      <xdr:colOff>453886</xdr:colOff>
      <xdr:row>12</xdr:row>
      <xdr:rowOff>10160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9886260E-BC29-104F-9286-4A7B65EAD444}"/>
            </a:ext>
          </a:extLst>
        </xdr:cNvPr>
        <xdr:cNvCxnSpPr/>
      </xdr:nvCxnSpPr>
      <xdr:spPr>
        <a:xfrm flipV="1">
          <a:off x="8216900" y="2270003"/>
          <a:ext cx="301486" cy="381757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</xdr:colOff>
      <xdr:row>25</xdr:row>
      <xdr:rowOff>138006</xdr:rowOff>
    </xdr:from>
    <xdr:to>
      <xdr:col>7</xdr:col>
      <xdr:colOff>198120</xdr:colOff>
      <xdr:row>30</xdr:row>
      <xdr:rowOff>125306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26F5FA8F-1C88-9741-A7BB-FDDCB3A349A9}"/>
            </a:ext>
          </a:extLst>
        </xdr:cNvPr>
        <xdr:cNvSpPr/>
      </xdr:nvSpPr>
      <xdr:spPr>
        <a:xfrm>
          <a:off x="5544820" y="5421206"/>
          <a:ext cx="1003300" cy="1003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198120</xdr:colOff>
      <xdr:row>21</xdr:row>
      <xdr:rowOff>125309</xdr:rowOff>
    </xdr:from>
    <xdr:to>
      <xdr:col>10</xdr:col>
      <xdr:colOff>28786</xdr:colOff>
      <xdr:row>28</xdr:row>
      <xdr:rowOff>30056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4CED7DD-26F3-CC4E-95A0-0184B7F85370}"/>
            </a:ext>
          </a:extLst>
        </xdr:cNvPr>
        <xdr:cNvCxnSpPr>
          <a:stCxn id="14" idx="6"/>
          <a:endCxn id="18" idx="1"/>
        </xdr:cNvCxnSpPr>
      </xdr:nvCxnSpPr>
      <xdr:spPr>
        <a:xfrm flipV="1">
          <a:off x="6548120" y="4595709"/>
          <a:ext cx="2535766" cy="1327147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28</xdr:row>
      <xdr:rowOff>30056</xdr:rowOff>
    </xdr:from>
    <xdr:to>
      <xdr:col>9</xdr:col>
      <xdr:colOff>987213</xdr:colOff>
      <xdr:row>34</xdr:row>
      <xdr:rowOff>135473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869EB57-17E8-1E41-AA33-D808CCFA10B8}"/>
            </a:ext>
          </a:extLst>
        </xdr:cNvPr>
        <xdr:cNvCxnSpPr>
          <a:stCxn id="14" idx="6"/>
          <a:endCxn id="17" idx="1"/>
        </xdr:cNvCxnSpPr>
      </xdr:nvCxnSpPr>
      <xdr:spPr>
        <a:xfrm>
          <a:off x="6548120" y="5922856"/>
          <a:ext cx="2503593" cy="1324617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987213</xdr:colOff>
      <xdr:row>32</xdr:row>
      <xdr:rowOff>46573</xdr:rowOff>
    </xdr:from>
    <xdr:to>
      <xdr:col>11</xdr:col>
      <xdr:colOff>743373</xdr:colOff>
      <xdr:row>37</xdr:row>
      <xdr:rowOff>21173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3F39B92-CCBD-B64A-AE6D-A471E8E80ACC}"/>
            </a:ext>
          </a:extLst>
        </xdr:cNvPr>
        <xdr:cNvSpPr/>
      </xdr:nvSpPr>
      <xdr:spPr>
        <a:xfrm>
          <a:off x="9051713" y="6752173"/>
          <a:ext cx="163576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28786</xdr:colOff>
      <xdr:row>19</xdr:row>
      <xdr:rowOff>36409</xdr:rowOff>
    </xdr:from>
    <xdr:to>
      <xdr:col>11</xdr:col>
      <xdr:colOff>780626</xdr:colOff>
      <xdr:row>24</xdr:row>
      <xdr:rowOff>11009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0B5EBAA-0FE8-5948-A1D5-3752DDD47A47}"/>
            </a:ext>
          </a:extLst>
        </xdr:cNvPr>
        <xdr:cNvSpPr/>
      </xdr:nvSpPr>
      <xdr:spPr>
        <a:xfrm>
          <a:off x="9083886" y="4100409"/>
          <a:ext cx="164084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780626</xdr:colOff>
      <xdr:row>18</xdr:row>
      <xdr:rowOff>138624</xdr:rowOff>
    </xdr:from>
    <xdr:to>
      <xdr:col>14</xdr:col>
      <xdr:colOff>451210</xdr:colOff>
      <xdr:row>21</xdr:row>
      <xdr:rowOff>125309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5E7542E-7ED0-684B-9F4B-7C8CBCA0D403}"/>
            </a:ext>
          </a:extLst>
        </xdr:cNvPr>
        <xdr:cNvCxnSpPr>
          <a:stCxn id="18" idx="3"/>
          <a:endCxn id="24" idx="2"/>
        </xdr:cNvCxnSpPr>
      </xdr:nvCxnSpPr>
      <xdr:spPr>
        <a:xfrm flipV="1">
          <a:off x="10724726" y="3999424"/>
          <a:ext cx="2147084" cy="59628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780626</xdr:colOff>
      <xdr:row>21</xdr:row>
      <xdr:rowOff>125309</xdr:rowOff>
    </xdr:from>
    <xdr:to>
      <xdr:col>15</xdr:col>
      <xdr:colOff>110066</xdr:colOff>
      <xdr:row>27</xdr:row>
      <xdr:rowOff>81281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05B68EE-6596-334F-9EA6-1587BB6F3795}"/>
            </a:ext>
          </a:extLst>
        </xdr:cNvPr>
        <xdr:cNvCxnSpPr>
          <a:stCxn id="18" idx="3"/>
        </xdr:cNvCxnSpPr>
      </xdr:nvCxnSpPr>
      <xdr:spPr>
        <a:xfrm>
          <a:off x="10724726" y="4595709"/>
          <a:ext cx="2631440" cy="1175172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743373</xdr:colOff>
      <xdr:row>33</xdr:row>
      <xdr:rowOff>30348</xdr:rowOff>
    </xdr:from>
    <xdr:to>
      <xdr:col>14</xdr:col>
      <xdr:colOff>435871</xdr:colOff>
      <xdr:row>34</xdr:row>
      <xdr:rowOff>135473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A9074E9-1159-9F48-8FF0-D166F8F8522F}"/>
            </a:ext>
          </a:extLst>
        </xdr:cNvPr>
        <xdr:cNvCxnSpPr>
          <a:stCxn id="17" idx="3"/>
          <a:endCxn id="28" idx="2"/>
        </xdr:cNvCxnSpPr>
      </xdr:nvCxnSpPr>
      <xdr:spPr>
        <a:xfrm flipV="1">
          <a:off x="10687473" y="6939148"/>
          <a:ext cx="2168998" cy="30832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743373</xdr:colOff>
      <xdr:row>34</xdr:row>
      <xdr:rowOff>135473</xdr:rowOff>
    </xdr:from>
    <xdr:to>
      <xdr:col>15</xdr:col>
      <xdr:colOff>82550</xdr:colOff>
      <xdr:row>40</xdr:row>
      <xdr:rowOff>134620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62D1BEF-A85E-424E-811C-53B1DE878B9B}"/>
            </a:ext>
          </a:extLst>
        </xdr:cNvPr>
        <xdr:cNvCxnSpPr>
          <a:stCxn id="17" idx="3"/>
        </xdr:cNvCxnSpPr>
      </xdr:nvCxnSpPr>
      <xdr:spPr>
        <a:xfrm>
          <a:off x="10687473" y="7247473"/>
          <a:ext cx="2641177" cy="1218347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81343</xdr:colOff>
      <xdr:row>27</xdr:row>
      <xdr:rowOff>73988</xdr:rowOff>
    </xdr:from>
    <xdr:to>
      <xdr:col>17</xdr:col>
      <xdr:colOff>15495</xdr:colOff>
      <xdr:row>27</xdr:row>
      <xdr:rowOff>83868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F9438FF-F991-6E41-92E0-4782AC40E3F7}"/>
            </a:ext>
          </a:extLst>
        </xdr:cNvPr>
        <xdr:cNvCxnSpPr/>
      </xdr:nvCxnSpPr>
      <xdr:spPr>
        <a:xfrm>
          <a:off x="13327443" y="5763588"/>
          <a:ext cx="1585152" cy="988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451210</xdr:colOff>
      <xdr:row>16</xdr:row>
      <xdr:rowOff>43373</xdr:rowOff>
    </xdr:from>
    <xdr:to>
      <xdr:col>15</xdr:col>
      <xdr:colOff>629010</xdr:colOff>
      <xdr:row>21</xdr:row>
      <xdr:rowOff>30674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8D17A80E-999E-FC47-B97D-1C0CB9792443}"/>
            </a:ext>
          </a:extLst>
        </xdr:cNvPr>
        <xdr:cNvSpPr/>
      </xdr:nvSpPr>
      <xdr:spPr>
        <a:xfrm>
          <a:off x="12871810" y="3497773"/>
          <a:ext cx="1003300" cy="10033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538869</xdr:colOff>
      <xdr:row>17</xdr:row>
      <xdr:rowOff>97001</xdr:rowOff>
    </xdr:from>
    <xdr:to>
      <xdr:col>17</xdr:col>
      <xdr:colOff>0</xdr:colOff>
      <xdr:row>17</xdr:row>
      <xdr:rowOff>105833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9F972BE-FA4C-F142-B2B3-A8E060BDC7ED}"/>
            </a:ext>
          </a:extLst>
        </xdr:cNvPr>
        <xdr:cNvCxnSpPr/>
      </xdr:nvCxnSpPr>
      <xdr:spPr>
        <a:xfrm>
          <a:off x="13784969" y="3754601"/>
          <a:ext cx="1112131" cy="8832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482452</xdr:colOff>
      <xdr:row>20</xdr:row>
      <xdr:rowOff>86944</xdr:rowOff>
    </xdr:from>
    <xdr:to>
      <xdr:col>16</xdr:col>
      <xdr:colOff>802640</xdr:colOff>
      <xdr:row>20</xdr:row>
      <xdr:rowOff>91440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13789F8-3724-1C48-ABF3-7C8D11DD75D7}"/>
            </a:ext>
          </a:extLst>
        </xdr:cNvPr>
        <xdr:cNvCxnSpPr>
          <a:stCxn id="24" idx="5"/>
        </xdr:cNvCxnSpPr>
      </xdr:nvCxnSpPr>
      <xdr:spPr>
        <a:xfrm>
          <a:off x="13728552" y="4354144"/>
          <a:ext cx="1145688" cy="4496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50800</xdr:colOff>
      <xdr:row>40</xdr:row>
      <xdr:rowOff>123344</xdr:rowOff>
    </xdr:from>
    <xdr:to>
      <xdr:col>17</xdr:col>
      <xdr:colOff>1033</xdr:colOff>
      <xdr:row>40</xdr:row>
      <xdr:rowOff>127000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53E50849-DB26-5145-A9EA-A22F9BDC5094}"/>
            </a:ext>
          </a:extLst>
        </xdr:cNvPr>
        <xdr:cNvCxnSpPr/>
      </xdr:nvCxnSpPr>
      <xdr:spPr>
        <a:xfrm flipV="1">
          <a:off x="13296900" y="8454544"/>
          <a:ext cx="1601233" cy="3656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435871</xdr:colOff>
      <xdr:row>30</xdr:row>
      <xdr:rowOff>138298</xdr:rowOff>
    </xdr:from>
    <xdr:to>
      <xdr:col>15</xdr:col>
      <xdr:colOff>613671</xdr:colOff>
      <xdr:row>35</xdr:row>
      <xdr:rowOff>125597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65ED32BA-FC75-AC47-9E02-F99F331F6686}"/>
            </a:ext>
          </a:extLst>
        </xdr:cNvPr>
        <xdr:cNvSpPr/>
      </xdr:nvSpPr>
      <xdr:spPr>
        <a:xfrm>
          <a:off x="12856471" y="6437498"/>
          <a:ext cx="1003300" cy="10032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495043</xdr:colOff>
      <xdr:row>31</xdr:row>
      <xdr:rowOff>131572</xdr:rowOff>
    </xdr:from>
    <xdr:to>
      <xdr:col>17</xdr:col>
      <xdr:colOff>0</xdr:colOff>
      <xdr:row>31</xdr:row>
      <xdr:rowOff>134055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4D8EB38-1906-E94D-8BFF-7631D03E8F8C}"/>
            </a:ext>
          </a:extLst>
        </xdr:cNvPr>
        <xdr:cNvCxnSpPr/>
      </xdr:nvCxnSpPr>
      <xdr:spPr>
        <a:xfrm>
          <a:off x="13741143" y="6633972"/>
          <a:ext cx="1155957" cy="2483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536466</xdr:colOff>
      <xdr:row>34</xdr:row>
      <xdr:rowOff>87587</xdr:rowOff>
    </xdr:from>
    <xdr:to>
      <xdr:col>17</xdr:col>
      <xdr:colOff>10948</xdr:colOff>
      <xdr:row>34</xdr:row>
      <xdr:rowOff>98535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3E56D98-EAE8-E047-9F54-DF8636943722}"/>
            </a:ext>
          </a:extLst>
        </xdr:cNvPr>
        <xdr:cNvCxnSpPr/>
      </xdr:nvCxnSpPr>
      <xdr:spPr>
        <a:xfrm>
          <a:off x="13782566" y="7199587"/>
          <a:ext cx="1125482" cy="10948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10160</xdr:colOff>
      <xdr:row>29</xdr:row>
      <xdr:rowOff>95763</xdr:rowOff>
    </xdr:from>
    <xdr:to>
      <xdr:col>8</xdr:col>
      <xdr:colOff>311646</xdr:colOff>
      <xdr:row>31</xdr:row>
      <xdr:rowOff>71120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302524A-A04B-B340-9292-D16CD1DF69EE}"/>
            </a:ext>
          </a:extLst>
        </xdr:cNvPr>
        <xdr:cNvCxnSpPr/>
      </xdr:nvCxnSpPr>
      <xdr:spPr>
        <a:xfrm flipV="1">
          <a:off x="7249160" y="6191763"/>
          <a:ext cx="301486" cy="381757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</xdr:colOff>
      <xdr:row>29</xdr:row>
      <xdr:rowOff>146563</xdr:rowOff>
    </xdr:from>
    <xdr:to>
      <xdr:col>8</xdr:col>
      <xdr:colOff>423406</xdr:colOff>
      <xdr:row>31</xdr:row>
      <xdr:rowOff>121920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A4E86B27-9FD3-DE46-993F-A07C7C10399A}"/>
            </a:ext>
          </a:extLst>
        </xdr:cNvPr>
        <xdr:cNvCxnSpPr/>
      </xdr:nvCxnSpPr>
      <xdr:spPr>
        <a:xfrm flipV="1">
          <a:off x="7360920" y="6242563"/>
          <a:ext cx="301486" cy="381757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619760</xdr:colOff>
      <xdr:row>33</xdr:row>
      <xdr:rowOff>4323</xdr:rowOff>
    </xdr:from>
    <xdr:to>
      <xdr:col>13</xdr:col>
      <xdr:colOff>98286</xdr:colOff>
      <xdr:row>34</xdr:row>
      <xdr:rowOff>182880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41426232-400F-C24D-8ECD-9D888EF7E0E2}"/>
            </a:ext>
          </a:extLst>
        </xdr:cNvPr>
        <xdr:cNvCxnSpPr/>
      </xdr:nvCxnSpPr>
      <xdr:spPr>
        <a:xfrm flipV="1">
          <a:off x="11389360" y="6913123"/>
          <a:ext cx="304026" cy="381757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731520</xdr:colOff>
      <xdr:row>33</xdr:row>
      <xdr:rowOff>55123</xdr:rowOff>
    </xdr:from>
    <xdr:to>
      <xdr:col>13</xdr:col>
      <xdr:colOff>210046</xdr:colOff>
      <xdr:row>35</xdr:row>
      <xdr:rowOff>30480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6C843DF-D6CA-5B40-9085-203FC93622C2}"/>
            </a:ext>
          </a:extLst>
        </xdr:cNvPr>
        <xdr:cNvCxnSpPr/>
      </xdr:nvCxnSpPr>
      <xdr:spPr>
        <a:xfrm flipV="1">
          <a:off x="11501120" y="6963923"/>
          <a:ext cx="304026" cy="381757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5</xdr:row>
      <xdr:rowOff>88900</xdr:rowOff>
    </xdr:from>
    <xdr:to>
      <xdr:col>3</xdr:col>
      <xdr:colOff>165100</xdr:colOff>
      <xdr:row>6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C056C4B-9AAA-2343-9F1B-0BA99DF49F06}"/>
            </a:ext>
          </a:extLst>
        </xdr:cNvPr>
        <xdr:cNvCxnSpPr/>
      </xdr:nvCxnSpPr>
      <xdr:spPr>
        <a:xfrm>
          <a:off x="1930400" y="1104900"/>
          <a:ext cx="3937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6</xdr:row>
      <xdr:rowOff>101600</xdr:rowOff>
    </xdr:from>
    <xdr:to>
      <xdr:col>3</xdr:col>
      <xdr:colOff>165100</xdr:colOff>
      <xdr:row>7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71A72B-4C2E-714F-9F5B-BFFDB8537361}"/>
            </a:ext>
          </a:extLst>
        </xdr:cNvPr>
        <xdr:cNvCxnSpPr/>
      </xdr:nvCxnSpPr>
      <xdr:spPr>
        <a:xfrm>
          <a:off x="1930400" y="1320800"/>
          <a:ext cx="3937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7</xdr:row>
      <xdr:rowOff>88900</xdr:rowOff>
    </xdr:from>
    <xdr:to>
      <xdr:col>3</xdr:col>
      <xdr:colOff>165100</xdr:colOff>
      <xdr:row>8</xdr:row>
      <xdr:rowOff>139700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453657E-81FA-DE41-B599-BC7A6BEAA1AC}"/>
            </a:ext>
          </a:extLst>
        </xdr:cNvPr>
        <xdr:cNvCxnSpPr/>
      </xdr:nvCxnSpPr>
      <xdr:spPr>
        <a:xfrm>
          <a:off x="1930400" y="1511300"/>
          <a:ext cx="3937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630715-1C9B-E64C-BC1C-30CCA0D23FA0}" name="Table14" displayName="Table14" ref="A6:D9" totalsRowShown="0" headerRowDxfId="28" dataDxfId="27">
  <tableColumns count="4">
    <tableColumn id="1" xr3:uid="{6370F297-2379-0D41-8296-7BEE65ADB3AA}" name="Alternativa" dataDxfId="26"/>
    <tableColumn id="2" xr3:uid="{A8E7E949-ED46-564E-9C51-89F2F19E5B73}" name="Favorable" dataDxfId="25"/>
    <tableColumn id="3" xr3:uid="{061C5FE4-EC2D-B048-83FD-C4F07526EFA0}" name="Desfavorable" dataDxfId="24"/>
    <tableColumn id="4" xr3:uid="{B10947DD-3094-8645-9E46-9D275749032A}" name="Máximo" dataDxfId="23">
      <calculatedColumnFormula>MAX(Table14[[#This Row],[Favorable]:[Desfavorable]])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34ECB8-98FA-EA41-86B8-DAE7B14BFA1E}" name="Table145" displayName="Table145" ref="A17:D20" totalsRowShown="0" headerRowDxfId="34" dataDxfId="33">
  <tableColumns count="4">
    <tableColumn id="1" xr3:uid="{BEAD8536-2C58-C64E-BD62-CE39C739BF8F}" name="Alternativa" dataDxfId="32"/>
    <tableColumn id="2" xr3:uid="{72725564-767C-AF41-8891-76237F1105BF}" name="Favorable" dataDxfId="31"/>
    <tableColumn id="3" xr3:uid="{5EAB84D5-6DC6-254B-BE40-54D48E03A722}" name="Desfavorable" dataDxfId="30"/>
    <tableColumn id="4" xr3:uid="{D79A779D-A4A0-A34B-8514-2776F2796819}" name="Mínimo (Maximin)" dataDxfId="29">
      <calculatedColumnFormula>MIN(Table145[[#This Row],[Favorable]:[Desfavorable]])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E18DEFE-E23C-6344-BA26-C640C690DE40}" name="Table145619" displayName="Table145619" ref="A27:D30" totalsRowShown="0" headerRowDxfId="59" dataDxfId="58">
  <tableColumns count="4">
    <tableColumn id="1" xr3:uid="{18285792-8447-4043-B47A-CD0B82215880}" name="Alternativa" dataDxfId="57"/>
    <tableColumn id="2" xr3:uid="{23803579-96A3-DB4D-89A9-BA0F73DC5084}" name="Favorable" dataDxfId="56"/>
    <tableColumn id="3" xr3:uid="{1A752324-B9A9-5548-B51B-D9673C74BB58}" name="Desfavorable" dataDxfId="55"/>
    <tableColumn id="4" xr3:uid="{C5F290DA-3804-BC4F-8ED0-424CCEC5439A}" name="Realismo α=0.8" dataDxfId="54">
      <calculatedColumnFormula>$F$3*Table145619[[#This Row],[Favorable]]+(1-$F$3)*Table145619[[#This Row],[Desfavorable]]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8A7ACBD-6175-6F41-A777-A6B7DB2752EE}" name="Table620" displayName="Table620" ref="F26:F27" totalsRowShown="0" headerRowDxfId="53" dataDxfId="52">
  <tableColumns count="1">
    <tableColumn id="1" xr3:uid="{17C6EEF1-8848-A24A-9B4D-1889C5EFB7CE}" name="Alpha" dataDxfId="5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BBB441A-780F-0C4C-8113-5C986A5C4724}" name="Table14821" displayName="Table14821" ref="A37:D40" totalsRowShown="0" headerRowDxfId="40" dataDxfId="39">
  <tableColumns count="4">
    <tableColumn id="1" xr3:uid="{760E8A9B-E49D-674E-BC9F-9EA4D7650E18}" name="Alternativa" dataDxfId="38"/>
    <tableColumn id="2" xr3:uid="{87AACB82-050C-5149-9D5A-85F9B5B1CAE4}" name="Favorable" dataDxfId="37"/>
    <tableColumn id="3" xr3:uid="{83D881EA-AA60-1849-A9A4-6C564ECE74C1}" name="Desfavorable" dataDxfId="36"/>
    <tableColumn id="4" xr3:uid="{BED1EDF6-D999-C249-BF6A-B4F5A9058119}" name="Máximo" dataDxfId="35">
      <calculatedColumnFormula>AVERAGE(Table14821[[#This Row],[Favorable]], Table14821[[#This Row],[Desfavorable]])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BDFD51-A94D-D244-950A-4882A6C726CC}" name="Table1481113" displayName="Table1481113" ref="A68:D71" totalsRowShown="0" headerRowDxfId="46" dataDxfId="45">
  <tableColumns count="4">
    <tableColumn id="1" xr3:uid="{F8CA2643-1715-D345-AEA6-740C8E419569}" name="Alternativa" dataDxfId="44"/>
    <tableColumn id="2" xr3:uid="{6AEFCF37-D07E-E84C-95C4-D0C65F69B82A}" name="Favorable" dataDxfId="43"/>
    <tableColumn id="3" xr3:uid="{176C7988-4B0B-3841-A392-11D85EE0E56E}" name="Desfavorable" dataDxfId="42"/>
    <tableColumn id="4" xr3:uid="{EDDBD8D1-43F6-F343-A4A3-AFBBEBEEF7CD}" name="VME" dataDxfId="41">
      <calculatedColumnFormula>(Table1481113[[#This Row],[Favorable]]*0.5)+(Table1481113[[#This Row],[Desfavorable]]*0.5)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E9E8CAE-F00A-DE45-A66B-64FC16A26173}" name="Table13" displayName="Table13" ref="A74:D76" totalsRowShown="0" headerRowDxfId="50" headerRowBorderDxfId="48" tableBorderDxfId="49" totalsRowBorderDxfId="47">
  <autoFilter ref="A74:D76" xr:uid="{0E9E8CAE-F00A-DE45-A66B-64FC16A26173}"/>
  <tableColumns count="4">
    <tableColumn id="1" xr3:uid="{607736A8-ADB9-F942-B96B-6621AE42C0F5}" name="Alternativa"/>
    <tableColumn id="2" xr3:uid="{C728573A-32C3-2E4E-97F0-70316D1852CE}" name="MAX favorable"/>
    <tableColumn id="3" xr3:uid="{36A4C732-9263-1044-A2B8-10D842CB571D}" name="MAX desfavorable"/>
    <tableColumn id="4" xr3:uid="{42E22B8C-A552-DE4D-B103-924B458EFF22}" name="VECI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4CE7886-491E-9048-9784-8CD50C848ADA}" name="Table14915" displayName="Table14915" ref="A83:C86" totalsRowShown="0" headerRowDxfId="22" dataDxfId="21">
  <tableColumns count="3">
    <tableColumn id="1" xr3:uid="{79AAC25E-2F63-2148-9B04-13713EE58144}" name="Alternativa" dataDxfId="20"/>
    <tableColumn id="2" xr3:uid="{DA32B5D9-2B39-184C-A67D-C7707899CDF3}" name="Favorable" dataDxfId="19"/>
    <tableColumn id="3" xr3:uid="{8B1AD1CF-1945-D840-8548-DEB703A5A577}" name="Desfavorable" dataDxfId="1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0479A2-0C94-B74A-9DC7-0B9294A39FAB}" name="Table1491016" displayName="Table1491016" ref="A92:D95" totalsRowShown="0" headerRowDxfId="14" dataDxfId="13">
  <tableColumns count="4">
    <tableColumn id="1" xr3:uid="{6AE3D461-64E6-F84F-8ED6-99F939E2A0D7}" name="Alternativa" dataDxfId="12"/>
    <tableColumn id="2" xr3:uid="{9C143FB3-163C-FF48-9BAC-F0804253A01A}" name="Favorable" dataDxfId="11">
      <calculatedColumnFormula>$F$85-B84</calculatedColumnFormula>
    </tableColumn>
    <tableColumn id="3" xr3:uid="{F0FB93E5-3A8C-CC41-99C1-540DDA006B4C}" name="Desfavorable" dataDxfId="10">
      <calculatedColumnFormula>$F$86-C84</calculatedColumnFormula>
    </tableColumn>
    <tableColumn id="5" xr3:uid="{B2C81B44-750E-504F-978D-3FB11CC015FD}" name="POE" dataDxfId="9">
      <calculatedColumnFormula array="1">(Table1491016[[#This Row],[Favorable]]*Table16[Probabilidad])+(Table1491016[[#This Row],[Desfavorable]]*Table16[Probabilidad])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7972876-27CB-B347-BA65-C7CB37F0817F}" name="Table16" displayName="Table16" ref="F91:F92" totalsRowShown="0" headerRowDxfId="17" dataDxfId="16">
  <tableColumns count="1">
    <tableColumn id="1" xr3:uid="{27CFE6D1-063C-264F-8063-F9DAC77A9BC1}" name="Probabilidad" dataDxf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1B34D-DD9A-3749-B3E8-B30ED090ADDA}" name="Table132" displayName="Table132" ref="B5:E15" totalsRowShown="0" dataDxfId="68">
  <tableColumns count="4">
    <tableColumn id="1" xr3:uid="{FDE12DAB-D9CF-2049-BA5C-6690B8CC4750}" name="Año" dataDxfId="66" totalsRowDxfId="67"/>
    <tableColumn id="2" xr3:uid="{55ABAA4E-96B4-0A43-A7DA-73D1A5991FBC}" name="Computadoras" dataDxfId="64" totalsRowDxfId="65"/>
    <tableColumn id="3" xr3:uid="{6074762B-D6FB-054B-A237-7E50A4DD3BB0}" name="Pronóstico Ventas" dataDxfId="62" totalsRowDxfId="63"/>
    <tableColumn id="4" xr3:uid="{11FF7B96-97D4-F247-84E1-9859545FD244}" name="Valor Absoluto" dataDxfId="60" totalsRowDxfId="61">
      <calculatedColumnFormula>ABS(Table132[[#This Row],[Computadoras]]-Table132[[#This Row],[Pronóstico Ventas]])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458C118-052A-E340-AE39-E0B60A7080EC}" name="Table3" displayName="Table3" ref="B26:G39" totalsRowShown="0">
  <tableColumns count="6">
    <tableColumn id="1" xr3:uid="{D6176B19-C8E6-124F-A7C1-09DBFB820C60}" name="Mes"/>
    <tableColumn id="2" xr3:uid="{E73D226D-6731-B249-8838-B6A806A47B79}" name="Ventas reales"/>
    <tableColumn id="3" xr3:uid="{C54B98FD-6D1C-A849-BD37-87AB96C379E2}" name="Promedio 3 meses">
      <calculatedColumnFormula>SUM(C24:C26)/3</calculatedColumnFormula>
    </tableColumn>
    <tableColumn id="4" xr3:uid="{6A34BBDD-A476-084B-9F22-C59094E6E1E2}" name="Error"/>
    <tableColumn id="5" xr3:uid="{615A1C7D-6384-1F49-8B64-327DE57D808B}" name="Promedio 4 meses"/>
    <tableColumn id="6" xr3:uid="{02360569-F57C-614C-8037-D8DD1504B2EA}" name="Error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8869F6-41F5-794A-BF4C-EF5703FA227B}" name="Table35" displayName="Table35" ref="B48:G61" totalsRowShown="0">
  <tableColumns count="6">
    <tableColumn id="1" xr3:uid="{99DDABBB-346D-914B-BB16-76E4D5F47A13}" name="Mes"/>
    <tableColumn id="2" xr3:uid="{2E63E085-EF20-2C42-8176-1F30DFCA3C48}" name="Ventas reales"/>
    <tableColumn id="3" xr3:uid="{47C94296-5DF7-7043-A92D-E13A4BC87883}" name="Promedio 3 meses 1-2-3">
      <calculatedColumnFormula>SUM(#REF!)/3</calculatedColumnFormula>
    </tableColumn>
    <tableColumn id="4" xr3:uid="{FDA5F389-BEE2-0E42-88E9-934BE936F2BC}" name="Error"/>
    <tableColumn id="5" xr3:uid="{2D24F742-61AB-1E46-B11B-31C23616E274}" name="Promedio 3 meses 3-2-1"/>
    <tableColumn id="6" xr3:uid="{980CE6EF-28ED-E54E-A4B0-8554845602D4}" name="Erro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2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1113-0BB3-A34D-81C6-92BBD620C3F5}">
  <dimension ref="A2:M95"/>
  <sheetViews>
    <sheetView topLeftCell="A68" workbookViewId="0">
      <selection activeCell="E90" sqref="E90"/>
    </sheetView>
  </sheetViews>
  <sheetFormatPr baseColWidth="10" defaultRowHeight="16" x14ac:dyDescent="0.2"/>
  <cols>
    <col min="1" max="1" width="18.33203125" bestFit="1" customWidth="1"/>
    <col min="2" max="3" width="16.6640625" bestFit="1" customWidth="1"/>
    <col min="4" max="4" width="22.1640625" bestFit="1" customWidth="1"/>
    <col min="5" max="5" width="29" bestFit="1" customWidth="1"/>
    <col min="6" max="6" width="17.83203125" customWidth="1"/>
  </cols>
  <sheetData>
    <row r="2" spans="1:13" ht="21" x14ac:dyDescent="0.25">
      <c r="A2" s="58" t="s">
        <v>96</v>
      </c>
    </row>
    <row r="4" spans="1:13" ht="21" x14ac:dyDescent="0.25">
      <c r="A4" s="1"/>
      <c r="B4" s="18" t="s">
        <v>0</v>
      </c>
      <c r="C4" s="18"/>
      <c r="D4" s="3"/>
    </row>
    <row r="5" spans="1:13" ht="21" x14ac:dyDescent="0.25">
      <c r="A5" s="1"/>
      <c r="B5" s="4" t="s">
        <v>1</v>
      </c>
      <c r="C5" s="4"/>
      <c r="D5" s="5"/>
    </row>
    <row r="6" spans="1:13" ht="21" x14ac:dyDescent="0.25">
      <c r="A6" s="1" t="s">
        <v>2</v>
      </c>
      <c r="B6" s="6" t="s">
        <v>3</v>
      </c>
      <c r="C6" s="6" t="s">
        <v>4</v>
      </c>
      <c r="D6" s="7" t="s">
        <v>5</v>
      </c>
      <c r="E6" s="9"/>
    </row>
    <row r="7" spans="1:13" ht="21" x14ac:dyDescent="0.25">
      <c r="A7" s="8" t="s">
        <v>6</v>
      </c>
      <c r="B7" s="9">
        <v>200000</v>
      </c>
      <c r="C7" s="9">
        <v>-180000</v>
      </c>
      <c r="D7" s="9">
        <f>MAX(Table14[[#This Row],[Favorable]:[Desfavorable]])</f>
        <v>200000</v>
      </c>
      <c r="E7" s="59" t="s">
        <v>9</v>
      </c>
      <c r="G7" s="10"/>
      <c r="H7" s="10"/>
      <c r="I7" s="10"/>
      <c r="J7" s="10"/>
      <c r="K7" s="10"/>
      <c r="L7" s="10"/>
      <c r="M7" s="10"/>
    </row>
    <row r="8" spans="1:13" ht="21" x14ac:dyDescent="0.25">
      <c r="A8" s="8" t="s">
        <v>7</v>
      </c>
      <c r="B8" s="9">
        <v>100000</v>
      </c>
      <c r="C8" s="9">
        <v>-20000</v>
      </c>
      <c r="D8" s="9">
        <f>MAX(Table14[[#This Row],[Favorable]:[Desfavorable]])</f>
        <v>100000</v>
      </c>
      <c r="E8" s="9"/>
    </row>
    <row r="9" spans="1:13" ht="21" x14ac:dyDescent="0.25">
      <c r="A9" s="8" t="s">
        <v>8</v>
      </c>
      <c r="B9" s="9">
        <v>0</v>
      </c>
      <c r="C9" s="9">
        <v>0</v>
      </c>
      <c r="D9" s="9">
        <f>MAX(Table14[[#This Row],[Favorable]:[Desfavorable]])</f>
        <v>0</v>
      </c>
      <c r="E9" s="9"/>
    </row>
    <row r="13" spans="1:13" ht="21" x14ac:dyDescent="0.25">
      <c r="A13" s="58" t="s">
        <v>97</v>
      </c>
    </row>
    <row r="15" spans="1:13" ht="21" x14ac:dyDescent="0.25">
      <c r="A15" s="1"/>
      <c r="B15" s="18" t="s">
        <v>0</v>
      </c>
      <c r="C15" s="18"/>
      <c r="D15" s="3"/>
    </row>
    <row r="16" spans="1:13" ht="21" x14ac:dyDescent="0.25">
      <c r="A16" s="1"/>
      <c r="B16" s="19" t="s">
        <v>1</v>
      </c>
      <c r="C16" s="19"/>
      <c r="D16" s="5"/>
    </row>
    <row r="17" spans="1:12" ht="21" x14ac:dyDescent="0.25">
      <c r="A17" s="1" t="s">
        <v>2</v>
      </c>
      <c r="B17" s="6" t="s">
        <v>3</v>
      </c>
      <c r="C17" s="6" t="s">
        <v>4</v>
      </c>
      <c r="D17" s="7" t="s">
        <v>10</v>
      </c>
    </row>
    <row r="18" spans="1:12" ht="21" x14ac:dyDescent="0.25">
      <c r="A18" s="8" t="s">
        <v>6</v>
      </c>
      <c r="B18" s="9">
        <v>200000</v>
      </c>
      <c r="C18" s="9">
        <v>-180000</v>
      </c>
      <c r="D18" s="9">
        <f>MIN(Table145[[#This Row],[Favorable]:[Desfavorable]])</f>
        <v>-180000</v>
      </c>
    </row>
    <row r="19" spans="1:12" ht="21" x14ac:dyDescent="0.25">
      <c r="A19" s="8" t="s">
        <v>7</v>
      </c>
      <c r="B19" s="9">
        <v>100000</v>
      </c>
      <c r="C19" s="9">
        <v>-20000</v>
      </c>
      <c r="D19" s="9">
        <f>MIN(Table145[[#This Row],[Favorable]:[Desfavorable]])</f>
        <v>-20000</v>
      </c>
    </row>
    <row r="20" spans="1:12" ht="21" x14ac:dyDescent="0.25">
      <c r="A20" s="8" t="s">
        <v>8</v>
      </c>
      <c r="B20" s="9">
        <v>0</v>
      </c>
      <c r="C20" s="9">
        <v>0</v>
      </c>
      <c r="D20" s="9">
        <f>MIN(Table145[[#This Row],[Favorable]:[Desfavorable]])</f>
        <v>0</v>
      </c>
      <c r="E20" s="59" t="s">
        <v>11</v>
      </c>
      <c r="F20" s="59"/>
      <c r="G20" s="59"/>
      <c r="H20" s="59"/>
      <c r="I20" s="59"/>
      <c r="J20" s="59"/>
      <c r="K20" s="59"/>
      <c r="L20" s="59"/>
    </row>
    <row r="23" spans="1:12" ht="21" x14ac:dyDescent="0.25">
      <c r="A23" s="58" t="s">
        <v>98</v>
      </c>
    </row>
    <row r="25" spans="1:12" ht="21" x14ac:dyDescent="0.25">
      <c r="A25" s="1"/>
      <c r="B25" s="18" t="s">
        <v>0</v>
      </c>
      <c r="C25" s="18"/>
      <c r="D25" s="3"/>
    </row>
    <row r="26" spans="1:12" ht="21" x14ac:dyDescent="0.25">
      <c r="A26" s="1"/>
      <c r="B26" s="19" t="s">
        <v>1</v>
      </c>
      <c r="C26" s="19"/>
      <c r="D26" s="5"/>
      <c r="F26" s="8" t="s">
        <v>12</v>
      </c>
    </row>
    <row r="27" spans="1:12" ht="21" x14ac:dyDescent="0.25">
      <c r="A27" s="1" t="s">
        <v>2</v>
      </c>
      <c r="B27" s="6" t="s">
        <v>3</v>
      </c>
      <c r="C27" s="6" t="s">
        <v>4</v>
      </c>
      <c r="D27" s="7" t="s">
        <v>13</v>
      </c>
      <c r="F27" s="11">
        <v>0.8</v>
      </c>
    </row>
    <row r="28" spans="1:12" ht="21" x14ac:dyDescent="0.25">
      <c r="A28" s="8" t="s">
        <v>6</v>
      </c>
      <c r="B28" s="9">
        <v>200000</v>
      </c>
      <c r="C28" s="9">
        <v>-180000</v>
      </c>
      <c r="D28" s="9">
        <f>$F$3*Table145619[[#This Row],[Favorable]]+(1-$F$3)*Table145619[[#This Row],[Desfavorable]]</f>
        <v>-180000</v>
      </c>
      <c r="E28" s="59" t="s">
        <v>14</v>
      </c>
      <c r="F28" s="59"/>
      <c r="G28" s="59"/>
      <c r="H28" s="59"/>
      <c r="I28" s="59"/>
      <c r="J28" s="59"/>
      <c r="K28" s="59"/>
      <c r="L28" s="59"/>
    </row>
    <row r="29" spans="1:12" ht="21" x14ac:dyDescent="0.25">
      <c r="A29" s="8" t="s">
        <v>7</v>
      </c>
      <c r="B29" s="9">
        <v>100000</v>
      </c>
      <c r="C29" s="9">
        <v>-20000</v>
      </c>
      <c r="D29" s="9">
        <f>$F$3*Table145619[[#This Row],[Favorable]]+(1-$F$3)*Table145619[[#This Row],[Desfavorable]]</f>
        <v>-20000</v>
      </c>
    </row>
    <row r="30" spans="1:12" ht="21" x14ac:dyDescent="0.25">
      <c r="A30" s="8" t="s">
        <v>8</v>
      </c>
      <c r="B30" s="9">
        <v>0</v>
      </c>
      <c r="C30" s="9">
        <v>0</v>
      </c>
      <c r="D30" s="9">
        <f>$F$3*Table145619[[#This Row],[Favorable]]+(1-$F$3)*Table145619[[#This Row],[Desfavorable]]</f>
        <v>0</v>
      </c>
    </row>
    <row r="33" spans="1:13" ht="21" x14ac:dyDescent="0.25">
      <c r="A33" s="58" t="s">
        <v>99</v>
      </c>
    </row>
    <row r="35" spans="1:13" ht="21" x14ac:dyDescent="0.25">
      <c r="A35" s="1"/>
      <c r="B35" s="18" t="s">
        <v>0</v>
      </c>
      <c r="C35" s="18"/>
      <c r="D35" s="18"/>
    </row>
    <row r="36" spans="1:13" ht="21" x14ac:dyDescent="0.25">
      <c r="A36" s="1"/>
      <c r="B36" s="2" t="s">
        <v>1</v>
      </c>
      <c r="C36" s="2"/>
      <c r="D36" s="2"/>
    </row>
    <row r="37" spans="1:13" ht="21" x14ac:dyDescent="0.25">
      <c r="A37" s="1" t="s">
        <v>2</v>
      </c>
      <c r="B37" s="6" t="s">
        <v>3</v>
      </c>
      <c r="C37" s="6" t="s">
        <v>4</v>
      </c>
      <c r="D37" s="7" t="s">
        <v>5</v>
      </c>
    </row>
    <row r="38" spans="1:13" ht="21" x14ac:dyDescent="0.25">
      <c r="A38" s="8" t="s">
        <v>6</v>
      </c>
      <c r="B38" s="9">
        <v>200000</v>
      </c>
      <c r="C38" s="9">
        <v>-180000</v>
      </c>
      <c r="D38" s="9">
        <f>AVERAGE(Table14821[[#This Row],[Favorable]], Table14821[[#This Row],[Desfavorable]])</f>
        <v>10000</v>
      </c>
    </row>
    <row r="39" spans="1:13" ht="21" x14ac:dyDescent="0.25">
      <c r="A39" s="8" t="s">
        <v>7</v>
      </c>
      <c r="B39" s="9">
        <v>100000</v>
      </c>
      <c r="C39" s="9">
        <v>-20000</v>
      </c>
      <c r="D39" s="9">
        <f>AVERAGE(Table14821[[#This Row],[Favorable]], Table14821[[#This Row],[Desfavorable]])</f>
        <v>40000</v>
      </c>
      <c r="E39" s="59" t="s">
        <v>15</v>
      </c>
      <c r="G39" s="10"/>
      <c r="H39" s="10"/>
      <c r="I39" s="10"/>
      <c r="J39" s="10"/>
      <c r="K39" s="10"/>
      <c r="L39" s="10"/>
      <c r="M39" s="10"/>
    </row>
    <row r="40" spans="1:13" ht="21" x14ac:dyDescent="0.25">
      <c r="A40" s="8" t="s">
        <v>8</v>
      </c>
      <c r="B40" s="9">
        <v>0</v>
      </c>
      <c r="C40" s="9">
        <v>0</v>
      </c>
      <c r="D40" s="9">
        <f>AVERAGE(Table14821[[#This Row],[Favorable]], Table14821[[#This Row],[Desfavorable]])</f>
        <v>0</v>
      </c>
    </row>
    <row r="44" spans="1:13" ht="21" x14ac:dyDescent="0.25">
      <c r="A44" s="58" t="s">
        <v>100</v>
      </c>
    </row>
    <row r="47" spans="1:13" ht="21" x14ac:dyDescent="0.25">
      <c r="A47" s="40"/>
      <c r="B47" s="56" t="s">
        <v>0</v>
      </c>
      <c r="C47" s="56"/>
      <c r="D47" s="41"/>
      <c r="E47" s="41"/>
      <c r="F47" s="41"/>
      <c r="G47" s="41"/>
      <c r="H47" s="41"/>
      <c r="I47" s="41"/>
      <c r="J47" s="41"/>
      <c r="K47" s="41"/>
      <c r="L47" s="41"/>
      <c r="M47" s="41"/>
    </row>
    <row r="48" spans="1:13" ht="21" x14ac:dyDescent="0.25">
      <c r="A48" s="40"/>
      <c r="B48" s="57" t="s">
        <v>1</v>
      </c>
      <c r="C48" s="57"/>
      <c r="D48" s="41"/>
      <c r="E48" s="41"/>
      <c r="F48" s="41"/>
      <c r="G48" s="41"/>
      <c r="H48" s="41"/>
      <c r="I48" s="41"/>
      <c r="J48" s="41"/>
      <c r="K48" s="41"/>
      <c r="L48" s="41"/>
      <c r="M48" s="41"/>
    </row>
    <row r="49" spans="1:13" ht="21" x14ac:dyDescent="0.25">
      <c r="A49" s="42" t="s">
        <v>2</v>
      </c>
      <c r="B49" s="43" t="s">
        <v>3</v>
      </c>
      <c r="C49" s="44" t="s">
        <v>4</v>
      </c>
      <c r="D49" s="41"/>
      <c r="E49" s="41"/>
      <c r="F49" s="41"/>
      <c r="G49" s="41"/>
      <c r="H49" s="41"/>
      <c r="I49" s="41"/>
      <c r="J49" s="41"/>
      <c r="K49" s="41"/>
      <c r="L49" s="41"/>
      <c r="M49" s="41"/>
    </row>
    <row r="50" spans="1:13" ht="21" x14ac:dyDescent="0.25">
      <c r="A50" s="45" t="s">
        <v>6</v>
      </c>
      <c r="B50" s="46">
        <v>200000</v>
      </c>
      <c r="C50" s="47">
        <v>-180000</v>
      </c>
      <c r="D50" s="41"/>
      <c r="E50" s="48" t="s">
        <v>16</v>
      </c>
      <c r="F50" s="48">
        <v>200000</v>
      </c>
      <c r="G50" s="41"/>
      <c r="H50" s="41"/>
      <c r="I50" s="41"/>
      <c r="J50" s="41"/>
      <c r="K50" s="41"/>
      <c r="L50" s="41"/>
      <c r="M50" s="41"/>
    </row>
    <row r="51" spans="1:13" ht="21" x14ac:dyDescent="0.25">
      <c r="A51" s="49" t="s">
        <v>7</v>
      </c>
      <c r="B51" s="50">
        <v>100000</v>
      </c>
      <c r="C51" s="51">
        <v>-20000</v>
      </c>
      <c r="D51" s="41"/>
      <c r="E51" s="48" t="s">
        <v>17</v>
      </c>
      <c r="F51" s="52" t="s">
        <v>101</v>
      </c>
      <c r="G51" s="41"/>
      <c r="H51" s="41"/>
      <c r="I51" s="41"/>
      <c r="J51" s="41"/>
      <c r="K51" s="41"/>
      <c r="L51" s="41"/>
      <c r="M51" s="41"/>
    </row>
    <row r="52" spans="1:13" ht="21" x14ac:dyDescent="0.25">
      <c r="A52" s="45" t="s">
        <v>8</v>
      </c>
      <c r="B52" s="46" t="s">
        <v>102</v>
      </c>
      <c r="C52" s="53" t="s">
        <v>102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</row>
    <row r="53" spans="1:13" x14ac:dyDescent="0.2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</row>
    <row r="54" spans="1:13" x14ac:dyDescent="0.2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</row>
    <row r="55" spans="1:13" x14ac:dyDescent="0.2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</row>
    <row r="56" spans="1:13" ht="21" x14ac:dyDescent="0.25">
      <c r="A56" s="40"/>
      <c r="B56" s="56" t="s">
        <v>0</v>
      </c>
      <c r="C56" s="56"/>
      <c r="D56" s="56"/>
      <c r="E56" s="41"/>
      <c r="F56" s="41"/>
      <c r="G56" s="41"/>
      <c r="H56" s="41"/>
      <c r="I56" s="41"/>
      <c r="J56" s="41"/>
      <c r="K56" s="41"/>
      <c r="L56" s="41"/>
      <c r="M56" s="41"/>
    </row>
    <row r="57" spans="1:13" ht="21" x14ac:dyDescent="0.25">
      <c r="A57" s="40"/>
      <c r="B57" s="57" t="s">
        <v>1</v>
      </c>
      <c r="C57" s="57"/>
      <c r="D57" s="57"/>
      <c r="E57" s="41"/>
      <c r="F57" s="41"/>
      <c r="G57" s="41"/>
      <c r="H57" s="41"/>
      <c r="I57" s="41"/>
      <c r="J57" s="41"/>
      <c r="K57" s="41"/>
      <c r="L57" s="41"/>
      <c r="M57" s="41"/>
    </row>
    <row r="58" spans="1:13" ht="21" x14ac:dyDescent="0.25">
      <c r="A58" s="42" t="s">
        <v>2</v>
      </c>
      <c r="B58" s="43" t="s">
        <v>3</v>
      </c>
      <c r="C58" s="43" t="s">
        <v>4</v>
      </c>
      <c r="D58" s="54" t="s">
        <v>5</v>
      </c>
      <c r="E58" s="41"/>
      <c r="F58" s="41"/>
      <c r="G58" s="41"/>
      <c r="H58" s="41"/>
      <c r="I58" s="41"/>
      <c r="J58" s="41"/>
      <c r="K58" s="41"/>
      <c r="L58" s="41"/>
      <c r="M58" s="41"/>
    </row>
    <row r="59" spans="1:13" ht="21" x14ac:dyDescent="0.25">
      <c r="A59" s="45" t="s">
        <v>6</v>
      </c>
      <c r="B59" s="46" t="s">
        <v>102</v>
      </c>
      <c r="C59" s="46">
        <v>180000</v>
      </c>
      <c r="D59" s="53">
        <v>180000</v>
      </c>
      <c r="E59" s="41"/>
      <c r="F59" s="41"/>
      <c r="G59" s="41"/>
      <c r="H59" s="41"/>
      <c r="I59" s="41"/>
      <c r="J59" s="41"/>
      <c r="K59" s="41"/>
      <c r="L59" s="41"/>
      <c r="M59" s="41"/>
    </row>
    <row r="60" spans="1:13" ht="21" x14ac:dyDescent="0.25">
      <c r="A60" s="49" t="s">
        <v>7</v>
      </c>
      <c r="B60" s="50">
        <v>100000</v>
      </c>
      <c r="C60" s="50">
        <v>20000</v>
      </c>
      <c r="D60" s="55">
        <v>100000</v>
      </c>
      <c r="E60" s="60" t="s">
        <v>18</v>
      </c>
      <c r="F60" s="60"/>
      <c r="G60" s="60"/>
      <c r="H60" s="60"/>
      <c r="I60" s="60"/>
      <c r="J60" s="60"/>
      <c r="K60" s="60"/>
      <c r="L60" s="60"/>
    </row>
    <row r="61" spans="1:13" ht="21" x14ac:dyDescent="0.25">
      <c r="A61" s="45" t="s">
        <v>8</v>
      </c>
      <c r="B61" s="46">
        <v>200000</v>
      </c>
      <c r="C61" s="46" t="s">
        <v>102</v>
      </c>
      <c r="D61" s="53">
        <v>200000</v>
      </c>
      <c r="E61" s="41"/>
      <c r="F61" s="41"/>
      <c r="G61" s="41"/>
      <c r="H61" s="41"/>
      <c r="I61" s="41"/>
      <c r="J61" s="41"/>
      <c r="K61" s="41"/>
      <c r="L61" s="41"/>
      <c r="M61" s="41"/>
    </row>
    <row r="64" spans="1:13" ht="21" x14ac:dyDescent="0.25">
      <c r="A64" s="58" t="s">
        <v>25</v>
      </c>
    </row>
    <row r="66" spans="1:5" ht="21" x14ac:dyDescent="0.25">
      <c r="A66" s="1"/>
      <c r="B66" s="18" t="s">
        <v>0</v>
      </c>
      <c r="C66" s="18"/>
      <c r="D66" s="2"/>
    </row>
    <row r="67" spans="1:5" ht="21" x14ac:dyDescent="0.25">
      <c r="A67" s="1"/>
      <c r="B67" s="4" t="s">
        <v>1</v>
      </c>
      <c r="C67" s="4"/>
      <c r="D67" s="2"/>
    </row>
    <row r="68" spans="1:5" ht="21" x14ac:dyDescent="0.25">
      <c r="A68" s="1" t="s">
        <v>2</v>
      </c>
      <c r="B68" s="6" t="s">
        <v>3</v>
      </c>
      <c r="C68" s="6" t="s">
        <v>4</v>
      </c>
      <c r="D68" s="7" t="s">
        <v>20</v>
      </c>
      <c r="E68" s="59" t="s">
        <v>21</v>
      </c>
    </row>
    <row r="69" spans="1:5" ht="21" x14ac:dyDescent="0.25">
      <c r="A69" s="8" t="s">
        <v>6</v>
      </c>
      <c r="B69" s="9">
        <v>200000</v>
      </c>
      <c r="C69" s="9">
        <v>-180000</v>
      </c>
      <c r="D69" s="9">
        <f>(Table1481113[[#This Row],[Favorable]]*$B$76)+(Table1481113[[#This Row],[Desfavorable]]*$C$76)</f>
        <v>10000</v>
      </c>
      <c r="E69" s="59" t="s">
        <v>22</v>
      </c>
    </row>
    <row r="70" spans="1:5" ht="21" x14ac:dyDescent="0.25">
      <c r="A70" s="8" t="s">
        <v>7</v>
      </c>
      <c r="B70" s="9">
        <v>100000</v>
      </c>
      <c r="C70" s="9">
        <v>-20000</v>
      </c>
      <c r="D70" s="9">
        <f>(Table1481113[[#This Row],[Favorable]]*$B$76)+(Table1481113[[#This Row],[Desfavorable]]*$C$76)</f>
        <v>40000</v>
      </c>
    </row>
    <row r="71" spans="1:5" ht="21" x14ac:dyDescent="0.25">
      <c r="A71" s="8" t="s">
        <v>8</v>
      </c>
      <c r="B71" s="9">
        <v>0</v>
      </c>
      <c r="C71" s="9">
        <v>0</v>
      </c>
      <c r="D71" s="9">
        <f>(Table1481113[[#This Row],[Favorable]]*0.5)+(Table1481113[[#This Row],[Desfavorable]]*0.5)</f>
        <v>0</v>
      </c>
    </row>
    <row r="74" spans="1:5" ht="21" x14ac:dyDescent="0.25">
      <c r="A74" s="1" t="s">
        <v>2</v>
      </c>
      <c r="B74" s="12" t="s">
        <v>23</v>
      </c>
      <c r="C74" s="12" t="s">
        <v>24</v>
      </c>
      <c r="D74" s="12" t="s">
        <v>25</v>
      </c>
    </row>
    <row r="75" spans="1:5" ht="21" x14ac:dyDescent="0.25">
      <c r="A75" s="13" t="s">
        <v>26</v>
      </c>
      <c r="B75" s="14">
        <f>MAX(B69:B71)</f>
        <v>200000</v>
      </c>
      <c r="C75" s="14">
        <f>MAX(C69:C71)</f>
        <v>0</v>
      </c>
      <c r="D75" s="14">
        <f>(Table13[[#This Row],[MAX favorable]]*B76)+(Table13[[#This Row],[MAX desfavorable]]*C76)</f>
        <v>100000</v>
      </c>
    </row>
    <row r="76" spans="1:5" ht="21" x14ac:dyDescent="0.25">
      <c r="A76" s="15" t="s">
        <v>27</v>
      </c>
      <c r="B76" s="16">
        <v>0.5</v>
      </c>
      <c r="C76" s="16">
        <v>0.5</v>
      </c>
      <c r="D76" s="17">
        <v>0</v>
      </c>
    </row>
    <row r="80" spans="1:5" ht="21" x14ac:dyDescent="0.25">
      <c r="A80" s="58" t="s">
        <v>28</v>
      </c>
    </row>
    <row r="82" spans="1:13" ht="21" x14ac:dyDescent="0.25">
      <c r="A82" s="1"/>
      <c r="B82" s="4" t="s">
        <v>1</v>
      </c>
      <c r="C82" s="4"/>
    </row>
    <row r="83" spans="1:13" ht="21" x14ac:dyDescent="0.25">
      <c r="A83" s="1" t="s">
        <v>2</v>
      </c>
      <c r="B83" s="6" t="s">
        <v>3</v>
      </c>
      <c r="C83" s="6" t="s">
        <v>4</v>
      </c>
    </row>
    <row r="84" spans="1:13" ht="21" x14ac:dyDescent="0.25">
      <c r="A84" s="8" t="s">
        <v>6</v>
      </c>
      <c r="B84" s="9">
        <f>200000</f>
        <v>200000</v>
      </c>
      <c r="C84" s="9">
        <v>-180000</v>
      </c>
      <c r="E84" s="8" t="s">
        <v>16</v>
      </c>
      <c r="F84" s="8">
        <f>MAX(Table14915[Favorable])</f>
        <v>200000</v>
      </c>
    </row>
    <row r="85" spans="1:13" ht="21" x14ac:dyDescent="0.25">
      <c r="A85" s="8" t="s">
        <v>7</v>
      </c>
      <c r="B85" s="9">
        <v>100000</v>
      </c>
      <c r="C85" s="9">
        <v>-20000</v>
      </c>
      <c r="E85" s="8" t="s">
        <v>17</v>
      </c>
      <c r="F85" s="9">
        <f>MAX(Table14915[Desfavorable])</f>
        <v>0</v>
      </c>
    </row>
    <row r="86" spans="1:13" ht="21" x14ac:dyDescent="0.25">
      <c r="A86" s="8" t="s">
        <v>8</v>
      </c>
      <c r="B86" s="9">
        <v>0</v>
      </c>
      <c r="C86" s="9">
        <v>0</v>
      </c>
    </row>
    <row r="90" spans="1:13" ht="21" x14ac:dyDescent="0.25">
      <c r="A90" s="1"/>
      <c r="B90" s="18" t="s">
        <v>0</v>
      </c>
      <c r="C90" s="18"/>
      <c r="D90" s="18"/>
    </row>
    <row r="91" spans="1:13" ht="21" x14ac:dyDescent="0.25">
      <c r="A91" s="1"/>
      <c r="B91" s="18" t="s">
        <v>1</v>
      </c>
      <c r="C91" s="18"/>
      <c r="D91" s="18"/>
      <c r="F91" s="11" t="s">
        <v>19</v>
      </c>
    </row>
    <row r="92" spans="1:13" ht="21" x14ac:dyDescent="0.25">
      <c r="A92" s="1" t="s">
        <v>2</v>
      </c>
      <c r="B92" s="6" t="s">
        <v>3</v>
      </c>
      <c r="C92" s="6" t="s">
        <v>4</v>
      </c>
      <c r="D92" s="7" t="s">
        <v>28</v>
      </c>
      <c r="F92" s="11">
        <v>0.5</v>
      </c>
    </row>
    <row r="93" spans="1:13" ht="21" x14ac:dyDescent="0.25">
      <c r="A93" s="8" t="s">
        <v>6</v>
      </c>
      <c r="B93" s="9">
        <f>$F$85-B84</f>
        <v>-200000</v>
      </c>
      <c r="C93" s="9">
        <f>$F$86-C84</f>
        <v>180000</v>
      </c>
      <c r="D93" s="9" cm="1">
        <f t="array" ref="D93">(Table1491016[[#This Row],[Favorable]]*Table16[Probabilidad])+(Table1491016[[#This Row],[Desfavorable]]*Table16[Probabilidad])</f>
        <v>-10000</v>
      </c>
    </row>
    <row r="94" spans="1:13" ht="21" x14ac:dyDescent="0.25">
      <c r="A94" s="8" t="s">
        <v>7</v>
      </c>
      <c r="B94" s="9">
        <f>$F$85-B85</f>
        <v>-100000</v>
      </c>
      <c r="C94" s="9">
        <f>$F$86-C85</f>
        <v>20000</v>
      </c>
      <c r="D94" s="9" cm="1">
        <f t="array" ref="D94">(Table1491016[[#This Row],[Favorable]]*Table16[Probabilidad])+(Table1491016[[#This Row],[Desfavorable]]*Table16[Probabilidad])</f>
        <v>-40000</v>
      </c>
      <c r="E94" s="59" t="s">
        <v>29</v>
      </c>
      <c r="G94" s="61"/>
      <c r="H94" s="61"/>
      <c r="I94" s="61"/>
      <c r="J94" s="61"/>
      <c r="K94" s="61"/>
      <c r="L94" s="61"/>
      <c r="M94" s="61"/>
    </row>
    <row r="95" spans="1:13" ht="21" x14ac:dyDescent="0.25">
      <c r="A95" s="8" t="s">
        <v>8</v>
      </c>
      <c r="B95" s="9">
        <f>$F$85-B86</f>
        <v>0</v>
      </c>
      <c r="C95" s="9">
        <f>$F$86-C86</f>
        <v>0</v>
      </c>
      <c r="D95" s="9" cm="1">
        <f t="array" ref="D95">(Table1491016[[#This Row],[Favorable]]*Table16[Probabilidad])+(Table1491016[[#This Row],[Desfavorable]]*Table16[Probabilidad])</f>
        <v>0</v>
      </c>
    </row>
  </sheetData>
  <mergeCells count="13">
    <mergeCell ref="B90:D90"/>
    <mergeCell ref="B91:D91"/>
    <mergeCell ref="B57:D57"/>
    <mergeCell ref="B66:C66"/>
    <mergeCell ref="B47:C47"/>
    <mergeCell ref="B48:C48"/>
    <mergeCell ref="B56:D56"/>
    <mergeCell ref="B25:C25"/>
    <mergeCell ref="B26:C26"/>
    <mergeCell ref="B35:D35"/>
    <mergeCell ref="B4:C4"/>
    <mergeCell ref="B15:C15"/>
    <mergeCell ref="B16:C16"/>
  </mergeCells>
  <phoneticPr fontId="2" type="noConversion"/>
  <conditionalFormatting sqref="A4:M5 G39:M39 E39 E28:L28 A15:M19 A20:L20 A8:M9 G7:M7 A6:E7 G94:M94 E94">
    <cfRule type="cellIs" dxfId="8" priority="15" operator="lessThan">
      <formula>0</formula>
    </cfRule>
  </conditionalFormatting>
  <conditionalFormatting sqref="G25:M27 A25:E28 F26:F27 A29:M29 A30:D30">
    <cfRule type="cellIs" dxfId="7" priority="13" operator="lessThan">
      <formula>0</formula>
    </cfRule>
  </conditionalFormatting>
  <conditionalFormatting sqref="A35:B36 A37:D40">
    <cfRule type="cellIs" dxfId="6" priority="11" operator="lessThan">
      <formula>0</formula>
    </cfRule>
  </conditionalFormatting>
  <conditionalFormatting sqref="A74">
    <cfRule type="cellIs" dxfId="5" priority="5" operator="lessThan">
      <formula>0</formula>
    </cfRule>
  </conditionalFormatting>
  <conditionalFormatting sqref="A66:B67 A68:D71 A75:D76">
    <cfRule type="cellIs" dxfId="4" priority="7" operator="lessThan">
      <formula>0</formula>
    </cfRule>
  </conditionalFormatting>
  <conditionalFormatting sqref="B74:D74">
    <cfRule type="cellIs" dxfId="3" priority="6" operator="lessThan">
      <formula>0</formula>
    </cfRule>
  </conditionalFormatting>
  <conditionalFormatting sqref="A90:B91 A92:C95">
    <cfRule type="cellIs" dxfId="2" priority="3" operator="lessThan">
      <formula>0</formula>
    </cfRule>
  </conditionalFormatting>
  <conditionalFormatting sqref="A82:C86">
    <cfRule type="cellIs" dxfId="1" priority="4" operator="lessThan">
      <formula>0</formula>
    </cfRule>
  </conditionalFormatting>
  <conditionalFormatting sqref="D92:D95">
    <cfRule type="cellIs" dxfId="0" priority="2" operator="lessThan">
      <formula>0</formula>
    </cfRule>
  </conditionalFormatting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EE88-8C59-5149-8676-5557FF87BAED}">
  <dimension ref="B1:V43"/>
  <sheetViews>
    <sheetView topLeftCell="A11" workbookViewId="0">
      <selection sqref="A1:W43"/>
    </sheetView>
  </sheetViews>
  <sheetFormatPr baseColWidth="10" defaultRowHeight="16" x14ac:dyDescent="0.2"/>
  <sheetData>
    <row r="1" spans="2:22" x14ac:dyDescent="0.2">
      <c r="R1" s="20" t="s">
        <v>30</v>
      </c>
      <c r="S1" s="21" t="s">
        <v>31</v>
      </c>
      <c r="T1" s="21"/>
      <c r="U1" s="22" t="s">
        <v>20</v>
      </c>
      <c r="V1" s="22"/>
    </row>
    <row r="2" spans="2:22" x14ac:dyDescent="0.2">
      <c r="N2" t="s">
        <v>32</v>
      </c>
      <c r="R2" s="23"/>
      <c r="S2" s="24"/>
      <c r="T2" s="24"/>
      <c r="U2" s="24"/>
    </row>
    <row r="3" spans="2:22" x14ac:dyDescent="0.2">
      <c r="R3" s="23">
        <v>0.75</v>
      </c>
      <c r="S3" s="24">
        <v>-100000</v>
      </c>
      <c r="T3" s="24"/>
      <c r="U3" s="24">
        <f>R3*S3</f>
        <v>-75000</v>
      </c>
    </row>
    <row r="4" spans="2:22" x14ac:dyDescent="0.2">
      <c r="R4" s="23"/>
      <c r="S4" s="24"/>
      <c r="T4" s="24"/>
      <c r="U4" s="24"/>
      <c r="V4" s="25">
        <f>U3+U6</f>
        <v>100000</v>
      </c>
    </row>
    <row r="5" spans="2:22" x14ac:dyDescent="0.2">
      <c r="J5" s="26">
        <f>$V$5</f>
        <v>0</v>
      </c>
      <c r="R5" s="23"/>
      <c r="S5" s="24"/>
      <c r="T5" s="24"/>
      <c r="U5" s="24"/>
      <c r="V5" s="27"/>
    </row>
    <row r="6" spans="2:22" x14ac:dyDescent="0.2">
      <c r="J6" t="s">
        <v>33</v>
      </c>
      <c r="R6" s="23">
        <v>0.25</v>
      </c>
      <c r="S6" s="24">
        <v>700000</v>
      </c>
      <c r="T6" s="24"/>
      <c r="U6" s="24">
        <f>R6*S6</f>
        <v>175000</v>
      </c>
    </row>
    <row r="7" spans="2:22" x14ac:dyDescent="0.2">
      <c r="N7" t="s">
        <v>34</v>
      </c>
      <c r="R7" s="23"/>
      <c r="S7" s="24"/>
      <c r="T7" s="24"/>
      <c r="U7" s="24"/>
    </row>
    <row r="8" spans="2:22" x14ac:dyDescent="0.2">
      <c r="R8" s="23"/>
      <c r="S8" s="24"/>
      <c r="T8" s="24"/>
      <c r="U8" s="24"/>
    </row>
    <row r="9" spans="2:22" x14ac:dyDescent="0.2">
      <c r="R9" s="23"/>
      <c r="S9" s="24"/>
      <c r="T9" s="24"/>
      <c r="U9" s="24"/>
    </row>
    <row r="10" spans="2:22" x14ac:dyDescent="0.2">
      <c r="D10" t="s">
        <v>35</v>
      </c>
      <c r="R10" s="23"/>
      <c r="S10" s="24"/>
      <c r="T10" s="24"/>
      <c r="U10" s="24"/>
    </row>
    <row r="11" spans="2:22" x14ac:dyDescent="0.2">
      <c r="D11" t="s">
        <v>36</v>
      </c>
      <c r="R11" s="23"/>
      <c r="S11" s="24"/>
      <c r="T11" s="24"/>
      <c r="U11" s="24"/>
    </row>
    <row r="12" spans="2:22" x14ac:dyDescent="0.2">
      <c r="R12" s="23"/>
      <c r="S12" s="24"/>
      <c r="T12" s="24"/>
      <c r="U12" s="24"/>
    </row>
    <row r="13" spans="2:22" x14ac:dyDescent="0.2">
      <c r="D13" s="26">
        <f>$V$5</f>
        <v>0</v>
      </c>
      <c r="R13" s="23"/>
      <c r="S13" s="24"/>
      <c r="T13" s="24"/>
      <c r="U13" s="24"/>
    </row>
    <row r="14" spans="2:22" x14ac:dyDescent="0.2">
      <c r="J14" t="s">
        <v>37</v>
      </c>
      <c r="R14" s="23">
        <v>0</v>
      </c>
      <c r="S14" s="24">
        <v>90000</v>
      </c>
      <c r="T14" s="24"/>
      <c r="U14" s="24">
        <f>S14</f>
        <v>90000</v>
      </c>
    </row>
    <row r="15" spans="2:22" x14ac:dyDescent="0.2">
      <c r="J15" t="s">
        <v>38</v>
      </c>
      <c r="R15" s="23"/>
      <c r="S15" s="24"/>
      <c r="T15" s="24"/>
      <c r="U15" s="24"/>
    </row>
    <row r="16" spans="2:22" x14ac:dyDescent="0.2">
      <c r="B16" s="28"/>
      <c r="C16" s="28"/>
      <c r="P16" t="s">
        <v>39</v>
      </c>
      <c r="R16" s="23"/>
      <c r="S16" s="24"/>
      <c r="T16" s="24"/>
      <c r="U16" s="24"/>
    </row>
    <row r="17" spans="2:22" x14ac:dyDescent="0.2">
      <c r="B17" s="28"/>
      <c r="C17" s="28"/>
      <c r="R17" s="23"/>
      <c r="S17" s="24"/>
      <c r="T17" s="24"/>
      <c r="U17" s="24"/>
    </row>
    <row r="18" spans="2:22" x14ac:dyDescent="0.2">
      <c r="B18" s="28"/>
      <c r="C18" s="28"/>
      <c r="R18" s="23">
        <f>100%-R21</f>
        <v>0.5</v>
      </c>
      <c r="S18" s="24">
        <f>-100000+-30000</f>
        <v>-130000</v>
      </c>
      <c r="T18" s="24"/>
      <c r="U18" s="24">
        <f>R18*S18</f>
        <v>-65000</v>
      </c>
    </row>
    <row r="19" spans="2:22" x14ac:dyDescent="0.2">
      <c r="B19" s="28"/>
      <c r="C19" s="28"/>
      <c r="K19" s="26">
        <f>$V$20</f>
        <v>0</v>
      </c>
      <c r="N19" t="s">
        <v>40</v>
      </c>
      <c r="R19" s="23"/>
      <c r="S19" s="24"/>
      <c r="T19" s="24"/>
      <c r="U19" s="24"/>
      <c r="V19" s="25">
        <f>U18+U21</f>
        <v>270000</v>
      </c>
    </row>
    <row r="20" spans="2:22" x14ac:dyDescent="0.2">
      <c r="R20" s="23"/>
      <c r="S20" s="24"/>
      <c r="T20" s="24"/>
      <c r="U20" s="24"/>
      <c r="V20" s="27"/>
    </row>
    <row r="21" spans="2:22" x14ac:dyDescent="0.2">
      <c r="R21" s="23">
        <v>0.5</v>
      </c>
      <c r="S21" s="24">
        <f>800000-100000-30000</f>
        <v>670000</v>
      </c>
      <c r="T21" s="24"/>
      <c r="U21" s="24">
        <f>R21*S21</f>
        <v>335000</v>
      </c>
    </row>
    <row r="22" spans="2:22" x14ac:dyDescent="0.2">
      <c r="P22" t="s">
        <v>34</v>
      </c>
      <c r="R22" s="23"/>
      <c r="S22" s="24"/>
      <c r="T22" s="24"/>
      <c r="U22" s="24"/>
    </row>
    <row r="23" spans="2:22" x14ac:dyDescent="0.2">
      <c r="H23" t="s">
        <v>41</v>
      </c>
      <c r="R23" s="23"/>
      <c r="S23" s="24"/>
      <c r="T23" s="24"/>
      <c r="U23" s="24"/>
    </row>
    <row r="24" spans="2:22" x14ac:dyDescent="0.2">
      <c r="H24" s="29">
        <v>0.3</v>
      </c>
      <c r="R24" s="23"/>
      <c r="S24" s="24"/>
      <c r="T24" s="24"/>
      <c r="U24" s="24"/>
    </row>
    <row r="25" spans="2:22" x14ac:dyDescent="0.2">
      <c r="H25" s="26">
        <f>H24*K19</f>
        <v>0</v>
      </c>
      <c r="R25" s="23"/>
      <c r="S25" s="24"/>
      <c r="T25" s="24"/>
      <c r="U25" s="24"/>
    </row>
    <row r="26" spans="2:22" x14ac:dyDescent="0.2">
      <c r="D26" t="s">
        <v>42</v>
      </c>
      <c r="N26" t="s">
        <v>43</v>
      </c>
      <c r="R26" s="23"/>
      <c r="S26" s="24"/>
      <c r="T26" s="24"/>
      <c r="U26" s="24"/>
    </row>
    <row r="27" spans="2:22" x14ac:dyDescent="0.2">
      <c r="D27" t="s">
        <v>44</v>
      </c>
      <c r="R27" s="23"/>
      <c r="S27" s="24"/>
      <c r="T27" s="24"/>
      <c r="U27" s="24"/>
    </row>
    <row r="28" spans="2:22" x14ac:dyDescent="0.2">
      <c r="R28" s="23">
        <v>0</v>
      </c>
      <c r="S28" s="24">
        <f>$S$15-30000</f>
        <v>-30000</v>
      </c>
      <c r="T28" s="24"/>
      <c r="U28" s="24">
        <f>S28</f>
        <v>-30000</v>
      </c>
    </row>
    <row r="29" spans="2:22" x14ac:dyDescent="0.2">
      <c r="D29" s="26">
        <f>H25+H35</f>
        <v>0</v>
      </c>
      <c r="R29" s="23"/>
      <c r="S29" s="24"/>
      <c r="T29" s="24"/>
      <c r="U29" s="24"/>
    </row>
    <row r="30" spans="2:22" x14ac:dyDescent="0.2">
      <c r="P30" t="s">
        <v>39</v>
      </c>
      <c r="R30" s="23"/>
      <c r="S30" s="24"/>
      <c r="T30" s="24"/>
      <c r="U30" s="24"/>
    </row>
    <row r="31" spans="2:22" x14ac:dyDescent="0.2">
      <c r="R31" s="23"/>
      <c r="S31" s="24"/>
      <c r="T31" s="24"/>
      <c r="U31" s="24"/>
    </row>
    <row r="32" spans="2:22" x14ac:dyDescent="0.2">
      <c r="K32" s="30">
        <f>$U$42</f>
        <v>0</v>
      </c>
      <c r="R32" s="23">
        <f>100%-R35</f>
        <v>0.85699999999999998</v>
      </c>
      <c r="S32" s="24">
        <f>-100000+-30000</f>
        <v>-130000</v>
      </c>
      <c r="T32" s="24"/>
      <c r="U32" s="24">
        <f>R32*S32</f>
        <v>-111410</v>
      </c>
    </row>
    <row r="33" spans="8:22" x14ac:dyDescent="0.2">
      <c r="H33" t="s">
        <v>45</v>
      </c>
      <c r="N33" t="s">
        <v>40</v>
      </c>
      <c r="R33" s="23"/>
      <c r="S33" s="24"/>
      <c r="T33" s="24"/>
      <c r="U33" s="24"/>
      <c r="V33" s="31">
        <f>U32+U35</f>
        <v>-15600.000000000015</v>
      </c>
    </row>
    <row r="34" spans="8:22" x14ac:dyDescent="0.2">
      <c r="H34" s="29">
        <v>0.7</v>
      </c>
      <c r="R34" s="23"/>
      <c r="S34" s="24"/>
      <c r="T34" s="24"/>
      <c r="U34" s="24"/>
      <c r="V34" s="32"/>
    </row>
    <row r="35" spans="8:22" x14ac:dyDescent="0.2">
      <c r="H35" s="26">
        <f>H34*K32</f>
        <v>0</v>
      </c>
      <c r="R35" s="23">
        <v>0.14299999999999999</v>
      </c>
      <c r="S35" s="24">
        <f>800000-100000-30000</f>
        <v>670000</v>
      </c>
      <c r="T35" s="24"/>
      <c r="U35" s="24">
        <f>R35*S35</f>
        <v>95809.999999999985</v>
      </c>
    </row>
    <row r="36" spans="8:22" x14ac:dyDescent="0.2">
      <c r="R36" s="23"/>
      <c r="S36" s="24"/>
      <c r="T36" s="24"/>
      <c r="U36" s="24"/>
    </row>
    <row r="37" spans="8:22" x14ac:dyDescent="0.2">
      <c r="P37" t="s">
        <v>34</v>
      </c>
      <c r="R37" s="23"/>
      <c r="S37" s="24"/>
      <c r="T37" s="24"/>
      <c r="U37" s="24"/>
    </row>
    <row r="38" spans="8:22" x14ac:dyDescent="0.2">
      <c r="R38" s="23"/>
      <c r="S38" s="24"/>
      <c r="T38" s="24"/>
      <c r="U38" s="24"/>
    </row>
    <row r="39" spans="8:22" x14ac:dyDescent="0.2">
      <c r="N39" t="s">
        <v>43</v>
      </c>
      <c r="R39" s="23"/>
      <c r="S39" s="24"/>
      <c r="T39" s="24"/>
      <c r="U39" s="24"/>
    </row>
    <row r="40" spans="8:22" x14ac:dyDescent="0.2">
      <c r="R40" s="23"/>
      <c r="S40" s="24"/>
      <c r="T40" s="24"/>
      <c r="U40" s="24"/>
    </row>
    <row r="41" spans="8:22" x14ac:dyDescent="0.2">
      <c r="R41" s="23">
        <v>0</v>
      </c>
      <c r="S41" s="24">
        <f>$S$15-30000</f>
        <v>-30000</v>
      </c>
      <c r="T41" s="24"/>
      <c r="U41" s="30">
        <f>S41</f>
        <v>-30000</v>
      </c>
    </row>
    <row r="42" spans="8:22" x14ac:dyDescent="0.2">
      <c r="R42" s="23"/>
      <c r="S42" s="24"/>
      <c r="T42" s="24"/>
      <c r="U42" s="24"/>
    </row>
    <row r="43" spans="8:22" x14ac:dyDescent="0.2">
      <c r="R43" s="23"/>
      <c r="S43" s="24"/>
      <c r="T43" s="24"/>
      <c r="U43" s="24"/>
    </row>
  </sheetData>
  <mergeCells count="4">
    <mergeCell ref="U1:V1"/>
    <mergeCell ref="V4:V5"/>
    <mergeCell ref="V19:V20"/>
    <mergeCell ref="V33:V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B66D-BA88-D94A-AB21-BE0DE15618CD}">
  <dimension ref="A3:G98"/>
  <sheetViews>
    <sheetView topLeftCell="A15" workbookViewId="0">
      <selection activeCell="A3" sqref="A3"/>
    </sheetView>
  </sheetViews>
  <sheetFormatPr baseColWidth="10" defaultRowHeight="16" x14ac:dyDescent="0.2"/>
  <cols>
    <col min="2" max="2" width="16.1640625" customWidth="1"/>
    <col min="3" max="3" width="16.33203125" customWidth="1"/>
    <col min="4" max="4" width="19.5" customWidth="1"/>
    <col min="5" max="5" width="16" customWidth="1"/>
  </cols>
  <sheetData>
    <row r="3" spans="1:5" x14ac:dyDescent="0.2">
      <c r="A3" s="39" t="s">
        <v>54</v>
      </c>
    </row>
    <row r="5" spans="1:5" x14ac:dyDescent="0.2">
      <c r="B5" t="s">
        <v>46</v>
      </c>
      <c r="C5" t="s">
        <v>47</v>
      </c>
      <c r="D5" t="s">
        <v>48</v>
      </c>
      <c r="E5" t="s">
        <v>49</v>
      </c>
    </row>
    <row r="6" spans="1:5" x14ac:dyDescent="0.2">
      <c r="B6" s="33">
        <v>1</v>
      </c>
      <c r="C6" s="33">
        <v>110</v>
      </c>
      <c r="D6" s="33">
        <v>0</v>
      </c>
      <c r="E6" s="33"/>
    </row>
    <row r="7" spans="1:5" x14ac:dyDescent="0.2">
      <c r="B7" s="33">
        <v>2</v>
      </c>
      <c r="C7" s="33">
        <v>100</v>
      </c>
      <c r="D7" s="33">
        <f>C6</f>
        <v>110</v>
      </c>
      <c r="E7" s="33">
        <f>ABS(Table132[[#This Row],[Computadoras]]-Table132[[#This Row],[Pronóstico Ventas]])</f>
        <v>10</v>
      </c>
    </row>
    <row r="8" spans="1:5" x14ac:dyDescent="0.2">
      <c r="B8" s="33">
        <v>3</v>
      </c>
      <c r="C8" s="33">
        <v>120</v>
      </c>
      <c r="D8" s="33">
        <f t="shared" ref="D8:D15" si="0">C7</f>
        <v>100</v>
      </c>
      <c r="E8" s="33">
        <f>ABS(Table132[[#This Row],[Computadoras]]-Table132[[#This Row],[Pronóstico Ventas]])</f>
        <v>20</v>
      </c>
    </row>
    <row r="9" spans="1:5" x14ac:dyDescent="0.2">
      <c r="B9" s="33">
        <v>4</v>
      </c>
      <c r="C9" s="33">
        <v>140</v>
      </c>
      <c r="D9" s="33">
        <f t="shared" si="0"/>
        <v>120</v>
      </c>
      <c r="E9" s="33">
        <f>ABS(Table132[[#This Row],[Computadoras]]-Table132[[#This Row],[Pronóstico Ventas]])</f>
        <v>20</v>
      </c>
    </row>
    <row r="10" spans="1:5" x14ac:dyDescent="0.2">
      <c r="B10" s="33">
        <v>5</v>
      </c>
      <c r="C10" s="33">
        <v>170</v>
      </c>
      <c r="D10" s="33">
        <f t="shared" si="0"/>
        <v>140</v>
      </c>
      <c r="E10" s="33">
        <f>ABS(Table132[[#This Row],[Computadoras]]-Table132[[#This Row],[Pronóstico Ventas]])</f>
        <v>30</v>
      </c>
    </row>
    <row r="11" spans="1:5" x14ac:dyDescent="0.2">
      <c r="B11" s="33">
        <v>6</v>
      </c>
      <c r="C11" s="33">
        <v>150</v>
      </c>
      <c r="D11" s="33">
        <f t="shared" si="0"/>
        <v>170</v>
      </c>
      <c r="E11" s="33">
        <f>ABS(Table132[[#This Row],[Computadoras]]-Table132[[#This Row],[Pronóstico Ventas]])</f>
        <v>20</v>
      </c>
    </row>
    <row r="12" spans="1:5" x14ac:dyDescent="0.2">
      <c r="B12" s="33">
        <v>7</v>
      </c>
      <c r="C12" s="33">
        <v>160</v>
      </c>
      <c r="D12" s="33">
        <f t="shared" si="0"/>
        <v>150</v>
      </c>
      <c r="E12" s="33">
        <f>ABS(Table132[[#This Row],[Computadoras]]-Table132[[#This Row],[Pronóstico Ventas]])</f>
        <v>10</v>
      </c>
    </row>
    <row r="13" spans="1:5" x14ac:dyDescent="0.2">
      <c r="B13" s="33">
        <v>8</v>
      </c>
      <c r="C13" s="33">
        <v>190</v>
      </c>
      <c r="D13" s="33">
        <f t="shared" si="0"/>
        <v>160</v>
      </c>
      <c r="E13" s="33">
        <f>ABS(Table132[[#This Row],[Computadoras]]-Table132[[#This Row],[Pronóstico Ventas]])</f>
        <v>30</v>
      </c>
    </row>
    <row r="14" spans="1:5" x14ac:dyDescent="0.2">
      <c r="B14" s="33">
        <v>9</v>
      </c>
      <c r="C14" s="33">
        <v>200</v>
      </c>
      <c r="D14" s="33">
        <f t="shared" si="0"/>
        <v>190</v>
      </c>
      <c r="E14" s="33">
        <f>ABS(Table132[[#This Row],[Computadoras]]-Table132[[#This Row],[Pronóstico Ventas]])</f>
        <v>10</v>
      </c>
    </row>
    <row r="15" spans="1:5" x14ac:dyDescent="0.2">
      <c r="B15" s="33">
        <v>10</v>
      </c>
      <c r="C15" s="33">
        <v>190</v>
      </c>
      <c r="D15" s="33">
        <f t="shared" si="0"/>
        <v>200</v>
      </c>
      <c r="E15" s="33">
        <f>ABS(Table132[[#This Row],[Computadoras]]-Table132[[#This Row],[Pronóstico Ventas]])</f>
        <v>10</v>
      </c>
    </row>
    <row r="16" spans="1:5" x14ac:dyDescent="0.2">
      <c r="D16" s="34" t="s">
        <v>50</v>
      </c>
      <c r="E16">
        <f>SUM(Table132[Valor Absoluto])</f>
        <v>160</v>
      </c>
    </row>
    <row r="17" spans="1:7" x14ac:dyDescent="0.2">
      <c r="D17" s="34" t="s">
        <v>51</v>
      </c>
      <c r="E17">
        <f>COUNT(Table132[Valor Absoluto])</f>
        <v>9</v>
      </c>
    </row>
    <row r="18" spans="1:7" x14ac:dyDescent="0.2">
      <c r="D18" s="34" t="s">
        <v>52</v>
      </c>
      <c r="E18" s="35">
        <f>E16/E17</f>
        <v>17.777777777777779</v>
      </c>
    </row>
    <row r="19" spans="1:7" x14ac:dyDescent="0.2">
      <c r="D19" s="34"/>
    </row>
    <row r="20" spans="1:7" x14ac:dyDescent="0.2">
      <c r="E20" t="s">
        <v>53</v>
      </c>
    </row>
    <row r="24" spans="1:7" x14ac:dyDescent="0.2">
      <c r="A24" s="39" t="s">
        <v>55</v>
      </c>
    </row>
    <row r="26" spans="1:7" x14ac:dyDescent="0.2">
      <c r="B26" t="s">
        <v>56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</row>
    <row r="27" spans="1:7" x14ac:dyDescent="0.2">
      <c r="B27" t="s">
        <v>62</v>
      </c>
      <c r="C27">
        <v>10</v>
      </c>
    </row>
    <row r="28" spans="1:7" x14ac:dyDescent="0.2">
      <c r="B28" t="s">
        <v>63</v>
      </c>
      <c r="C28">
        <v>12</v>
      </c>
    </row>
    <row r="29" spans="1:7" x14ac:dyDescent="0.2">
      <c r="B29" t="s">
        <v>64</v>
      </c>
      <c r="C29">
        <v>13</v>
      </c>
    </row>
    <row r="30" spans="1:7" x14ac:dyDescent="0.2">
      <c r="B30" t="s">
        <v>65</v>
      </c>
      <c r="C30">
        <v>16</v>
      </c>
      <c r="D30">
        <f>SUM(C27:C29)/3</f>
        <v>11.666666666666666</v>
      </c>
      <c r="E30">
        <f>ABS(C30-D30)</f>
        <v>4.3333333333333339</v>
      </c>
    </row>
    <row r="31" spans="1:7" x14ac:dyDescent="0.2">
      <c r="B31" t="s">
        <v>66</v>
      </c>
      <c r="C31">
        <v>19</v>
      </c>
      <c r="D31">
        <f t="shared" ref="D31:D39" si="1">SUM(C28:C30)/3</f>
        <v>13.666666666666666</v>
      </c>
      <c r="E31">
        <f t="shared" ref="E31:E38" si="2">ABS(C31-D31)</f>
        <v>5.3333333333333339</v>
      </c>
      <c r="F31">
        <f>SUM(C27:C30)/4</f>
        <v>12.75</v>
      </c>
      <c r="G31">
        <f>ABS(C31-F31)</f>
        <v>6.25</v>
      </c>
    </row>
    <row r="32" spans="1:7" x14ac:dyDescent="0.2">
      <c r="B32" t="s">
        <v>67</v>
      </c>
      <c r="C32">
        <v>23</v>
      </c>
      <c r="D32">
        <f t="shared" si="1"/>
        <v>16</v>
      </c>
      <c r="E32">
        <f t="shared" si="2"/>
        <v>7</v>
      </c>
      <c r="F32">
        <f t="shared" ref="F32:F38" si="3">SUM(C28:C31)/4</f>
        <v>15</v>
      </c>
      <c r="G32">
        <f t="shared" ref="G32:G37" si="4">ABS(C32-F32)</f>
        <v>8</v>
      </c>
    </row>
    <row r="33" spans="1:7" x14ac:dyDescent="0.2">
      <c r="B33" t="s">
        <v>68</v>
      </c>
      <c r="C33">
        <v>26</v>
      </c>
      <c r="D33">
        <f t="shared" si="1"/>
        <v>19.333333333333332</v>
      </c>
      <c r="E33">
        <f t="shared" si="2"/>
        <v>6.6666666666666679</v>
      </c>
      <c r="F33">
        <f t="shared" si="3"/>
        <v>17.75</v>
      </c>
      <c r="G33">
        <f t="shared" si="4"/>
        <v>8.25</v>
      </c>
    </row>
    <row r="34" spans="1:7" x14ac:dyDescent="0.2">
      <c r="B34" t="s">
        <v>69</v>
      </c>
      <c r="C34">
        <v>30</v>
      </c>
      <c r="D34">
        <f t="shared" si="1"/>
        <v>22.666666666666668</v>
      </c>
      <c r="E34">
        <f t="shared" si="2"/>
        <v>7.3333333333333321</v>
      </c>
      <c r="F34">
        <f t="shared" si="3"/>
        <v>21</v>
      </c>
      <c r="G34">
        <f t="shared" si="4"/>
        <v>9</v>
      </c>
    </row>
    <row r="35" spans="1:7" x14ac:dyDescent="0.2">
      <c r="B35" t="s">
        <v>70</v>
      </c>
      <c r="C35">
        <v>28</v>
      </c>
      <c r="D35">
        <f t="shared" si="1"/>
        <v>26.333333333333332</v>
      </c>
      <c r="E35">
        <f t="shared" si="2"/>
        <v>1.6666666666666679</v>
      </c>
      <c r="F35">
        <f t="shared" si="3"/>
        <v>24.5</v>
      </c>
      <c r="G35">
        <f t="shared" si="4"/>
        <v>3.5</v>
      </c>
    </row>
    <row r="36" spans="1:7" x14ac:dyDescent="0.2">
      <c r="B36" t="s">
        <v>71</v>
      </c>
      <c r="C36">
        <v>18</v>
      </c>
      <c r="D36">
        <f t="shared" si="1"/>
        <v>28</v>
      </c>
      <c r="E36">
        <f t="shared" si="2"/>
        <v>10</v>
      </c>
      <c r="F36">
        <f t="shared" si="3"/>
        <v>26.75</v>
      </c>
      <c r="G36">
        <f t="shared" si="4"/>
        <v>8.75</v>
      </c>
    </row>
    <row r="37" spans="1:7" x14ac:dyDescent="0.2">
      <c r="B37" t="s">
        <v>72</v>
      </c>
      <c r="C37">
        <v>16</v>
      </c>
      <c r="D37">
        <f t="shared" si="1"/>
        <v>25.333333333333332</v>
      </c>
      <c r="E37">
        <f t="shared" si="2"/>
        <v>9.3333333333333321</v>
      </c>
      <c r="F37">
        <f t="shared" si="3"/>
        <v>25.5</v>
      </c>
      <c r="G37">
        <f t="shared" si="4"/>
        <v>9.5</v>
      </c>
    </row>
    <row r="38" spans="1:7" x14ac:dyDescent="0.2">
      <c r="B38" t="s">
        <v>73</v>
      </c>
      <c r="C38">
        <v>14</v>
      </c>
      <c r="D38">
        <f t="shared" si="1"/>
        <v>20.666666666666668</v>
      </c>
      <c r="E38">
        <f t="shared" si="2"/>
        <v>6.6666666666666679</v>
      </c>
      <c r="F38">
        <f t="shared" si="3"/>
        <v>23</v>
      </c>
      <c r="G38">
        <f>ABS(C38-F38)</f>
        <v>9</v>
      </c>
    </row>
    <row r="39" spans="1:7" x14ac:dyDescent="0.2">
      <c r="B39" t="s">
        <v>62</v>
      </c>
      <c r="D39">
        <f t="shared" si="1"/>
        <v>16</v>
      </c>
      <c r="F39">
        <f>SUM(C35:C38)/4</f>
        <v>19</v>
      </c>
    </row>
    <row r="41" spans="1:7" x14ac:dyDescent="0.2">
      <c r="D41" s="34" t="s">
        <v>74</v>
      </c>
      <c r="E41">
        <f>SUM(E27:E39)</f>
        <v>58.333333333333343</v>
      </c>
      <c r="F41" s="34" t="s">
        <v>74</v>
      </c>
      <c r="G41">
        <f>SUM(G31:G38)</f>
        <v>62.25</v>
      </c>
    </row>
    <row r="42" spans="1:7" x14ac:dyDescent="0.2">
      <c r="D42" s="34" t="s">
        <v>75</v>
      </c>
      <c r="E42">
        <f>COUNT(E27:E39)</f>
        <v>9</v>
      </c>
      <c r="F42" s="34" t="s">
        <v>75</v>
      </c>
      <c r="G42">
        <f>COUNT(G31:G38)</f>
        <v>8</v>
      </c>
    </row>
    <row r="43" spans="1:7" x14ac:dyDescent="0.2">
      <c r="D43" s="34" t="s">
        <v>76</v>
      </c>
      <c r="E43">
        <f>E41/E42</f>
        <v>6.4814814814814827</v>
      </c>
      <c r="F43" s="34" t="s">
        <v>76</v>
      </c>
      <c r="G43">
        <f>G41/G42</f>
        <v>7.78125</v>
      </c>
    </row>
    <row r="46" spans="1:7" x14ac:dyDescent="0.2">
      <c r="A46" s="39" t="s">
        <v>79</v>
      </c>
    </row>
    <row r="48" spans="1:7" x14ac:dyDescent="0.2">
      <c r="B48" t="s">
        <v>56</v>
      </c>
      <c r="C48" t="s">
        <v>57</v>
      </c>
      <c r="D48" t="s">
        <v>77</v>
      </c>
      <c r="E48" t="s">
        <v>59</v>
      </c>
      <c r="F48" t="s">
        <v>78</v>
      </c>
      <c r="G48" t="s">
        <v>61</v>
      </c>
    </row>
    <row r="49" spans="2:7" x14ac:dyDescent="0.2">
      <c r="B49" t="s">
        <v>62</v>
      </c>
      <c r="C49">
        <v>10</v>
      </c>
    </row>
    <row r="50" spans="2:7" x14ac:dyDescent="0.2">
      <c r="B50" t="s">
        <v>63</v>
      </c>
      <c r="C50">
        <v>12</v>
      </c>
    </row>
    <row r="51" spans="2:7" x14ac:dyDescent="0.2">
      <c r="B51" t="s">
        <v>64</v>
      </c>
      <c r="C51">
        <v>13</v>
      </c>
    </row>
    <row r="52" spans="2:7" x14ac:dyDescent="0.2">
      <c r="B52" t="s">
        <v>65</v>
      </c>
      <c r="C52">
        <v>16</v>
      </c>
      <c r="D52" s="36">
        <f>(C49*1+C50*2+C51*3)/6</f>
        <v>12.166666666666666</v>
      </c>
      <c r="E52" s="36">
        <f>ABS(C52-D52)</f>
        <v>3.8333333333333339</v>
      </c>
      <c r="F52" s="36" t="e">
        <f>(C49*$L$9+C50*$L$8+C51*$L$7)/$L$10</f>
        <v>#DIV/0!</v>
      </c>
      <c r="G52" t="e">
        <f>ABS(C52-F52)</f>
        <v>#DIV/0!</v>
      </c>
    </row>
    <row r="53" spans="2:7" x14ac:dyDescent="0.2">
      <c r="B53" t="s">
        <v>66</v>
      </c>
      <c r="C53">
        <v>19</v>
      </c>
      <c r="D53" s="36">
        <f t="shared" ref="D53:D61" si="5">(C50*1+C51*2+C52*3)/6</f>
        <v>14.333333333333334</v>
      </c>
      <c r="E53" s="36">
        <f t="shared" ref="E53:E60" si="6">ABS(C53-D53)</f>
        <v>4.6666666666666661</v>
      </c>
      <c r="F53" s="36" t="e">
        <f t="shared" ref="F53:F61" si="7">(C50*$L$9+C51*$L$8+C52*$L$7)/$L$10</f>
        <v>#DIV/0!</v>
      </c>
      <c r="G53" t="e">
        <f>ABS(C53-F53)</f>
        <v>#DIV/0!</v>
      </c>
    </row>
    <row r="54" spans="2:7" x14ac:dyDescent="0.2">
      <c r="B54" t="s">
        <v>67</v>
      </c>
      <c r="C54">
        <v>23</v>
      </c>
      <c r="D54" s="36">
        <f t="shared" si="5"/>
        <v>17</v>
      </c>
      <c r="E54" s="36">
        <f t="shared" si="6"/>
        <v>6</v>
      </c>
      <c r="F54" s="36" t="e">
        <f t="shared" si="7"/>
        <v>#DIV/0!</v>
      </c>
      <c r="G54" t="e">
        <f t="shared" ref="G54:G59" si="8">ABS(C54-F54)</f>
        <v>#DIV/0!</v>
      </c>
    </row>
    <row r="55" spans="2:7" x14ac:dyDescent="0.2">
      <c r="B55" t="s">
        <v>68</v>
      </c>
      <c r="C55">
        <v>26</v>
      </c>
      <c r="D55" s="36">
        <f t="shared" si="5"/>
        <v>20.5</v>
      </c>
      <c r="E55" s="36">
        <f t="shared" si="6"/>
        <v>5.5</v>
      </c>
      <c r="F55" s="36" t="e">
        <f t="shared" si="7"/>
        <v>#DIV/0!</v>
      </c>
      <c r="G55" t="e">
        <f t="shared" si="8"/>
        <v>#DIV/0!</v>
      </c>
    </row>
    <row r="56" spans="2:7" x14ac:dyDescent="0.2">
      <c r="B56" t="s">
        <v>69</v>
      </c>
      <c r="C56">
        <v>30</v>
      </c>
      <c r="D56" s="36">
        <f t="shared" si="5"/>
        <v>23.833333333333332</v>
      </c>
      <c r="E56" s="36">
        <f t="shared" si="6"/>
        <v>6.1666666666666679</v>
      </c>
      <c r="F56" s="36" t="e">
        <f t="shared" si="7"/>
        <v>#DIV/0!</v>
      </c>
      <c r="G56" t="e">
        <f t="shared" si="8"/>
        <v>#DIV/0!</v>
      </c>
    </row>
    <row r="57" spans="2:7" x14ac:dyDescent="0.2">
      <c r="B57" t="s">
        <v>70</v>
      </c>
      <c r="C57">
        <v>28</v>
      </c>
      <c r="D57" s="36">
        <f t="shared" si="5"/>
        <v>27.5</v>
      </c>
      <c r="E57" s="36">
        <f t="shared" si="6"/>
        <v>0.5</v>
      </c>
      <c r="F57" s="36" t="e">
        <f t="shared" si="7"/>
        <v>#DIV/0!</v>
      </c>
      <c r="G57" t="e">
        <f t="shared" si="8"/>
        <v>#DIV/0!</v>
      </c>
    </row>
    <row r="58" spans="2:7" x14ac:dyDescent="0.2">
      <c r="B58" t="s">
        <v>71</v>
      </c>
      <c r="C58">
        <v>18</v>
      </c>
      <c r="D58" s="36">
        <f t="shared" si="5"/>
        <v>28.333333333333332</v>
      </c>
      <c r="E58" s="36">
        <f t="shared" si="6"/>
        <v>10.333333333333332</v>
      </c>
      <c r="F58" s="36" t="e">
        <f t="shared" si="7"/>
        <v>#DIV/0!</v>
      </c>
      <c r="G58" t="e">
        <f t="shared" si="8"/>
        <v>#DIV/0!</v>
      </c>
    </row>
    <row r="59" spans="2:7" x14ac:dyDescent="0.2">
      <c r="B59" t="s">
        <v>72</v>
      </c>
      <c r="C59">
        <v>16</v>
      </c>
      <c r="D59" s="36">
        <f t="shared" si="5"/>
        <v>23.333333333333332</v>
      </c>
      <c r="E59" s="36">
        <f t="shared" si="6"/>
        <v>7.3333333333333321</v>
      </c>
      <c r="F59" s="36" t="e">
        <f t="shared" si="7"/>
        <v>#DIV/0!</v>
      </c>
      <c r="G59" t="e">
        <f t="shared" si="8"/>
        <v>#DIV/0!</v>
      </c>
    </row>
    <row r="60" spans="2:7" x14ac:dyDescent="0.2">
      <c r="B60" t="s">
        <v>73</v>
      </c>
      <c r="C60">
        <v>14</v>
      </c>
      <c r="D60" s="36">
        <f t="shared" si="5"/>
        <v>18.666666666666668</v>
      </c>
      <c r="E60" s="36">
        <f t="shared" si="6"/>
        <v>4.6666666666666679</v>
      </c>
      <c r="F60" s="36" t="e">
        <f t="shared" si="7"/>
        <v>#DIV/0!</v>
      </c>
      <c r="G60" t="e">
        <f>ABS(C60-F60)</f>
        <v>#DIV/0!</v>
      </c>
    </row>
    <row r="61" spans="2:7" x14ac:dyDescent="0.2">
      <c r="B61" t="s">
        <v>62</v>
      </c>
      <c r="D61" s="36">
        <f t="shared" si="5"/>
        <v>15.333333333333334</v>
      </c>
      <c r="E61" s="36"/>
      <c r="F61" s="36" t="e">
        <f t="shared" si="7"/>
        <v>#DIV/0!</v>
      </c>
    </row>
    <row r="63" spans="2:7" x14ac:dyDescent="0.2">
      <c r="D63" s="34" t="s">
        <v>74</v>
      </c>
      <c r="E63">
        <f>SUM(E49:E61)</f>
        <v>49</v>
      </c>
      <c r="F63" s="34" t="s">
        <v>74</v>
      </c>
      <c r="G63" s="36" t="e">
        <f>SUM(G52:G60)</f>
        <v>#DIV/0!</v>
      </c>
    </row>
    <row r="64" spans="2:7" x14ac:dyDescent="0.2">
      <c r="D64" s="34" t="s">
        <v>75</v>
      </c>
      <c r="E64">
        <f>COUNT(E49:E61)</f>
        <v>9</v>
      </c>
      <c r="F64" s="34" t="s">
        <v>75</v>
      </c>
      <c r="G64">
        <f>COUNT(G52:G60)</f>
        <v>0</v>
      </c>
    </row>
    <row r="65" spans="1:7" x14ac:dyDescent="0.2">
      <c r="D65" s="34" t="s">
        <v>76</v>
      </c>
      <c r="E65" s="36">
        <f>E63/E64</f>
        <v>5.4444444444444446</v>
      </c>
      <c r="F65" s="34" t="s">
        <v>76</v>
      </c>
      <c r="G65" s="36" t="e">
        <f>G63/G64</f>
        <v>#DIV/0!</v>
      </c>
    </row>
    <row r="69" spans="1:7" x14ac:dyDescent="0.2">
      <c r="A69" s="39" t="s">
        <v>80</v>
      </c>
    </row>
    <row r="71" spans="1:7" x14ac:dyDescent="0.2">
      <c r="B71" s="37" t="s">
        <v>81</v>
      </c>
      <c r="C71" s="37">
        <v>142</v>
      </c>
    </row>
    <row r="72" spans="1:7" x14ac:dyDescent="0.2">
      <c r="B72" s="37" t="s">
        <v>82</v>
      </c>
      <c r="C72" s="37">
        <v>153</v>
      </c>
    </row>
    <row r="73" spans="1:7" x14ac:dyDescent="0.2">
      <c r="B73" s="37" t="s">
        <v>83</v>
      </c>
      <c r="C73" s="37">
        <v>0.2</v>
      </c>
    </row>
    <row r="76" spans="1:7" x14ac:dyDescent="0.2">
      <c r="B76" t="s">
        <v>84</v>
      </c>
      <c r="C76" t="s">
        <v>85</v>
      </c>
    </row>
    <row r="77" spans="1:7" x14ac:dyDescent="0.2">
      <c r="C77">
        <f>C71+C73*(C72-C71)</f>
        <v>144.19999999999999</v>
      </c>
    </row>
    <row r="79" spans="1:7" x14ac:dyDescent="0.2">
      <c r="B79" t="s">
        <v>86</v>
      </c>
      <c r="C79">
        <v>136</v>
      </c>
    </row>
    <row r="81" spans="2:7" x14ac:dyDescent="0.2">
      <c r="B81" t="s">
        <v>87</v>
      </c>
      <c r="C81" t="s">
        <v>88</v>
      </c>
    </row>
    <row r="82" spans="2:7" x14ac:dyDescent="0.2">
      <c r="C82">
        <f>C77+C73*(C79-C77)</f>
        <v>142.56</v>
      </c>
    </row>
    <row r="84" spans="2:7" x14ac:dyDescent="0.2">
      <c r="D84" s="38" t="s">
        <v>89</v>
      </c>
      <c r="E84" s="38"/>
      <c r="F84" s="38"/>
    </row>
    <row r="85" spans="2:7" x14ac:dyDescent="0.2">
      <c r="B85" t="s">
        <v>90</v>
      </c>
      <c r="C85" t="s">
        <v>91</v>
      </c>
      <c r="D85" t="s">
        <v>92</v>
      </c>
      <c r="E85" t="s">
        <v>59</v>
      </c>
      <c r="F85" t="s">
        <v>93</v>
      </c>
    </row>
    <row r="86" spans="2:7" x14ac:dyDescent="0.2">
      <c r="B86">
        <v>1</v>
      </c>
      <c r="C86">
        <v>180</v>
      </c>
      <c r="D86">
        <v>175</v>
      </c>
      <c r="E86">
        <f>ABS(C86-D86)</f>
        <v>5</v>
      </c>
      <c r="F86">
        <v>175</v>
      </c>
      <c r="G86">
        <f>ABS(C86-F86)</f>
        <v>5</v>
      </c>
    </row>
    <row r="87" spans="2:7" x14ac:dyDescent="0.2">
      <c r="B87">
        <v>2</v>
      </c>
      <c r="C87">
        <v>168</v>
      </c>
      <c r="D87">
        <f>D86+0.1*($C86-D86)</f>
        <v>175.5</v>
      </c>
      <c r="E87" s="36">
        <f t="shared" ref="E87:E93" si="9">ABS(C87-D87)</f>
        <v>7.5</v>
      </c>
      <c r="F87" s="36">
        <f>F86+0.5*($C86-F86)</f>
        <v>177.5</v>
      </c>
      <c r="G87" s="36">
        <f t="shared" ref="G87:G93" si="10">ABS(C87-F87)</f>
        <v>9.5</v>
      </c>
    </row>
    <row r="88" spans="2:7" x14ac:dyDescent="0.2">
      <c r="B88">
        <v>3</v>
      </c>
      <c r="C88">
        <v>159</v>
      </c>
      <c r="D88">
        <f t="shared" ref="D88:D94" si="11">D87+0.1*($C87-D87)</f>
        <v>174.75</v>
      </c>
      <c r="E88" s="36">
        <f t="shared" si="9"/>
        <v>15.75</v>
      </c>
      <c r="F88" s="36">
        <f t="shared" ref="F88:F94" si="12">F87+0.5*($C87-F87)</f>
        <v>172.75</v>
      </c>
      <c r="G88" s="36">
        <f t="shared" si="10"/>
        <v>13.75</v>
      </c>
    </row>
    <row r="89" spans="2:7" x14ac:dyDescent="0.2">
      <c r="B89">
        <v>4</v>
      </c>
      <c r="C89">
        <v>175</v>
      </c>
      <c r="D89" s="36">
        <f t="shared" si="11"/>
        <v>173.17500000000001</v>
      </c>
      <c r="E89" s="36">
        <f t="shared" si="9"/>
        <v>1.8249999999999886</v>
      </c>
      <c r="F89" s="36">
        <f t="shared" si="12"/>
        <v>165.875</v>
      </c>
      <c r="G89" s="36">
        <f t="shared" si="10"/>
        <v>9.125</v>
      </c>
    </row>
    <row r="90" spans="2:7" x14ac:dyDescent="0.2">
      <c r="B90">
        <v>5</v>
      </c>
      <c r="C90">
        <v>190</v>
      </c>
      <c r="D90" s="36">
        <f t="shared" si="11"/>
        <v>173.35750000000002</v>
      </c>
      <c r="E90" s="36">
        <f t="shared" si="9"/>
        <v>16.642499999999984</v>
      </c>
      <c r="F90" s="36">
        <f t="shared" si="12"/>
        <v>170.4375</v>
      </c>
      <c r="G90" s="36">
        <f t="shared" si="10"/>
        <v>19.5625</v>
      </c>
    </row>
    <row r="91" spans="2:7" x14ac:dyDescent="0.2">
      <c r="B91">
        <v>6</v>
      </c>
      <c r="C91">
        <v>205</v>
      </c>
      <c r="D91" s="36">
        <f t="shared" si="11"/>
        <v>175.02175000000003</v>
      </c>
      <c r="E91" s="36">
        <f t="shared" si="9"/>
        <v>29.978249999999974</v>
      </c>
      <c r="F91" s="36">
        <f t="shared" si="12"/>
        <v>180.21875</v>
      </c>
      <c r="G91" s="36">
        <f t="shared" si="10"/>
        <v>24.78125</v>
      </c>
    </row>
    <row r="92" spans="2:7" x14ac:dyDescent="0.2">
      <c r="B92">
        <v>7</v>
      </c>
      <c r="C92">
        <v>180</v>
      </c>
      <c r="D92" s="36">
        <f t="shared" si="11"/>
        <v>178.01957500000003</v>
      </c>
      <c r="E92" s="36">
        <f t="shared" si="9"/>
        <v>1.9804249999999683</v>
      </c>
      <c r="F92" s="36">
        <f t="shared" si="12"/>
        <v>192.609375</v>
      </c>
      <c r="G92" s="36">
        <f t="shared" si="10"/>
        <v>12.609375</v>
      </c>
    </row>
    <row r="93" spans="2:7" x14ac:dyDescent="0.2">
      <c r="B93">
        <v>8</v>
      </c>
      <c r="C93">
        <v>182</v>
      </c>
      <c r="D93" s="36">
        <f t="shared" si="11"/>
        <v>178.21761750000002</v>
      </c>
      <c r="E93" s="36">
        <f t="shared" si="9"/>
        <v>3.7823824999999829</v>
      </c>
      <c r="F93" s="36">
        <f t="shared" si="12"/>
        <v>186.3046875</v>
      </c>
      <c r="G93" s="36">
        <f t="shared" si="10"/>
        <v>4.3046875</v>
      </c>
    </row>
    <row r="94" spans="2:7" x14ac:dyDescent="0.2">
      <c r="B94">
        <v>9</v>
      </c>
      <c r="C94" t="s">
        <v>94</v>
      </c>
      <c r="D94" s="36">
        <f t="shared" si="11"/>
        <v>178.59585575000003</v>
      </c>
      <c r="F94" s="36">
        <f t="shared" si="12"/>
        <v>184.15234375</v>
      </c>
    </row>
    <row r="95" spans="2:7" x14ac:dyDescent="0.2">
      <c r="D95" s="34"/>
    </row>
    <row r="96" spans="2:7" x14ac:dyDescent="0.2">
      <c r="D96" s="34" t="s">
        <v>95</v>
      </c>
      <c r="E96">
        <f>SUM(E86:E93)</f>
        <v>82.458557499999898</v>
      </c>
      <c r="F96" s="34" t="s">
        <v>95</v>
      </c>
      <c r="G96">
        <f>SUM(G86:G93)</f>
        <v>98.6328125</v>
      </c>
    </row>
    <row r="97" spans="4:7" x14ac:dyDescent="0.2">
      <c r="D97" s="34" t="s">
        <v>75</v>
      </c>
      <c r="E97">
        <f>COUNT(E86:E93)</f>
        <v>8</v>
      </c>
      <c r="F97" s="34" t="s">
        <v>75</v>
      </c>
      <c r="G97">
        <f>COUNT(G86:G93)</f>
        <v>8</v>
      </c>
    </row>
    <row r="98" spans="4:7" x14ac:dyDescent="0.2">
      <c r="D98" s="34" t="s">
        <v>76</v>
      </c>
      <c r="E98" s="36">
        <f>E96/E97</f>
        <v>10.307319687499987</v>
      </c>
      <c r="F98" s="34" t="s">
        <v>76</v>
      </c>
      <c r="G98" s="36">
        <f>G96/G97</f>
        <v>12.3291015625</v>
      </c>
    </row>
  </sheetData>
  <mergeCells count="1">
    <mergeCell ref="D84:F84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E038-D420-A54A-B621-7FBB226FC842}">
  <dimension ref="A5:I33"/>
  <sheetViews>
    <sheetView tabSelected="1" topLeftCell="A8" zoomScale="164" workbookViewId="0">
      <selection activeCell="A18" sqref="A18:A24"/>
    </sheetView>
  </sheetViews>
  <sheetFormatPr baseColWidth="10" defaultRowHeight="16" x14ac:dyDescent="0.2"/>
  <cols>
    <col min="1" max="1" width="18.1640625" bestFit="1" customWidth="1"/>
    <col min="2" max="2" width="13.33203125" bestFit="1" customWidth="1"/>
    <col min="3" max="3" width="11.6640625" customWidth="1"/>
    <col min="4" max="4" width="16.83203125" bestFit="1" customWidth="1"/>
    <col min="5" max="5" width="21.5" bestFit="1" customWidth="1"/>
    <col min="6" max="6" width="20.83203125" bestFit="1" customWidth="1"/>
    <col min="7" max="7" width="23.33203125" bestFit="1" customWidth="1"/>
    <col min="8" max="8" width="11" customWidth="1"/>
  </cols>
  <sheetData>
    <row r="5" spans="1:9" x14ac:dyDescent="0.2">
      <c r="A5" s="62" t="s">
        <v>103</v>
      </c>
      <c r="B5" s="62" t="s">
        <v>104</v>
      </c>
      <c r="C5" s="62" t="s">
        <v>105</v>
      </c>
      <c r="D5" s="62" t="s">
        <v>106</v>
      </c>
      <c r="E5" s="62" t="s">
        <v>107</v>
      </c>
      <c r="F5" s="62" t="s">
        <v>108</v>
      </c>
      <c r="G5" s="62" t="s">
        <v>109</v>
      </c>
      <c r="H5" s="62" t="s">
        <v>110</v>
      </c>
    </row>
    <row r="6" spans="1:9" x14ac:dyDescent="0.2">
      <c r="A6">
        <v>999</v>
      </c>
      <c r="B6">
        <v>5</v>
      </c>
      <c r="C6" s="36">
        <f>SQRT((2*B12*B13)/(B14*B6))</f>
        <v>700</v>
      </c>
      <c r="D6">
        <v>700</v>
      </c>
      <c r="E6">
        <f>B6*$B$12</f>
        <v>25000</v>
      </c>
      <c r="F6">
        <f>($B$12/D6)*$B$13</f>
        <v>350</v>
      </c>
      <c r="G6">
        <f>(D6/2)*$B$14*B6</f>
        <v>350</v>
      </c>
      <c r="H6">
        <f>E6+F6+G6</f>
        <v>25700</v>
      </c>
    </row>
    <row r="7" spans="1:9" x14ac:dyDescent="0.2">
      <c r="A7" t="s">
        <v>111</v>
      </c>
      <c r="B7">
        <v>4.8</v>
      </c>
      <c r="C7" s="36">
        <f>SQRT((2*B12*B13)/(B14*B7))</f>
        <v>714.43450831176028</v>
      </c>
      <c r="D7">
        <v>1000</v>
      </c>
      <c r="E7">
        <f t="shared" ref="E7:E8" si="0">B7*$B$12</f>
        <v>24000</v>
      </c>
      <c r="F7">
        <f t="shared" ref="F7:F8" si="1">($B$12/D7)*$B$13</f>
        <v>245</v>
      </c>
      <c r="G7">
        <f t="shared" ref="G7:G8" si="2">(D7/2)*$B$14*B7</f>
        <v>480</v>
      </c>
      <c r="H7" s="63">
        <f t="shared" ref="H7:H8" si="3">E7+F7+G7</f>
        <v>24725</v>
      </c>
      <c r="I7" s="64" t="s">
        <v>115</v>
      </c>
    </row>
    <row r="8" spans="1:9" x14ac:dyDescent="0.2">
      <c r="A8">
        <v>2000</v>
      </c>
      <c r="B8">
        <v>4.75</v>
      </c>
      <c r="C8" s="36">
        <f>SQRT((2*B12*B13)/(B14*B8))</f>
        <v>718.1848464596078</v>
      </c>
      <c r="D8">
        <v>2000</v>
      </c>
      <c r="E8">
        <f t="shared" si="0"/>
        <v>23750</v>
      </c>
      <c r="F8">
        <f t="shared" si="1"/>
        <v>122.5</v>
      </c>
      <c r="G8">
        <f t="shared" si="2"/>
        <v>950</v>
      </c>
      <c r="H8">
        <f t="shared" si="3"/>
        <v>24822.5</v>
      </c>
    </row>
    <row r="12" spans="1:9" x14ac:dyDescent="0.2">
      <c r="A12" s="62" t="s">
        <v>112</v>
      </c>
      <c r="B12">
        <v>5000</v>
      </c>
    </row>
    <row r="13" spans="1:9" x14ac:dyDescent="0.2">
      <c r="A13" s="62" t="s">
        <v>113</v>
      </c>
      <c r="B13">
        <v>49</v>
      </c>
    </row>
    <row r="14" spans="1:9" x14ac:dyDescent="0.2">
      <c r="A14" s="62" t="s">
        <v>114</v>
      </c>
      <c r="B14">
        <v>0.2</v>
      </c>
    </row>
    <row r="18" spans="1:5" x14ac:dyDescent="0.2">
      <c r="A18" t="s">
        <v>116</v>
      </c>
      <c r="E18" t="s">
        <v>140</v>
      </c>
    </row>
    <row r="19" spans="1:5" x14ac:dyDescent="0.2">
      <c r="A19" t="s">
        <v>117</v>
      </c>
      <c r="E19" t="s">
        <v>131</v>
      </c>
    </row>
    <row r="20" spans="1:5" x14ac:dyDescent="0.2">
      <c r="A20" t="s">
        <v>118</v>
      </c>
      <c r="E20" t="s">
        <v>132</v>
      </c>
    </row>
    <row r="21" spans="1:5" x14ac:dyDescent="0.2">
      <c r="A21" t="s">
        <v>119</v>
      </c>
      <c r="E21" t="s">
        <v>133</v>
      </c>
    </row>
    <row r="22" spans="1:5" x14ac:dyDescent="0.2">
      <c r="A22" t="s">
        <v>120</v>
      </c>
      <c r="E22" t="s">
        <v>134</v>
      </c>
    </row>
    <row r="23" spans="1:5" x14ac:dyDescent="0.2">
      <c r="A23" t="s">
        <v>121</v>
      </c>
      <c r="E23" t="s">
        <v>118</v>
      </c>
    </row>
    <row r="24" spans="1:5" x14ac:dyDescent="0.2">
      <c r="A24" t="s">
        <v>122</v>
      </c>
      <c r="E24" t="s">
        <v>135</v>
      </c>
    </row>
    <row r="25" spans="1:5" x14ac:dyDescent="0.2">
      <c r="A25" t="s">
        <v>123</v>
      </c>
      <c r="E25" t="s">
        <v>136</v>
      </c>
    </row>
    <row r="26" spans="1:5" x14ac:dyDescent="0.2">
      <c r="E26" t="s">
        <v>137</v>
      </c>
    </row>
    <row r="27" spans="1:5" x14ac:dyDescent="0.2">
      <c r="A27" t="s">
        <v>124</v>
      </c>
      <c r="E27" t="s">
        <v>138</v>
      </c>
    </row>
    <row r="28" spans="1:5" x14ac:dyDescent="0.2">
      <c r="A28" t="s">
        <v>125</v>
      </c>
      <c r="E28" t="s">
        <v>139</v>
      </c>
    </row>
    <row r="29" spans="1:5" x14ac:dyDescent="0.2">
      <c r="A29" t="s">
        <v>126</v>
      </c>
    </row>
    <row r="30" spans="1:5" x14ac:dyDescent="0.2">
      <c r="A30" t="s">
        <v>127</v>
      </c>
    </row>
    <row r="31" spans="1:5" x14ac:dyDescent="0.2">
      <c r="A31" t="s">
        <v>128</v>
      </c>
    </row>
    <row r="32" spans="1:5" x14ac:dyDescent="0.2">
      <c r="A32" t="s">
        <v>129</v>
      </c>
    </row>
    <row r="33" spans="1:1" x14ac:dyDescent="0.2">
      <c r="A33" t="s">
        <v>130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EJER 1</vt:lpstr>
      <vt:lpstr>EJER 2</vt:lpstr>
      <vt:lpstr>EJER 3</vt:lpstr>
      <vt:lpstr>EJER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Aguilar</dc:creator>
  <cp:lastModifiedBy>Luis Aguilar</cp:lastModifiedBy>
  <dcterms:created xsi:type="dcterms:W3CDTF">2023-05-08T13:41:55Z</dcterms:created>
  <dcterms:modified xsi:type="dcterms:W3CDTF">2023-05-08T17:09:55Z</dcterms:modified>
</cp:coreProperties>
</file>