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drawings/drawing18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2.xml" ContentType="application/vnd.openxmlformats-officedocument.spreadsheetml.comment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omments13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laguilar/Documents/GitHub/ucr/if-7200-i-2023/Examen II/"/>
    </mc:Choice>
  </mc:AlternateContent>
  <xr:revisionPtr revIDLastSave="0" documentId="13_ncr:1_{3D9F479D-1A2C-3748-89FF-55437275A084}" xr6:coauthVersionLast="47" xr6:coauthVersionMax="47" xr10:uidLastSave="{00000000-0000-0000-0000-000000000000}"/>
  <bookViews>
    <workbookView xWindow="0" yWindow="740" windowWidth="30240" windowHeight="18900" activeTab="7" xr2:uid="{00000000-000D-0000-FFFF-FFFF00000000}"/>
  </bookViews>
  <sheets>
    <sheet name="PL" sheetId="1" r:id="rId1"/>
    <sheet name="PL Maximización" sheetId="3" r:id="rId2"/>
    <sheet name="PL Minimización" sheetId="4" r:id="rId3"/>
    <sheet name="PL ++ Restricciones" sheetId="5" r:id="rId4"/>
    <sheet name="PL Invest" sheetId="8" r:id="rId5"/>
    <sheet name="PL Finanzas" sheetId="9" r:id="rId6"/>
    <sheet name="PL Transporte !" sheetId="10" r:id="rId7"/>
    <sheet name="PL Transbordo !!" sheetId="13" r:id="rId8"/>
    <sheet name="PL Transporte (Mo.Ma)" sheetId="14" r:id="rId9"/>
    <sheet name="PL Serv Cliente" sheetId="11" r:id="rId10"/>
    <sheet name="PL Recursos" sheetId="12" r:id="rId11"/>
    <sheet name="PL Computadoras" sheetId="15" r:id="rId12"/>
    <sheet name="PL &amp; PE" sheetId="16" r:id="rId13"/>
    <sheet name=" Asignación (0-1)" sheetId="17" r:id="rId14"/>
    <sheet name="PNL Fnc.L-Rest.L" sheetId="18" r:id="rId15"/>
    <sheet name="PNL Fnc.NL-Rest.NL" sheetId="19" r:id="rId16"/>
    <sheet name="PNL Fnc.L-Rest.NL" sheetId="20" r:id="rId17"/>
    <sheet name="RED Expansión Mínima" sheetId="22" r:id="rId18"/>
    <sheet name="RED Flujo Máximo" sheetId="23" r:id="rId19"/>
    <sheet name="RED Flujo Máximo 2" sheetId="24" r:id="rId20"/>
    <sheet name="MARK Vector Probabidades Estado" sheetId="29" r:id="rId21"/>
    <sheet name="MARK Ejemplo Maquinaria" sheetId="30" r:id="rId22"/>
    <sheet name="MARK Estado Absor Matriz Fundam" sheetId="31" r:id="rId23"/>
    <sheet name="CE calidad Lote de Producción X" sheetId="32" r:id="rId24"/>
    <sheet name="CE calidad Botellas" sheetId="33" r:id="rId25"/>
    <sheet name="CE calidad Límites R" sheetId="34" r:id="rId26"/>
    <sheet name="CE calidad Paquete Software" sheetId="35" r:id="rId27"/>
    <sheet name="CE calidad Transportes" sheetId="36" r:id="rId28"/>
    <sheet name="POI MM1" sheetId="25" r:id="rId29"/>
    <sheet name="POI MMm" sheetId="26" r:id="rId30"/>
    <sheet name="POI MD1" sheetId="27" r:id="rId31"/>
    <sheet name="POI MM1 finita" sheetId="28" r:id="rId32"/>
  </sheets>
  <definedNames>
    <definedName name="_xlnm._FilterDatabase" localSheetId="1" hidden="1">'PL Maximización'!$A$5:$F$7</definedName>
    <definedName name="solver_adj" localSheetId="13" hidden="1">' Asignación (0-1)'!$B$2:$H$2</definedName>
    <definedName name="solver_adj" localSheetId="12" hidden="1">'PL &amp; PE'!$B$14:$C$14</definedName>
    <definedName name="solver_adj" localSheetId="3" hidden="1">'PL ++ Restricciones'!$B$2:$E$2</definedName>
    <definedName name="solver_adj" localSheetId="11" hidden="1">'PL Computadoras'!$C$28:$F$31</definedName>
    <definedName name="solver_adj" localSheetId="5" hidden="1">'PL Finanzas'!$B$10:$E$10</definedName>
    <definedName name="solver_adj" localSheetId="4" hidden="1">'PL Invest'!$B$3:$G$3</definedName>
    <definedName name="solver_adj" localSheetId="1" hidden="1">'PL Maximización'!$B$2:$C$2</definedName>
    <definedName name="solver_adj" localSheetId="2" hidden="1">'PL Minimización'!$B$2:$C$2</definedName>
    <definedName name="solver_adj" localSheetId="10" hidden="1">'PL Recursos'!$C$10:$E$12</definedName>
    <definedName name="solver_adj" localSheetId="9" hidden="1">'PL Serv Cliente'!$B$2:$F$2</definedName>
    <definedName name="solver_adj" localSheetId="7" hidden="1">'PL Transbordo !!'!$B$12:$F$15</definedName>
    <definedName name="solver_adj" localSheetId="6" hidden="1">'PL Transporte !'!$B$9:$D$11</definedName>
    <definedName name="solver_adj" localSheetId="14" hidden="1">'PNL Fnc.L-Rest.L'!$B$3:$C$3</definedName>
    <definedName name="solver_adj" localSheetId="16" hidden="1">'PNL Fnc.L-Rest.NL'!$B$3:$C$3</definedName>
    <definedName name="solver_adj" localSheetId="15" hidden="1">'PNL Fnc.NL-Rest.NL'!$B$3:$C$3</definedName>
    <definedName name="solver_cvg" localSheetId="13" hidden="1">0.0001</definedName>
    <definedName name="solver_cvg" localSheetId="12" hidden="1">0.0001</definedName>
    <definedName name="solver_cvg" localSheetId="3" hidden="1">0.0001</definedName>
    <definedName name="solver_cvg" localSheetId="11" hidden="1">0.0001</definedName>
    <definedName name="solver_cvg" localSheetId="5" hidden="1">0.0001</definedName>
    <definedName name="solver_cvg" localSheetId="4" hidden="1">0.0001</definedName>
    <definedName name="solver_cvg" localSheetId="1" hidden="1">0.0001</definedName>
    <definedName name="solver_cvg" localSheetId="2" hidden="1">0.0001</definedName>
    <definedName name="solver_cvg" localSheetId="10" hidden="1">0.0001</definedName>
    <definedName name="solver_cvg" localSheetId="9" hidden="1">0.0001</definedName>
    <definedName name="solver_cvg" localSheetId="7" hidden="1">0.0001</definedName>
    <definedName name="solver_cvg" localSheetId="6" hidden="1">0.0001</definedName>
    <definedName name="solver_cvg" localSheetId="14" hidden="1">0.0001</definedName>
    <definedName name="solver_cvg" localSheetId="16" hidden="1">0.0001</definedName>
    <definedName name="solver_cvg" localSheetId="15" hidden="1">0.0001</definedName>
    <definedName name="solver_drv" localSheetId="13" hidden="1">1</definedName>
    <definedName name="solver_drv" localSheetId="12" hidden="1">1</definedName>
    <definedName name="solver_drv" localSheetId="3" hidden="1">2</definedName>
    <definedName name="solver_drv" localSheetId="11" hidden="1">2</definedName>
    <definedName name="solver_drv" localSheetId="5" hidden="1">2</definedName>
    <definedName name="solver_drv" localSheetId="4" hidden="1">1</definedName>
    <definedName name="solver_drv" localSheetId="1" hidden="1">1</definedName>
    <definedName name="solver_drv" localSheetId="2" hidden="1">1</definedName>
    <definedName name="solver_drv" localSheetId="10" hidden="1">1</definedName>
    <definedName name="solver_drv" localSheetId="9" hidden="1">1</definedName>
    <definedName name="solver_drv" localSheetId="7" hidden="1">1</definedName>
    <definedName name="solver_drv" localSheetId="6" hidden="1">1</definedName>
    <definedName name="solver_drv" localSheetId="14" hidden="1">2</definedName>
    <definedName name="solver_drv" localSheetId="16" hidden="1">1</definedName>
    <definedName name="solver_drv" localSheetId="15" hidden="1">2</definedName>
    <definedName name="solver_eng" localSheetId="13" hidden="1">2</definedName>
    <definedName name="solver_eng" localSheetId="12" hidden="1">2</definedName>
    <definedName name="solver_eng" localSheetId="3" hidden="1">2</definedName>
    <definedName name="solver_eng" localSheetId="11" hidden="1">2</definedName>
    <definedName name="solver_eng" localSheetId="5" hidden="1">2</definedName>
    <definedName name="solver_eng" localSheetId="4" hidden="1">2</definedName>
    <definedName name="solver_eng" localSheetId="1" hidden="1">2</definedName>
    <definedName name="solver_eng" localSheetId="2" hidden="1">2</definedName>
    <definedName name="solver_eng" localSheetId="10" hidden="1">2</definedName>
    <definedName name="solver_eng" localSheetId="9" hidden="1">2</definedName>
    <definedName name="solver_eng" localSheetId="7" hidden="1">2</definedName>
    <definedName name="solver_eng" localSheetId="6" hidden="1">2</definedName>
    <definedName name="solver_eng" localSheetId="14" hidden="1">1</definedName>
    <definedName name="solver_eng" localSheetId="16" hidden="1">1</definedName>
    <definedName name="solver_eng" localSheetId="15" hidden="1">1</definedName>
    <definedName name="solver_est" localSheetId="13" hidden="1">1</definedName>
    <definedName name="solver_est" localSheetId="12" hidden="1">1</definedName>
    <definedName name="solver_est" localSheetId="3" hidden="1">1</definedName>
    <definedName name="solver_est" localSheetId="11" hidden="1">1</definedName>
    <definedName name="solver_est" localSheetId="5" hidden="1">1</definedName>
    <definedName name="solver_est" localSheetId="4" hidden="1">1</definedName>
    <definedName name="solver_est" localSheetId="1" hidden="1">1</definedName>
    <definedName name="solver_est" localSheetId="2" hidden="1">1</definedName>
    <definedName name="solver_est" localSheetId="10" hidden="1">1</definedName>
    <definedName name="solver_est" localSheetId="9" hidden="1">1</definedName>
    <definedName name="solver_est" localSheetId="7" hidden="1">1</definedName>
    <definedName name="solver_est" localSheetId="6" hidden="1">1</definedName>
    <definedName name="solver_est" localSheetId="14" hidden="1">1</definedName>
    <definedName name="solver_est" localSheetId="16" hidden="1">1</definedName>
    <definedName name="solver_est" localSheetId="15" hidden="1">1</definedName>
    <definedName name="solver_itr" localSheetId="13" hidden="1">2147483647</definedName>
    <definedName name="solver_itr" localSheetId="12" hidden="1">2147483647</definedName>
    <definedName name="solver_itr" localSheetId="3" hidden="1">2147483647</definedName>
    <definedName name="solver_itr" localSheetId="11" hidden="1">2147483647</definedName>
    <definedName name="solver_itr" localSheetId="5" hidden="1">2147483647</definedName>
    <definedName name="solver_itr" localSheetId="4" hidden="1">2147483647</definedName>
    <definedName name="solver_itr" localSheetId="1" hidden="1">2147483647</definedName>
    <definedName name="solver_itr" localSheetId="2" hidden="1">2147483647</definedName>
    <definedName name="solver_itr" localSheetId="10" hidden="1">2147483647</definedName>
    <definedName name="solver_itr" localSheetId="9" hidden="1">2147483647</definedName>
    <definedName name="solver_itr" localSheetId="7" hidden="1">2147483647</definedName>
    <definedName name="solver_itr" localSheetId="6" hidden="1">2147483647</definedName>
    <definedName name="solver_itr" localSheetId="14" hidden="1">2147483647</definedName>
    <definedName name="solver_itr" localSheetId="16" hidden="1">2147483647</definedName>
    <definedName name="solver_itr" localSheetId="15" hidden="1">2147483647</definedName>
    <definedName name="solver_lhs1" localSheetId="13" hidden="1">' Asignación (0-1)'!$B$2:$H$2</definedName>
    <definedName name="solver_lhs1" localSheetId="12" hidden="1">'PL &amp; PE'!$B$14:$C$14</definedName>
    <definedName name="solver_lhs1" localSheetId="3" hidden="1">'PL ++ Restricciones'!$F$10</definedName>
    <definedName name="solver_lhs1" localSheetId="11" hidden="1">'PL Computadoras'!$C$32:$F$32</definedName>
    <definedName name="solver_lhs1" localSheetId="5" hidden="1">'PL Finanzas'!$F$15</definedName>
    <definedName name="solver_lhs1" localSheetId="4" hidden="1">'PL Invest'!$H$8</definedName>
    <definedName name="solver_lhs1" localSheetId="1" hidden="1">'PL Maximización'!$D$6:$D$7</definedName>
    <definedName name="solver_lhs1" localSheetId="2" hidden="1">'PL Minimización'!$D$6:$D$8</definedName>
    <definedName name="solver_lhs1" localSheetId="10" hidden="1">'PL Recursos'!$C$13:$E$13</definedName>
    <definedName name="solver_lhs1" localSheetId="9" hidden="1">'PL Serv Cliente'!$G$7:$G$16</definedName>
    <definedName name="solver_lhs1" localSheetId="7" hidden="1">'PL Transbordo !!'!$B$16:$C$16</definedName>
    <definedName name="solver_lhs1" localSheetId="6" hidden="1">'PL Transporte !'!$B$12</definedName>
    <definedName name="solver_lhs1" localSheetId="14" hidden="1">'PNL Fnc.L-Rest.L'!$D$13</definedName>
    <definedName name="solver_lhs1" localSheetId="16" hidden="1">'PNL Fnc.L-Rest.NL'!$G$11</definedName>
    <definedName name="solver_lhs1" localSheetId="15" hidden="1">'PNL Fnc.NL-Rest.NL'!$H$11</definedName>
    <definedName name="solver_lhs2" localSheetId="13" hidden="1">' Asignación (0-1)'!$B$2:$H$2</definedName>
    <definedName name="solver_lhs2" localSheetId="12" hidden="1">'PL &amp; PE'!$D$18</definedName>
    <definedName name="solver_lhs2" localSheetId="3" hidden="1">'PL ++ Restricciones'!$F$11:$F$12</definedName>
    <definedName name="solver_lhs2" localSheetId="11" hidden="1">'PL Computadoras'!$G$28:$G$31</definedName>
    <definedName name="solver_lhs2" localSheetId="5" hidden="1">'PL Finanzas'!$F$16</definedName>
    <definedName name="solver_lhs2" localSheetId="4" hidden="1">'PL Invest'!$H$10</definedName>
    <definedName name="solver_lhs2" localSheetId="10" hidden="1">'PL Recursos'!$F$10:$F$12</definedName>
    <definedName name="solver_lhs2" localSheetId="7" hidden="1">'PL Transbordo !!'!$D$16:$F$16</definedName>
    <definedName name="solver_lhs2" localSheetId="6" hidden="1">'PL Transporte !'!$C$12</definedName>
    <definedName name="solver_lhs2" localSheetId="14" hidden="1">'PNL Fnc.L-Rest.L'!$D$14</definedName>
    <definedName name="solver_lhs2" localSheetId="16" hidden="1">'PNL Fnc.L-Rest.NL'!$G$12</definedName>
    <definedName name="solver_lhs2" localSheetId="15" hidden="1">'PNL Fnc.NL-Rest.NL'!$H$12</definedName>
    <definedName name="solver_lhs3" localSheetId="13" hidden="1">' Asignación (0-1)'!$I$10</definedName>
    <definedName name="solver_lhs3" localSheetId="12" hidden="1">'PL &amp; PE'!$D$19</definedName>
    <definedName name="solver_lhs3" localSheetId="3" hidden="1">'PL ++ Restricciones'!$F$6:$F$9</definedName>
    <definedName name="solver_lhs3" localSheetId="5" hidden="1">'PL Finanzas'!$F$17</definedName>
    <definedName name="solver_lhs3" localSheetId="4" hidden="1">'PL Invest'!$H$11</definedName>
    <definedName name="solver_lhs3" localSheetId="7" hidden="1">'PL Transbordo !!'!$G$12:$G$13</definedName>
    <definedName name="solver_lhs3" localSheetId="6" hidden="1">'PL Transporte !'!$D$12</definedName>
    <definedName name="solver_lhs3" localSheetId="16" hidden="1">'PNL Fnc.L-Rest.NL'!$G$13</definedName>
    <definedName name="solver_lhs3" localSheetId="15" hidden="1">'PNL Fnc.NL-Rest.NL'!$H$13</definedName>
    <definedName name="solver_lhs4" localSheetId="13" hidden="1">' Asignación (0-1)'!$I$11</definedName>
    <definedName name="solver_lhs4" localSheetId="5" hidden="1">'PL Finanzas'!$F$18</definedName>
    <definedName name="solver_lhs4" localSheetId="4" hidden="1">'PL Invest'!$H$12</definedName>
    <definedName name="solver_lhs4" localSheetId="6" hidden="1">'PL Transporte !'!$E$10</definedName>
    <definedName name="solver_lhs5" localSheetId="13" hidden="1">' Asignación (0-1)'!$I$12</definedName>
    <definedName name="solver_lhs5" localSheetId="5" hidden="1">'PL Finanzas'!$F$19</definedName>
    <definedName name="solver_lhs5" localSheetId="4" hidden="1">'PL Invest'!$H$9</definedName>
    <definedName name="solver_lhs5" localSheetId="6" hidden="1">'PL Transporte !'!$E$11</definedName>
    <definedName name="solver_lhs6" localSheetId="13" hidden="1">' Asignación (0-1)'!$I$9</definedName>
    <definedName name="solver_lhs6" localSheetId="5" hidden="1">'PL Finanzas'!$F$20</definedName>
    <definedName name="solver_lhs6" localSheetId="6" hidden="1">'PL Transporte !'!$E$9</definedName>
    <definedName name="solver_lhs7" localSheetId="5" hidden="1">'PL Finanzas'!$F$21</definedName>
    <definedName name="solver_lin" localSheetId="1" hidden="1">1</definedName>
    <definedName name="solver_lin" localSheetId="7" hidden="1">1</definedName>
    <definedName name="solver_mip" localSheetId="13" hidden="1">2147483647</definedName>
    <definedName name="solver_mip" localSheetId="12" hidden="1">2147483647</definedName>
    <definedName name="solver_mip" localSheetId="3" hidden="1">2147483647</definedName>
    <definedName name="solver_mip" localSheetId="11" hidden="1">2147483647</definedName>
    <definedName name="solver_mip" localSheetId="5" hidden="1">2147483647</definedName>
    <definedName name="solver_mip" localSheetId="4" hidden="1">2147483647</definedName>
    <definedName name="solver_mip" localSheetId="1" hidden="1">2147483647</definedName>
    <definedName name="solver_mip" localSheetId="2" hidden="1">2147483647</definedName>
    <definedName name="solver_mip" localSheetId="10" hidden="1">2147483647</definedName>
    <definedName name="solver_mip" localSheetId="9" hidden="1">2147483647</definedName>
    <definedName name="solver_mip" localSheetId="7" hidden="1">2147483647</definedName>
    <definedName name="solver_mip" localSheetId="6" hidden="1">2147483647</definedName>
    <definedName name="solver_mip" localSheetId="14" hidden="1">2147483647</definedName>
    <definedName name="solver_mip" localSheetId="16" hidden="1">2147483647</definedName>
    <definedName name="solver_mip" localSheetId="15" hidden="1">2147483647</definedName>
    <definedName name="solver_mni" localSheetId="13" hidden="1">30</definedName>
    <definedName name="solver_mni" localSheetId="12" hidden="1">30</definedName>
    <definedName name="solver_mni" localSheetId="3" hidden="1">30</definedName>
    <definedName name="solver_mni" localSheetId="11" hidden="1">30</definedName>
    <definedName name="solver_mni" localSheetId="5" hidden="1">30</definedName>
    <definedName name="solver_mni" localSheetId="4" hidden="1">30</definedName>
    <definedName name="solver_mni" localSheetId="1" hidden="1">30</definedName>
    <definedName name="solver_mni" localSheetId="2" hidden="1">30</definedName>
    <definedName name="solver_mni" localSheetId="10" hidden="1">30</definedName>
    <definedName name="solver_mni" localSheetId="9" hidden="1">30</definedName>
    <definedName name="solver_mni" localSheetId="7" hidden="1">30</definedName>
    <definedName name="solver_mni" localSheetId="6" hidden="1">30</definedName>
    <definedName name="solver_mni" localSheetId="14" hidden="1">30</definedName>
    <definedName name="solver_mni" localSheetId="16" hidden="1">30</definedName>
    <definedName name="solver_mni" localSheetId="15" hidden="1">30</definedName>
    <definedName name="solver_mrt" localSheetId="13" hidden="1">0.075</definedName>
    <definedName name="solver_mrt" localSheetId="12" hidden="1">0.075</definedName>
    <definedName name="solver_mrt" localSheetId="3" hidden="1">0.075</definedName>
    <definedName name="solver_mrt" localSheetId="11" hidden="1">0.075</definedName>
    <definedName name="solver_mrt" localSheetId="5" hidden="1">0.075</definedName>
    <definedName name="solver_mrt" localSheetId="4" hidden="1">0.075</definedName>
    <definedName name="solver_mrt" localSheetId="1" hidden="1">0.075</definedName>
    <definedName name="solver_mrt" localSheetId="2" hidden="1">0.075</definedName>
    <definedName name="solver_mrt" localSheetId="10" hidden="1">0.075</definedName>
    <definedName name="solver_mrt" localSheetId="9" hidden="1">0.075</definedName>
    <definedName name="solver_mrt" localSheetId="7" hidden="1">0.075</definedName>
    <definedName name="solver_mrt" localSheetId="6" hidden="1">0.075</definedName>
    <definedName name="solver_mrt" localSheetId="14" hidden="1">0.075</definedName>
    <definedName name="solver_mrt" localSheetId="16" hidden="1">0.075</definedName>
    <definedName name="solver_mrt" localSheetId="15" hidden="1">0.075</definedName>
    <definedName name="solver_msl" localSheetId="13" hidden="1">2</definedName>
    <definedName name="solver_msl" localSheetId="12" hidden="1">2</definedName>
    <definedName name="solver_msl" localSheetId="3" hidden="1">2</definedName>
    <definedName name="solver_msl" localSheetId="11" hidden="1">2</definedName>
    <definedName name="solver_msl" localSheetId="5" hidden="1">2</definedName>
    <definedName name="solver_msl" localSheetId="4" hidden="1">2</definedName>
    <definedName name="solver_msl" localSheetId="1" hidden="1">2</definedName>
    <definedName name="solver_msl" localSheetId="2" hidden="1">2</definedName>
    <definedName name="solver_msl" localSheetId="10" hidden="1">2</definedName>
    <definedName name="solver_msl" localSheetId="9" hidden="1">2</definedName>
    <definedName name="solver_msl" localSheetId="7" hidden="1">2</definedName>
    <definedName name="solver_msl" localSheetId="6" hidden="1">2</definedName>
    <definedName name="solver_msl" localSheetId="14" hidden="1">2</definedName>
    <definedName name="solver_msl" localSheetId="16" hidden="1">2</definedName>
    <definedName name="solver_msl" localSheetId="15" hidden="1">2</definedName>
    <definedName name="solver_neg" localSheetId="13" hidden="1">1</definedName>
    <definedName name="solver_neg" localSheetId="12" hidden="1">1</definedName>
    <definedName name="solver_neg" localSheetId="3" hidden="1">1</definedName>
    <definedName name="solver_neg" localSheetId="11" hidden="1">1</definedName>
    <definedName name="solver_neg" localSheetId="5" hidden="1">1</definedName>
    <definedName name="solver_neg" localSheetId="4" hidden="1">1</definedName>
    <definedName name="solver_neg" localSheetId="1" hidden="1">1</definedName>
    <definedName name="solver_neg" localSheetId="2" hidden="1">1</definedName>
    <definedName name="solver_neg" localSheetId="10" hidden="1">1</definedName>
    <definedName name="solver_neg" localSheetId="9" hidden="1">1</definedName>
    <definedName name="solver_neg" localSheetId="7" hidden="1">1</definedName>
    <definedName name="solver_neg" localSheetId="6" hidden="1">1</definedName>
    <definedName name="solver_neg" localSheetId="14" hidden="1">1</definedName>
    <definedName name="solver_neg" localSheetId="16" hidden="1">1</definedName>
    <definedName name="solver_neg" localSheetId="15" hidden="1">1</definedName>
    <definedName name="solver_nod" localSheetId="13" hidden="1">2147483647</definedName>
    <definedName name="solver_nod" localSheetId="12" hidden="1">2147483647</definedName>
    <definedName name="solver_nod" localSheetId="3" hidden="1">2147483647</definedName>
    <definedName name="solver_nod" localSheetId="11" hidden="1">2147483647</definedName>
    <definedName name="solver_nod" localSheetId="5" hidden="1">2147483647</definedName>
    <definedName name="solver_nod" localSheetId="4" hidden="1">2147483647</definedName>
    <definedName name="solver_nod" localSheetId="1" hidden="1">2147483647</definedName>
    <definedName name="solver_nod" localSheetId="2" hidden="1">2147483647</definedName>
    <definedName name="solver_nod" localSheetId="10" hidden="1">2147483647</definedName>
    <definedName name="solver_nod" localSheetId="9" hidden="1">2147483647</definedName>
    <definedName name="solver_nod" localSheetId="7" hidden="1">2147483647</definedName>
    <definedName name="solver_nod" localSheetId="6" hidden="1">2147483647</definedName>
    <definedName name="solver_nod" localSheetId="14" hidden="1">2147483647</definedName>
    <definedName name="solver_nod" localSheetId="16" hidden="1">2147483647</definedName>
    <definedName name="solver_nod" localSheetId="15" hidden="1">2147483647</definedName>
    <definedName name="solver_num" localSheetId="13" hidden="1">6</definedName>
    <definedName name="solver_num" localSheetId="12" hidden="1">3</definedName>
    <definedName name="solver_num" localSheetId="3" hidden="1">3</definedName>
    <definedName name="solver_num" localSheetId="11" hidden="1">2</definedName>
    <definedName name="solver_num" localSheetId="5" hidden="1">7</definedName>
    <definedName name="solver_num" localSheetId="4" hidden="1">5</definedName>
    <definedName name="solver_num" localSheetId="1" hidden="1">1</definedName>
    <definedName name="solver_num" localSheetId="2" hidden="1">1</definedName>
    <definedName name="solver_num" localSheetId="10" hidden="1">2</definedName>
    <definedName name="solver_num" localSheetId="9" hidden="1">1</definedName>
    <definedName name="solver_num" localSheetId="7" hidden="1">3</definedName>
    <definedName name="solver_num" localSheetId="6" hidden="1">6</definedName>
    <definedName name="solver_num" localSheetId="14" hidden="1">2</definedName>
    <definedName name="solver_num" localSheetId="16" hidden="1">3</definedName>
    <definedName name="solver_num" localSheetId="15" hidden="1">3</definedName>
    <definedName name="solver_nwt" localSheetId="13" hidden="1">1</definedName>
    <definedName name="solver_nwt" localSheetId="12" hidden="1">1</definedName>
    <definedName name="solver_nwt" localSheetId="3" hidden="1">1</definedName>
    <definedName name="solver_nwt" localSheetId="11" hidden="1">1</definedName>
    <definedName name="solver_nwt" localSheetId="5" hidden="1">1</definedName>
    <definedName name="solver_nwt" localSheetId="4" hidden="1">1</definedName>
    <definedName name="solver_nwt" localSheetId="1" hidden="1">1</definedName>
    <definedName name="solver_nwt" localSheetId="2" hidden="1">1</definedName>
    <definedName name="solver_nwt" localSheetId="10" hidden="1">1</definedName>
    <definedName name="solver_nwt" localSheetId="9" hidden="1">1</definedName>
    <definedName name="solver_nwt" localSheetId="7" hidden="1">1</definedName>
    <definedName name="solver_nwt" localSheetId="6" hidden="1">1</definedName>
    <definedName name="solver_nwt" localSheetId="14" hidden="1">1</definedName>
    <definedName name="solver_nwt" localSheetId="16" hidden="1">1</definedName>
    <definedName name="solver_nwt" localSheetId="15" hidden="1">1</definedName>
    <definedName name="solver_opt" localSheetId="13" hidden="1">' Asignación (0-1)'!$I$3</definedName>
    <definedName name="solver_opt" localSheetId="12" hidden="1">'PL &amp; PE'!$D$15</definedName>
    <definedName name="solver_opt" localSheetId="3" hidden="1">'PL ++ Restricciones'!$F$3</definedName>
    <definedName name="solver_opt" localSheetId="11" hidden="1">'PL Computadoras'!$G$22</definedName>
    <definedName name="solver_opt" localSheetId="5" hidden="1">'PL Finanzas'!$F$11</definedName>
    <definedName name="solver_opt" localSheetId="4" hidden="1">'PL Invest'!$H$4</definedName>
    <definedName name="solver_opt" localSheetId="1" hidden="1">'PL Maximización'!$D$3</definedName>
    <definedName name="solver_opt" localSheetId="2" hidden="1">'PL Minimización'!$D$3</definedName>
    <definedName name="solver_opt" localSheetId="10" hidden="1">'PL Recursos'!$F$6</definedName>
    <definedName name="solver_opt" localSheetId="9" hidden="1">'PL Serv Cliente'!$G$3</definedName>
    <definedName name="solver_opt" localSheetId="7" hidden="1">'PL Transbordo !!'!$B$20</definedName>
    <definedName name="solver_opt" localSheetId="6" hidden="1">'PL Transporte !'!$F$4</definedName>
    <definedName name="solver_opt" localSheetId="14" hidden="1">'PNL Fnc.L-Rest.L'!$E$9</definedName>
    <definedName name="solver_opt" localSheetId="16" hidden="1">'PNL Fnc.L-Rest.NL'!$D$4</definedName>
    <definedName name="solver_opt" localSheetId="15" hidden="1">'PNL Fnc.NL-Rest.NL'!$H$7</definedName>
    <definedName name="solver_pre" localSheetId="13" hidden="1">0.000001</definedName>
    <definedName name="solver_pre" localSheetId="12" hidden="1">0.000001</definedName>
    <definedName name="solver_pre" localSheetId="3" hidden="1">0.000001</definedName>
    <definedName name="solver_pre" localSheetId="11" hidden="1">0.000001</definedName>
    <definedName name="solver_pre" localSheetId="5" hidden="1">0.000001</definedName>
    <definedName name="solver_pre" localSheetId="4" hidden="1">0.000001</definedName>
    <definedName name="solver_pre" localSheetId="1" hidden="1">0.000001</definedName>
    <definedName name="solver_pre" localSheetId="2" hidden="1">0.000001</definedName>
    <definedName name="solver_pre" localSheetId="10" hidden="1">0.000001</definedName>
    <definedName name="solver_pre" localSheetId="9" hidden="1">0.000001</definedName>
    <definedName name="solver_pre" localSheetId="7" hidden="1">0.000001</definedName>
    <definedName name="solver_pre" localSheetId="6" hidden="1">0.000001</definedName>
    <definedName name="solver_pre" localSheetId="14" hidden="1">0.000001</definedName>
    <definedName name="solver_pre" localSheetId="16" hidden="1">0.000001</definedName>
    <definedName name="solver_pre" localSheetId="15" hidden="1">0.000001</definedName>
    <definedName name="solver_rbv" localSheetId="13" hidden="1">1</definedName>
    <definedName name="solver_rbv" localSheetId="12" hidden="1">1</definedName>
    <definedName name="solver_rbv" localSheetId="3" hidden="1">2</definedName>
    <definedName name="solver_rbv" localSheetId="11" hidden="1">2</definedName>
    <definedName name="solver_rbv" localSheetId="5" hidden="1">2</definedName>
    <definedName name="solver_rbv" localSheetId="4" hidden="1">1</definedName>
    <definedName name="solver_rbv" localSheetId="1" hidden="1">1</definedName>
    <definedName name="solver_rbv" localSheetId="2" hidden="1">1</definedName>
    <definedName name="solver_rbv" localSheetId="10" hidden="1">1</definedName>
    <definedName name="solver_rbv" localSheetId="9" hidden="1">1</definedName>
    <definedName name="solver_rbv" localSheetId="7" hidden="1">1</definedName>
    <definedName name="solver_rbv" localSheetId="6" hidden="1">1</definedName>
    <definedName name="solver_rbv" localSheetId="14" hidden="1">2</definedName>
    <definedName name="solver_rbv" localSheetId="16" hidden="1">1</definedName>
    <definedName name="solver_rbv" localSheetId="15" hidden="1">2</definedName>
    <definedName name="solver_rel1" localSheetId="13" hidden="1">5</definedName>
    <definedName name="solver_rel1" localSheetId="12" hidden="1">4</definedName>
    <definedName name="solver_rel1" localSheetId="3" hidden="1">3</definedName>
    <definedName name="solver_rel1" localSheetId="11" hidden="1">2</definedName>
    <definedName name="solver_rel1" localSheetId="5" hidden="1">1</definedName>
    <definedName name="solver_rel1" localSheetId="4" hidden="1">3</definedName>
    <definedName name="solver_rel1" localSheetId="1" hidden="1">1</definedName>
    <definedName name="solver_rel1" localSheetId="2" hidden="1">3</definedName>
    <definedName name="solver_rel1" localSheetId="10" hidden="1">2</definedName>
    <definedName name="solver_rel1" localSheetId="9" hidden="1">3</definedName>
    <definedName name="solver_rel1" localSheetId="7" hidden="1">2</definedName>
    <definedName name="solver_rel1" localSheetId="6" hidden="1">2</definedName>
    <definedName name="solver_rel1" localSheetId="14" hidden="1">1</definedName>
    <definedName name="solver_rel1" localSheetId="16" hidden="1">3</definedName>
    <definedName name="solver_rel1" localSheetId="15" hidden="1">1</definedName>
    <definedName name="solver_rel2" localSheetId="13" hidden="1">4</definedName>
    <definedName name="solver_rel2" localSheetId="12" hidden="1">1</definedName>
    <definedName name="solver_rel2" localSheetId="3" hidden="1">1</definedName>
    <definedName name="solver_rel2" localSheetId="11" hidden="1">1</definedName>
    <definedName name="solver_rel2" localSheetId="5" hidden="1">1</definedName>
    <definedName name="solver_rel2" localSheetId="4" hidden="1">3</definedName>
    <definedName name="solver_rel2" localSheetId="10" hidden="1">2</definedName>
    <definedName name="solver_rel2" localSheetId="7" hidden="1">2</definedName>
    <definedName name="solver_rel2" localSheetId="6" hidden="1">2</definedName>
    <definedName name="solver_rel2" localSheetId="14" hidden="1">1</definedName>
    <definedName name="solver_rel2" localSheetId="16" hidden="1">3</definedName>
    <definedName name="solver_rel2" localSheetId="15" hidden="1">1</definedName>
    <definedName name="solver_rel3" localSheetId="13" hidden="1">1</definedName>
    <definedName name="solver_rel3" localSheetId="12" hidden="1">1</definedName>
    <definedName name="solver_rel3" localSheetId="3" hidden="1">1</definedName>
    <definedName name="solver_rel3" localSheetId="5" hidden="1">1</definedName>
    <definedName name="solver_rel3" localSheetId="4" hidden="1">3</definedName>
    <definedName name="solver_rel3" localSheetId="7" hidden="1">1</definedName>
    <definedName name="solver_rel3" localSheetId="6" hidden="1">2</definedName>
    <definedName name="solver_rel3" localSheetId="16" hidden="1">3</definedName>
    <definedName name="solver_rel3" localSheetId="15" hidden="1">1</definedName>
    <definedName name="solver_rel4" localSheetId="13" hidden="1">2</definedName>
    <definedName name="solver_rel4" localSheetId="5" hidden="1">1</definedName>
    <definedName name="solver_rel4" localSheetId="4" hidden="1">1</definedName>
    <definedName name="solver_rel4" localSheetId="6" hidden="1">1</definedName>
    <definedName name="solver_rel5" localSheetId="13" hidden="1">1</definedName>
    <definedName name="solver_rel5" localSheetId="5" hidden="1">1</definedName>
    <definedName name="solver_rel5" localSheetId="4" hidden="1">3</definedName>
    <definedName name="solver_rel5" localSheetId="6" hidden="1">1</definedName>
    <definedName name="solver_rel6" localSheetId="13" hidden="1">3</definedName>
    <definedName name="solver_rel6" localSheetId="5" hidden="1">3</definedName>
    <definedName name="solver_rel6" localSheetId="6" hidden="1">1</definedName>
    <definedName name="solver_rel7" localSheetId="5" hidden="1">3</definedName>
    <definedName name="solver_rhs1" localSheetId="13" hidden="1">"binary"</definedName>
    <definedName name="solver_rhs1" localSheetId="12" hidden="1">"integer"</definedName>
    <definedName name="solver_rhs1" localSheetId="3" hidden="1">'PL ++ Restricciones'!$H$10</definedName>
    <definedName name="solver_rhs1" localSheetId="11" hidden="1">'PL Computadoras'!$C$34:$F$34</definedName>
    <definedName name="solver_rhs1" localSheetId="5" hidden="1">'PL Finanzas'!$H$15</definedName>
    <definedName name="solver_rhs1" localSheetId="4" hidden="1">'PL Invest'!$J$8</definedName>
    <definedName name="solver_rhs1" localSheetId="1" hidden="1">'PL Maximización'!$F$6:$F$7</definedName>
    <definedName name="solver_rhs1" localSheetId="2" hidden="1">'PL Minimización'!$F$6:$F$8</definedName>
    <definedName name="solver_rhs1" localSheetId="10" hidden="1">'PL Recursos'!$C$15:$E$15</definedName>
    <definedName name="solver_rhs1" localSheetId="9" hidden="1">'PL Serv Cliente'!$I$7:$I$16</definedName>
    <definedName name="solver_rhs1" localSheetId="7" hidden="1">'PL Transbordo !!'!$G$14:$G$15</definedName>
    <definedName name="solver_rhs1" localSheetId="6" hidden="1">'PL Transporte !'!$B$14</definedName>
    <definedName name="solver_rhs1" localSheetId="14" hidden="1">'PNL Fnc.L-Rest.L'!$F$13</definedName>
    <definedName name="solver_rhs1" localSheetId="16" hidden="1">'PNL Fnc.L-Rest.NL'!$I$11</definedName>
    <definedName name="solver_rhs1" localSheetId="15" hidden="1">'PNL Fnc.NL-Rest.NL'!$J$11</definedName>
    <definedName name="solver_rhs2" localSheetId="13" hidden="1">"integer"</definedName>
    <definedName name="solver_rhs2" localSheetId="12" hidden="1">'PL &amp; PE'!$F$18</definedName>
    <definedName name="solver_rhs2" localSheetId="3" hidden="1">'PL ++ Restricciones'!$H$11:$H$12</definedName>
    <definedName name="solver_rhs2" localSheetId="11" hidden="1">'PL Computadoras'!$I$28:$I$31</definedName>
    <definedName name="solver_rhs2" localSheetId="5" hidden="1">'PL Finanzas'!$H$16</definedName>
    <definedName name="solver_rhs2" localSheetId="4" hidden="1">'PL Invest'!$J$10</definedName>
    <definedName name="solver_rhs2" localSheetId="10" hidden="1">'PL Recursos'!$H$10:$H$12</definedName>
    <definedName name="solver_rhs2" localSheetId="7" hidden="1">'PL Transbordo !!'!$D$18:$F$18</definedName>
    <definedName name="solver_rhs2" localSheetId="6" hidden="1">'PL Transporte !'!$C$14</definedName>
    <definedName name="solver_rhs2" localSheetId="14" hidden="1">'PNL Fnc.L-Rest.L'!$F$14</definedName>
    <definedName name="solver_rhs2" localSheetId="16" hidden="1">'PNL Fnc.L-Rest.NL'!$I$12</definedName>
    <definedName name="solver_rhs2" localSheetId="15" hidden="1">'PNL Fnc.NL-Rest.NL'!$J$12</definedName>
    <definedName name="solver_rhs3" localSheetId="13" hidden="1">' Asignación (0-1)'!$K$10</definedName>
    <definedName name="solver_rhs3" localSheetId="12" hidden="1">'PL &amp; PE'!$F$19</definedName>
    <definedName name="solver_rhs3" localSheetId="3" hidden="1">'PL ++ Restricciones'!$H$6:$H$9</definedName>
    <definedName name="solver_rhs3" localSheetId="5" hidden="1">'PL Finanzas'!$H$17</definedName>
    <definedName name="solver_rhs3" localSheetId="4" hidden="1">'PL Invest'!$J$11</definedName>
    <definedName name="solver_rhs3" localSheetId="7" hidden="1">'PL Transbordo !!'!$I$12:$I$13</definedName>
    <definedName name="solver_rhs3" localSheetId="6" hidden="1">'PL Transporte !'!$D$14</definedName>
    <definedName name="solver_rhs3" localSheetId="16" hidden="1">'PNL Fnc.L-Rest.NL'!$I$13</definedName>
    <definedName name="solver_rhs3" localSheetId="15" hidden="1">'PNL Fnc.NL-Rest.NL'!$J$13</definedName>
    <definedName name="solver_rhs4" localSheetId="13" hidden="1">' Asignación (0-1)'!$K$11</definedName>
    <definedName name="solver_rhs4" localSheetId="5" hidden="1">'PL Finanzas'!$H$18</definedName>
    <definedName name="solver_rhs4" localSheetId="4" hidden="1">'PL Invest'!$J$12</definedName>
    <definedName name="solver_rhs4" localSheetId="6" hidden="1">'PL Transporte !'!$G$10</definedName>
    <definedName name="solver_rhs5" localSheetId="13" hidden="1">' Asignación (0-1)'!$K$12</definedName>
    <definedName name="solver_rhs5" localSheetId="5" hidden="1">'PL Finanzas'!$H$19</definedName>
    <definedName name="solver_rhs5" localSheetId="4" hidden="1">'PL Invest'!$J$9</definedName>
    <definedName name="solver_rhs5" localSheetId="6" hidden="1">'PL Transporte !'!$G$11</definedName>
    <definedName name="solver_rhs6" localSheetId="13" hidden="1">' Asignación (0-1)'!$K$9</definedName>
    <definedName name="solver_rhs6" localSheetId="5" hidden="1">'PL Finanzas'!$H$20</definedName>
    <definedName name="solver_rhs6" localSheetId="6" hidden="1">'PL Transporte !'!$G$9</definedName>
    <definedName name="solver_rhs7" localSheetId="5" hidden="1">'PL Finanzas'!$H$21</definedName>
    <definedName name="solver_rlx" localSheetId="13" hidden="1">2</definedName>
    <definedName name="solver_rlx" localSheetId="12" hidden="1">2</definedName>
    <definedName name="solver_rlx" localSheetId="3" hidden="1">2</definedName>
    <definedName name="solver_rlx" localSheetId="11" hidden="1">2</definedName>
    <definedName name="solver_rlx" localSheetId="5" hidden="1">2</definedName>
    <definedName name="solver_rlx" localSheetId="4" hidden="1">2</definedName>
    <definedName name="solver_rlx" localSheetId="1" hidden="1">2</definedName>
    <definedName name="solver_rlx" localSheetId="2" hidden="1">2</definedName>
    <definedName name="solver_rlx" localSheetId="10" hidden="1">2</definedName>
    <definedName name="solver_rlx" localSheetId="9" hidden="1">2</definedName>
    <definedName name="solver_rlx" localSheetId="7" hidden="1">2</definedName>
    <definedName name="solver_rlx" localSheetId="6" hidden="1">2</definedName>
    <definedName name="solver_rlx" localSheetId="14" hidden="1">2</definedName>
    <definedName name="solver_rlx" localSheetId="16" hidden="1">2</definedName>
    <definedName name="solver_rlx" localSheetId="15" hidden="1">2</definedName>
    <definedName name="solver_rsd" localSheetId="13" hidden="1">0</definedName>
    <definedName name="solver_rsd" localSheetId="12" hidden="1">0</definedName>
    <definedName name="solver_rsd" localSheetId="3" hidden="1">0</definedName>
    <definedName name="solver_rsd" localSheetId="11" hidden="1">0</definedName>
    <definedName name="solver_rsd" localSheetId="5" hidden="1">0</definedName>
    <definedName name="solver_rsd" localSheetId="4" hidden="1">0</definedName>
    <definedName name="solver_rsd" localSheetId="1" hidden="1">0</definedName>
    <definedName name="solver_rsd" localSheetId="2" hidden="1">0</definedName>
    <definedName name="solver_rsd" localSheetId="10" hidden="1">0</definedName>
    <definedName name="solver_rsd" localSheetId="9" hidden="1">0</definedName>
    <definedName name="solver_rsd" localSheetId="7" hidden="1">0</definedName>
    <definedName name="solver_rsd" localSheetId="6" hidden="1">0</definedName>
    <definedName name="solver_rsd" localSheetId="14" hidden="1">0</definedName>
    <definedName name="solver_rsd" localSheetId="16" hidden="1">0</definedName>
    <definedName name="solver_rsd" localSheetId="15" hidden="1">0</definedName>
    <definedName name="solver_scl" localSheetId="13" hidden="1">1</definedName>
    <definedName name="solver_scl" localSheetId="12" hidden="1">1</definedName>
    <definedName name="solver_scl" localSheetId="3" hidden="1">2</definedName>
    <definedName name="solver_scl" localSheetId="11" hidden="1">2</definedName>
    <definedName name="solver_scl" localSheetId="5" hidden="1">2</definedName>
    <definedName name="solver_scl" localSheetId="4" hidden="1">1</definedName>
    <definedName name="solver_scl" localSheetId="1" hidden="1">1</definedName>
    <definedName name="solver_scl" localSheetId="2" hidden="1">1</definedName>
    <definedName name="solver_scl" localSheetId="10" hidden="1">1</definedName>
    <definedName name="solver_scl" localSheetId="9" hidden="1">1</definedName>
    <definedName name="solver_scl" localSheetId="7" hidden="1">1</definedName>
    <definedName name="solver_scl" localSheetId="6" hidden="1">1</definedName>
    <definedName name="solver_scl" localSheetId="14" hidden="1">2</definedName>
    <definedName name="solver_scl" localSheetId="16" hidden="1">1</definedName>
    <definedName name="solver_scl" localSheetId="15" hidden="1">2</definedName>
    <definedName name="solver_sho" localSheetId="13" hidden="1">2</definedName>
    <definedName name="solver_sho" localSheetId="12" hidden="1">2</definedName>
    <definedName name="solver_sho" localSheetId="3" hidden="1">2</definedName>
    <definedName name="solver_sho" localSheetId="11" hidden="1">2</definedName>
    <definedName name="solver_sho" localSheetId="5" hidden="1">2</definedName>
    <definedName name="solver_sho" localSheetId="4" hidden="1">2</definedName>
    <definedName name="solver_sho" localSheetId="1" hidden="1">2</definedName>
    <definedName name="solver_sho" localSheetId="2" hidden="1">2</definedName>
    <definedName name="solver_sho" localSheetId="10" hidden="1">2</definedName>
    <definedName name="solver_sho" localSheetId="9" hidden="1">2</definedName>
    <definedName name="solver_sho" localSheetId="7" hidden="1">2</definedName>
    <definedName name="solver_sho" localSheetId="6" hidden="1">2</definedName>
    <definedName name="solver_sho" localSheetId="14" hidden="1">2</definedName>
    <definedName name="solver_sho" localSheetId="16" hidden="1">2</definedName>
    <definedName name="solver_sho" localSheetId="15" hidden="1">2</definedName>
    <definedName name="solver_ssz" localSheetId="13" hidden="1">100</definedName>
    <definedName name="solver_ssz" localSheetId="12" hidden="1">100</definedName>
    <definedName name="solver_ssz" localSheetId="3" hidden="1">100</definedName>
    <definedName name="solver_ssz" localSheetId="11" hidden="1">100</definedName>
    <definedName name="solver_ssz" localSheetId="5" hidden="1">100</definedName>
    <definedName name="solver_ssz" localSheetId="4" hidden="1">100</definedName>
    <definedName name="solver_ssz" localSheetId="1" hidden="1">100</definedName>
    <definedName name="solver_ssz" localSheetId="2" hidden="1">100</definedName>
    <definedName name="solver_ssz" localSheetId="10" hidden="1">100</definedName>
    <definedName name="solver_ssz" localSheetId="9" hidden="1">100</definedName>
    <definedName name="solver_ssz" localSheetId="7" hidden="1">100</definedName>
    <definedName name="solver_ssz" localSheetId="6" hidden="1">100</definedName>
    <definedName name="solver_ssz" localSheetId="14" hidden="1">100</definedName>
    <definedName name="solver_ssz" localSheetId="16" hidden="1">100</definedName>
    <definedName name="solver_ssz" localSheetId="15" hidden="1">100</definedName>
    <definedName name="solver_tim" localSheetId="13" hidden="1">2147483647</definedName>
    <definedName name="solver_tim" localSheetId="12" hidden="1">2147483647</definedName>
    <definedName name="solver_tim" localSheetId="3" hidden="1">2147483647</definedName>
    <definedName name="solver_tim" localSheetId="11" hidden="1">2147483647</definedName>
    <definedName name="solver_tim" localSheetId="5" hidden="1">2147483647</definedName>
    <definedName name="solver_tim" localSheetId="4" hidden="1">2147483647</definedName>
    <definedName name="solver_tim" localSheetId="1" hidden="1">2147483647</definedName>
    <definedName name="solver_tim" localSheetId="2" hidden="1">2147483647</definedName>
    <definedName name="solver_tim" localSheetId="10" hidden="1">2147483647</definedName>
    <definedName name="solver_tim" localSheetId="9" hidden="1">2147483647</definedName>
    <definedName name="solver_tim" localSheetId="7" hidden="1">2147483647</definedName>
    <definedName name="solver_tim" localSheetId="6" hidden="1">2147483647</definedName>
    <definedName name="solver_tim" localSheetId="14" hidden="1">2147483647</definedName>
    <definedName name="solver_tim" localSheetId="16" hidden="1">2147483647</definedName>
    <definedName name="solver_tim" localSheetId="15" hidden="1">2147483647</definedName>
    <definedName name="solver_tol" localSheetId="13" hidden="1">0.01</definedName>
    <definedName name="solver_tol" localSheetId="12" hidden="1">0.01</definedName>
    <definedName name="solver_tol" localSheetId="3" hidden="1">0.01</definedName>
    <definedName name="solver_tol" localSheetId="11" hidden="1">0.01</definedName>
    <definedName name="solver_tol" localSheetId="5" hidden="1">0.01</definedName>
    <definedName name="solver_tol" localSheetId="4" hidden="1">0.01</definedName>
    <definedName name="solver_tol" localSheetId="1" hidden="1">0.01</definedName>
    <definedName name="solver_tol" localSheetId="2" hidden="1">0.01</definedName>
    <definedName name="solver_tol" localSheetId="10" hidden="1">0.01</definedName>
    <definedName name="solver_tol" localSheetId="9" hidden="1">0.01</definedName>
    <definedName name="solver_tol" localSheetId="7" hidden="1">0.01</definedName>
    <definedName name="solver_tol" localSheetId="6" hidden="1">0.01</definedName>
    <definedName name="solver_tol" localSheetId="14" hidden="1">0.01</definedName>
    <definedName name="solver_tol" localSheetId="16" hidden="1">0.01</definedName>
    <definedName name="solver_tol" localSheetId="15" hidden="1">0.01</definedName>
    <definedName name="solver_typ" localSheetId="13" hidden="1">1</definedName>
    <definedName name="solver_typ" localSheetId="12" hidden="1">1</definedName>
    <definedName name="solver_typ" localSheetId="3" hidden="1">1</definedName>
    <definedName name="solver_typ" localSheetId="11" hidden="1">2</definedName>
    <definedName name="solver_typ" localSheetId="5" hidden="1">1</definedName>
    <definedName name="solver_typ" localSheetId="4" hidden="1">2</definedName>
    <definedName name="solver_typ" localSheetId="1" hidden="1">1</definedName>
    <definedName name="solver_typ" localSheetId="2" hidden="1">2</definedName>
    <definedName name="solver_typ" localSheetId="10" hidden="1">2</definedName>
    <definedName name="solver_typ" localSheetId="9" hidden="1">2</definedName>
    <definedName name="solver_typ" localSheetId="7" hidden="1">2</definedName>
    <definedName name="solver_typ" localSheetId="6" hidden="1">2</definedName>
    <definedName name="solver_typ" localSheetId="14" hidden="1">1</definedName>
    <definedName name="solver_typ" localSheetId="16" hidden="1">2</definedName>
    <definedName name="solver_typ" localSheetId="15" hidden="1">1</definedName>
    <definedName name="solver_val" localSheetId="13" hidden="1">0</definedName>
    <definedName name="solver_val" localSheetId="12" hidden="1">0</definedName>
    <definedName name="solver_val" localSheetId="3" hidden="1">0</definedName>
    <definedName name="solver_val" localSheetId="11" hidden="1">0</definedName>
    <definedName name="solver_val" localSheetId="5" hidden="1">0</definedName>
    <definedName name="solver_val" localSheetId="4" hidden="1">0</definedName>
    <definedName name="solver_val" localSheetId="1" hidden="1">0</definedName>
    <definedName name="solver_val" localSheetId="2" hidden="1">0</definedName>
    <definedName name="solver_val" localSheetId="10" hidden="1">0</definedName>
    <definedName name="solver_val" localSheetId="9" hidden="1">0</definedName>
    <definedName name="solver_val" localSheetId="7" hidden="1">0</definedName>
    <definedName name="solver_val" localSheetId="6" hidden="1">0</definedName>
    <definedName name="solver_val" localSheetId="14" hidden="1">0</definedName>
    <definedName name="solver_val" localSheetId="16" hidden="1">0</definedName>
    <definedName name="solver_val" localSheetId="15" hidden="1">0</definedName>
    <definedName name="solver_ver" localSheetId="13" hidden="1">3</definedName>
    <definedName name="solver_ver" localSheetId="12" hidden="1">3</definedName>
    <definedName name="solver_ver" localSheetId="3" hidden="1">3</definedName>
    <definedName name="solver_ver" localSheetId="11" hidden="1">3</definedName>
    <definedName name="solver_ver" localSheetId="5" hidden="1">3</definedName>
    <definedName name="solver_ver" localSheetId="4" hidden="1">3</definedName>
    <definedName name="solver_ver" localSheetId="1" hidden="1">2</definedName>
    <definedName name="solver_ver" localSheetId="2" hidden="1">3</definedName>
    <definedName name="solver_ver" localSheetId="10" hidden="1">3</definedName>
    <definedName name="solver_ver" localSheetId="9" hidden="1">3</definedName>
    <definedName name="solver_ver" localSheetId="7" hidden="1">2</definedName>
    <definedName name="solver_ver" localSheetId="6" hidden="1">3</definedName>
    <definedName name="solver_ver" localSheetId="14" hidden="1">3</definedName>
    <definedName name="solver_ver" localSheetId="16" hidden="1">3</definedName>
    <definedName name="solver_ver" localSheetId="1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13" l="1"/>
  <c r="G13" i="13"/>
  <c r="G14" i="13"/>
  <c r="G15" i="13"/>
  <c r="F16" i="13"/>
  <c r="E16" i="13"/>
  <c r="D16" i="13"/>
  <c r="C16" i="13"/>
  <c r="B16" i="13"/>
  <c r="D7" i="3"/>
  <c r="D6" i="3"/>
  <c r="G10" i="26"/>
  <c r="J9" i="25" l="1"/>
  <c r="I9" i="25"/>
  <c r="H9" i="25"/>
  <c r="G9" i="25"/>
  <c r="F9" i="25"/>
  <c r="E9" i="25"/>
  <c r="D9" i="25"/>
  <c r="B5" i="32" l="1"/>
  <c r="C22" i="31" l="1" a="1"/>
  <c r="C22" i="31" s="1"/>
  <c r="C16" i="31" a="1"/>
  <c r="C16" i="31" s="1"/>
  <c r="C13" i="31" a="1"/>
  <c r="C13" i="31" s="1"/>
  <c r="C10" i="31" a="1"/>
  <c r="C10" i="31" s="1"/>
  <c r="B12" i="30" a="1"/>
  <c r="B12" i="30" s="1"/>
  <c r="B9" i="30" a="1"/>
  <c r="B9" i="30" s="1"/>
  <c r="D7" i="30"/>
  <c r="D6" i="30"/>
  <c r="C7" i="30"/>
  <c r="C6" i="30"/>
  <c r="C2" i="29"/>
  <c r="A16" i="29" s="1" a="1"/>
  <c r="A16" i="29" s="1"/>
  <c r="A11" i="29"/>
  <c r="B11" i="29"/>
  <c r="C11" i="29"/>
  <c r="A12" i="29"/>
  <c r="B12" i="29"/>
  <c r="C12" i="29"/>
  <c r="C10" i="29"/>
  <c r="B10" i="29"/>
  <c r="A10" i="29"/>
  <c r="D3" i="3"/>
  <c r="E1" i="33"/>
  <c r="E3" i="36"/>
  <c r="B3" i="36"/>
  <c r="E2" i="36"/>
  <c r="E3" i="35"/>
  <c r="B3" i="35"/>
  <c r="E2" i="35"/>
  <c r="B2" i="35"/>
  <c r="E3" i="34"/>
  <c r="E2" i="34"/>
  <c r="E3" i="33"/>
  <c r="E2" i="33"/>
  <c r="E2" i="32"/>
  <c r="E1" i="32"/>
  <c r="I4" i="29"/>
  <c r="H4" i="29"/>
  <c r="C4" i="29"/>
  <c r="I3" i="29"/>
  <c r="H3" i="29"/>
  <c r="C3" i="29"/>
  <c r="B20" i="28"/>
  <c r="B19" i="28"/>
  <c r="B18" i="28"/>
  <c r="B17" i="28"/>
  <c r="B16" i="28"/>
  <c r="B15" i="28"/>
  <c r="B14" i="28"/>
  <c r="B13" i="28"/>
  <c r="G9" i="28"/>
  <c r="F9" i="28"/>
  <c r="E9" i="28"/>
  <c r="C9" i="28"/>
  <c r="D7" i="27"/>
  <c r="F6" i="27"/>
  <c r="E6" i="27"/>
  <c r="D6" i="27"/>
  <c r="C6" i="27"/>
  <c r="F11" i="26"/>
  <c r="D11" i="26"/>
  <c r="H10" i="26"/>
  <c r="F10" i="26"/>
  <c r="E10" i="26"/>
  <c r="D10" i="26"/>
  <c r="C10" i="26"/>
  <c r="G10" i="25"/>
  <c r="E10" i="25"/>
  <c r="M9" i="25"/>
  <c r="M8" i="25"/>
  <c r="M10" i="25" s="1"/>
  <c r="G13" i="20"/>
  <c r="G12" i="20"/>
  <c r="G11" i="20"/>
  <c r="F7" i="20"/>
  <c r="E7" i="20"/>
  <c r="D7" i="20"/>
  <c r="C7" i="20"/>
  <c r="B7" i="20"/>
  <c r="D4" i="20"/>
  <c r="H13" i="19"/>
  <c r="H12" i="19"/>
  <c r="H11" i="19"/>
  <c r="H7" i="19"/>
  <c r="G6" i="19"/>
  <c r="F6" i="19"/>
  <c r="E6" i="19"/>
  <c r="D6" i="19"/>
  <c r="C6" i="19"/>
  <c r="B6" i="19"/>
  <c r="D14" i="18"/>
  <c r="D13" i="18"/>
  <c r="E9" i="18"/>
  <c r="D8" i="18"/>
  <c r="C8" i="18"/>
  <c r="B8" i="18"/>
  <c r="I12" i="17"/>
  <c r="I11" i="17"/>
  <c r="I10" i="17"/>
  <c r="I9" i="17"/>
  <c r="I3" i="17"/>
  <c r="D19" i="16"/>
  <c r="D18" i="16"/>
  <c r="D15" i="16"/>
  <c r="D7" i="16"/>
  <c r="D6" i="16"/>
  <c r="D3" i="16"/>
  <c r="F54" i="15"/>
  <c r="E54" i="15"/>
  <c r="D54" i="15"/>
  <c r="C54" i="15"/>
  <c r="F52" i="15"/>
  <c r="E52" i="15"/>
  <c r="D52" i="15"/>
  <c r="C52" i="15"/>
  <c r="I51" i="15"/>
  <c r="G51" i="15"/>
  <c r="I50" i="15"/>
  <c r="G50" i="15"/>
  <c r="I49" i="15"/>
  <c r="G49" i="15"/>
  <c r="I48" i="15"/>
  <c r="G48" i="15"/>
  <c r="G42" i="15"/>
  <c r="F42" i="15"/>
  <c r="E42" i="15"/>
  <c r="D42" i="15"/>
  <c r="C42" i="15"/>
  <c r="F41" i="15"/>
  <c r="E41" i="15"/>
  <c r="D41" i="15"/>
  <c r="C41" i="15"/>
  <c r="F40" i="15"/>
  <c r="E40" i="15"/>
  <c r="D40" i="15"/>
  <c r="C40" i="15"/>
  <c r="F39" i="15"/>
  <c r="E39" i="15"/>
  <c r="D39" i="15"/>
  <c r="C39" i="15"/>
  <c r="F34" i="15"/>
  <c r="E34" i="15"/>
  <c r="D34" i="15"/>
  <c r="C34" i="15"/>
  <c r="F32" i="15"/>
  <c r="E32" i="15"/>
  <c r="D32" i="15"/>
  <c r="C32" i="15"/>
  <c r="I31" i="15"/>
  <c r="G31" i="15"/>
  <c r="I30" i="15"/>
  <c r="G30" i="15"/>
  <c r="I29" i="15"/>
  <c r="G29" i="15"/>
  <c r="I28" i="15"/>
  <c r="G28" i="15"/>
  <c r="G22" i="15"/>
  <c r="F22" i="15"/>
  <c r="E22" i="15"/>
  <c r="D22" i="15"/>
  <c r="C22" i="15"/>
  <c r="F21" i="15"/>
  <c r="E21" i="15"/>
  <c r="D21" i="15"/>
  <c r="C21" i="15"/>
  <c r="F20" i="15"/>
  <c r="E20" i="15"/>
  <c r="D20" i="15"/>
  <c r="C20" i="15"/>
  <c r="F19" i="15"/>
  <c r="E19" i="15"/>
  <c r="D19" i="15"/>
  <c r="C19" i="15"/>
  <c r="C14" i="15"/>
  <c r="B20" i="13"/>
  <c r="E13" i="12"/>
  <c r="D13" i="12"/>
  <c r="C13" i="12"/>
  <c r="F12" i="12"/>
  <c r="F11" i="12"/>
  <c r="F10" i="12"/>
  <c r="F6" i="12"/>
  <c r="G16" i="11"/>
  <c r="G15" i="11"/>
  <c r="G14" i="11"/>
  <c r="G13" i="11"/>
  <c r="G12" i="11"/>
  <c r="G11" i="11"/>
  <c r="G10" i="11"/>
  <c r="G9" i="11"/>
  <c r="G8" i="11"/>
  <c r="G7" i="11"/>
  <c r="G3" i="11"/>
  <c r="D12" i="10"/>
  <c r="C12" i="10"/>
  <c r="B12" i="10"/>
  <c r="E11" i="10"/>
  <c r="E10" i="10"/>
  <c r="E9" i="10"/>
  <c r="F4" i="10"/>
  <c r="H21" i="9"/>
  <c r="F21" i="9"/>
  <c r="H20" i="9"/>
  <c r="F20" i="9"/>
  <c r="F19" i="9"/>
  <c r="F18" i="9"/>
  <c r="F17" i="9"/>
  <c r="F16" i="9"/>
  <c r="F15" i="9"/>
  <c r="F11" i="9"/>
  <c r="J12" i="8"/>
  <c r="H12" i="8"/>
  <c r="J11" i="8"/>
  <c r="H11" i="8"/>
  <c r="H10" i="8"/>
  <c r="H9" i="8"/>
  <c r="H8" i="8"/>
  <c r="H4" i="8"/>
  <c r="F12" i="5"/>
  <c r="F11" i="5"/>
  <c r="F10" i="5"/>
  <c r="F9" i="5"/>
  <c r="F8" i="5"/>
  <c r="F7" i="5"/>
  <c r="F6" i="5"/>
  <c r="F3" i="5"/>
  <c r="F2" i="5"/>
  <c r="D8" i="4"/>
  <c r="D7" i="4"/>
  <c r="D6" i="4"/>
  <c r="D3" i="4"/>
  <c r="D2" i="4"/>
  <c r="H2" i="29" l="1"/>
  <c r="I2" i="29"/>
  <c r="G3" i="29"/>
  <c r="G2" i="29"/>
  <c r="G4" i="29"/>
  <c r="A18" i="29"/>
  <c r="A17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A5" authorId="0" shapeId="0" xr:uid="{F48F897A-8F17-4E5F-9E55-7D170658C422}">
      <text>
        <r>
          <rPr>
            <b/>
            <sz val="9"/>
            <color rgb="FF000000"/>
            <rFont val="Tahoma"/>
            <family val="2"/>
          </rPr>
          <t>David Robles Perez: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 está calculando el tiempo. 
</t>
        </r>
        <r>
          <rPr>
            <sz val="9"/>
            <color rgb="FF000000"/>
            <rFont val="Tahoma"/>
            <family val="2"/>
          </rPr>
          <t>La no negatividad también es parte de las restricciones.</t>
        </r>
      </text>
    </comment>
    <comment ref="D5" authorId="0" shapeId="0" xr:uid="{4A0E0DB2-BF71-41D2-B982-C0D5FA8D46E7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Restricción Izquierda. Se multiplica la variable por las restricciones.</t>
        </r>
      </text>
    </comment>
    <comment ref="E5" authorId="0" shapeId="0" xr:uid="{E9C5F243-922B-441B-ACD3-EE068F4A51DE}">
      <text>
        <r>
          <rPr>
            <b/>
            <sz val="9"/>
            <color rgb="FF000000"/>
            <rFont val="Tahoma"/>
            <family val="2"/>
          </rPr>
          <t>David Robles Perez: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Siempre tenerlas agrupadas (&lt;=,&gt;=...) para seleccionar las celdas en Solver.</t>
        </r>
      </text>
    </comment>
    <comment ref="F5" authorId="0" shapeId="0" xr:uid="{F33A8B1B-109A-41C8-A3CE-D2C3B87A9CD6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Restricción Derecha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A3" authorId="0" shapeId="0" xr:uid="{E0C8EF7D-06C8-4D17-B128-8396706D3EE8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Para minimizar los costos se deben comprar 8.4K de la marca 1 y 4.8K de la marca 2. </t>
        </r>
      </text>
    </comment>
    <comment ref="D6" authorId="0" shapeId="0" xr:uid="{9B89D1A3-B940-4722-9B53-D1A0BB8A8655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Restricción Precisa</t>
        </r>
      </text>
    </comment>
    <comment ref="D7" authorId="0" shapeId="0" xr:uid="{4DE810EE-301D-49FB-9D3C-556361088A6A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Restricción Precisa</t>
        </r>
      </text>
    </comment>
    <comment ref="D8" authorId="0" shapeId="0" xr:uid="{5E06AC97-5F4F-40C6-B0FA-073B86EB59BB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Excedente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F4" authorId="0" shapeId="0" xr:uid="{A5FBB7AF-D99D-45FF-8DAC-0E406CD907CC}">
      <text>
        <r>
          <rPr>
            <b/>
            <sz val="9"/>
            <color rgb="FF000000"/>
            <rFont val="Tahoma"/>
            <family val="2"/>
          </rPr>
          <t>David Robles Perez: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Suma Producto Matricial</t>
        </r>
      </text>
    </comment>
    <comment ref="G8" authorId="0" shapeId="0" xr:uid="{C72F4190-8358-41DA-8B0F-B1F40884EF3D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Debe ser igual a la sumatoria de la demanda</t>
        </r>
      </text>
    </comment>
    <comment ref="A12" authorId="0" shapeId="0" xr:uid="{FFC752CB-AEF6-4C31-BFBD-DBC9294891F9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Debe ser igual a la sumatoria de la oferta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B20" authorId="0" shapeId="0" xr:uid="{B1EB553A-481A-4262-8641-A7EA712828A3}">
      <text>
        <r>
          <rPr>
            <b/>
            <sz val="9"/>
            <color rgb="FF000000"/>
            <rFont val="Tahoma"/>
            <family val="2"/>
          </rPr>
          <t>David Robles Perez: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Tener cuidado con las sumas de las filas y columnas, solo sumar las que son necesarias para evitar que Solver haga cálculos incorrectos.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G22" authorId="0" shapeId="0" xr:uid="{275173BF-F542-4D6E-91D0-1582F2DD31A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San José minimiza los costos en comparación con Limón.</t>
        </r>
      </text>
    </comment>
    <comment ref="H27" authorId="0" shapeId="0" xr:uid="{A1E362D5-5A33-4561-A753-4D945135364C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Oferta</t>
        </r>
      </text>
    </comment>
    <comment ref="A33" authorId="0" shapeId="0" xr:uid="{7B0D6C2F-B015-41AF-BA08-D7822159C0C8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Demanda</t>
        </r>
      </text>
    </comment>
    <comment ref="H47" authorId="0" shapeId="0" xr:uid="{BB985AB9-6760-4B55-B46A-A15D32066C19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Oferta</t>
        </r>
      </text>
    </comment>
    <comment ref="A53" authorId="0" shapeId="0" xr:uid="{BAECB35C-41ED-4C0F-A98B-42A1BDE4F5DF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Demanda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D3" authorId="0" shapeId="0" xr:uid="{00000000-0006-0000-0C00-000001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Programación Lineal.</t>
        </r>
      </text>
    </comment>
    <comment ref="B14" authorId="0" shapeId="0" xr:uid="{00000000-0006-0000-0C00-000002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Se agregan ambos valores como restricciones (int).</t>
        </r>
      </text>
    </comment>
    <comment ref="C14" authorId="0" shapeId="0" xr:uid="{00000000-0006-0000-0C00-000003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Se agregan ambos valores como restricciones (int).</t>
        </r>
      </text>
    </comment>
    <comment ref="D15" authorId="0" shapeId="0" xr:uid="{00000000-0006-0000-0C00-000004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Programación Entera.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B2" authorId="0" shapeId="0" xr:uid="{00000000-0006-0000-0D00-000001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Se agregan los valores como restricciones (int) y (bin). </t>
        </r>
      </text>
    </comment>
    <comment ref="I3" authorId="0" shapeId="0" xr:uid="{00000000-0006-0000-0D00-000002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Programación Entera (Binarios).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D8" authorId="0" shapeId="0" xr:uid="{00000000-0006-0000-0E00-000001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Elevar al cuadrado.</t>
        </r>
      </text>
    </comment>
    <comment ref="E9" authorId="0" shapeId="0" xr:uid="{00000000-0006-0000-0E00-000002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En Solver se cambia a GRG NonLinear.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Aguilar</author>
  </authors>
  <commentList>
    <comment ref="A9" authorId="0" shapeId="0" xr:uid="{A3D7D528-A7EA-EE41-9B30-CBDEFC86CF42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Permite ir de un estado actual a un esstado futuro</t>
        </r>
      </text>
    </comment>
    <comment ref="A16" authorId="0" shapeId="0" xr:uid="{5CA1E74D-DB09-2A4D-95F1-E5FD83981361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 (cmd+shift+enter)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Aguilar</author>
  </authors>
  <commentList>
    <comment ref="C1" authorId="0" shapeId="0" xr:uid="{67613193-3DB4-7042-AB07-A829693B616A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Cada renglón debe sumar 100</t>
        </r>
      </text>
    </comment>
    <comment ref="C5" authorId="0" shapeId="0" xr:uid="{025D76DE-3C8F-DF47-A421-3F90915992A0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Al poner la otra matriz, se le da vuelta
</t>
        </r>
      </text>
    </comment>
    <comment ref="B9" authorId="0" shapeId="0" xr:uid="{2B6200D5-0EEB-F143-B087-71A0754030FE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cmd+shift+enter</t>
        </r>
      </text>
    </comment>
    <comment ref="B12" authorId="0" shapeId="0" xr:uid="{E7DBCB07-7229-EF4F-A45D-DE12D433B75B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cmd+shift+enter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  <author>Luis Aguilar</author>
  </authors>
  <commentList>
    <comment ref="B4" authorId="0" shapeId="0" xr:uid="{00000000-0006-0000-1B00-000001000000}">
      <text>
        <r>
          <rPr>
            <b/>
            <sz val="9"/>
            <color rgb="FF000000"/>
            <rFont val="Tahoma"/>
            <family val="2"/>
            <charset val="1"/>
          </rPr>
          <t>David Robles Perez:</t>
        </r>
        <r>
          <rPr>
            <sz val="9"/>
            <color rgb="FF000000"/>
            <rFont val="Tahoma"/>
            <family val="2"/>
            <charset val="1"/>
          </rPr>
          <t xml:space="preserve">
</t>
        </r>
        <r>
          <rPr>
            <sz val="9"/>
            <color rgb="FF000000"/>
            <rFont val="Tahoma"/>
            <family val="2"/>
            <charset val="1"/>
          </rPr>
          <t>Primera Matriz (I)</t>
        </r>
      </text>
    </comment>
    <comment ref="D4" authorId="0" shapeId="0" xr:uid="{00000000-0006-0000-1B00-000002000000}">
      <text>
        <r>
          <rPr>
            <b/>
            <sz val="9"/>
            <color rgb="FF000000"/>
            <rFont val="Tahoma"/>
            <family val="2"/>
            <charset val="1"/>
          </rPr>
          <t>David Robles Perez:</t>
        </r>
        <r>
          <rPr>
            <sz val="9"/>
            <color rgb="FF000000"/>
            <rFont val="Tahoma"/>
            <family val="2"/>
            <charset val="1"/>
          </rPr>
          <t xml:space="preserve">
</t>
        </r>
        <r>
          <rPr>
            <sz val="9"/>
            <color rgb="FF000000"/>
            <rFont val="Tahoma"/>
            <family val="2"/>
            <charset val="1"/>
          </rPr>
          <t>Segunda Matriz (O)</t>
        </r>
      </text>
    </comment>
    <comment ref="B6" authorId="0" shapeId="0" xr:uid="{00000000-0006-0000-1B00-000003000000}">
      <text>
        <r>
          <rPr>
            <b/>
            <sz val="9"/>
            <color rgb="FF000000"/>
            <rFont val="Tahoma"/>
            <family val="2"/>
            <charset val="1"/>
          </rPr>
          <t>David Robles Perez:</t>
        </r>
        <r>
          <rPr>
            <sz val="9"/>
            <color rgb="FF000000"/>
            <rFont val="Tahoma"/>
            <family val="2"/>
            <charset val="1"/>
          </rPr>
          <t xml:space="preserve">
</t>
        </r>
        <r>
          <rPr>
            <sz val="9"/>
            <color rgb="FF000000"/>
            <rFont val="Tahoma"/>
            <family val="2"/>
            <charset val="1"/>
          </rPr>
          <t>Tercera Matriz (A)</t>
        </r>
      </text>
    </comment>
    <comment ref="D6" authorId="0" shapeId="0" xr:uid="{00000000-0006-0000-1B00-000004000000}">
      <text>
        <r>
          <rPr>
            <b/>
            <sz val="9"/>
            <color rgb="FF000000"/>
            <rFont val="Tahoma"/>
            <family val="2"/>
            <charset val="1"/>
          </rPr>
          <t>David Robles Perez:</t>
        </r>
        <r>
          <rPr>
            <sz val="9"/>
            <color rgb="FF000000"/>
            <rFont val="Tahoma"/>
            <family val="2"/>
            <charset val="1"/>
          </rPr>
          <t xml:space="preserve">
</t>
        </r>
        <r>
          <rPr>
            <sz val="9"/>
            <color rgb="FF000000"/>
            <rFont val="Tahoma"/>
            <family val="2"/>
            <charset val="1"/>
          </rPr>
          <t>Cuarta Matriz (B)</t>
        </r>
      </text>
    </comment>
    <comment ref="C10" authorId="1" shapeId="0" xr:uid="{D5998FEB-71FD-8D43-A652-4F2C48B14823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cmd+shift+enter
</t>
        </r>
      </text>
    </comment>
    <comment ref="C13" authorId="1" shapeId="0" xr:uid="{EFEB1359-F485-7D4B-AB43-17CD32FE7A2A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cmd+shift+enter</t>
        </r>
      </text>
    </comment>
    <comment ref="C16" authorId="1" shapeId="0" xr:uid="{D0CED96F-7615-AF48-877F-20DF5119DC7D}">
      <text>
        <r>
          <rPr>
            <b/>
            <sz val="10"/>
            <color rgb="FF000000"/>
            <rFont val="Tahoma"/>
            <family val="2"/>
          </rPr>
          <t>Luis Aguilar: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cmd+shift+enter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D3" authorId="0" shapeId="0" xr:uid="{00000000-0006-0000-1D00-000001000000}">
      <text>
        <r>
          <rPr>
            <b/>
            <sz val="9"/>
            <color rgb="FF000000"/>
            <rFont val="Tahoma"/>
            <family val="2"/>
          </rPr>
          <t>David Robles Perez: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Comrpobación de estimación con R.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Robles Perez</author>
  </authors>
  <commentList>
    <comment ref="A1" authorId="0" shapeId="0" xr:uid="{00000000-0006-0000-2000-000001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Gráfica c</t>
        </r>
      </text>
    </comment>
    <comment ref="E3" authorId="0" shapeId="0" xr:uid="{00000000-0006-0000-2000-000002000000}">
      <text>
        <r>
          <rPr>
            <b/>
            <sz val="9"/>
            <rFont val="Tahoma"/>
            <family val="2"/>
          </rPr>
          <t>David Robles Perez:</t>
        </r>
        <r>
          <rPr>
            <sz val="9"/>
            <rFont val="Tahoma"/>
            <family val="2"/>
          </rPr>
          <t xml:space="preserve">
Siempre se pone en CERO (Negativos)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<sst xmlns="http://schemas.openxmlformats.org/spreadsheetml/2006/main" count="675" uniqueCount="321">
  <si>
    <t>Minimizar o maximizar un objetivo</t>
  </si>
  <si>
    <t>Limitaciones o Restricciones</t>
  </si>
  <si>
    <t>Alternativas disponibles</t>
  </si>
  <si>
    <t>Certeza</t>
  </si>
  <si>
    <t>Divisibilidad</t>
  </si>
  <si>
    <t>Variables no negativas</t>
  </si>
  <si>
    <t>Requerimientos de un problema de Programación Lineal</t>
  </si>
  <si>
    <t>Relaciones matemáticas lineales</t>
  </si>
  <si>
    <t>Carpintería</t>
  </si>
  <si>
    <t>Mesas</t>
  </si>
  <si>
    <t>Sillas</t>
  </si>
  <si>
    <t>Región Factible</t>
  </si>
  <si>
    <t>Debe satisfacer todas las condiciones específicadas por las</t>
  </si>
  <si>
    <t>restricciones del problema, por lo que es la región donde</t>
  </si>
  <si>
    <t>se traslapan todas las restricciones.</t>
  </si>
  <si>
    <t>Recta de Isoutilidad</t>
  </si>
  <si>
    <t>Después de graficar la región factible</t>
  </si>
  <si>
    <t>Método Solución Punto Esquina</t>
  </si>
  <si>
    <t>Holgura = Cantidad de recurso que no se utiliza</t>
  </si>
  <si>
    <t>Holgura = (Cantidad de recursos disponibles) - (Cantidad de recursos utilizados)</t>
  </si>
  <si>
    <t>Excedente se emplea con las restricciones de mayor o igual que</t>
  </si>
  <si>
    <t>Excedente = (Cantidad real) - (Cantidad Mínima)</t>
  </si>
  <si>
    <t xml:space="preserve">Holgura y Excedente </t>
  </si>
  <si>
    <t>Holgura se emplea con las restricciones menor o igual que</t>
  </si>
  <si>
    <t>Si la restricción de la holgura o excedente es cero para la solución</t>
  </si>
  <si>
    <t>óptima se llamada restricción precisa.</t>
  </si>
  <si>
    <t>Variables</t>
  </si>
  <si>
    <t>Utilidad</t>
  </si>
  <si>
    <t>Unidades producidas</t>
  </si>
  <si>
    <t>Función Objetivo</t>
  </si>
  <si>
    <t>Limitaciones</t>
  </si>
  <si>
    <t>Pintura</t>
  </si>
  <si>
    <t>LHS</t>
  </si>
  <si>
    <t>&lt;=</t>
  </si>
  <si>
    <t>RHS</t>
  </si>
  <si>
    <t>Problemas de Minimización</t>
  </si>
  <si>
    <t>Siempre se busca minimizar los gastos</t>
  </si>
  <si>
    <t>A</t>
  </si>
  <si>
    <t>B</t>
  </si>
  <si>
    <t>C</t>
  </si>
  <si>
    <t>Marca 1</t>
  </si>
  <si>
    <t>Marca 2</t>
  </si>
  <si>
    <t>&gt;=</t>
  </si>
  <si>
    <t>Unidades Producidas</t>
  </si>
  <si>
    <t>Costo</t>
  </si>
  <si>
    <t>Medios de Comunicación</t>
  </si>
  <si>
    <t>TV</t>
  </si>
  <si>
    <t>Periódico</t>
  </si>
  <si>
    <t>Radio</t>
  </si>
  <si>
    <t>Internet</t>
  </si>
  <si>
    <t>Audiencia Máxima</t>
  </si>
  <si>
    <t>Función Objetivo (Alcance)</t>
  </si>
  <si>
    <t>Máximo TV</t>
  </si>
  <si>
    <t>Máximo Periódico</t>
  </si>
  <si>
    <t>Máximo Radio</t>
  </si>
  <si>
    <t>Máximo Internet</t>
  </si>
  <si>
    <t>Radio / Internet (Anuncios)</t>
  </si>
  <si>
    <t>Radio / Internet (Costos)</t>
  </si>
  <si>
    <t>Presupuesto</t>
  </si>
  <si>
    <t>Hogares</t>
  </si>
  <si>
    <t>Hogares (&lt;= 30)</t>
  </si>
  <si>
    <t>Hogares (31 - 51)</t>
  </si>
  <si>
    <t>&lt;= 30 (Fronteriza)</t>
  </si>
  <si>
    <t>31 - 51 (Fronteriza)</t>
  </si>
  <si>
    <t>&gt;= 51 (Fronteriza)</t>
  </si>
  <si>
    <t>&lt;= 30 (NO Fronteriza)</t>
  </si>
  <si>
    <t>31 - 51 (NO Fronteriza)</t>
  </si>
  <si>
    <t>&gt;= 51 (NO Fronteriza)</t>
  </si>
  <si>
    <t>Fronteriza</t>
  </si>
  <si>
    <t>Fronteriza (&gt;= 51)</t>
  </si>
  <si>
    <t>Inversión</t>
  </si>
  <si>
    <t>Crédito Comercial</t>
  </si>
  <si>
    <t>Bonos Corporativos</t>
  </si>
  <si>
    <t>Reservas de Oro</t>
  </si>
  <si>
    <t>Préstamos</t>
  </si>
  <si>
    <t>Intereses %</t>
  </si>
  <si>
    <t>Inversión Máxima</t>
  </si>
  <si>
    <t>Rendimiento Inversión</t>
  </si>
  <si>
    <t>Reservas de Oro y Préstamos de Construcción</t>
  </si>
  <si>
    <t>Total Invertido</t>
  </si>
  <si>
    <t>Fuente</t>
  </si>
  <si>
    <t>San José</t>
  </si>
  <si>
    <t>Heredia</t>
  </si>
  <si>
    <t>Cartago</t>
  </si>
  <si>
    <t>Moín</t>
  </si>
  <si>
    <t>Limón</t>
  </si>
  <si>
    <t>Caldera</t>
  </si>
  <si>
    <t>Ofertas</t>
  </si>
  <si>
    <t>Demanda</t>
  </si>
  <si>
    <t>Oferta</t>
  </si>
  <si>
    <t>=</t>
  </si>
  <si>
    <t>Turno 1</t>
  </si>
  <si>
    <t>Turno 2</t>
  </si>
  <si>
    <t>Turno 3</t>
  </si>
  <si>
    <t>Turno 4</t>
  </si>
  <si>
    <t>Turno 5</t>
  </si>
  <si>
    <t>Agentes</t>
  </si>
  <si>
    <t>Minimizar Costos</t>
  </si>
  <si>
    <t>Carlos</t>
  </si>
  <si>
    <t>José</t>
  </si>
  <si>
    <t>Manuel</t>
  </si>
  <si>
    <t>Proyecto 1</t>
  </si>
  <si>
    <t>Proyecto 2</t>
  </si>
  <si>
    <t>Proyecto 3</t>
  </si>
  <si>
    <t>Persona</t>
  </si>
  <si>
    <t>Costo Total</t>
  </si>
  <si>
    <t>Total Asignado</t>
  </si>
  <si>
    <t>Total Trabajadores</t>
  </si>
  <si>
    <t>Toronto</t>
  </si>
  <si>
    <t>Detroit</t>
  </si>
  <si>
    <t>Chicago</t>
  </si>
  <si>
    <t>Búfalo</t>
  </si>
  <si>
    <t>Nueva York</t>
  </si>
  <si>
    <t>Filadelfia</t>
  </si>
  <si>
    <t>St. Louis</t>
  </si>
  <si>
    <t>Punto de Transbordo</t>
  </si>
  <si>
    <t>Destino</t>
  </si>
  <si>
    <t>Total Recibido</t>
  </si>
  <si>
    <t>Total Enviado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</si>
  <si>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</si>
  <si>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</si>
  <si>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</si>
  <si>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</si>
  <si>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</si>
  <si>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</si>
  <si>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</si>
  <si>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</si>
  <si>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</si>
  <si>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 xml:space="preserve"> Moin a San José</t>
  </si>
  <si>
    <t xml:space="preserve"> Moin a Heredia</t>
  </si>
  <si>
    <t xml:space="preserve"> Moin a Cartago</t>
  </si>
  <si>
    <t xml:space="preserve"> Limón a San José</t>
  </si>
  <si>
    <t xml:space="preserve"> Limón a Heredia</t>
  </si>
  <si>
    <t xml:space="preserve"> Limón a Cartago</t>
  </si>
  <si>
    <t xml:space="preserve"> Caldera a San José</t>
  </si>
  <si>
    <t xml:space="preserve"> Caldera a Heredia</t>
  </si>
  <si>
    <t xml:space="preserve"> Caldera a Cartago</t>
  </si>
  <si>
    <t>Puertos - Destinos</t>
  </si>
  <si>
    <r>
      <t>5</t>
    </r>
    <r>
      <rPr>
        <b/>
        <sz val="11"/>
        <color theme="1"/>
        <rFont val="Calibri"/>
        <family val="2"/>
        <scheme val="minor"/>
      </rPr>
      <t>X1</t>
    </r>
    <r>
      <rPr>
        <sz val="11"/>
        <color theme="1"/>
        <rFont val="Calibri"/>
        <family val="2"/>
        <scheme val="minor"/>
      </rPr>
      <t xml:space="preserve"> + 4</t>
    </r>
    <r>
      <rPr>
        <b/>
        <sz val="11"/>
        <color theme="1"/>
        <rFont val="Calibri"/>
        <family val="2"/>
        <scheme val="minor"/>
      </rPr>
      <t>X2</t>
    </r>
    <r>
      <rPr>
        <sz val="11"/>
        <color theme="1"/>
        <rFont val="Calibri"/>
        <family val="2"/>
        <scheme val="minor"/>
      </rPr>
      <t xml:space="preserve"> + 3</t>
    </r>
    <r>
      <rPr>
        <b/>
        <sz val="11"/>
        <color theme="1"/>
        <rFont val="Calibri"/>
        <family val="2"/>
        <scheme val="minor"/>
      </rPr>
      <t>X3</t>
    </r>
    <r>
      <rPr>
        <sz val="11"/>
        <color theme="1"/>
        <rFont val="Calibri"/>
        <family val="2"/>
        <scheme val="minor"/>
      </rPr>
      <t xml:space="preserve"> + 8</t>
    </r>
    <r>
      <rPr>
        <b/>
        <sz val="11"/>
        <color theme="1"/>
        <rFont val="Calibri"/>
        <family val="2"/>
        <scheme val="minor"/>
      </rPr>
      <t>X4</t>
    </r>
    <r>
      <rPr>
        <sz val="11"/>
        <color theme="1"/>
        <rFont val="Calibri"/>
        <family val="2"/>
        <scheme val="minor"/>
      </rPr>
      <t xml:space="preserve"> + 4</t>
    </r>
    <r>
      <rPr>
        <b/>
        <sz val="11"/>
        <color theme="1"/>
        <rFont val="Calibri"/>
        <family val="2"/>
        <scheme val="minor"/>
      </rPr>
      <t>X5</t>
    </r>
    <r>
      <rPr>
        <sz val="11"/>
        <color theme="1"/>
        <rFont val="Calibri"/>
        <family val="2"/>
        <scheme val="minor"/>
      </rPr>
      <t xml:space="preserve"> + 3</t>
    </r>
    <r>
      <rPr>
        <b/>
        <sz val="11"/>
        <color theme="1"/>
        <rFont val="Calibri"/>
        <family val="2"/>
        <scheme val="minor"/>
      </rPr>
      <t>X6</t>
    </r>
    <r>
      <rPr>
        <sz val="11"/>
        <color theme="1"/>
        <rFont val="Calibri"/>
        <family val="2"/>
        <scheme val="minor"/>
      </rPr>
      <t xml:space="preserve"> + 9</t>
    </r>
    <r>
      <rPr>
        <b/>
        <sz val="11"/>
        <color theme="1"/>
        <rFont val="Calibri"/>
        <family val="2"/>
        <scheme val="minor"/>
      </rPr>
      <t>X7</t>
    </r>
    <r>
      <rPr>
        <sz val="11"/>
        <color theme="1"/>
        <rFont val="Calibri"/>
        <family val="2"/>
        <scheme val="minor"/>
      </rPr>
      <t xml:space="preserve"> + 7</t>
    </r>
    <r>
      <rPr>
        <b/>
        <sz val="11"/>
        <color theme="1"/>
        <rFont val="Calibri"/>
        <family val="2"/>
        <scheme val="minor"/>
      </rPr>
      <t>X8</t>
    </r>
    <r>
      <rPr>
        <sz val="11"/>
        <color theme="1"/>
        <rFont val="Calibri"/>
        <family val="2"/>
        <scheme val="minor"/>
      </rPr>
      <t xml:space="preserve"> + 5</t>
    </r>
    <r>
      <rPr>
        <b/>
        <sz val="11"/>
        <color theme="1"/>
        <rFont val="Calibri"/>
        <family val="2"/>
        <scheme val="minor"/>
      </rPr>
      <t>X9</t>
    </r>
  </si>
  <si>
    <t>Función Objetivo (Minimización)</t>
  </si>
  <si>
    <t>Restricciones</t>
  </si>
  <si>
    <t>No Negativas</t>
  </si>
  <si>
    <t>Todos</t>
  </si>
  <si>
    <t>Tipo</t>
  </si>
  <si>
    <t>Zona</t>
  </si>
  <si>
    <t>Fórmula</t>
  </si>
  <si>
    <r>
      <rPr>
        <b/>
        <sz val="11"/>
        <color theme="1"/>
        <rFont val="Calibri"/>
        <family val="2"/>
        <scheme val="minor"/>
      </rPr>
      <t>X1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X2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X3</t>
    </r>
    <r>
      <rPr>
        <sz val="11"/>
        <color theme="1"/>
        <rFont val="Calibri"/>
        <family val="2"/>
        <scheme val="minor"/>
      </rPr>
      <t xml:space="preserve"> &lt;= 100</t>
    </r>
  </si>
  <si>
    <r>
      <rPr>
        <b/>
        <sz val="11"/>
        <color theme="1"/>
        <rFont val="Calibri"/>
        <family val="2"/>
        <scheme val="minor"/>
      </rPr>
      <t>X4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X5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X6</t>
    </r>
    <r>
      <rPr>
        <sz val="11"/>
        <color theme="1"/>
        <rFont val="Calibri"/>
        <family val="2"/>
        <scheme val="minor"/>
      </rPr>
      <t xml:space="preserve"> &lt;= 300</t>
    </r>
  </si>
  <si>
    <r>
      <rPr>
        <b/>
        <sz val="11"/>
        <color theme="1"/>
        <rFont val="Calibri"/>
        <family val="2"/>
        <scheme val="minor"/>
      </rPr>
      <t>X7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X8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X9</t>
    </r>
    <r>
      <rPr>
        <sz val="11"/>
        <color theme="1"/>
        <rFont val="Calibri"/>
        <family val="2"/>
        <scheme val="minor"/>
      </rPr>
      <t xml:space="preserve"> &lt;= 300</t>
    </r>
  </si>
  <si>
    <r>
      <rPr>
        <b/>
        <sz val="11"/>
        <color theme="1"/>
        <rFont val="Calibri"/>
        <family val="2"/>
        <scheme val="minor"/>
      </rPr>
      <t>X1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X4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X7</t>
    </r>
    <r>
      <rPr>
        <sz val="11"/>
        <color theme="1"/>
        <rFont val="Calibri"/>
        <family val="2"/>
        <scheme val="minor"/>
      </rPr>
      <t xml:space="preserve"> &gt;= 300</t>
    </r>
  </si>
  <si>
    <r>
      <rPr>
        <b/>
        <sz val="11"/>
        <color theme="1"/>
        <rFont val="Calibri"/>
        <family val="2"/>
        <scheme val="minor"/>
      </rPr>
      <t>X2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X5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X8</t>
    </r>
    <r>
      <rPr>
        <sz val="11"/>
        <color theme="1"/>
        <rFont val="Calibri"/>
        <family val="2"/>
        <scheme val="minor"/>
      </rPr>
      <t xml:space="preserve"> &gt;= 200</t>
    </r>
  </si>
  <si>
    <r>
      <rPr>
        <b/>
        <sz val="11"/>
        <color theme="1"/>
        <rFont val="Calibri"/>
        <family val="2"/>
        <scheme val="minor"/>
      </rPr>
      <t>X3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X6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X9</t>
    </r>
    <r>
      <rPr>
        <sz val="11"/>
        <color theme="1"/>
        <rFont val="Calibri"/>
        <family val="2"/>
        <scheme val="minor"/>
      </rPr>
      <t xml:space="preserve"> &gt;= 200</t>
    </r>
  </si>
  <si>
    <r>
      <rPr>
        <b/>
        <sz val="11"/>
        <color theme="1"/>
        <rFont val="Calibri"/>
        <family val="2"/>
        <scheme val="minor"/>
      </rPr>
      <t>X1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X3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X4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X5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X6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X7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X8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 xml:space="preserve">X9 </t>
    </r>
    <r>
      <rPr>
        <sz val="11"/>
        <color theme="1"/>
        <rFont val="Calibri"/>
        <family val="2"/>
        <scheme val="minor"/>
      </rPr>
      <t>&gt;= 0</t>
    </r>
  </si>
  <si>
    <t>100 + 0 + 0 &lt;= 100</t>
  </si>
  <si>
    <t>0 + 200 + 100 &lt;= 300</t>
  </si>
  <si>
    <t>200 + 0 + 100 &lt;= 300</t>
  </si>
  <si>
    <t>100 + 0 + 200 &gt;= 300</t>
  </si>
  <si>
    <t>0 + 200 + 0 &gt;= 200</t>
  </si>
  <si>
    <t>0 + 100+ 100 &gt;= 200</t>
  </si>
  <si>
    <r>
      <t>100 + 0 + 0 + 0 + 200 + 100 + 200 + 0 + 100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&gt;= 0</t>
    </r>
  </si>
  <si>
    <t>5(100) + 4(0) + 3(0) + 8(0) + 4(200) + 3(100) + 9(200) + 7(0) + 5(100) = 3900</t>
  </si>
  <si>
    <t>Resultado Función Objetivo (Minimización)</t>
  </si>
  <si>
    <t>Resultados de las Sustituciones</t>
  </si>
  <si>
    <t>Almacén</t>
  </si>
  <si>
    <t>Demanda mensual</t>
  </si>
  <si>
    <t>Planta de producción</t>
  </si>
  <si>
    <t>Oferta mensual</t>
  </si>
  <si>
    <t>Costo Unitario Producción</t>
  </si>
  <si>
    <t>Dallas</t>
  </si>
  <si>
    <t>Alajuela</t>
  </si>
  <si>
    <t>Los Ángeles</t>
  </si>
  <si>
    <t>Costos de producción estimados por las plantas propuestas</t>
  </si>
  <si>
    <t>Calcule la oferta necesaria que debe cubrir la nueva planta</t>
  </si>
  <si>
    <t>Realice una tabla donde se determinen los costos totales (San José)</t>
  </si>
  <si>
    <t xml:space="preserve">Costos Totales </t>
  </si>
  <si>
    <t xml:space="preserve">Cartago </t>
  </si>
  <si>
    <t xml:space="preserve">Alajuela </t>
  </si>
  <si>
    <t xml:space="preserve">Determine cuál de las nuevas localidades dará un costo total mínimo para la empresa, en combinación a las plantas existentes </t>
  </si>
  <si>
    <t>(para realizar este punto debe evaluar las dos plantas nuevas de manera individual en conjunto a las existentes) (San José)</t>
  </si>
  <si>
    <t>Realice una tabla donde se determinen los costos totales  (Limón)</t>
  </si>
  <si>
    <t>(para realizar este punto debe evaluar las dos plantas nuevas de manera individual en conjunto a las existentes) (Limón)</t>
  </si>
  <si>
    <t>Valores</t>
  </si>
  <si>
    <t>Total</t>
  </si>
  <si>
    <t>Ingresos</t>
  </si>
  <si>
    <t>Cableado</t>
  </si>
  <si>
    <t>Ensamble</t>
  </si>
  <si>
    <t>Retorno</t>
  </si>
  <si>
    <t>A,D y E</t>
  </si>
  <si>
    <t>B y C</t>
  </si>
  <si>
    <t>F y G</t>
  </si>
  <si>
    <t>3 millones</t>
  </si>
  <si>
    <t>Micro</t>
  </si>
  <si>
    <t>Autolimpieza</t>
  </si>
  <si>
    <t>X2^2</t>
  </si>
  <si>
    <t>Ganancia</t>
  </si>
  <si>
    <t>Capacidad</t>
  </si>
  <si>
    <t>Tiempo</t>
  </si>
  <si>
    <t>X1^2</t>
  </si>
  <si>
    <t>X1*X2</t>
  </si>
  <si>
    <t>X2^3</t>
  </si>
  <si>
    <t>1/X2</t>
  </si>
  <si>
    <t>Ganancias</t>
  </si>
  <si>
    <t>Enfermería</t>
  </si>
  <si>
    <t>Rayos X</t>
  </si>
  <si>
    <t>X1^3</t>
  </si>
  <si>
    <t>Nodo</t>
  </si>
  <si>
    <t xml:space="preserve">FORMULA </t>
  </si>
  <si>
    <t>Costos</t>
  </si>
  <si>
    <t>λ</t>
  </si>
  <si>
    <t>Tiempo lab</t>
  </si>
  <si>
    <t>cantidad de horas que dura en el sistema</t>
  </si>
  <si>
    <t>µ</t>
  </si>
  <si>
    <t>Cw</t>
  </si>
  <si>
    <t>K</t>
  </si>
  <si>
    <t>Cs</t>
  </si>
  <si>
    <t>L</t>
  </si>
  <si>
    <t>w</t>
  </si>
  <si>
    <t>Lq</t>
  </si>
  <si>
    <t>Wq</t>
  </si>
  <si>
    <t>Ro</t>
  </si>
  <si>
    <t>P0</t>
  </si>
  <si>
    <t>Costo Total espera</t>
  </si>
  <si>
    <t>se puede usar W o Wq</t>
  </si>
  <si>
    <t>Costo Total servicio</t>
  </si>
  <si>
    <t>W cuando esta en el sistema</t>
  </si>
  <si>
    <t>Minutos</t>
  </si>
  <si>
    <t>Wq cuando esta en la cola</t>
  </si>
  <si>
    <t>que hayan mas de 3</t>
  </si>
  <si>
    <t>autos en el sistema</t>
  </si>
  <si>
    <t>FORMULA</t>
  </si>
  <si>
    <t>m</t>
  </si>
  <si>
    <t>n</t>
  </si>
  <si>
    <t>Formula</t>
  </si>
  <si>
    <t>SE EMPIEZA CON ESTA</t>
  </si>
  <si>
    <t>porque se necesita de P0 para poder hacer las otras formulas</t>
  </si>
  <si>
    <t>W</t>
  </si>
  <si>
    <t>minutos</t>
  </si>
  <si>
    <t>el tiempo de espera son 5 minutos</t>
  </si>
  <si>
    <t>N</t>
  </si>
  <si>
    <t>Servidores</t>
  </si>
  <si>
    <t>λ/µ</t>
  </si>
  <si>
    <t>aqui no se saca porque la variable es fija</t>
  </si>
  <si>
    <t>PARA EL MM1 FINITO</t>
  </si>
  <si>
    <t>Para P0</t>
  </si>
  <si>
    <t>sumatoria</t>
  </si>
  <si>
    <t>total P0</t>
  </si>
  <si>
    <t>Tiendas</t>
  </si>
  <si>
    <t>Personas</t>
  </si>
  <si>
    <t>Estados</t>
  </si>
  <si>
    <t>Probabilidades A</t>
  </si>
  <si>
    <t>Probabilidades B</t>
  </si>
  <si>
    <t>Probabilidades C</t>
  </si>
  <si>
    <t>Participaciones A</t>
  </si>
  <si>
    <t>Participaciones B</t>
  </si>
  <si>
    <t>Participaciones C</t>
  </si>
  <si>
    <t>Tienda A</t>
  </si>
  <si>
    <t>Tienda B</t>
  </si>
  <si>
    <t>Tienda C</t>
  </si>
  <si>
    <t>π = (0.4, 0.3, 0.3)</t>
  </si>
  <si>
    <t>Matriz de Probabilidades de Transición</t>
  </si>
  <si>
    <t>Predicción Participación Futura</t>
  </si>
  <si>
    <t>Primera Matriz</t>
  </si>
  <si>
    <t>Segunda Matriz</t>
  </si>
  <si>
    <t>Primer Mes</t>
  </si>
  <si>
    <t>Segundo Mes</t>
  </si>
  <si>
    <t>Matriz de las probabilidades (Matriz Fundamental F = ((I-B)^-1))*A)</t>
  </si>
  <si>
    <t>Siguiente mes</t>
  </si>
  <si>
    <t>Este mes</t>
  </si>
  <si>
    <t>Pagada</t>
  </si>
  <si>
    <t>Deuda Incobrable</t>
  </si>
  <si>
    <t>&lt;1 Mes</t>
  </si>
  <si>
    <t>1 a 3 Meses</t>
  </si>
  <si>
    <t>Resta de Matrices</t>
  </si>
  <si>
    <t>Inversa</t>
  </si>
  <si>
    <t>Cantidad Pagada</t>
  </si>
  <si>
    <t>MFA</t>
  </si>
  <si>
    <t>Media de las medias muestrales (x)</t>
  </si>
  <si>
    <t>Límite de Control Superior (LCS)</t>
  </si>
  <si>
    <t>Límite de Control Inferior (LCI)</t>
  </si>
  <si>
    <t>Muestra (n)</t>
  </si>
  <si>
    <t>Valor encontrado en la tabla (A2)</t>
  </si>
  <si>
    <t>LCS</t>
  </si>
  <si>
    <t>LCI</t>
  </si>
  <si>
    <t>Diferencia</t>
  </si>
  <si>
    <t>Quejas por días</t>
  </si>
  <si>
    <t>Total de quejas</t>
  </si>
  <si>
    <t>c</t>
  </si>
  <si>
    <t>Matriz inicial</t>
  </si>
  <si>
    <t>Matriz Fundamental FA</t>
  </si>
  <si>
    <t>Matriz M</t>
  </si>
  <si>
    <t>Costo total</t>
  </si>
  <si>
    <t>1 al 3</t>
  </si>
  <si>
    <t>3 al 4</t>
  </si>
  <si>
    <t>3 al 6</t>
  </si>
  <si>
    <t>6 al 8</t>
  </si>
  <si>
    <t>8 al 7</t>
  </si>
  <si>
    <t>3 al 2</t>
  </si>
  <si>
    <t>2 al 5</t>
  </si>
  <si>
    <t>Error Estándar (σX̅)</t>
  </si>
  <si>
    <t>Desviación Estándar (σX)</t>
  </si>
  <si>
    <t>Promedio de las muestras (R)</t>
  </si>
  <si>
    <t>Valor de tabla (D3)</t>
  </si>
  <si>
    <t>Valor de tabla (D4)</t>
  </si>
  <si>
    <t>Proporción media (p)</t>
  </si>
  <si>
    <t>Desviación estándar de la distribución muestral (σp)</t>
  </si>
  <si>
    <t>Número desviaciones estándar (z)</t>
  </si>
  <si>
    <t>Cuando la poblacion es limitada</t>
  </si>
  <si>
    <t>:</t>
  </si>
  <si>
    <t>Pn&gt;K=</t>
  </si>
  <si>
    <t>promedio de llegadas por hora</t>
  </si>
  <si>
    <t>promedio de atenciones por hora</t>
  </si>
  <si>
    <t>Dos o más canales disponibles para atender a los clientes que llegan</t>
  </si>
  <si>
    <t>Un solo canal disponibl para atender a los clientes que llegan</t>
  </si>
  <si>
    <t>#canales</t>
  </si>
  <si>
    <t xml:space="preserve">   </t>
  </si>
  <si>
    <t xml:space="preserve">      </t>
  </si>
  <si>
    <t xml:space="preserve">          </t>
  </si>
  <si>
    <t xml:space="preserve"> </t>
  </si>
  <si>
    <t xml:space="preserve">    </t>
  </si>
  <si>
    <t xml:space="preserve">     </t>
  </si>
  <si>
    <t xml:space="preserve">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</si>
</sst>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_);_(&quot;$&quot;* \(#,##0\);_(&quot;$&quot;* &quot;-&quot;??_);_(@_)"/>
    <numFmt numFmtId="165" formatCode="_-[$₡-140A]* #,##0.00_-;\-[$₡-140A]* #,##0.00_-;_-[$₡-140A]* &quot;-&quot;??_-;_-@_-"/>
    <numFmt numFmtId="166" formatCode="_-[$₡-140A]* #,##0_-;\-[$₡-140A]* #,##0_-;_-[$₡-140A]* &quot;-&quot;??_-;_-@_-"/>
    <numFmt numFmtId="167" formatCode="_-[$₡-140A]* #,##0_-;\-[$₡-140A]* #,##0_-;_-[$₡-140A]* &quot;-&quot;_-;_-@_-"/>
    <numFmt numFmtId="168" formatCode="&quot;₡&quot;#,##0.00;[Red]\-&quot;₡&quot;#,##0.00"/>
    <numFmt numFmtId="169" formatCode="0.00000000"/>
    <numFmt numFmtId="170" formatCode="0.0000"/>
    <numFmt numFmtId="171" formatCode="0.000"/>
  </numFmts>
  <fonts count="17" x14ac:knownFonts="1">
    <font>
      <sz val="11"/>
      <color theme="1"/>
      <name val="Calibri"/>
      <family val="2"/>
      <scheme val="minor"/>
    </font>
    <font>
      <sz val="9"/>
      <name val="Tahoma"/>
      <family val="2"/>
    </font>
    <font>
      <b/>
      <sz val="9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rgb="FFD83879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2EFDA"/>
        <bgColor rgb="FF000000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23">
    <xf numFmtId="0" fontId="0" fillId="0" borderId="0" xfId="0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/>
    <xf numFmtId="0" fontId="0" fillId="0" borderId="1" xfId="0" applyBorder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0" borderId="8" xfId="0" applyBorder="1"/>
    <xf numFmtId="0" fontId="0" fillId="3" borderId="9" xfId="0" applyFill="1" applyBorder="1"/>
    <xf numFmtId="0" fontId="0" fillId="3" borderId="1" xfId="0" applyFill="1" applyBorder="1"/>
    <xf numFmtId="2" fontId="0" fillId="2" borderId="0" xfId="0" applyNumberFormat="1" applyFill="1"/>
    <xf numFmtId="0" fontId="0" fillId="2" borderId="7" xfId="0" applyFill="1" applyBorder="1"/>
    <xf numFmtId="0" fontId="0" fillId="3" borderId="0" xfId="0" applyFill="1"/>
    <xf numFmtId="1" fontId="0" fillId="0" borderId="1" xfId="0" applyNumberFormat="1" applyBorder="1"/>
    <xf numFmtId="164" fontId="0" fillId="2" borderId="1" xfId="0" applyNumberFormat="1" applyFill="1" applyBorder="1"/>
    <xf numFmtId="0" fontId="3" fillId="0" borderId="1" xfId="0" applyFont="1" applyBorder="1"/>
    <xf numFmtId="165" fontId="0" fillId="0" borderId="1" xfId="0" applyNumberFormat="1" applyBorder="1"/>
    <xf numFmtId="0" fontId="4" fillId="0" borderId="1" xfId="0" applyFont="1" applyBorder="1"/>
    <xf numFmtId="0" fontId="0" fillId="4" borderId="1" xfId="0" applyFill="1" applyBorder="1"/>
    <xf numFmtId="9" fontId="0" fillId="0" borderId="1" xfId="1" applyFont="1" applyBorder="1"/>
    <xf numFmtId="0" fontId="0" fillId="0" borderId="0" xfId="0" applyAlignment="1">
      <alignment horizontal="center"/>
    </xf>
    <xf numFmtId="0" fontId="3" fillId="0" borderId="7" xfId="0" applyFont="1" applyBorder="1"/>
    <xf numFmtId="0" fontId="0" fillId="4" borderId="7" xfId="0" applyFill="1" applyBorder="1"/>
    <xf numFmtId="20" fontId="0" fillId="0" borderId="0" xfId="0" applyNumberFormat="1"/>
    <xf numFmtId="20" fontId="0" fillId="0" borderId="1" xfId="0" applyNumberFormat="1" applyBorder="1"/>
    <xf numFmtId="0" fontId="0" fillId="5" borderId="1" xfId="0" applyFill="1" applyBorder="1"/>
    <xf numFmtId="0" fontId="0" fillId="4" borderId="0" xfId="0" applyFill="1"/>
    <xf numFmtId="0" fontId="0" fillId="5" borderId="2" xfId="0" applyFill="1" applyBorder="1"/>
    <xf numFmtId="0" fontId="0" fillId="0" borderId="2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5" fillId="0" borderId="1" xfId="0" applyFont="1" applyBorder="1" applyAlignment="1">
      <alignment horizontal="center"/>
    </xf>
    <xf numFmtId="166" fontId="0" fillId="0" borderId="1" xfId="0" applyNumberFormat="1" applyBorder="1"/>
    <xf numFmtId="166" fontId="0" fillId="4" borderId="1" xfId="0" applyNumberFormat="1" applyFill="1" applyBorder="1"/>
    <xf numFmtId="167" fontId="0" fillId="4" borderId="1" xfId="0" applyNumberFormat="1" applyFill="1" applyBorder="1"/>
    <xf numFmtId="0" fontId="0" fillId="6" borderId="1" xfId="0" applyFill="1" applyBorder="1" applyAlignment="1">
      <alignment horizontal="center"/>
    </xf>
    <xf numFmtId="168" fontId="0" fillId="0" borderId="2" xfId="0" applyNumberFormat="1" applyBorder="1"/>
    <xf numFmtId="168" fontId="0" fillId="0" borderId="1" xfId="0" applyNumberFormat="1" applyBorder="1"/>
    <xf numFmtId="0" fontId="0" fillId="7" borderId="1" xfId="0" applyFill="1" applyBorder="1" applyAlignment="1">
      <alignment horizontal="center"/>
    </xf>
    <xf numFmtId="0" fontId="0" fillId="0" borderId="0" xfId="0" applyAlignment="1">
      <alignment vertical="center"/>
    </xf>
    <xf numFmtId="0" fontId="0" fillId="7" borderId="1" xfId="0" applyFill="1" applyBorder="1"/>
    <xf numFmtId="38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14" borderId="1" xfId="0" applyFill="1" applyBorder="1"/>
    <xf numFmtId="0" fontId="0" fillId="14" borderId="0" xfId="0" applyFill="1"/>
    <xf numFmtId="0" fontId="3" fillId="14" borderId="1" xfId="0" applyFont="1" applyFill="1" applyBorder="1"/>
    <xf numFmtId="2" fontId="0" fillId="0" borderId="1" xfId="0" applyNumberFormat="1" applyBorder="1"/>
    <xf numFmtId="9" fontId="3" fillId="0" borderId="1" xfId="0" applyNumberFormat="1" applyFont="1" applyBorder="1"/>
    <xf numFmtId="0" fontId="5" fillId="14" borderId="1" xfId="0" applyFont="1" applyFill="1" applyBorder="1"/>
    <xf numFmtId="0" fontId="6" fillId="14" borderId="1" xfId="0" applyFont="1" applyFill="1" applyBorder="1"/>
    <xf numFmtId="0" fontId="5" fillId="5" borderId="1" xfId="0" applyFont="1" applyFill="1" applyBorder="1"/>
    <xf numFmtId="171" fontId="0" fillId="0" borderId="1" xfId="0" applyNumberFormat="1" applyBorder="1"/>
    <xf numFmtId="170" fontId="0" fillId="0" borderId="1" xfId="0" applyNumberFormat="1" applyBorder="1"/>
    <xf numFmtId="0" fontId="0" fillId="15" borderId="0" xfId="0" applyFill="1"/>
    <xf numFmtId="169" fontId="0" fillId="0" borderId="1" xfId="0" applyNumberFormat="1" applyBorder="1"/>
    <xf numFmtId="0" fontId="0" fillId="15" borderId="1" xfId="0" applyFill="1" applyBorder="1"/>
    <xf numFmtId="0" fontId="5" fillId="0" borderId="1" xfId="0" applyFont="1" applyBorder="1"/>
    <xf numFmtId="0" fontId="5" fillId="15" borderId="0" xfId="0" applyFont="1" applyFill="1"/>
    <xf numFmtId="169" fontId="0" fillId="15" borderId="0" xfId="0" applyNumberFormat="1" applyFill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3" fontId="0" fillId="0" borderId="0" xfId="0" applyNumberFormat="1"/>
    <xf numFmtId="1" fontId="0" fillId="3" borderId="1" xfId="0" applyNumberFormat="1" applyFill="1" applyBorder="1"/>
    <xf numFmtId="9" fontId="0" fillId="0" borderId="0" xfId="1" applyFont="1"/>
    <xf numFmtId="0" fontId="0" fillId="0" borderId="0" xfId="0" applyAlignment="1">
      <alignment horizontal="right"/>
    </xf>
    <xf numFmtId="0" fontId="14" fillId="20" borderId="20" xfId="0" applyFont="1" applyFill="1" applyBorder="1"/>
    <xf numFmtId="0" fontId="14" fillId="20" borderId="21" xfId="0" applyFont="1" applyFill="1" applyBorder="1"/>
    <xf numFmtId="0" fontId="14" fillId="20" borderId="22" xfId="0" applyFont="1" applyFill="1" applyBorder="1"/>
    <xf numFmtId="16" fontId="15" fillId="21" borderId="20" xfId="0" applyNumberFormat="1" applyFont="1" applyFill="1" applyBorder="1"/>
    <xf numFmtId="0" fontId="15" fillId="21" borderId="21" xfId="0" applyFont="1" applyFill="1" applyBorder="1"/>
    <xf numFmtId="0" fontId="15" fillId="21" borderId="22" xfId="0" applyFont="1" applyFill="1" applyBorder="1"/>
    <xf numFmtId="0" fontId="15" fillId="0" borderId="20" xfId="0" applyFont="1" applyBorder="1"/>
    <xf numFmtId="0" fontId="15" fillId="0" borderId="21" xfId="0" applyFont="1" applyBorder="1"/>
    <xf numFmtId="0" fontId="15" fillId="0" borderId="22" xfId="0" applyFont="1" applyBorder="1"/>
    <xf numFmtId="0" fontId="15" fillId="21" borderId="20" xfId="0" applyFont="1" applyFill="1" applyBorder="1"/>
    <xf numFmtId="0" fontId="16" fillId="22" borderId="1" xfId="0" applyFont="1" applyFill="1" applyBorder="1"/>
    <xf numFmtId="0" fontId="0" fillId="3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5" borderId="19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5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9">
    <dxf>
      <fill>
        <patternFill patternType="solid">
          <bgColor theme="7" tint="0.59996337778862885"/>
        </patternFill>
      </fill>
    </dxf>
    <dxf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/>
        <bottom/>
      </border>
    </dxf>
    <dxf>
      <border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1135944</xdr:colOff>
      <xdr:row>13</xdr:row>
      <xdr:rowOff>134055</xdr:rowOff>
    </xdr:from>
    <xdr:to>
      <xdr:col>7</xdr:col>
      <xdr:colOff>79995</xdr:colOff>
      <xdr:row>30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95A376-E326-269B-A554-0A49CAB0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50" y="2486025"/>
          <a:ext cx="4933950" cy="2943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632601</xdr:colOff>
      <xdr:row>0</xdr:row>
      <xdr:rowOff>8466</xdr:rowOff>
    </xdr:from>
    <xdr:to>
      <xdr:col>14</xdr:col>
      <xdr:colOff>69148</xdr:colOff>
      <xdr:row>11</xdr:row>
      <xdr:rowOff>110066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58B322-F77B-F805-BA75-F73FA742C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4334" y="8466"/>
          <a:ext cx="5219281" cy="2243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59050</xdr:colOff>
      <xdr:row>1</xdr:row>
      <xdr:rowOff>50800</xdr:rowOff>
    </xdr:from>
    <xdr:to>
      <xdr:col>16</xdr:col>
      <xdr:colOff>38447</xdr:colOff>
      <xdr:row>17</xdr:row>
      <xdr:rowOff>51011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7DA550-1199-9D8E-25AE-E00A0B49F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228600"/>
          <a:ext cx="4857750" cy="289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336550</xdr:colOff>
      <xdr:row>0</xdr:row>
      <xdr:rowOff>0</xdr:rowOff>
    </xdr:from>
    <xdr:to>
      <xdr:col>20</xdr:col>
      <xdr:colOff>609959</xdr:colOff>
      <xdr:row>15</xdr:row>
      <xdr:rowOff>133499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F0A575-C2C7-EEC6-6299-663380149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2950" y="0"/>
          <a:ext cx="7677509" cy="3003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548251</xdr:colOff>
      <xdr:row>3</xdr:row>
      <xdr:rowOff>20344</xdr:rowOff>
    </xdr:from>
    <xdr:to>
      <xdr:col>13</xdr:col>
      <xdr:colOff>527648</xdr:colOff>
      <xdr:row>19</xdr:row>
      <xdr:rowOff>20555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17F39-0B2D-473F-99F7-2E1B265F3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9625" y="561975"/>
          <a:ext cx="4857750" cy="2895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9648</xdr:colOff>
      <xdr:row>3</xdr:row>
      <xdr:rowOff>80652</xdr:rowOff>
    </xdr:from>
    <xdr:to>
      <xdr:col>19</xdr:col>
      <xdr:colOff>359135</xdr:colOff>
      <xdr:row>25</xdr:row>
      <xdr:rowOff>17358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F0CADC-75BD-3C3C-4F0A-3CAB8BF5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619125"/>
          <a:ext cx="4619625" cy="3914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190501</xdr:colOff>
      <xdr:row>2</xdr:row>
      <xdr:rowOff>107950</xdr:rowOff>
    </xdr:from>
    <xdr:to>
      <xdr:col>19</xdr:col>
      <xdr:colOff>358543</xdr:colOff>
      <xdr:row>11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4DD79E-1E06-A92B-3548-2D64044BA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9900" y="466725"/>
          <a:ext cx="5657850" cy="1590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297749</xdr:colOff>
      <xdr:row>0</xdr:row>
      <xdr:rowOff>0</xdr:rowOff>
    </xdr:from>
    <xdr:to>
      <xdr:col>18</xdr:col>
      <xdr:colOff>330509</xdr:colOff>
      <xdr:row>16</xdr:row>
      <xdr:rowOff>63689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244127-D804-4DA6-93E2-0AF55681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0650" y="0"/>
          <a:ext cx="4905375" cy="2962275"/>
        </a:xfrm>
        <a:prstGeom prst="rect">
          <a:avLst/>
        </a:prstGeom>
      </xdr:spPr>
    </xdr:pic>
    <xdr:clientData/>
  </xdr:twoCellAnchor>
  <xdr:twoCellAnchor editAs="oneCell">
    <xdr:from>
      <xdr:col>10</xdr:col>
      <xdr:colOff>193379</xdr:colOff>
      <xdr:row>16</xdr:row>
      <xdr:rowOff>57150</xdr:rowOff>
    </xdr:from>
    <xdr:to>
      <xdr:col>18</xdr:col>
      <xdr:colOff>317802</xdr:colOff>
      <xdr:row>37</xdr:row>
      <xdr:rowOff>6582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B7379D-B103-42CC-91DC-2D887425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5875" y="2952750"/>
          <a:ext cx="5000625" cy="3752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575703</xdr:colOff>
      <xdr:row>0</xdr:row>
      <xdr:rowOff>57151</xdr:rowOff>
    </xdr:from>
    <xdr:to>
      <xdr:col>13</xdr:col>
      <xdr:colOff>67746</xdr:colOff>
      <xdr:row>10</xdr:row>
      <xdr:rowOff>19050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50DDDD84-BE35-4151-88D0-F354B55C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57150"/>
          <a:ext cx="3762375" cy="177165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609599</xdr:colOff>
      <xdr:row>0</xdr:row>
      <xdr:rowOff>0</xdr:rowOff>
    </xdr:from>
    <xdr:to>
      <xdr:col>17</xdr:col>
      <xdr:colOff>313304</xdr:colOff>
      <xdr:row>10</xdr:row>
      <xdr:rowOff>27519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0CD89DE9-F190-476A-B322-358ADE99C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0"/>
          <a:ext cx="2752725" cy="1838325"/>
        </a:xfrm>
        <a:prstGeom prst="rect">
          <a:avLst/>
        </a:prstGeom>
      </xdr:spPr>
    </xdr:pic>
    <xdr:clientData/>
  </xdr:twoCellAnchor>
  <xdr:twoCellAnchor editAs="oneCell">
    <xdr:from>
      <xdr:col>17</xdr:col>
      <xdr:colOff>284151</xdr:colOff>
      <xdr:row>0</xdr:row>
      <xdr:rowOff>6350</xdr:rowOff>
    </xdr:from>
    <xdr:to>
      <xdr:col>22</xdr:col>
      <xdr:colOff>539750</xdr:colOff>
      <xdr:row>10</xdr:row>
      <xdr:rowOff>25400</xdr:rowOff>
    </xdr:to>
    <xdr:pic>
      <xdr:nvPicPr>
        <xdr:cNvPr id="7" name="Picture 5">
          <a:extLst>
            <a:ext uri="{FF2B5EF4-FFF2-40B4-BE49-F238E27FC236}">
              <a16:creationId xmlns:a16="http://schemas.microsoft.com/office/drawing/2014/main" id="{CE4A944E-0A5F-40DA-98DF-4A5FE373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9525"/>
          <a:ext cx="3305175" cy="1828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14</xdr:row>
      <xdr:rowOff>38101</xdr:rowOff>
    </xdr:from>
    <xdr:to>
      <xdr:col>12</xdr:col>
      <xdr:colOff>202837</xdr:colOff>
      <xdr:row>20</xdr:row>
      <xdr:rowOff>164282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E2D39473-1AA5-4BA6-A2E5-DE8FEDD0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571750"/>
          <a:ext cx="3581400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207052</xdr:colOff>
      <xdr:row>13</xdr:row>
      <xdr:rowOff>76200</xdr:rowOff>
    </xdr:from>
    <xdr:to>
      <xdr:col>17</xdr:col>
      <xdr:colOff>46474</xdr:colOff>
      <xdr:row>21</xdr:row>
      <xdr:rowOff>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8C3CA381-A970-4601-BE6F-47C9924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6675" y="2428875"/>
          <a:ext cx="2886075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269328</xdr:colOff>
      <xdr:row>21</xdr:row>
      <xdr:rowOff>25400</xdr:rowOff>
    </xdr:from>
    <xdr:to>
      <xdr:col>12</xdr:col>
      <xdr:colOff>203199</xdr:colOff>
      <xdr:row>29</xdr:row>
      <xdr:rowOff>109321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7847BB49-DD84-49AE-B8EA-4B69ED10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3829050"/>
          <a:ext cx="3590925" cy="15335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206490</xdr:colOff>
      <xdr:row>20</xdr:row>
      <xdr:rowOff>171450</xdr:rowOff>
    </xdr:from>
    <xdr:to>
      <xdr:col>17</xdr:col>
      <xdr:colOff>133350</xdr:colOff>
      <xdr:row>29</xdr:row>
      <xdr:rowOff>101600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2B5103D2-5E32-42D7-B629-1AF427C2B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790950"/>
          <a:ext cx="2971800" cy="1562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530024</xdr:colOff>
      <xdr:row>1</xdr:row>
      <xdr:rowOff>101600</xdr:rowOff>
    </xdr:from>
    <xdr:to>
      <xdr:col>15</xdr:col>
      <xdr:colOff>457564</xdr:colOff>
      <xdr:row>12</xdr:row>
      <xdr:rowOff>101776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FAF216BF-E0CE-4887-A69C-5E15BABB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285750"/>
          <a:ext cx="4191000" cy="1990725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12</xdr:row>
      <xdr:rowOff>188372</xdr:rowOff>
    </xdr:from>
    <xdr:to>
      <xdr:col>15</xdr:col>
      <xdr:colOff>228953</xdr:colOff>
      <xdr:row>23</xdr:row>
      <xdr:rowOff>158935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4BE429BB-BFA6-44F3-A6EC-ADEA4908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6850" y="2474372"/>
          <a:ext cx="4197703" cy="2066063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3</xdr:row>
      <xdr:rowOff>38100</xdr:rowOff>
    </xdr:from>
    <xdr:to>
      <xdr:col>3</xdr:col>
      <xdr:colOff>177800</xdr:colOff>
      <xdr:row>11</xdr:row>
      <xdr:rowOff>0</xdr:rowOff>
    </xdr:to>
    <xdr:cxnSp macro="">
      <xdr:nvCxnSpPr>
        <xdr:cNvPr id="5" name="Connector: Curved 6">
          <a:extLst>
            <a:ext uri="{FF2B5EF4-FFF2-40B4-BE49-F238E27FC236}">
              <a16:creationId xmlns:a16="http://schemas.microsoft.com/office/drawing/2014/main" id="{7B1D6C8A-06BC-4EBE-A7C1-3EDF1AC12374}"/>
            </a:ext>
          </a:extLst>
        </xdr:cNvPr>
        <xdr:cNvCxnSpPr/>
      </xdr:nvCxnSpPr>
      <xdr:spPr>
        <a:xfrm rot="16200000" flipV="1">
          <a:off x="1400175" y="581025"/>
          <a:ext cx="942975" cy="1409700"/>
        </a:xfrm>
        <a:prstGeom prst="curvedConnector3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3</xdr:row>
      <xdr:rowOff>133350</xdr:rowOff>
    </xdr:from>
    <xdr:to>
      <xdr:col>18</xdr:col>
      <xdr:colOff>22707</xdr:colOff>
      <xdr:row>15</xdr:row>
      <xdr:rowOff>146245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57B6D5-62B4-45CB-8AAF-7166FC11C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350" y="676275"/>
          <a:ext cx="4162425" cy="2181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249627</xdr:colOff>
      <xdr:row>1</xdr:row>
      <xdr:rowOff>88900</xdr:rowOff>
    </xdr:from>
    <xdr:to>
      <xdr:col>16</xdr:col>
      <xdr:colOff>197237</xdr:colOff>
      <xdr:row>13</xdr:row>
      <xdr:rowOff>25597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FAFB46-AFC7-457A-85D1-D3E837B5A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266700"/>
          <a:ext cx="4210050" cy="2105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655533</xdr:colOff>
      <xdr:row>19</xdr:row>
      <xdr:rowOff>4167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306056-F39D-8B4D-94F0-74456779D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67233" cy="3623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655533</xdr:colOff>
      <xdr:row>35</xdr:row>
      <xdr:rowOff>42267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657834-13EE-2943-A2BC-70E6A214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5367233" cy="3623667"/>
        </a:xfrm>
        <a:prstGeom prst="rect">
          <a:avLst/>
        </a:prstGeom>
      </xdr:spPr>
    </xdr:pic>
    <xdr:clientData/>
  </xdr:twoCellAnchor>
  <xdr:twoCellAnchor>
    <xdr:from>
      <xdr:col>2</xdr:col>
      <xdr:colOff>504555</xdr:colOff>
      <xdr:row>28</xdr:row>
      <xdr:rowOff>163579</xdr:rowOff>
    </xdr:from>
    <xdr:to>
      <xdr:col>2</xdr:col>
      <xdr:colOff>527544</xdr:colOff>
      <xdr:row>32</xdr:row>
      <xdr:rowOff>154559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CD78E99A-8E4E-A14B-AB2A-3017C5D6EF80}"/>
            </a:ext>
          </a:extLst>
        </xdr:cNvPr>
        <xdr:cNvCxnSpPr/>
      </xdr:nvCxnSpPr>
      <xdr:spPr>
        <a:xfrm flipH="1">
          <a:off x="1850755" y="6183379"/>
          <a:ext cx="22989" cy="98158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298577</xdr:colOff>
      <xdr:row>22</xdr:row>
      <xdr:rowOff>296158</xdr:rowOff>
    </xdr:from>
    <xdr:to>
      <xdr:col>2</xdr:col>
      <xdr:colOff>508574</xdr:colOff>
      <xdr:row>27</xdr:row>
      <xdr:rowOff>128337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5A078C2-C29B-8F48-B6E6-3D207ACF0AAA}"/>
            </a:ext>
          </a:extLst>
        </xdr:cNvPr>
        <xdr:cNvCxnSpPr/>
      </xdr:nvCxnSpPr>
      <xdr:spPr>
        <a:xfrm>
          <a:off x="1644777" y="4487158"/>
          <a:ext cx="209997" cy="1356179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444270</xdr:colOff>
      <xdr:row>22</xdr:row>
      <xdr:rowOff>135399</xdr:rowOff>
    </xdr:from>
    <xdr:to>
      <xdr:col>4</xdr:col>
      <xdr:colOff>549936</xdr:colOff>
      <xdr:row>22</xdr:row>
      <xdr:rowOff>179608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A3A584A9-B5EC-684A-B663-6444CC2E613B}"/>
            </a:ext>
          </a:extLst>
        </xdr:cNvPr>
        <xdr:cNvCxnSpPr/>
      </xdr:nvCxnSpPr>
      <xdr:spPr>
        <a:xfrm>
          <a:off x="1790470" y="4326399"/>
          <a:ext cx="1451866" cy="44209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40443</xdr:colOff>
      <xdr:row>28</xdr:row>
      <xdr:rowOff>63425</xdr:rowOff>
    </xdr:from>
    <xdr:to>
      <xdr:col>5</xdr:col>
      <xdr:colOff>66739</xdr:colOff>
      <xdr:row>29</xdr:row>
      <xdr:rowOff>251710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32CA595-F4F6-7D46-9387-A636381336EC}"/>
            </a:ext>
          </a:extLst>
        </xdr:cNvPr>
        <xdr:cNvCxnSpPr/>
      </xdr:nvCxnSpPr>
      <xdr:spPr>
        <a:xfrm>
          <a:off x="2059743" y="6083225"/>
          <a:ext cx="1372496" cy="49308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380220</xdr:colOff>
      <xdr:row>28</xdr:row>
      <xdr:rowOff>216147</xdr:rowOff>
    </xdr:from>
    <xdr:to>
      <xdr:col>6</xdr:col>
      <xdr:colOff>632498</xdr:colOff>
      <xdr:row>29</xdr:row>
      <xdr:rowOff>251710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E030878-1F78-5849-82B6-17F07033AA2E}"/>
            </a:ext>
          </a:extLst>
        </xdr:cNvPr>
        <xdr:cNvCxnSpPr/>
      </xdr:nvCxnSpPr>
      <xdr:spPr>
        <a:xfrm flipV="1">
          <a:off x="3745720" y="6235947"/>
          <a:ext cx="925378" cy="340363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120158</xdr:colOff>
      <xdr:row>25</xdr:row>
      <xdr:rowOff>97403</xdr:rowOff>
    </xdr:from>
    <xdr:to>
      <xdr:col>7</xdr:col>
      <xdr:colOff>273890</xdr:colOff>
      <xdr:row>28</xdr:row>
      <xdr:rowOff>27255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9851FA4D-FFFE-5146-BAD3-2C659AB24C97}"/>
            </a:ext>
          </a:extLst>
        </xdr:cNvPr>
        <xdr:cNvCxnSpPr/>
      </xdr:nvCxnSpPr>
      <xdr:spPr>
        <a:xfrm flipV="1">
          <a:off x="4831858" y="5202803"/>
          <a:ext cx="153732" cy="844252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379882</xdr:colOff>
      <xdr:row>17</xdr:row>
      <xdr:rowOff>121396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D52EF2-1D35-4483-A78E-510FF5E5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14000" cy="3296396"/>
        </a:xfrm>
        <a:prstGeom prst="rect">
          <a:avLst/>
        </a:prstGeom>
      </xdr:spPr>
    </xdr:pic>
    <xdr:clientData/>
  </xdr:twoCellAnchor>
  <xdr:twoCellAnchor editAs="oneCell">
    <xdr:from>
      <xdr:col>6</xdr:col>
      <xdr:colOff>466912</xdr:colOff>
      <xdr:row>0</xdr:row>
      <xdr:rowOff>0</xdr:rowOff>
    </xdr:from>
    <xdr:to>
      <xdr:col>13</xdr:col>
      <xdr:colOff>214779</xdr:colOff>
      <xdr:row>17</xdr:row>
      <xdr:rowOff>91514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36E12-B28B-4036-24A3-07A0DDE5A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1030" y="0"/>
          <a:ext cx="4454337" cy="3266514"/>
        </a:xfrm>
        <a:prstGeom prst="rect">
          <a:avLst/>
        </a:prstGeom>
      </xdr:spPr>
    </xdr:pic>
    <xdr:clientData/>
  </xdr:twoCellAnchor>
  <xdr:twoCellAnchor editAs="oneCell">
    <xdr:from>
      <xdr:col>13</xdr:col>
      <xdr:colOff>541618</xdr:colOff>
      <xdr:row>0</xdr:row>
      <xdr:rowOff>0</xdr:rowOff>
    </xdr:from>
    <xdr:to>
      <xdr:col>17</xdr:col>
      <xdr:colOff>633506</xdr:colOff>
      <xdr:row>9</xdr:row>
      <xdr:rowOff>122518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039A3-83E7-2FFA-B99C-0B25085B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2206" y="0"/>
          <a:ext cx="2781300" cy="1803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215900</xdr:colOff>
      <xdr:row>0</xdr:row>
      <xdr:rowOff>0</xdr:rowOff>
    </xdr:from>
    <xdr:to>
      <xdr:col>18</xdr:col>
      <xdr:colOff>292393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84F093-CC94-F07B-7E10-60846D958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3800" y="0"/>
          <a:ext cx="6134393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584200</xdr:colOff>
      <xdr:row>23</xdr:row>
      <xdr:rowOff>105264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3B594E-7543-FC76-C9F0-32ADF626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969000" cy="448676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331107</xdr:colOff>
      <xdr:row>0</xdr:row>
      <xdr:rowOff>54429</xdr:rowOff>
    </xdr:from>
    <xdr:to>
      <xdr:col>15</xdr:col>
      <xdr:colOff>104611</xdr:colOff>
      <xdr:row>9</xdr:row>
      <xdr:rowOff>11317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2952198-551B-4590-9E02-1E5CC73A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2950" y="57150"/>
          <a:ext cx="3429000" cy="1581150"/>
        </a:xfrm>
        <a:prstGeom prst="rect">
          <a:avLst/>
        </a:prstGeom>
      </xdr:spPr>
    </xdr:pic>
    <xdr:clientData/>
  </xdr:twoCellAnchor>
  <xdr:twoCellAnchor editAs="oneCell">
    <xdr:from>
      <xdr:col>15</xdr:col>
      <xdr:colOff>473528</xdr:colOff>
      <xdr:row>0</xdr:row>
      <xdr:rowOff>18143</xdr:rowOff>
    </xdr:from>
    <xdr:to>
      <xdr:col>21</xdr:col>
      <xdr:colOff>554555</xdr:colOff>
      <xdr:row>8</xdr:row>
      <xdr:rowOff>148589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5DFD8D5F-3116-40F6-9A6D-0633A8EBF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3425" y="19050"/>
          <a:ext cx="3743325" cy="1581150"/>
        </a:xfrm>
        <a:prstGeom prst="rect">
          <a:avLst/>
        </a:prstGeom>
      </xdr:spPr>
    </xdr:pic>
    <xdr:clientData/>
  </xdr:twoCellAnchor>
  <xdr:twoCellAnchor editAs="oneCell">
    <xdr:from>
      <xdr:col>9</xdr:col>
      <xdr:colOff>296636</xdr:colOff>
      <xdr:row>10</xdr:row>
      <xdr:rowOff>13608</xdr:rowOff>
    </xdr:from>
    <xdr:to>
      <xdr:col>15</xdr:col>
      <xdr:colOff>203200</xdr:colOff>
      <xdr:row>18</xdr:row>
      <xdr:rowOff>50279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1F83B199-A72F-4387-B104-A2C890C4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1819275"/>
          <a:ext cx="3562350" cy="148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591457</xdr:colOff>
      <xdr:row>9</xdr:row>
      <xdr:rowOff>83198</xdr:rowOff>
    </xdr:from>
    <xdr:to>
      <xdr:col>21</xdr:col>
      <xdr:colOff>280609</xdr:colOff>
      <xdr:row>19</xdr:row>
      <xdr:rowOff>16489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92054B8C-DB74-465D-AEE1-3A94C8281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77725" y="1714500"/>
          <a:ext cx="3343275" cy="1743075"/>
        </a:xfrm>
        <a:prstGeom prst="rect">
          <a:avLst/>
        </a:prstGeom>
      </xdr:spPr>
    </xdr:pic>
    <xdr:clientData/>
  </xdr:twoCellAnchor>
  <xdr:twoCellAnchor editAs="oneCell">
    <xdr:from>
      <xdr:col>8</xdr:col>
      <xdr:colOff>517940</xdr:colOff>
      <xdr:row>19</xdr:row>
      <xdr:rowOff>72571</xdr:rowOff>
    </xdr:from>
    <xdr:to>
      <xdr:col>14</xdr:col>
      <xdr:colOff>17520</xdr:colOff>
      <xdr:row>28</xdr:row>
      <xdr:rowOff>188148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3F314050-20FB-4BBB-8F18-011C6054B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3325" y="3514725"/>
          <a:ext cx="3533775" cy="1733550"/>
        </a:xfrm>
        <a:prstGeom prst="rect">
          <a:avLst/>
        </a:prstGeom>
      </xdr:spPr>
    </xdr:pic>
    <xdr:clientData/>
  </xdr:twoCellAnchor>
  <xdr:twoCellAnchor editAs="oneCell">
    <xdr:from>
      <xdr:col>15</xdr:col>
      <xdr:colOff>157684</xdr:colOff>
      <xdr:row>20</xdr:row>
      <xdr:rowOff>91621</xdr:rowOff>
    </xdr:from>
    <xdr:to>
      <xdr:col>22</xdr:col>
      <xdr:colOff>152788</xdr:colOff>
      <xdr:row>32</xdr:row>
      <xdr:rowOff>21965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2D50D5A8-6D57-4663-8168-95C62244A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49100" y="3714750"/>
          <a:ext cx="4257675" cy="2105025"/>
        </a:xfrm>
        <a:prstGeom prst="rect">
          <a:avLst/>
        </a:prstGeom>
      </xdr:spPr>
    </xdr:pic>
    <xdr:clientData/>
  </xdr:twoCellAnchor>
  <xdr:twoCellAnchor editAs="oneCell">
    <xdr:from>
      <xdr:col>22</xdr:col>
      <xdr:colOff>412438</xdr:colOff>
      <xdr:row>0</xdr:row>
      <xdr:rowOff>0</xdr:rowOff>
    </xdr:from>
    <xdr:to>
      <xdr:col>29</xdr:col>
      <xdr:colOff>480785</xdr:colOff>
      <xdr:row>11</xdr:row>
      <xdr:rowOff>46391</xdr:rowOff>
    </xdr:to>
    <xdr:pic>
      <xdr:nvPicPr>
        <xdr:cNvPr id="8" name="Picture 25">
          <a:extLst>
            <a:ext uri="{FF2B5EF4-FFF2-40B4-BE49-F238E27FC236}">
              <a16:creationId xmlns:a16="http://schemas.microsoft.com/office/drawing/2014/main" id="{883043AF-22C3-45A0-B6C4-3F03E211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63950" y="0"/>
          <a:ext cx="4333875" cy="20383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30088</xdr:colOff>
      <xdr:row>0</xdr:row>
      <xdr:rowOff>57150</xdr:rowOff>
    </xdr:from>
    <xdr:to>
      <xdr:col>16</xdr:col>
      <xdr:colOff>394070</xdr:colOff>
      <xdr:row>13</xdr:row>
      <xdr:rowOff>133525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262CC-2C38-44C7-90D9-809638D6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57150"/>
          <a:ext cx="5238750" cy="2428875"/>
        </a:xfrm>
        <a:prstGeom prst="rect">
          <a:avLst/>
        </a:prstGeom>
      </xdr:spPr>
    </xdr:pic>
    <xdr:clientData/>
  </xdr:twoCellAnchor>
  <xdr:twoCellAnchor editAs="oneCell">
    <xdr:from>
      <xdr:col>16</xdr:col>
      <xdr:colOff>369754</xdr:colOff>
      <xdr:row>0</xdr:row>
      <xdr:rowOff>0</xdr:rowOff>
    </xdr:from>
    <xdr:to>
      <xdr:col>24</xdr:col>
      <xdr:colOff>322547</xdr:colOff>
      <xdr:row>14</xdr:row>
      <xdr:rowOff>38295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C9F99-1D55-4228-889A-563D2418D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1300" y="0"/>
          <a:ext cx="4829175" cy="2571750"/>
        </a:xfrm>
        <a:prstGeom prst="rect">
          <a:avLst/>
        </a:prstGeom>
      </xdr:spPr>
    </xdr:pic>
    <xdr:clientData/>
  </xdr:twoCellAnchor>
  <xdr:twoCellAnchor editAs="oneCell">
    <xdr:from>
      <xdr:col>8</xdr:col>
      <xdr:colOff>86598</xdr:colOff>
      <xdr:row>14</xdr:row>
      <xdr:rowOff>80247</xdr:rowOff>
    </xdr:from>
    <xdr:to>
      <xdr:col>16</xdr:col>
      <xdr:colOff>117792</xdr:colOff>
      <xdr:row>29</xdr:row>
      <xdr:rowOff>4247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A2DBAB-FBA5-4E26-ACA1-AC60C25EF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8308" y="2751853"/>
          <a:ext cx="5400728" cy="2786435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317500</xdr:colOff>
      <xdr:row>12</xdr:row>
      <xdr:rowOff>100602</xdr:rowOff>
    </xdr:from>
    <xdr:to>
      <xdr:col>24</xdr:col>
      <xdr:colOff>450850</xdr:colOff>
      <xdr:row>26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1189A1-0785-41AC-9852-034A036CE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2638425"/>
          <a:ext cx="5010150" cy="2524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8340</xdr:rowOff>
    </xdr:from>
    <xdr:to>
      <xdr:col>3</xdr:col>
      <xdr:colOff>1383536</xdr:colOff>
      <xdr:row>15</xdr:row>
      <xdr:rowOff>41601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75660F-16B9-4215-8FD2-427DCC2A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6289"/>
          <a:ext cx="4902739" cy="1343966"/>
        </a:xfrm>
        <a:prstGeom prst="rect">
          <a:avLst/>
        </a:prstGeom>
      </xdr:spPr>
    </xdr:pic>
    <xdr:clientData/>
  </xdr:twoCellAnchor>
  <xdr:twoCellAnchor editAs="oneCell">
    <xdr:from>
      <xdr:col>6</xdr:col>
      <xdr:colOff>9979</xdr:colOff>
      <xdr:row>0</xdr:row>
      <xdr:rowOff>19261</xdr:rowOff>
    </xdr:from>
    <xdr:to>
      <xdr:col>13</xdr:col>
      <xdr:colOff>355643</xdr:colOff>
      <xdr:row>14</xdr:row>
      <xdr:rowOff>73467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F9337-97BC-4B6D-8909-D4BF1ACE1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3056" y="19261"/>
          <a:ext cx="5075601" cy="2675616"/>
        </a:xfrm>
        <a:prstGeom prst="rect">
          <a:avLst/>
        </a:prstGeom>
      </xdr:spPr>
    </xdr:pic>
    <xdr:clientData/>
  </xdr:twoCellAnchor>
  <xdr:twoCellAnchor editAs="oneCell">
    <xdr:from>
      <xdr:col>6</xdr:col>
      <xdr:colOff>17259</xdr:colOff>
      <xdr:row>14</xdr:row>
      <xdr:rowOff>172748</xdr:rowOff>
    </xdr:from>
    <xdr:to>
      <xdr:col>15</xdr:col>
      <xdr:colOff>123829</xdr:colOff>
      <xdr:row>31</xdr:row>
      <xdr:rowOff>23217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2156D4-5D79-4A3E-8A78-62500C6B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0336" y="2794158"/>
          <a:ext cx="6187916" cy="3033610"/>
        </a:xfrm>
        <a:prstGeom prst="rect">
          <a:avLst/>
        </a:prstGeom>
      </xdr:spPr>
    </xdr:pic>
    <xdr:clientData/>
  </xdr:twoCellAnchor>
  <xdr:twoCellAnchor editAs="oneCell">
    <xdr:from>
      <xdr:col>6</xdr:col>
      <xdr:colOff>14679</xdr:colOff>
      <xdr:row>32</xdr:row>
      <xdr:rowOff>11118</xdr:rowOff>
    </xdr:from>
    <xdr:to>
      <xdr:col>15</xdr:col>
      <xdr:colOff>626477</xdr:colOff>
      <xdr:row>50</xdr:row>
      <xdr:rowOff>43415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0E13EC-34DB-4AD0-8436-FBFC2ADDA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7756" y="6002913"/>
          <a:ext cx="6693144" cy="34026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329643</xdr:colOff>
      <xdr:row>0</xdr:row>
      <xdr:rowOff>0</xdr:rowOff>
    </xdr:from>
    <xdr:to>
      <xdr:col>12</xdr:col>
      <xdr:colOff>349250</xdr:colOff>
      <xdr:row>12</xdr:row>
      <xdr:rowOff>162511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DA71A-CF3C-4181-99CD-545D7C96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0"/>
          <a:ext cx="4286250" cy="233362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4</xdr:row>
      <xdr:rowOff>158750</xdr:rowOff>
    </xdr:from>
    <xdr:to>
      <xdr:col>5</xdr:col>
      <xdr:colOff>159613</xdr:colOff>
      <xdr:row>12</xdr:row>
      <xdr:rowOff>12827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A409FD-5D59-434A-96CF-CBC660F38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885825"/>
          <a:ext cx="4191000" cy="13049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44450</xdr:rowOff>
    </xdr:from>
    <xdr:to>
      <xdr:col>6</xdr:col>
      <xdr:colOff>565746</xdr:colOff>
      <xdr:row>13</xdr:row>
      <xdr:rowOff>89051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D83D4-565B-4D6B-8EC9-04893827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5"/>
          <a:ext cx="5172075" cy="1676400"/>
        </a:xfrm>
        <a:prstGeom prst="rect">
          <a:avLst/>
        </a:prstGeom>
      </xdr:spPr>
    </xdr:pic>
    <xdr:clientData/>
  </xdr:twoCellAnchor>
  <xdr:twoCellAnchor editAs="oneCell">
    <xdr:from>
      <xdr:col>8</xdr:col>
      <xdr:colOff>380624</xdr:colOff>
      <xdr:row>0</xdr:row>
      <xdr:rowOff>82550</xdr:rowOff>
    </xdr:from>
    <xdr:to>
      <xdr:col>17</xdr:col>
      <xdr:colOff>483054</xdr:colOff>
      <xdr:row>15</xdr:row>
      <xdr:rowOff>38321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F8B07-BC81-41DF-BA70-D3EE55362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85725"/>
          <a:ext cx="5591175" cy="2667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52916</xdr:colOff>
      <xdr:row>4</xdr:row>
      <xdr:rowOff>158041</xdr:rowOff>
    </xdr:from>
    <xdr:to>
      <xdr:col>3</xdr:col>
      <xdr:colOff>283398</xdr:colOff>
      <xdr:row>16</xdr:row>
      <xdr:rowOff>86998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73991-81C7-49F2-A0CD-1E77C2C7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16" y="936974"/>
          <a:ext cx="4709583" cy="2265757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0</xdr:row>
      <xdr:rowOff>8467</xdr:rowOff>
    </xdr:from>
    <xdr:to>
      <xdr:col>15</xdr:col>
      <xdr:colOff>6351</xdr:colOff>
      <xdr:row>12</xdr:row>
      <xdr:rowOff>116422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8197A8-2893-47C7-96AF-16215068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3268" y="8467"/>
          <a:ext cx="4722283" cy="2444755"/>
        </a:xfrm>
        <a:prstGeom prst="rect">
          <a:avLst/>
        </a:prstGeom>
      </xdr:spPr>
    </xdr:pic>
    <xdr:clientData/>
  </xdr:twoCellAnchor>
  <xdr:twoCellAnchor editAs="oneCell">
    <xdr:from>
      <xdr:col>8</xdr:col>
      <xdr:colOff>10582</xdr:colOff>
      <xdr:row>13</xdr:row>
      <xdr:rowOff>36247</xdr:rowOff>
    </xdr:from>
    <xdr:to>
      <xdr:col>15</xdr:col>
      <xdr:colOff>624860</xdr:colOff>
      <xdr:row>26</xdr:row>
      <xdr:rowOff>142046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9A1B6C-7E84-47C9-958B-85F94AE5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18449" y="2567780"/>
          <a:ext cx="5355611" cy="2637333"/>
        </a:xfrm>
        <a:prstGeom prst="rect">
          <a:avLst/>
        </a:prstGeom>
      </xdr:spPr>
    </xdr:pic>
    <xdr:clientData/>
  </xdr:twoCellAnchor>
  <xdr:twoCellAnchor editAs="oneCell">
    <xdr:from>
      <xdr:col>8</xdr:col>
      <xdr:colOff>16238</xdr:colOff>
      <xdr:row>27</xdr:row>
      <xdr:rowOff>16934</xdr:rowOff>
    </xdr:from>
    <xdr:to>
      <xdr:col>17</xdr:col>
      <xdr:colOff>57613</xdr:colOff>
      <xdr:row>41</xdr:row>
      <xdr:rowOff>175912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82158E-29CA-450E-93E2-8DE4D9949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105" y="5274734"/>
          <a:ext cx="6137374" cy="288524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</xdr:colOff>
      <xdr:row>0</xdr:row>
      <xdr:rowOff>25400</xdr:rowOff>
    </xdr:from>
    <xdr:to>
      <xdr:col>13</xdr:col>
      <xdr:colOff>32170</xdr:colOff>
      <xdr:row>10</xdr:row>
      <xdr:rowOff>100047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3955CDB-5D15-494F-9095-2252DEAF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2100" y="25400"/>
          <a:ext cx="4718470" cy="1979647"/>
        </a:xfrm>
        <a:prstGeom prst="rect">
          <a:avLst/>
        </a:prstGeom>
      </xdr:spPr>
    </xdr:pic>
    <xdr:clientData/>
  </xdr:twoCellAnchor>
  <xdr:twoCellAnchor editAs="oneCell">
    <xdr:from>
      <xdr:col>6</xdr:col>
      <xdr:colOff>20562</xdr:colOff>
      <xdr:row>10</xdr:row>
      <xdr:rowOff>177800</xdr:rowOff>
    </xdr:from>
    <xdr:to>
      <xdr:col>14</xdr:col>
      <xdr:colOff>146463</xdr:colOff>
      <xdr:row>26</xdr:row>
      <xdr:rowOff>19280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8F5F328D-3194-40DE-A034-EFF9BC0B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7262" y="2082800"/>
          <a:ext cx="5510701" cy="28894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0</xdr:row>
      <xdr:rowOff>71455</xdr:rowOff>
    </xdr:from>
    <xdr:to>
      <xdr:col>14</xdr:col>
      <xdr:colOff>313081</xdr:colOff>
      <xdr:row>4</xdr:row>
      <xdr:rowOff>165209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4801855-E9C7-4025-BA5F-F97DD05B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6200"/>
          <a:ext cx="4619625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63500</xdr:rowOff>
    </xdr:from>
    <xdr:to>
      <xdr:col>4</xdr:col>
      <xdr:colOff>213762</xdr:colOff>
      <xdr:row>16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D5F229-15D3-478B-B69D-A32504ADA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7400"/>
          <a:ext cx="3105150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417232</xdr:colOff>
      <xdr:row>12</xdr:row>
      <xdr:rowOff>25400</xdr:rowOff>
    </xdr:from>
    <xdr:to>
      <xdr:col>8</xdr:col>
      <xdr:colOff>461464</xdr:colOff>
      <xdr:row>15</xdr:row>
      <xdr:rowOff>109310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C30F4A2-572A-4E9E-BECA-954E805D9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14700" y="2200275"/>
          <a:ext cx="2943225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8</xdr:row>
      <xdr:rowOff>127000</xdr:rowOff>
    </xdr:from>
    <xdr:to>
      <xdr:col>10</xdr:col>
      <xdr:colOff>288471</xdr:colOff>
      <xdr:row>12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79B6CEF-BC14-4905-BC7B-06F602ADC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43675" y="1571625"/>
          <a:ext cx="990600" cy="600075"/>
        </a:xfrm>
        <a:prstGeom prst="rect">
          <a:avLst/>
        </a:prstGeom>
      </xdr:spPr>
    </xdr:pic>
    <xdr:clientData/>
  </xdr:twoCellAnchor>
  <xdr:twoCellAnchor editAs="oneCell">
    <xdr:from>
      <xdr:col>9</xdr:col>
      <xdr:colOff>29339</xdr:colOff>
      <xdr:row>12</xdr:row>
      <xdr:rowOff>186240</xdr:rowOff>
    </xdr:from>
    <xdr:to>
      <xdr:col>11</xdr:col>
      <xdr:colOff>635001</xdr:colOff>
      <xdr:row>16</xdr:row>
      <xdr:rowOff>181920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40504D-C271-42A8-B279-79F9B43A3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0542" y="2501177"/>
          <a:ext cx="2261484" cy="7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654051</xdr:colOff>
      <xdr:row>9</xdr:row>
      <xdr:rowOff>57150</xdr:rowOff>
    </xdr:from>
    <xdr:to>
      <xdr:col>11</xdr:col>
      <xdr:colOff>527051</xdr:colOff>
      <xdr:row>12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9DB190-76FD-486A-9FCE-9FAFBAB4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5" y="1685925"/>
          <a:ext cx="600075" cy="48577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624840</xdr:colOff>
      <xdr:row>1</xdr:row>
      <xdr:rowOff>15240</xdr:rowOff>
    </xdr:from>
    <xdr:to>
      <xdr:col>10</xdr:col>
      <xdr:colOff>396426</xdr:colOff>
      <xdr:row>6</xdr:row>
      <xdr:rowOff>38181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86BF68-7FD8-4990-99F9-212BE845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200025"/>
          <a:ext cx="1943100" cy="923925"/>
        </a:xfrm>
        <a:prstGeom prst="rect">
          <a:avLst/>
        </a:prstGeom>
      </xdr:spPr>
    </xdr:pic>
    <xdr:clientData/>
  </xdr:twoCellAnchor>
  <xdr:twoCellAnchor editAs="oneCell">
    <xdr:from>
      <xdr:col>7</xdr:col>
      <xdr:colOff>579120</xdr:colOff>
      <xdr:row>6</xdr:row>
      <xdr:rowOff>106680</xdr:rowOff>
    </xdr:from>
    <xdr:to>
      <xdr:col>10</xdr:col>
      <xdr:colOff>465016</xdr:colOff>
      <xdr:row>11</xdr:row>
      <xdr:rowOff>91518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74A0C4-88B0-4B89-AEB7-837A271E7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1190625"/>
          <a:ext cx="2057400" cy="885825"/>
        </a:xfrm>
        <a:prstGeom prst="rect">
          <a:avLst/>
        </a:prstGeom>
      </xdr:spPr>
    </xdr:pic>
    <xdr:clientData/>
  </xdr:twoCellAnchor>
  <xdr:twoCellAnchor editAs="oneCell">
    <xdr:from>
      <xdr:col>7</xdr:col>
      <xdr:colOff>754380</xdr:colOff>
      <xdr:row>12</xdr:row>
      <xdr:rowOff>7620</xdr:rowOff>
    </xdr:from>
    <xdr:to>
      <xdr:col>10</xdr:col>
      <xdr:colOff>289726</xdr:colOff>
      <xdr:row>16</xdr:row>
      <xdr:rowOff>160097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6A7E7D-1E6D-4540-BE02-546ADDFF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181225"/>
          <a:ext cx="1733550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739140</xdr:colOff>
      <xdr:row>17</xdr:row>
      <xdr:rowOff>91440</xdr:rowOff>
    </xdr:from>
    <xdr:to>
      <xdr:col>10</xdr:col>
      <xdr:colOff>465002</xdr:colOff>
      <xdr:row>23</xdr:row>
      <xdr:rowOff>137259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5C2B2A0-E03A-4A12-8D23-912D4541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0" y="3171825"/>
          <a:ext cx="1914525" cy="113347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0</xdr:row>
      <xdr:rowOff>104709</xdr:rowOff>
    </xdr:from>
    <xdr:to>
      <xdr:col>13</xdr:col>
      <xdr:colOff>175835</xdr:colOff>
      <xdr:row>7</xdr:row>
      <xdr:rowOff>122077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E8B2AD3-CBB4-4454-AB75-67EE27EC5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104775"/>
          <a:ext cx="4352925" cy="12858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8</xdr:row>
      <xdr:rowOff>16578</xdr:rowOff>
    </xdr:from>
    <xdr:to>
      <xdr:col>13</xdr:col>
      <xdr:colOff>145180</xdr:colOff>
      <xdr:row>22</xdr:row>
      <xdr:rowOff>15240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3B8D60-800B-48BA-A1A6-6221839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1466850"/>
          <a:ext cx="4295775" cy="2533650"/>
        </a:xfrm>
        <a:prstGeom prst="rect">
          <a:avLst/>
        </a:prstGeom>
      </xdr:spPr>
    </xdr:pic>
    <xdr:clientData/>
  </xdr:twoCellAnchor>
  <xdr:twoCellAnchor editAs="oneCell">
    <xdr:from>
      <xdr:col>7</xdr:col>
      <xdr:colOff>207246</xdr:colOff>
      <xdr:row>22</xdr:row>
      <xdr:rowOff>114300</xdr:rowOff>
    </xdr:from>
    <xdr:to>
      <xdr:col>14</xdr:col>
      <xdr:colOff>313157</xdr:colOff>
      <xdr:row>33</xdr:row>
      <xdr:rowOff>76457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2393975-3ECD-49A0-8ABE-6B884962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3075" y="4095750"/>
          <a:ext cx="5172075" cy="19526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3" totalsRowShown="0" headerRowDxfId="18" headerRowBorderDxfId="17" tableBorderDxfId="16" totalsRowBorderDxfId="15">
  <tableColumns count="4">
    <tableColumn id="1" xr3:uid="{00000000-0010-0000-0000-000001000000}" name="Variables" dataDxfId="14"/>
    <tableColumn id="2" xr3:uid="{00000000-0010-0000-0000-000002000000}" name="Mesas" dataDxfId="13"/>
    <tableColumn id="3" xr3:uid="{00000000-0010-0000-0000-000003000000}" name="Sillas" dataDxfId="12"/>
    <tableColumn id="4" xr3:uid="{00000000-0010-0000-0000-000004000000}" name="Utilidad" dataDxfId="11">
      <calculatedColumnFormula>SUMPRODUCT(B1:C1,Table1[[#This Row],[Mesas]:[Sillas]])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5" displayName="Table5" ref="A1:D3" totalsRowShown="0">
  <tableColumns count="4">
    <tableColumn id="1" xr3:uid="{00000000-0010-0000-0100-000001000000}" name="Variables"/>
    <tableColumn id="2" xr3:uid="{00000000-0010-0000-0100-000002000000}" name="Marca 1"/>
    <tableColumn id="3" xr3:uid="{00000000-0010-0000-0100-000003000000}" name="Marca 2"/>
    <tableColumn id="4" xr3:uid="{00000000-0010-0000-0100-000004000000}" name="Costo">
      <calculatedColumnFormula>SUMPRODUCT(B1:C1,Table5[[#This Row],[Marca 1]:[Marca 2]])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5:F8" totalsRowShown="0" headerRowDxfId="10" headerRowBorderDxfId="9" tableBorderDxfId="8" totalsRowBorderDxfId="7">
  <tableColumns count="6">
    <tableColumn id="1" xr3:uid="{00000000-0010-0000-0200-000001000000}" name="Limitaciones" dataDxfId="6"/>
    <tableColumn id="2" xr3:uid="{00000000-0010-0000-0200-000002000000}" name="   " dataDxfId="5"/>
    <tableColumn id="3" xr3:uid="{00000000-0010-0000-0200-000003000000}" name="      " dataDxfId="4"/>
    <tableColumn id="4" xr3:uid="{00000000-0010-0000-0200-000004000000}" name="LHS" dataDxfId="3">
      <calculatedColumnFormula>SUMPRODUCT(B6:$C6,$B$2:$C$2)</calculatedColumnFormula>
    </tableColumn>
    <tableColumn id="5" xr3:uid="{00000000-0010-0000-0200-000005000000}" name="          " dataDxfId="2"/>
    <tableColumn id="6" xr3:uid="{00000000-0010-0000-0200-000006000000}" name="RHS" dataDxfId="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Table8" displayName="Table8" ref="A1:F3" totalsRowShown="0">
  <tableColumns count="6">
    <tableColumn id="1" xr3:uid="{00000000-0010-0000-0300-000001000000}" name="Variables"/>
    <tableColumn id="2" xr3:uid="{00000000-0010-0000-0300-000002000000}" name="TV"/>
    <tableColumn id="3" xr3:uid="{00000000-0010-0000-0300-000003000000}" name="Periódico"/>
    <tableColumn id="4" xr3:uid="{00000000-0010-0000-0300-000004000000}" name="Radio"/>
    <tableColumn id="5" xr3:uid="{00000000-0010-0000-0300-000005000000}" name="Internet"/>
    <tableColumn id="6" xr3:uid="{00000000-0010-0000-0300-000006000000}" name="Audiencia Máxima">
      <calculatedColumnFormula>SUMPRODUCT(B1:E1,Table8[[#This Row],[TV]:[Internet]])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4000000}" name="Table9" displayName="Table9" ref="A5:H12" totalsRowShown="0">
  <tableColumns count="8">
    <tableColumn id="1" xr3:uid="{00000000-0010-0000-0400-000001000000}" name="Limitaciones"/>
    <tableColumn id="2" xr3:uid="{00000000-0010-0000-0400-000002000000}" name="       "/>
    <tableColumn id="3" xr3:uid="{00000000-0010-0000-0400-000003000000}" name="     "/>
    <tableColumn id="4" xr3:uid="{00000000-0010-0000-0400-000004000000}" name="   "/>
    <tableColumn id="5" xr3:uid="{00000000-0010-0000-0400-000005000000}" name="    "/>
    <tableColumn id="6" xr3:uid="{00000000-0010-0000-0400-000006000000}" name="LHS" dataDxfId="0">
      <calculatedColumnFormula>SUMPRODUCT(B6:E6,$B$2:$E$2)</calculatedColumnFormula>
    </tableColumn>
    <tableColumn id="7" xr3:uid="{00000000-0010-0000-0400-000007000000}" name=" "/>
    <tableColumn id="8" xr3:uid="{00000000-0010-0000-0400-000008000000}" name="RH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F31"/>
  <sheetViews>
    <sheetView workbookViewId="0">
      <selection activeCell="D25" sqref="D25"/>
    </sheetView>
  </sheetViews>
  <sheetFormatPr baseColWidth="10" defaultColWidth="8.83203125" defaultRowHeight="15" x14ac:dyDescent="0.2"/>
  <sheetData>
    <row r="1" spans="1:6" x14ac:dyDescent="0.2">
      <c r="A1" s="91" t="s">
        <v>6</v>
      </c>
      <c r="B1" s="91"/>
      <c r="C1" s="91"/>
      <c r="D1" s="91"/>
      <c r="E1" s="91"/>
      <c r="F1" s="91"/>
    </row>
    <row r="2" spans="1:6" x14ac:dyDescent="0.2">
      <c r="A2" t="s">
        <v>0</v>
      </c>
    </row>
    <row r="3" spans="1:6" x14ac:dyDescent="0.2">
      <c r="A3" t="s">
        <v>1</v>
      </c>
    </row>
    <row r="4" spans="1:6" x14ac:dyDescent="0.2">
      <c r="A4" t="s">
        <v>2</v>
      </c>
    </row>
    <row r="5" spans="1:6" x14ac:dyDescent="0.2">
      <c r="A5" t="s">
        <v>7</v>
      </c>
    </row>
    <row r="6" spans="1:6" x14ac:dyDescent="0.2">
      <c r="A6" t="s">
        <v>3</v>
      </c>
    </row>
    <row r="7" spans="1:6" x14ac:dyDescent="0.2">
      <c r="A7" t="s">
        <v>4</v>
      </c>
    </row>
    <row r="8" spans="1:6" x14ac:dyDescent="0.2">
      <c r="A8" t="s">
        <v>5</v>
      </c>
    </row>
    <row r="10" spans="1:6" x14ac:dyDescent="0.2">
      <c r="A10" s="92" t="s">
        <v>11</v>
      </c>
      <c r="B10" s="92"/>
      <c r="C10" s="92"/>
      <c r="D10" s="92"/>
      <c r="E10" s="92"/>
      <c r="F10" s="92"/>
    </row>
    <row r="11" spans="1:6" x14ac:dyDescent="0.2">
      <c r="A11" t="s">
        <v>12</v>
      </c>
    </row>
    <row r="12" spans="1:6" x14ac:dyDescent="0.2">
      <c r="A12" t="s">
        <v>13</v>
      </c>
    </row>
    <row r="13" spans="1:6" x14ac:dyDescent="0.2">
      <c r="A13" t="s">
        <v>14</v>
      </c>
    </row>
    <row r="15" spans="1:6" x14ac:dyDescent="0.2">
      <c r="A15" s="93" t="s">
        <v>15</v>
      </c>
      <c r="B15" s="93"/>
      <c r="C15" s="93"/>
      <c r="D15" s="93"/>
      <c r="E15" s="93"/>
      <c r="F15" s="93"/>
    </row>
    <row r="16" spans="1:6" x14ac:dyDescent="0.2">
      <c r="A16" t="s">
        <v>16</v>
      </c>
    </row>
    <row r="18" spans="1:6" x14ac:dyDescent="0.2">
      <c r="A18" s="94" t="s">
        <v>17</v>
      </c>
      <c r="B18" s="94"/>
      <c r="C18" s="94"/>
      <c r="D18" s="94"/>
      <c r="E18" s="94"/>
      <c r="F18" s="94"/>
    </row>
    <row r="20" spans="1:6" x14ac:dyDescent="0.2">
      <c r="A20" s="91" t="s">
        <v>22</v>
      </c>
      <c r="B20" s="91"/>
      <c r="C20" s="91"/>
      <c r="D20" s="91"/>
      <c r="E20" s="91"/>
      <c r="F20" s="91"/>
    </row>
    <row r="21" spans="1:6" x14ac:dyDescent="0.2">
      <c r="A21" t="s">
        <v>18</v>
      </c>
    </row>
    <row r="22" spans="1:6" x14ac:dyDescent="0.2">
      <c r="A22" t="s">
        <v>19</v>
      </c>
    </row>
    <row r="23" spans="1:6" x14ac:dyDescent="0.2">
      <c r="A23" t="s">
        <v>23</v>
      </c>
    </row>
    <row r="24" spans="1:6" x14ac:dyDescent="0.2">
      <c r="A24" t="s">
        <v>20</v>
      </c>
    </row>
    <row r="25" spans="1:6" x14ac:dyDescent="0.2">
      <c r="A25" t="s">
        <v>21</v>
      </c>
    </row>
    <row r="27" spans="1:6" x14ac:dyDescent="0.2">
      <c r="A27" t="s">
        <v>24</v>
      </c>
    </row>
    <row r="28" spans="1:6" x14ac:dyDescent="0.2">
      <c r="A28" t="s">
        <v>25</v>
      </c>
    </row>
    <row r="30" spans="1:6" x14ac:dyDescent="0.2">
      <c r="A30" s="91" t="s">
        <v>35</v>
      </c>
      <c r="B30" s="91"/>
      <c r="C30" s="91"/>
      <c r="D30" s="91"/>
      <c r="E30" s="91"/>
      <c r="F30" s="91"/>
    </row>
    <row r="31" spans="1:6" x14ac:dyDescent="0.2">
      <c r="A31" t="s">
        <v>36</v>
      </c>
    </row>
  </sheetData>
  <mergeCells count="6">
    <mergeCell ref="A30:F30"/>
    <mergeCell ref="A1:F1"/>
    <mergeCell ref="A10:F10"/>
    <mergeCell ref="A15:F15"/>
    <mergeCell ref="A18:F18"/>
    <mergeCell ref="A20:F2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3B696-A62A-4DD2-8585-04BF6275DDAE}">
  <sheetPr>
    <tabColor theme="4"/>
  </sheetPr>
  <dimension ref="A1:F7"/>
  <sheetViews>
    <sheetView zoomScale="192" workbookViewId="0">
      <selection activeCell="D3" sqref="A1:D3"/>
    </sheetView>
  </sheetViews>
  <sheetFormatPr baseColWidth="10" defaultColWidth="8.83203125" defaultRowHeight="15" x14ac:dyDescent="0.2"/>
  <cols>
    <col min="1" max="1" width="18.5" bestFit="1" customWidth="1"/>
    <col min="4" max="4" width="9.5" customWidth="1"/>
  </cols>
  <sheetData>
    <row r="1" spans="1:6" x14ac:dyDescent="0.2">
      <c r="A1" s="16" t="s">
        <v>26</v>
      </c>
      <c r="B1" s="8" t="s">
        <v>9</v>
      </c>
      <c r="C1" s="8" t="s">
        <v>10</v>
      </c>
      <c r="D1" s="9" t="s">
        <v>27</v>
      </c>
    </row>
    <row r="2" spans="1:6" x14ac:dyDescent="0.2">
      <c r="A2" s="10" t="s">
        <v>28</v>
      </c>
      <c r="B2" s="6">
        <v>29.999999999999996</v>
      </c>
      <c r="C2" s="6">
        <v>40.000000000000007</v>
      </c>
      <c r="D2" s="11"/>
    </row>
    <row r="3" spans="1:6" x14ac:dyDescent="0.2">
      <c r="A3" s="12" t="s">
        <v>29</v>
      </c>
      <c r="B3" s="13">
        <v>70</v>
      </c>
      <c r="C3" s="13">
        <v>50</v>
      </c>
      <c r="D3" s="14">
        <f>SUMPRODUCT(B2:C2,Table1[[#This Row],[Mesas]:[Sillas]])</f>
        <v>4100</v>
      </c>
    </row>
    <row r="5" spans="1:6" x14ac:dyDescent="0.2">
      <c r="A5" s="17" t="s">
        <v>30</v>
      </c>
      <c r="B5" s="6"/>
      <c r="C5" s="6"/>
      <c r="D5" s="6" t="s">
        <v>32</v>
      </c>
      <c r="E5" s="6"/>
      <c r="F5" s="6" t="s">
        <v>34</v>
      </c>
    </row>
    <row r="6" spans="1:6" x14ac:dyDescent="0.2">
      <c r="A6" s="6" t="s">
        <v>8</v>
      </c>
      <c r="B6" s="6">
        <v>4</v>
      </c>
      <c r="C6" s="6">
        <v>3</v>
      </c>
      <c r="D6" s="7">
        <f>SUMPRODUCT($B$2:$C$2,B6:C6)</f>
        <v>240</v>
      </c>
      <c r="E6" s="6" t="s">
        <v>33</v>
      </c>
      <c r="F6" s="6">
        <v>240</v>
      </c>
    </row>
    <row r="7" spans="1:6" x14ac:dyDescent="0.2">
      <c r="A7" s="6" t="s">
        <v>31</v>
      </c>
      <c r="B7" s="6">
        <v>2</v>
      </c>
      <c r="C7" s="6">
        <v>1</v>
      </c>
      <c r="D7" s="7">
        <f>SUMPRODUCT($B$2:$C$2,B7:C7)</f>
        <v>100</v>
      </c>
      <c r="E7" s="6" t="s">
        <v>33</v>
      </c>
      <c r="F7" s="6">
        <v>100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CC47-B925-4F03-8A01-F77EFD91975C}">
  <sheetPr>
    <tabColor theme="4"/>
  </sheetPr>
  <dimension ref="A1:F8"/>
  <sheetViews>
    <sheetView zoomScale="206" workbookViewId="0">
      <selection activeCell="E15" sqref="E15"/>
    </sheetView>
  </sheetViews>
  <sheetFormatPr baseColWidth="10" defaultColWidth="8.83203125" defaultRowHeight="15" x14ac:dyDescent="0.2"/>
  <cols>
    <col min="1" max="1" width="14.83203125" bestFit="1" customWidth="1"/>
    <col min="2" max="3" width="10.33203125" customWidth="1"/>
    <col min="5" max="5" width="10.33203125" customWidth="1"/>
  </cols>
  <sheetData>
    <row r="1" spans="1:6" x14ac:dyDescent="0.2">
      <c r="A1" s="20" t="s">
        <v>26</v>
      </c>
      <c r="B1" t="s">
        <v>40</v>
      </c>
      <c r="C1" t="s">
        <v>41</v>
      </c>
      <c r="D1" t="s">
        <v>44</v>
      </c>
    </row>
    <row r="2" spans="1:6" x14ac:dyDescent="0.2">
      <c r="A2" t="s">
        <v>43</v>
      </c>
      <c r="B2">
        <v>8.4</v>
      </c>
      <c r="C2">
        <v>4.8</v>
      </c>
      <c r="D2">
        <f>SUMPRODUCT(B1:C1,Table5[[#This Row],[Marca 1]:[Marca 2]])</f>
        <v>0</v>
      </c>
    </row>
    <row r="3" spans="1:6" x14ac:dyDescent="0.2">
      <c r="A3" t="s">
        <v>29</v>
      </c>
      <c r="B3">
        <v>2</v>
      </c>
      <c r="C3">
        <v>3</v>
      </c>
      <c r="D3" s="18">
        <f>SUMPRODUCT(B2:C2,Table5[[#This Row],[Marca 1]:[Marca 2]])</f>
        <v>31.2</v>
      </c>
    </row>
    <row r="5" spans="1:6" x14ac:dyDescent="0.2">
      <c r="A5" s="16" t="s">
        <v>30</v>
      </c>
      <c r="B5" s="8" t="s">
        <v>314</v>
      </c>
      <c r="C5" s="8" t="s">
        <v>315</v>
      </c>
      <c r="D5" s="8" t="s">
        <v>32</v>
      </c>
      <c r="E5" s="8" t="s">
        <v>316</v>
      </c>
      <c r="F5" s="9" t="s">
        <v>34</v>
      </c>
    </row>
    <row r="6" spans="1:6" x14ac:dyDescent="0.2">
      <c r="A6" s="10" t="s">
        <v>37</v>
      </c>
      <c r="B6" s="6">
        <v>5</v>
      </c>
      <c r="C6" s="6">
        <v>10</v>
      </c>
      <c r="D6" s="7">
        <f>SUMPRODUCT(B6:$C6,$B$2:$C$2)</f>
        <v>90</v>
      </c>
      <c r="E6" s="6" t="s">
        <v>42</v>
      </c>
      <c r="F6" s="11">
        <v>90</v>
      </c>
    </row>
    <row r="7" spans="1:6" x14ac:dyDescent="0.2">
      <c r="A7" s="10" t="s">
        <v>38</v>
      </c>
      <c r="B7" s="6">
        <v>4</v>
      </c>
      <c r="C7" s="6">
        <v>3</v>
      </c>
      <c r="D7" s="7">
        <f>SUMPRODUCT(B7:$C7,$B$2:$C$2)</f>
        <v>48</v>
      </c>
      <c r="E7" s="6" t="s">
        <v>42</v>
      </c>
      <c r="F7" s="11">
        <v>48</v>
      </c>
    </row>
    <row r="8" spans="1:6" x14ac:dyDescent="0.2">
      <c r="A8" s="12" t="s">
        <v>39</v>
      </c>
      <c r="B8" s="13">
        <v>0.5</v>
      </c>
      <c r="C8" s="13">
        <v>0</v>
      </c>
      <c r="D8" s="19">
        <f>SUMPRODUCT(B8:$C8,$B$2:$C$2)</f>
        <v>4.2</v>
      </c>
      <c r="E8" s="13" t="s">
        <v>42</v>
      </c>
      <c r="F8" s="15">
        <v>1.5</v>
      </c>
    </row>
  </sheetData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8876-DD16-4D2A-BFBF-B64BC25B863C}">
  <sheetPr>
    <tabColor theme="4"/>
  </sheetPr>
  <dimension ref="A1:H12"/>
  <sheetViews>
    <sheetView zoomScale="194" zoomScaleNormal="87" workbookViewId="0">
      <selection activeCell="E26" sqref="E26"/>
    </sheetView>
  </sheetViews>
  <sheetFormatPr baseColWidth="10" defaultColWidth="8.83203125" defaultRowHeight="15" x14ac:dyDescent="0.2"/>
  <cols>
    <col min="1" max="1" width="23.83203125" bestFit="1" customWidth="1"/>
    <col min="2" max="2" width="10.33203125" customWidth="1"/>
    <col min="3" max="3" width="10.5" customWidth="1"/>
    <col min="4" max="5" width="10.33203125" customWidth="1"/>
    <col min="6" max="6" width="18.1640625" customWidth="1"/>
    <col min="7" max="7" width="10.33203125" customWidth="1"/>
  </cols>
  <sheetData>
    <row r="1" spans="1:8" x14ac:dyDescent="0.2">
      <c r="A1" t="s">
        <v>26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</row>
    <row r="2" spans="1:8" x14ac:dyDescent="0.2">
      <c r="A2" t="s">
        <v>45</v>
      </c>
      <c r="B2">
        <v>1.96875</v>
      </c>
      <c r="C2">
        <v>5</v>
      </c>
      <c r="D2">
        <v>0</v>
      </c>
      <c r="E2">
        <v>6.2068965517241379</v>
      </c>
      <c r="F2">
        <f>SUMPRODUCT(B1:E1,Table8[[#This Row],[TV]:[Internet]])</f>
        <v>0</v>
      </c>
    </row>
    <row r="3" spans="1:8" x14ac:dyDescent="0.2">
      <c r="A3" t="s">
        <v>51</v>
      </c>
      <c r="B3">
        <v>5000</v>
      </c>
      <c r="C3">
        <v>8500</v>
      </c>
      <c r="D3">
        <v>2800</v>
      </c>
      <c r="E3">
        <v>2400</v>
      </c>
      <c r="F3" s="5">
        <f>SUMPRODUCT(B2:E2,Table8[[#This Row],[TV]:[Internet]])</f>
        <v>67240.301724137928</v>
      </c>
    </row>
    <row r="5" spans="1:8" x14ac:dyDescent="0.2">
      <c r="A5" t="s">
        <v>30</v>
      </c>
      <c r="B5" t="s">
        <v>320</v>
      </c>
      <c r="C5" t="s">
        <v>319</v>
      </c>
      <c r="D5" t="s">
        <v>314</v>
      </c>
      <c r="E5" t="s">
        <v>318</v>
      </c>
      <c r="F5" t="s">
        <v>32</v>
      </c>
      <c r="G5" t="s">
        <v>317</v>
      </c>
      <c r="H5" t="s">
        <v>34</v>
      </c>
    </row>
    <row r="6" spans="1:8" x14ac:dyDescent="0.2">
      <c r="A6" t="s">
        <v>52</v>
      </c>
      <c r="B6">
        <v>1</v>
      </c>
      <c r="F6" s="5">
        <f>SUMPRODUCT(B6:E6,$B$2:$E$2)</f>
        <v>1.96875</v>
      </c>
      <c r="G6" t="s">
        <v>33</v>
      </c>
      <c r="H6">
        <v>12</v>
      </c>
    </row>
    <row r="7" spans="1:8" x14ac:dyDescent="0.2">
      <c r="A7" t="s">
        <v>53</v>
      </c>
      <c r="C7">
        <v>1</v>
      </c>
      <c r="F7" s="5">
        <f t="shared" ref="F7:F9" si="0">SUMPRODUCT(B7:E7,$B$2:$E$2)</f>
        <v>5</v>
      </c>
      <c r="G7" t="s">
        <v>33</v>
      </c>
      <c r="H7">
        <v>5</v>
      </c>
    </row>
    <row r="8" spans="1:8" x14ac:dyDescent="0.2">
      <c r="A8" t="s">
        <v>54</v>
      </c>
      <c r="D8">
        <v>1</v>
      </c>
      <c r="F8" s="5">
        <f t="shared" si="0"/>
        <v>0</v>
      </c>
      <c r="G8" t="s">
        <v>33</v>
      </c>
      <c r="H8">
        <v>20</v>
      </c>
    </row>
    <row r="9" spans="1:8" x14ac:dyDescent="0.2">
      <c r="A9" t="s">
        <v>55</v>
      </c>
      <c r="E9">
        <v>1</v>
      </c>
      <c r="F9" s="5">
        <f t="shared" si="0"/>
        <v>6.2068965517241379</v>
      </c>
      <c r="G9" t="s">
        <v>33</v>
      </c>
      <c r="H9">
        <v>25</v>
      </c>
    </row>
    <row r="10" spans="1:8" x14ac:dyDescent="0.2">
      <c r="A10" t="s">
        <v>56</v>
      </c>
      <c r="D10">
        <v>1</v>
      </c>
      <c r="E10">
        <v>1</v>
      </c>
      <c r="F10" s="5">
        <f>SUMPRODUCT(B10:E10,$B$2:$E$2)</f>
        <v>6.2068965517241379</v>
      </c>
      <c r="G10" t="s">
        <v>42</v>
      </c>
      <c r="H10">
        <v>5</v>
      </c>
    </row>
    <row r="11" spans="1:8" x14ac:dyDescent="0.2">
      <c r="A11" t="s">
        <v>57</v>
      </c>
      <c r="D11">
        <v>380</v>
      </c>
      <c r="E11">
        <v>290</v>
      </c>
      <c r="F11" s="5">
        <f>SUMPRODUCT(B11:E11,$B$2:$E$2)</f>
        <v>1800</v>
      </c>
      <c r="G11" t="s">
        <v>33</v>
      </c>
      <c r="H11">
        <v>1800</v>
      </c>
    </row>
    <row r="12" spans="1:8" x14ac:dyDescent="0.2">
      <c r="A12" t="s">
        <v>58</v>
      </c>
      <c r="B12">
        <v>800</v>
      </c>
      <c r="C12">
        <v>925</v>
      </c>
      <c r="D12">
        <v>380</v>
      </c>
      <c r="E12">
        <v>290</v>
      </c>
      <c r="F12" s="5">
        <f>SUMPRODUCT(B12:E12,$B$2:$E$2)</f>
        <v>8000</v>
      </c>
      <c r="G12" t="s">
        <v>33</v>
      </c>
      <c r="H12">
        <v>8000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1BAD-1C8D-45DE-B4CB-24CDF08864E9}">
  <sheetPr>
    <tabColor theme="4"/>
  </sheetPr>
  <dimension ref="A2:J12"/>
  <sheetViews>
    <sheetView zoomScale="150" zoomScaleNormal="74" workbookViewId="0">
      <selection activeCell="D25" sqref="D25"/>
    </sheetView>
  </sheetViews>
  <sheetFormatPr baseColWidth="10" defaultColWidth="8.83203125" defaultRowHeight="15" x14ac:dyDescent="0.2"/>
  <cols>
    <col min="1" max="2" width="15.5" bestFit="1" customWidth="1"/>
    <col min="3" max="3" width="16.5" bestFit="1" customWidth="1"/>
    <col min="4" max="4" width="15.5" bestFit="1" customWidth="1"/>
    <col min="5" max="5" width="18.6640625" bestFit="1" customWidth="1"/>
    <col min="6" max="6" width="19.83203125" bestFit="1" customWidth="1"/>
    <col min="7" max="7" width="18.6640625" bestFit="1" customWidth="1"/>
    <col min="8" max="8" width="11.1640625" bestFit="1" customWidth="1"/>
  </cols>
  <sheetData>
    <row r="2" spans="1:10" x14ac:dyDescent="0.2">
      <c r="A2" s="6" t="s">
        <v>26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66</v>
      </c>
      <c r="G2" s="3" t="s">
        <v>67</v>
      </c>
      <c r="H2" s="3" t="s">
        <v>44</v>
      </c>
    </row>
    <row r="3" spans="1:10" x14ac:dyDescent="0.2">
      <c r="A3" s="6" t="s">
        <v>59</v>
      </c>
      <c r="B3" s="6">
        <v>0</v>
      </c>
      <c r="C3" s="6">
        <v>600</v>
      </c>
      <c r="D3" s="6">
        <v>0</v>
      </c>
      <c r="E3" s="6">
        <v>1000</v>
      </c>
      <c r="F3" s="6">
        <v>0</v>
      </c>
      <c r="G3" s="6">
        <v>700</v>
      </c>
      <c r="H3" s="6"/>
    </row>
    <row r="4" spans="1:10" x14ac:dyDescent="0.2">
      <c r="A4" s="6" t="s">
        <v>29</v>
      </c>
      <c r="B4" s="6">
        <v>7.5</v>
      </c>
      <c r="C4" s="6">
        <v>6.8</v>
      </c>
      <c r="D4" s="6">
        <v>5.5</v>
      </c>
      <c r="E4" s="6">
        <v>6.9</v>
      </c>
      <c r="F4" s="6">
        <v>7.25</v>
      </c>
      <c r="G4" s="6">
        <v>6.1</v>
      </c>
      <c r="H4" s="22">
        <f>SUMPRODUCT(B3:G3,B4:G4)</f>
        <v>15250</v>
      </c>
    </row>
    <row r="7" spans="1:10" x14ac:dyDescent="0.2">
      <c r="A7" s="6" t="s">
        <v>30</v>
      </c>
      <c r="B7" s="6"/>
      <c r="C7" s="6"/>
      <c r="D7" s="6"/>
      <c r="E7" s="6"/>
      <c r="F7" s="6"/>
      <c r="G7" s="6"/>
      <c r="H7" s="6" t="s">
        <v>32</v>
      </c>
      <c r="I7" s="6"/>
      <c r="J7" s="6" t="s">
        <v>34</v>
      </c>
    </row>
    <row r="8" spans="1:10" x14ac:dyDescent="0.2">
      <c r="A8" s="6" t="s">
        <v>59</v>
      </c>
      <c r="B8" s="6">
        <v>1</v>
      </c>
      <c r="C8" s="6">
        <v>1</v>
      </c>
      <c r="D8" s="25">
        <v>1</v>
      </c>
      <c r="E8" s="6">
        <v>1</v>
      </c>
      <c r="F8" s="6">
        <v>1</v>
      </c>
      <c r="G8" s="6">
        <v>1</v>
      </c>
      <c r="H8" s="7">
        <f>SUMPRODUCT(B8:G8,$B$3:$G$3)</f>
        <v>2300</v>
      </c>
      <c r="I8" s="6" t="s">
        <v>42</v>
      </c>
      <c r="J8" s="6">
        <v>2300</v>
      </c>
    </row>
    <row r="9" spans="1:10" x14ac:dyDescent="0.2">
      <c r="A9" s="6" t="s">
        <v>60</v>
      </c>
      <c r="B9" s="6">
        <v>1</v>
      </c>
      <c r="C9" s="6"/>
      <c r="D9" s="6"/>
      <c r="E9" s="6">
        <v>1</v>
      </c>
      <c r="F9" s="6"/>
      <c r="G9" s="6"/>
      <c r="H9" s="7">
        <f>SUMPRODUCT(B9:G9,$B$3:$G$3)</f>
        <v>1000</v>
      </c>
      <c r="I9" s="6" t="s">
        <v>42</v>
      </c>
      <c r="J9" s="6">
        <v>1000</v>
      </c>
    </row>
    <row r="10" spans="1:10" x14ac:dyDescent="0.2">
      <c r="A10" s="6" t="s">
        <v>61</v>
      </c>
      <c r="B10" s="6"/>
      <c r="C10" s="6">
        <v>1</v>
      </c>
      <c r="D10" s="6"/>
      <c r="E10" s="6"/>
      <c r="F10" s="6">
        <v>1</v>
      </c>
      <c r="G10" s="6"/>
      <c r="H10" s="7">
        <f>SUMPRODUCT(B10:G10,$B$3:$G$3)</f>
        <v>600</v>
      </c>
      <c r="I10" s="6" t="s">
        <v>42</v>
      </c>
      <c r="J10" s="6">
        <v>600</v>
      </c>
    </row>
    <row r="11" spans="1:10" x14ac:dyDescent="0.2">
      <c r="A11" s="6" t="s">
        <v>68</v>
      </c>
      <c r="B11" s="6">
        <v>1</v>
      </c>
      <c r="C11" s="6">
        <v>1</v>
      </c>
      <c r="D11" s="6">
        <v>1</v>
      </c>
      <c r="E11" s="6"/>
      <c r="F11" s="6"/>
      <c r="G11" s="6"/>
      <c r="H11" s="7">
        <f>SUMPRODUCT(B11:G11,$B$3:$G$3)</f>
        <v>600</v>
      </c>
      <c r="I11" s="6" t="s">
        <v>42</v>
      </c>
      <c r="J11" s="21">
        <f>SUM(B3:D3)*0.15</f>
        <v>90</v>
      </c>
    </row>
    <row r="12" spans="1:10" x14ac:dyDescent="0.2">
      <c r="A12" s="6" t="s">
        <v>69</v>
      </c>
      <c r="B12" s="6"/>
      <c r="C12" s="6"/>
      <c r="D12" s="6">
        <v>1</v>
      </c>
      <c r="E12" s="6"/>
      <c r="F12" s="6"/>
      <c r="G12" s="6"/>
      <c r="H12" s="7">
        <f>SUMPRODUCT(B12:G12,$B$3:$G$3)</f>
        <v>0</v>
      </c>
      <c r="I12" s="6" t="s">
        <v>33</v>
      </c>
      <c r="J12" s="21">
        <f>D3*0.2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3BB97-6B55-48A0-AF56-0C8D88D2214B}">
  <sheetPr>
    <tabColor theme="4"/>
  </sheetPr>
  <dimension ref="A1:H21"/>
  <sheetViews>
    <sheetView zoomScale="150" workbookViewId="0">
      <selection activeCell="D25" sqref="D25"/>
    </sheetView>
  </sheetViews>
  <sheetFormatPr baseColWidth="10" defaultColWidth="8.83203125" defaultRowHeight="15" x14ac:dyDescent="0.2"/>
  <cols>
    <col min="1" max="1" width="39.5" bestFit="1" customWidth="1"/>
    <col min="2" max="2" width="15.6640625" bestFit="1" customWidth="1"/>
    <col min="3" max="3" width="17.5" bestFit="1" customWidth="1"/>
    <col min="4" max="4" width="14.5" bestFit="1" customWidth="1"/>
    <col min="5" max="5" width="13.6640625" bestFit="1" customWidth="1"/>
    <col min="6" max="6" width="19.83203125" bestFit="1" customWidth="1"/>
    <col min="8" max="8" width="13.6640625" bestFit="1" customWidth="1"/>
  </cols>
  <sheetData>
    <row r="1" spans="1:8" x14ac:dyDescent="0.2">
      <c r="A1" s="6" t="s">
        <v>70</v>
      </c>
      <c r="B1" s="6" t="s">
        <v>75</v>
      </c>
      <c r="C1" s="6" t="s">
        <v>76</v>
      </c>
    </row>
    <row r="2" spans="1:8" x14ac:dyDescent="0.2">
      <c r="A2" s="6" t="s">
        <v>71</v>
      </c>
      <c r="B2" s="6">
        <v>7</v>
      </c>
      <c r="C2" s="24">
        <v>1000000</v>
      </c>
    </row>
    <row r="3" spans="1:8" x14ac:dyDescent="0.2">
      <c r="A3" s="6" t="s">
        <v>72</v>
      </c>
      <c r="B3" s="6">
        <v>11</v>
      </c>
      <c r="C3" s="24">
        <v>2500000</v>
      </c>
    </row>
    <row r="4" spans="1:8" x14ac:dyDescent="0.2">
      <c r="A4" s="6" t="s">
        <v>73</v>
      </c>
      <c r="B4" s="6">
        <v>19</v>
      </c>
      <c r="C4" s="24">
        <v>1500000</v>
      </c>
    </row>
    <row r="5" spans="1:8" x14ac:dyDescent="0.2">
      <c r="A5" s="6" t="s">
        <v>74</v>
      </c>
      <c r="B5" s="6">
        <v>15</v>
      </c>
      <c r="C5" s="24">
        <v>1800000</v>
      </c>
    </row>
    <row r="9" spans="1:8" x14ac:dyDescent="0.2">
      <c r="A9" s="6" t="s">
        <v>26</v>
      </c>
      <c r="B9" s="6" t="s">
        <v>71</v>
      </c>
      <c r="C9" s="6" t="s">
        <v>72</v>
      </c>
      <c r="D9" s="6" t="s">
        <v>73</v>
      </c>
      <c r="E9" s="6" t="s">
        <v>74</v>
      </c>
      <c r="F9" s="6" t="s">
        <v>77</v>
      </c>
    </row>
    <row r="10" spans="1:8" x14ac:dyDescent="0.2">
      <c r="A10" s="6" t="s">
        <v>70</v>
      </c>
      <c r="B10" s="44">
        <v>749999.99999999988</v>
      </c>
      <c r="C10" s="44">
        <v>949999.99999999988</v>
      </c>
      <c r="D10" s="44">
        <v>1500000</v>
      </c>
      <c r="E10" s="44">
        <v>1800000</v>
      </c>
      <c r="F10" s="6"/>
    </row>
    <row r="11" spans="1:8" x14ac:dyDescent="0.2">
      <c r="A11" s="6" t="s">
        <v>29</v>
      </c>
      <c r="B11" s="27">
        <v>7.0000000000000007E-2</v>
      </c>
      <c r="C11" s="27">
        <v>0.11</v>
      </c>
      <c r="D11" s="27">
        <v>0.19</v>
      </c>
      <c r="E11" s="27">
        <v>0.15</v>
      </c>
      <c r="F11" s="45">
        <f>SUMPRODUCT(B10:E10,B11:E11)</f>
        <v>712000</v>
      </c>
    </row>
    <row r="14" spans="1:8" x14ac:dyDescent="0.2">
      <c r="A14" s="6" t="s">
        <v>30</v>
      </c>
      <c r="B14" s="6"/>
      <c r="C14" s="6"/>
      <c r="D14" s="6"/>
      <c r="E14" s="6"/>
      <c r="F14" s="6" t="s">
        <v>32</v>
      </c>
      <c r="G14" s="6"/>
      <c r="H14" s="6" t="s">
        <v>34</v>
      </c>
    </row>
    <row r="15" spans="1:8" x14ac:dyDescent="0.2">
      <c r="A15" s="6" t="s">
        <v>79</v>
      </c>
      <c r="B15" s="6">
        <v>1</v>
      </c>
      <c r="C15" s="6">
        <v>1</v>
      </c>
      <c r="D15" s="6">
        <v>1</v>
      </c>
      <c r="E15" s="6">
        <v>1</v>
      </c>
      <c r="F15" s="46">
        <f>SUMPRODUCT(B15:E15,$B$10:$E$10)</f>
        <v>5000000</v>
      </c>
      <c r="G15" s="6" t="s">
        <v>33</v>
      </c>
      <c r="H15" s="44">
        <v>5000000</v>
      </c>
    </row>
    <row r="16" spans="1:8" x14ac:dyDescent="0.2">
      <c r="A16" s="6" t="s">
        <v>71</v>
      </c>
      <c r="B16" s="6">
        <v>1</v>
      </c>
      <c r="C16" s="6"/>
      <c r="D16" s="6"/>
      <c r="E16" s="6"/>
      <c r="F16" s="46">
        <f t="shared" ref="F16:F21" si="0">SUMPRODUCT(B16:E16,$B$10:$E$10)</f>
        <v>749999.99999999988</v>
      </c>
      <c r="G16" s="6" t="s">
        <v>33</v>
      </c>
      <c r="H16" s="44">
        <v>1000000</v>
      </c>
    </row>
    <row r="17" spans="1:8" x14ac:dyDescent="0.2">
      <c r="A17" s="6" t="s">
        <v>72</v>
      </c>
      <c r="B17" s="6"/>
      <c r="C17" s="6">
        <v>1</v>
      </c>
      <c r="D17" s="6"/>
      <c r="E17" s="6"/>
      <c r="F17" s="46">
        <f t="shared" si="0"/>
        <v>949999.99999999988</v>
      </c>
      <c r="G17" s="6" t="s">
        <v>33</v>
      </c>
      <c r="H17" s="44">
        <v>2500000</v>
      </c>
    </row>
    <row r="18" spans="1:8" x14ac:dyDescent="0.2">
      <c r="A18" s="6" t="s">
        <v>73</v>
      </c>
      <c r="B18" s="6"/>
      <c r="C18" s="6"/>
      <c r="D18" s="6">
        <v>1</v>
      </c>
      <c r="E18" s="6"/>
      <c r="F18" s="46">
        <f t="shared" si="0"/>
        <v>1500000</v>
      </c>
      <c r="G18" s="6" t="s">
        <v>33</v>
      </c>
      <c r="H18" s="44">
        <v>1500000</v>
      </c>
    </row>
    <row r="19" spans="1:8" x14ac:dyDescent="0.2">
      <c r="A19" s="6" t="s">
        <v>74</v>
      </c>
      <c r="B19" s="6"/>
      <c r="C19" s="6"/>
      <c r="D19" s="6"/>
      <c r="E19" s="6">
        <v>1</v>
      </c>
      <c r="F19" s="46">
        <f t="shared" si="0"/>
        <v>1800000</v>
      </c>
      <c r="G19" s="6" t="s">
        <v>33</v>
      </c>
      <c r="H19" s="44">
        <v>1800000</v>
      </c>
    </row>
    <row r="20" spans="1:8" x14ac:dyDescent="0.2">
      <c r="A20" s="6" t="s">
        <v>78</v>
      </c>
      <c r="B20" s="6"/>
      <c r="C20" s="6"/>
      <c r="D20" s="6">
        <v>1</v>
      </c>
      <c r="E20" s="6">
        <v>1</v>
      </c>
      <c r="F20" s="46">
        <f t="shared" si="0"/>
        <v>3300000</v>
      </c>
      <c r="G20" s="6" t="s">
        <v>42</v>
      </c>
      <c r="H20" s="44">
        <f>SUM(B10:E10)*0.55</f>
        <v>2750000</v>
      </c>
    </row>
    <row r="21" spans="1:8" x14ac:dyDescent="0.2">
      <c r="A21" s="6"/>
      <c r="B21" s="6">
        <v>1</v>
      </c>
      <c r="C21" s="6"/>
      <c r="D21" s="6"/>
      <c r="E21" s="6"/>
      <c r="F21" s="46">
        <f t="shared" si="0"/>
        <v>749999.99999999988</v>
      </c>
      <c r="G21" s="6" t="s">
        <v>42</v>
      </c>
      <c r="H21" s="44">
        <f>SUM(B10:E10)*0.15</f>
        <v>750000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CD3E-AAA3-4176-991B-602441C6DF15}">
  <sheetPr>
    <tabColor theme="4"/>
  </sheetPr>
  <dimension ref="A1:G14"/>
  <sheetViews>
    <sheetView zoomScale="162" workbookViewId="0">
      <selection activeCell="D25" sqref="D25"/>
    </sheetView>
  </sheetViews>
  <sheetFormatPr baseColWidth="10" defaultColWidth="8.83203125" defaultRowHeight="15" x14ac:dyDescent="0.2"/>
  <cols>
    <col min="1" max="1" width="8.83203125" bestFit="1" customWidth="1"/>
    <col min="2" max="2" width="7.83203125" bestFit="1" customWidth="1"/>
    <col min="3" max="3" width="7.5" bestFit="1" customWidth="1"/>
    <col min="4" max="4" width="7.33203125" bestFit="1" customWidth="1"/>
    <col min="5" max="5" width="7" bestFit="1" customWidth="1"/>
  </cols>
  <sheetData>
    <row r="1" spans="1:7" x14ac:dyDescent="0.2">
      <c r="A1" s="6" t="s">
        <v>80</v>
      </c>
      <c r="B1" s="6" t="s">
        <v>81</v>
      </c>
      <c r="C1" s="6" t="s">
        <v>82</v>
      </c>
      <c r="D1" s="11" t="s">
        <v>83</v>
      </c>
    </row>
    <row r="2" spans="1:7" x14ac:dyDescent="0.2">
      <c r="A2" s="6" t="s">
        <v>84</v>
      </c>
      <c r="B2" s="6">
        <v>5</v>
      </c>
      <c r="C2" s="6">
        <v>4</v>
      </c>
      <c r="D2" s="11">
        <v>3</v>
      </c>
    </row>
    <row r="3" spans="1:7" x14ac:dyDescent="0.2">
      <c r="A3" s="6" t="s">
        <v>85</v>
      </c>
      <c r="B3" s="6">
        <v>8</v>
      </c>
      <c r="C3" s="6">
        <v>4</v>
      </c>
      <c r="D3" s="11">
        <v>3</v>
      </c>
    </row>
    <row r="4" spans="1:7" x14ac:dyDescent="0.2">
      <c r="A4" s="6" t="s">
        <v>86</v>
      </c>
      <c r="B4" s="6">
        <v>9</v>
      </c>
      <c r="C4" s="6">
        <v>7</v>
      </c>
      <c r="D4" s="6">
        <v>5</v>
      </c>
      <c r="E4" s="26" t="s">
        <v>44</v>
      </c>
      <c r="F4" s="26">
        <f>SUMPRODUCT(B2:D4,B9:D11)</f>
        <v>3900</v>
      </c>
    </row>
    <row r="8" spans="1:7" x14ac:dyDescent="0.2">
      <c r="A8" s="6" t="s">
        <v>80</v>
      </c>
      <c r="B8" s="6" t="s">
        <v>81</v>
      </c>
      <c r="C8" s="6" t="s">
        <v>82</v>
      </c>
      <c r="D8" s="6" t="s">
        <v>83</v>
      </c>
      <c r="E8" s="6" t="s">
        <v>87</v>
      </c>
      <c r="F8" s="6"/>
      <c r="G8" s="26" t="s">
        <v>89</v>
      </c>
    </row>
    <row r="9" spans="1:7" x14ac:dyDescent="0.2">
      <c r="A9" s="6" t="s">
        <v>84</v>
      </c>
      <c r="B9" s="23">
        <v>100</v>
      </c>
      <c r="C9" s="23">
        <v>0</v>
      </c>
      <c r="D9" s="23">
        <v>0</v>
      </c>
      <c r="E9" s="23">
        <f>SUM(B9:D9)</f>
        <v>100</v>
      </c>
      <c r="F9" s="6" t="s">
        <v>33</v>
      </c>
      <c r="G9" s="26">
        <v>100</v>
      </c>
    </row>
    <row r="10" spans="1:7" x14ac:dyDescent="0.2">
      <c r="A10" s="6" t="s">
        <v>85</v>
      </c>
      <c r="B10" s="23">
        <v>0</v>
      </c>
      <c r="C10" s="23">
        <v>200</v>
      </c>
      <c r="D10" s="23">
        <v>100</v>
      </c>
      <c r="E10" s="23">
        <f t="shared" ref="E10:E11" si="0">SUM(B10:D10)</f>
        <v>300</v>
      </c>
      <c r="F10" s="6" t="s">
        <v>33</v>
      </c>
      <c r="G10" s="26">
        <v>300</v>
      </c>
    </row>
    <row r="11" spans="1:7" x14ac:dyDescent="0.2">
      <c r="A11" s="6" t="s">
        <v>86</v>
      </c>
      <c r="B11" s="23">
        <v>200</v>
      </c>
      <c r="C11" s="23">
        <v>0</v>
      </c>
      <c r="D11" s="23">
        <v>100</v>
      </c>
      <c r="E11" s="29">
        <f t="shared" si="0"/>
        <v>300</v>
      </c>
      <c r="F11" s="13" t="s">
        <v>33</v>
      </c>
      <c r="G11" s="30">
        <v>300</v>
      </c>
    </row>
    <row r="12" spans="1:7" x14ac:dyDescent="0.2">
      <c r="A12" s="6" t="s">
        <v>88</v>
      </c>
      <c r="B12" s="6">
        <f>SUM(B9:B11)</f>
        <v>300</v>
      </c>
      <c r="C12" s="6">
        <f t="shared" ref="C12:D12" si="1">SUM(C9:C11)</f>
        <v>200</v>
      </c>
      <c r="D12" s="6">
        <f t="shared" si="1"/>
        <v>200</v>
      </c>
    </row>
    <row r="13" spans="1:7" x14ac:dyDescent="0.2">
      <c r="B13" s="28" t="s">
        <v>90</v>
      </c>
      <c r="C13" s="28" t="s">
        <v>90</v>
      </c>
      <c r="D13" s="28" t="s">
        <v>90</v>
      </c>
    </row>
    <row r="14" spans="1:7" x14ac:dyDescent="0.2">
      <c r="A14" s="26" t="s">
        <v>88</v>
      </c>
      <c r="B14" s="26">
        <v>300</v>
      </c>
      <c r="C14" s="26">
        <v>200</v>
      </c>
      <c r="D14" s="26">
        <v>200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6BBB1-3A3A-4A24-BD6A-ED4D90E81FF7}">
  <sheetPr>
    <tabColor theme="4"/>
  </sheetPr>
  <dimension ref="A1:I20"/>
  <sheetViews>
    <sheetView tabSelected="1" topLeftCell="A10" workbookViewId="0">
      <selection activeCell="M28" sqref="M28"/>
    </sheetView>
  </sheetViews>
  <sheetFormatPr baseColWidth="10" defaultColWidth="8.83203125" defaultRowHeight="15" x14ac:dyDescent="0.2"/>
  <cols>
    <col min="1" max="1" width="12.5" bestFit="1" customWidth="1"/>
    <col min="3" max="3" width="11.33203125" customWidth="1"/>
    <col min="4" max="4" width="10.33203125" bestFit="1" customWidth="1"/>
    <col min="5" max="5" width="8.33203125" bestFit="1" customWidth="1"/>
    <col min="6" max="6" width="7.5" bestFit="1" customWidth="1"/>
    <col min="7" max="7" width="12.1640625" bestFit="1" customWidth="1"/>
  </cols>
  <sheetData>
    <row r="1" spans="1:9" ht="16" thickBot="1" x14ac:dyDescent="0.25">
      <c r="A1" s="99" t="s">
        <v>80</v>
      </c>
      <c r="B1" s="96" t="s">
        <v>115</v>
      </c>
      <c r="C1" s="97"/>
      <c r="D1" s="96" t="s">
        <v>116</v>
      </c>
      <c r="E1" s="98"/>
      <c r="F1" s="97"/>
    </row>
    <row r="2" spans="1:9" x14ac:dyDescent="0.2">
      <c r="A2" s="99"/>
      <c r="B2" s="38" t="s">
        <v>110</v>
      </c>
      <c r="C2" s="40" t="s">
        <v>111</v>
      </c>
      <c r="D2" s="38" t="s">
        <v>112</v>
      </c>
      <c r="E2" s="39" t="s">
        <v>113</v>
      </c>
      <c r="F2" s="40" t="s">
        <v>114</v>
      </c>
    </row>
    <row r="3" spans="1:9" x14ac:dyDescent="0.2">
      <c r="A3" s="2" t="s">
        <v>108</v>
      </c>
      <c r="B3" s="41">
        <v>4</v>
      </c>
      <c r="C3" s="42">
        <v>7</v>
      </c>
      <c r="D3" s="41"/>
      <c r="E3" s="3"/>
      <c r="F3" s="42"/>
    </row>
    <row r="4" spans="1:9" x14ac:dyDescent="0.2">
      <c r="A4" s="2" t="s">
        <v>109</v>
      </c>
      <c r="B4" s="41">
        <v>5</v>
      </c>
      <c r="C4" s="42">
        <v>7</v>
      </c>
      <c r="D4" s="41"/>
      <c r="E4" s="3"/>
      <c r="F4" s="42"/>
    </row>
    <row r="5" spans="1:9" x14ac:dyDescent="0.2">
      <c r="A5" s="2" t="s">
        <v>110</v>
      </c>
      <c r="B5" s="41"/>
      <c r="C5" s="42"/>
      <c r="D5" s="41">
        <v>6</v>
      </c>
      <c r="E5" s="3">
        <v>4</v>
      </c>
      <c r="F5" s="42">
        <v>5</v>
      </c>
    </row>
    <row r="6" spans="1:9" x14ac:dyDescent="0.2">
      <c r="A6" s="2" t="s">
        <v>111</v>
      </c>
      <c r="B6" s="41"/>
      <c r="C6" s="42"/>
      <c r="D6" s="41">
        <v>2</v>
      </c>
      <c r="E6" s="3">
        <v>3</v>
      </c>
      <c r="F6" s="42">
        <v>4</v>
      </c>
    </row>
    <row r="10" spans="1:9" x14ac:dyDescent="0.2">
      <c r="A10" s="95" t="s">
        <v>80</v>
      </c>
      <c r="B10" s="100" t="s">
        <v>115</v>
      </c>
      <c r="C10" s="100"/>
      <c r="D10" s="100" t="s">
        <v>116</v>
      </c>
      <c r="E10" s="100"/>
      <c r="F10" s="100"/>
      <c r="G10" s="95" t="s">
        <v>118</v>
      </c>
      <c r="H10" s="6"/>
      <c r="I10" s="95" t="s">
        <v>89</v>
      </c>
    </row>
    <row r="11" spans="1:9" x14ac:dyDescent="0.2">
      <c r="A11" s="95"/>
      <c r="B11" s="3" t="s">
        <v>110</v>
      </c>
      <c r="C11" s="3" t="s">
        <v>111</v>
      </c>
      <c r="D11" s="3" t="s">
        <v>112</v>
      </c>
      <c r="E11" s="3" t="s">
        <v>113</v>
      </c>
      <c r="F11" s="3" t="s">
        <v>114</v>
      </c>
      <c r="G11" s="95"/>
      <c r="H11" s="6"/>
      <c r="I11" s="95"/>
    </row>
    <row r="12" spans="1:9" x14ac:dyDescent="0.2">
      <c r="A12" s="3" t="s">
        <v>108</v>
      </c>
      <c r="B12" s="3">
        <v>650</v>
      </c>
      <c r="C12" s="3">
        <v>150</v>
      </c>
      <c r="D12" s="3">
        <v>0</v>
      </c>
      <c r="E12" s="3">
        <v>0</v>
      </c>
      <c r="F12" s="3">
        <v>0</v>
      </c>
      <c r="G12" s="23">
        <f>SUM(B12:C12)</f>
        <v>800</v>
      </c>
      <c r="H12" s="25" t="s">
        <v>33</v>
      </c>
      <c r="I12" s="6">
        <v>800</v>
      </c>
    </row>
    <row r="13" spans="1:9" x14ac:dyDescent="0.2">
      <c r="A13" s="3" t="s">
        <v>109</v>
      </c>
      <c r="B13" s="3">
        <v>0</v>
      </c>
      <c r="C13" s="3">
        <v>300</v>
      </c>
      <c r="D13" s="3">
        <v>0</v>
      </c>
      <c r="E13" s="3">
        <v>0</v>
      </c>
      <c r="F13" s="3">
        <v>0</v>
      </c>
      <c r="G13" s="23">
        <f>SUM(B13:C13)</f>
        <v>300</v>
      </c>
      <c r="H13" s="25" t="s">
        <v>33</v>
      </c>
      <c r="I13" s="6">
        <v>700</v>
      </c>
    </row>
    <row r="14" spans="1:9" x14ac:dyDescent="0.2">
      <c r="A14" s="3" t="s">
        <v>110</v>
      </c>
      <c r="B14" s="3">
        <v>0</v>
      </c>
      <c r="C14" s="3">
        <v>0</v>
      </c>
      <c r="D14" s="3">
        <v>0</v>
      </c>
      <c r="E14" s="3">
        <v>350</v>
      </c>
      <c r="F14" s="3">
        <v>300</v>
      </c>
      <c r="G14" s="23">
        <f>SUM(D14:F14)</f>
        <v>650</v>
      </c>
      <c r="H14" s="23"/>
      <c r="I14" s="6"/>
    </row>
    <row r="15" spans="1:9" x14ac:dyDescent="0.2">
      <c r="A15" s="3" t="s">
        <v>111</v>
      </c>
      <c r="B15" s="3">
        <v>0</v>
      </c>
      <c r="C15" s="3">
        <v>0</v>
      </c>
      <c r="D15" s="3">
        <v>450</v>
      </c>
      <c r="E15" s="3">
        <v>0</v>
      </c>
      <c r="F15" s="3">
        <v>0</v>
      </c>
      <c r="G15" s="23">
        <f>SUM(D15:F15)</f>
        <v>450</v>
      </c>
      <c r="H15" s="23"/>
      <c r="I15" s="6"/>
    </row>
    <row r="16" spans="1:9" x14ac:dyDescent="0.2">
      <c r="A16" s="37" t="s">
        <v>117</v>
      </c>
      <c r="B16" s="23">
        <f>SUM(B12:B13)</f>
        <v>650</v>
      </c>
      <c r="C16" s="23">
        <f>SUM(C12:C13)</f>
        <v>450</v>
      </c>
      <c r="D16" s="23">
        <f>SUM(D14:D15)</f>
        <v>450</v>
      </c>
      <c r="E16" s="23">
        <f>SUM(E14:E15)</f>
        <v>350</v>
      </c>
      <c r="F16" s="23">
        <f>SUM(F14:F15)</f>
        <v>300</v>
      </c>
    </row>
    <row r="17" spans="1:6" x14ac:dyDescent="0.2">
      <c r="A17" s="6"/>
      <c r="B17" s="6" t="s">
        <v>90</v>
      </c>
      <c r="C17" s="6" t="s">
        <v>90</v>
      </c>
      <c r="D17" s="6" t="s">
        <v>90</v>
      </c>
      <c r="E17" s="6" t="s">
        <v>90</v>
      </c>
      <c r="F17" s="6" t="s">
        <v>90</v>
      </c>
    </row>
    <row r="18" spans="1:6" x14ac:dyDescent="0.2">
      <c r="A18" s="37" t="s">
        <v>88</v>
      </c>
      <c r="B18" s="6">
        <v>0</v>
      </c>
      <c r="C18" s="6">
        <v>0</v>
      </c>
      <c r="D18" s="6">
        <v>450</v>
      </c>
      <c r="E18" s="6">
        <v>350</v>
      </c>
      <c r="F18" s="6">
        <v>300</v>
      </c>
    </row>
    <row r="20" spans="1:6" x14ac:dyDescent="0.2">
      <c r="A20" s="4" t="s">
        <v>105</v>
      </c>
      <c r="B20" s="34">
        <f>SUMPRODUCT(B12:F15,B3:F6)</f>
        <v>9550</v>
      </c>
    </row>
  </sheetData>
  <mergeCells count="8">
    <mergeCell ref="G10:G11"/>
    <mergeCell ref="I10:I11"/>
    <mergeCell ref="B1:C1"/>
    <mergeCell ref="D1:F1"/>
    <mergeCell ref="A1:A2"/>
    <mergeCell ref="A10:A11"/>
    <mergeCell ref="B10:C10"/>
    <mergeCell ref="D10:F10"/>
  </mergeCell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A274-697E-412C-A5C9-C5BA7EF7D93B}">
  <sheetPr>
    <tabColor theme="4"/>
  </sheetPr>
  <dimension ref="B1:G40"/>
  <sheetViews>
    <sheetView topLeftCell="A11" zoomScale="132" zoomScaleNormal="88" workbookViewId="0">
      <selection activeCell="D25" sqref="D25"/>
    </sheetView>
  </sheetViews>
  <sheetFormatPr baseColWidth="10" defaultColWidth="8.83203125" defaultRowHeight="15" x14ac:dyDescent="0.2"/>
  <cols>
    <col min="2" max="2" width="11.83203125" bestFit="1" customWidth="1"/>
    <col min="3" max="3" width="8.5" bestFit="1" customWidth="1"/>
    <col min="4" max="4" width="16.5" customWidth="1"/>
    <col min="5" max="5" width="14.83203125" customWidth="1"/>
  </cols>
  <sheetData>
    <row r="1" spans="2:5" x14ac:dyDescent="0.2">
      <c r="C1" s="37" t="s">
        <v>26</v>
      </c>
      <c r="D1" s="37" t="s">
        <v>137</v>
      </c>
    </row>
    <row r="2" spans="2:5" x14ac:dyDescent="0.2">
      <c r="C2" s="43" t="s">
        <v>119</v>
      </c>
      <c r="D2" s="3" t="s">
        <v>128</v>
      </c>
    </row>
    <row r="3" spans="2:5" x14ac:dyDescent="0.2">
      <c r="C3" s="43" t="s">
        <v>120</v>
      </c>
      <c r="D3" s="3" t="s">
        <v>129</v>
      </c>
    </row>
    <row r="4" spans="2:5" x14ac:dyDescent="0.2">
      <c r="C4" s="43" t="s">
        <v>121</v>
      </c>
      <c r="D4" s="3" t="s">
        <v>130</v>
      </c>
    </row>
    <row r="5" spans="2:5" x14ac:dyDescent="0.2">
      <c r="C5" s="43" t="s">
        <v>122</v>
      </c>
      <c r="D5" s="3" t="s">
        <v>131</v>
      </c>
    </row>
    <row r="6" spans="2:5" x14ac:dyDescent="0.2">
      <c r="C6" s="43" t="s">
        <v>123</v>
      </c>
      <c r="D6" s="3" t="s">
        <v>132</v>
      </c>
    </row>
    <row r="7" spans="2:5" x14ac:dyDescent="0.2">
      <c r="C7" s="43" t="s">
        <v>124</v>
      </c>
      <c r="D7" s="3" t="s">
        <v>133</v>
      </c>
    </row>
    <row r="8" spans="2:5" x14ac:dyDescent="0.2">
      <c r="C8" s="43" t="s">
        <v>125</v>
      </c>
      <c r="D8" s="3" t="s">
        <v>134</v>
      </c>
    </row>
    <row r="9" spans="2:5" x14ac:dyDescent="0.2">
      <c r="C9" s="43" t="s">
        <v>126</v>
      </c>
      <c r="D9" s="3" t="s">
        <v>135</v>
      </c>
    </row>
    <row r="10" spans="2:5" x14ac:dyDescent="0.2">
      <c r="C10" s="43" t="s">
        <v>127</v>
      </c>
      <c r="D10" s="3" t="s">
        <v>136</v>
      </c>
    </row>
    <row r="13" spans="2:5" x14ac:dyDescent="0.2">
      <c r="B13" s="102" t="s">
        <v>139</v>
      </c>
      <c r="C13" s="102"/>
      <c r="D13" s="102"/>
      <c r="E13" s="102"/>
    </row>
    <row r="14" spans="2:5" x14ac:dyDescent="0.2">
      <c r="B14" s="101" t="s">
        <v>138</v>
      </c>
      <c r="C14" s="101"/>
      <c r="D14" s="101"/>
      <c r="E14" s="101"/>
    </row>
    <row r="17" spans="2:6" x14ac:dyDescent="0.2">
      <c r="B17" s="103" t="s">
        <v>140</v>
      </c>
      <c r="C17" s="103"/>
      <c r="D17" s="103"/>
      <c r="E17" s="103"/>
    </row>
    <row r="18" spans="2:6" x14ac:dyDescent="0.2">
      <c r="B18" s="37" t="s">
        <v>143</v>
      </c>
      <c r="C18" s="37" t="s">
        <v>144</v>
      </c>
      <c r="D18" s="100" t="s">
        <v>145</v>
      </c>
      <c r="E18" s="100"/>
    </row>
    <row r="19" spans="2:6" x14ac:dyDescent="0.2">
      <c r="B19" s="6" t="s">
        <v>89</v>
      </c>
      <c r="C19" s="6" t="s">
        <v>84</v>
      </c>
      <c r="D19" s="101" t="s">
        <v>146</v>
      </c>
      <c r="E19" s="101"/>
    </row>
    <row r="20" spans="2:6" x14ac:dyDescent="0.2">
      <c r="B20" s="6" t="s">
        <v>89</v>
      </c>
      <c r="C20" s="6" t="s">
        <v>85</v>
      </c>
      <c r="D20" s="101" t="s">
        <v>147</v>
      </c>
      <c r="E20" s="101"/>
    </row>
    <row r="21" spans="2:6" x14ac:dyDescent="0.2">
      <c r="B21" s="6" t="s">
        <v>89</v>
      </c>
      <c r="C21" s="6" t="s">
        <v>86</v>
      </c>
      <c r="D21" s="101" t="s">
        <v>148</v>
      </c>
      <c r="E21" s="101"/>
    </row>
    <row r="22" spans="2:6" x14ac:dyDescent="0.2">
      <c r="B22" s="6" t="s">
        <v>88</v>
      </c>
      <c r="C22" s="6" t="s">
        <v>81</v>
      </c>
      <c r="D22" s="101" t="s">
        <v>149</v>
      </c>
      <c r="E22" s="101"/>
    </row>
    <row r="23" spans="2:6" x14ac:dyDescent="0.2">
      <c r="B23" s="6" t="s">
        <v>88</v>
      </c>
      <c r="C23" s="6" t="s">
        <v>82</v>
      </c>
      <c r="D23" s="101" t="s">
        <v>150</v>
      </c>
      <c r="E23" s="101"/>
    </row>
    <row r="24" spans="2:6" x14ac:dyDescent="0.2">
      <c r="B24" s="6" t="s">
        <v>88</v>
      </c>
      <c r="C24" s="6" t="s">
        <v>83</v>
      </c>
      <c r="D24" s="101" t="s">
        <v>151</v>
      </c>
      <c r="E24" s="101"/>
    </row>
    <row r="25" spans="2:6" x14ac:dyDescent="0.2">
      <c r="B25" s="6" t="s">
        <v>141</v>
      </c>
      <c r="C25" s="6" t="s">
        <v>142</v>
      </c>
      <c r="D25" s="101" t="s">
        <v>152</v>
      </c>
      <c r="E25" s="101"/>
    </row>
    <row r="28" spans="2:6" x14ac:dyDescent="0.2">
      <c r="B28" s="104" t="s">
        <v>162</v>
      </c>
      <c r="C28" s="105"/>
      <c r="D28" s="105"/>
      <c r="E28" s="105"/>
      <c r="F28" s="106"/>
    </row>
    <row r="29" spans="2:6" x14ac:dyDescent="0.2">
      <c r="B29" s="37" t="s">
        <v>143</v>
      </c>
      <c r="C29" s="37" t="s">
        <v>144</v>
      </c>
      <c r="D29" s="107" t="s">
        <v>145</v>
      </c>
      <c r="E29" s="108"/>
      <c r="F29" s="109"/>
    </row>
    <row r="30" spans="2:6" x14ac:dyDescent="0.2">
      <c r="B30" s="6" t="s">
        <v>89</v>
      </c>
      <c r="C30" s="6" t="s">
        <v>84</v>
      </c>
      <c r="D30" s="110" t="s">
        <v>153</v>
      </c>
      <c r="E30" s="111"/>
      <c r="F30" s="112"/>
    </row>
    <row r="31" spans="2:6" x14ac:dyDescent="0.2">
      <c r="B31" s="6" t="s">
        <v>89</v>
      </c>
      <c r="C31" s="6" t="s">
        <v>85</v>
      </c>
      <c r="D31" s="110" t="s">
        <v>154</v>
      </c>
      <c r="E31" s="111"/>
      <c r="F31" s="112"/>
    </row>
    <row r="32" spans="2:6" x14ac:dyDescent="0.2">
      <c r="B32" s="6" t="s">
        <v>89</v>
      </c>
      <c r="C32" s="6" t="s">
        <v>86</v>
      </c>
      <c r="D32" s="110" t="s">
        <v>155</v>
      </c>
      <c r="E32" s="111"/>
      <c r="F32" s="112"/>
    </row>
    <row r="33" spans="2:7" x14ac:dyDescent="0.2">
      <c r="B33" s="6" t="s">
        <v>88</v>
      </c>
      <c r="C33" s="6" t="s">
        <v>81</v>
      </c>
      <c r="D33" s="110" t="s">
        <v>156</v>
      </c>
      <c r="E33" s="111"/>
      <c r="F33" s="112"/>
    </row>
    <row r="34" spans="2:7" x14ac:dyDescent="0.2">
      <c r="B34" s="6" t="s">
        <v>88</v>
      </c>
      <c r="C34" s="6" t="s">
        <v>82</v>
      </c>
      <c r="D34" s="110" t="s">
        <v>157</v>
      </c>
      <c r="E34" s="111"/>
      <c r="F34" s="112"/>
    </row>
    <row r="35" spans="2:7" x14ac:dyDescent="0.2">
      <c r="B35" s="6" t="s">
        <v>88</v>
      </c>
      <c r="C35" s="6" t="s">
        <v>83</v>
      </c>
      <c r="D35" s="110" t="s">
        <v>158</v>
      </c>
      <c r="E35" s="111"/>
      <c r="F35" s="112"/>
    </row>
    <row r="36" spans="2:7" x14ac:dyDescent="0.2">
      <c r="B36" s="6" t="s">
        <v>141</v>
      </c>
      <c r="C36" s="6" t="s">
        <v>142</v>
      </c>
      <c r="D36" s="110" t="s">
        <v>159</v>
      </c>
      <c r="E36" s="111"/>
      <c r="F36" s="112"/>
    </row>
    <row r="39" spans="2:7" x14ac:dyDescent="0.2">
      <c r="B39" s="113" t="s">
        <v>161</v>
      </c>
      <c r="C39" s="113"/>
      <c r="D39" s="113"/>
      <c r="E39" s="113"/>
      <c r="F39" s="113"/>
      <c r="G39" s="113"/>
    </row>
    <row r="40" spans="2:7" x14ac:dyDescent="0.2">
      <c r="B40" s="101" t="s">
        <v>160</v>
      </c>
      <c r="C40" s="101"/>
      <c r="D40" s="101"/>
      <c r="E40" s="101"/>
      <c r="F40" s="101"/>
      <c r="G40" s="101"/>
    </row>
  </sheetData>
  <mergeCells count="22">
    <mergeCell ref="B40:G40"/>
    <mergeCell ref="B39:G39"/>
    <mergeCell ref="D36:F36"/>
    <mergeCell ref="D33:F33"/>
    <mergeCell ref="D34:F34"/>
    <mergeCell ref="D35:F35"/>
    <mergeCell ref="B28:F28"/>
    <mergeCell ref="D29:F29"/>
    <mergeCell ref="D30:F30"/>
    <mergeCell ref="D31:F31"/>
    <mergeCell ref="D32:F32"/>
    <mergeCell ref="B14:E14"/>
    <mergeCell ref="B13:E13"/>
    <mergeCell ref="B17:E17"/>
    <mergeCell ref="D19:E19"/>
    <mergeCell ref="D20:E20"/>
    <mergeCell ref="D18:E18"/>
    <mergeCell ref="D21:E21"/>
    <mergeCell ref="D22:E22"/>
    <mergeCell ref="D23:E23"/>
    <mergeCell ref="D24:E24"/>
    <mergeCell ref="D25:E2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72ED1-B90B-4BBA-91EF-C63760BAE750}">
  <sheetPr>
    <tabColor theme="4"/>
  </sheetPr>
  <dimension ref="A1:I16"/>
  <sheetViews>
    <sheetView zoomScale="77" zoomScaleNormal="77" workbookViewId="0">
      <selection activeCell="D25" sqref="D25"/>
    </sheetView>
  </sheetViews>
  <sheetFormatPr baseColWidth="10" defaultColWidth="8.83203125" defaultRowHeight="15" x14ac:dyDescent="0.2"/>
  <cols>
    <col min="1" max="1" width="15.1640625" bestFit="1" customWidth="1"/>
    <col min="7" max="7" width="15.5" bestFit="1" customWidth="1"/>
  </cols>
  <sheetData>
    <row r="1" spans="1:9" x14ac:dyDescent="0.2">
      <c r="A1" s="6" t="s">
        <v>26</v>
      </c>
      <c r="B1" s="6" t="s">
        <v>91</v>
      </c>
      <c r="C1" s="6" t="s">
        <v>92</v>
      </c>
      <c r="D1" s="6" t="s">
        <v>93</v>
      </c>
      <c r="E1" s="6" t="s">
        <v>94</v>
      </c>
      <c r="F1" s="6" t="s">
        <v>95</v>
      </c>
      <c r="G1" s="6" t="s">
        <v>97</v>
      </c>
    </row>
    <row r="2" spans="1:9" x14ac:dyDescent="0.2">
      <c r="A2" s="32" t="s">
        <v>96</v>
      </c>
      <c r="B2" s="33">
        <v>48</v>
      </c>
      <c r="C2" s="33">
        <v>31</v>
      </c>
      <c r="D2" s="33">
        <v>39</v>
      </c>
      <c r="E2" s="33">
        <v>43</v>
      </c>
      <c r="F2" s="33">
        <v>15</v>
      </c>
      <c r="G2" s="6"/>
    </row>
    <row r="3" spans="1:9" x14ac:dyDescent="0.2">
      <c r="A3" s="32" t="s">
        <v>29</v>
      </c>
      <c r="B3" s="6">
        <v>170</v>
      </c>
      <c r="C3" s="6">
        <v>160</v>
      </c>
      <c r="D3" s="6">
        <v>175</v>
      </c>
      <c r="E3" s="6">
        <v>180</v>
      </c>
      <c r="F3" s="6">
        <v>195</v>
      </c>
      <c r="G3" s="33">
        <f>SUMPRODUCT(B2:F2,B3:F3)</f>
        <v>30610</v>
      </c>
    </row>
    <row r="4" spans="1:9" x14ac:dyDescent="0.2">
      <c r="A4" s="31"/>
    </row>
    <row r="5" spans="1:9" x14ac:dyDescent="0.2">
      <c r="A5" s="31"/>
    </row>
    <row r="6" spans="1:9" x14ac:dyDescent="0.2">
      <c r="A6" s="32" t="s">
        <v>30</v>
      </c>
      <c r="B6" s="6"/>
      <c r="C6" s="6"/>
      <c r="D6" s="6"/>
      <c r="E6" s="6"/>
      <c r="F6" s="6"/>
      <c r="G6" s="6" t="s">
        <v>32</v>
      </c>
      <c r="H6" s="6"/>
      <c r="I6" s="6" t="s">
        <v>34</v>
      </c>
    </row>
    <row r="7" spans="1:9" x14ac:dyDescent="0.2">
      <c r="A7" s="32">
        <v>0.25</v>
      </c>
      <c r="B7" s="6">
        <v>1</v>
      </c>
      <c r="C7" s="6"/>
      <c r="D7" s="6"/>
      <c r="E7" s="6"/>
      <c r="F7" s="6"/>
      <c r="G7" s="33">
        <f>SUMPRODUCT(B7:F7,$B$2:$F$2)</f>
        <v>48</v>
      </c>
      <c r="H7" s="6" t="s">
        <v>42</v>
      </c>
      <c r="I7" s="6">
        <v>48</v>
      </c>
    </row>
    <row r="8" spans="1:9" x14ac:dyDescent="0.2">
      <c r="A8" s="32">
        <v>0.33333333333333331</v>
      </c>
      <c r="B8" s="6">
        <v>1</v>
      </c>
      <c r="C8" s="6">
        <v>1</v>
      </c>
      <c r="D8" s="6"/>
      <c r="E8" s="6"/>
      <c r="F8" s="6"/>
      <c r="G8" s="33">
        <f>SUMPRODUCT(B8:F8,$B$2:$F$2)</f>
        <v>79</v>
      </c>
      <c r="H8" s="6" t="s">
        <v>42</v>
      </c>
      <c r="I8" s="6">
        <v>79</v>
      </c>
    </row>
    <row r="9" spans="1:9" x14ac:dyDescent="0.2">
      <c r="A9" s="32">
        <v>0.41666666666666702</v>
      </c>
      <c r="B9" s="6">
        <v>1</v>
      </c>
      <c r="C9" s="6">
        <v>1</v>
      </c>
      <c r="D9" s="6"/>
      <c r="E9" s="6"/>
      <c r="F9" s="6"/>
      <c r="G9" s="33">
        <f t="shared" ref="G9:G16" si="0">SUMPRODUCT(B9:F9,$B$2:$F$2)</f>
        <v>79</v>
      </c>
      <c r="H9" s="6" t="s">
        <v>42</v>
      </c>
      <c r="I9" s="6">
        <v>65</v>
      </c>
    </row>
    <row r="10" spans="1:9" x14ac:dyDescent="0.2">
      <c r="A10" s="32">
        <v>0.5</v>
      </c>
      <c r="B10" s="6">
        <v>1</v>
      </c>
      <c r="C10" s="6">
        <v>1</v>
      </c>
      <c r="D10" s="6">
        <v>1</v>
      </c>
      <c r="E10" s="6"/>
      <c r="F10" s="6"/>
      <c r="G10" s="33">
        <f t="shared" si="0"/>
        <v>118</v>
      </c>
      <c r="H10" s="6" t="s">
        <v>42</v>
      </c>
      <c r="I10" s="6">
        <v>87</v>
      </c>
    </row>
    <row r="11" spans="1:9" x14ac:dyDescent="0.2">
      <c r="A11" s="32">
        <v>0.58333333333333304</v>
      </c>
      <c r="B11" s="6"/>
      <c r="C11" s="6">
        <v>1</v>
      </c>
      <c r="D11" s="6">
        <v>1</v>
      </c>
      <c r="E11" s="6"/>
      <c r="F11" s="6"/>
      <c r="G11" s="33">
        <f t="shared" si="0"/>
        <v>70</v>
      </c>
      <c r="H11" s="6" t="s">
        <v>42</v>
      </c>
      <c r="I11" s="6">
        <v>64</v>
      </c>
    </row>
    <row r="12" spans="1:9" x14ac:dyDescent="0.2">
      <c r="A12" s="32">
        <v>0.66666666666666696</v>
      </c>
      <c r="B12" s="6"/>
      <c r="C12" s="6"/>
      <c r="D12" s="6">
        <v>1</v>
      </c>
      <c r="E12" s="6">
        <v>1</v>
      </c>
      <c r="F12" s="6"/>
      <c r="G12" s="33">
        <f t="shared" si="0"/>
        <v>82</v>
      </c>
      <c r="H12" s="6" t="s">
        <v>42</v>
      </c>
      <c r="I12" s="6">
        <v>73</v>
      </c>
    </row>
    <row r="13" spans="1:9" x14ac:dyDescent="0.2">
      <c r="A13" s="32">
        <v>0.75</v>
      </c>
      <c r="B13" s="6"/>
      <c r="C13" s="6"/>
      <c r="D13" s="6">
        <v>1</v>
      </c>
      <c r="E13" s="6">
        <v>1</v>
      </c>
      <c r="F13" s="6"/>
      <c r="G13" s="33">
        <f t="shared" si="0"/>
        <v>82</v>
      </c>
      <c r="H13" s="6" t="s">
        <v>42</v>
      </c>
      <c r="I13" s="6">
        <v>82</v>
      </c>
    </row>
    <row r="14" spans="1:9" x14ac:dyDescent="0.2">
      <c r="A14" s="32">
        <v>0.83333333333333304</v>
      </c>
      <c r="B14" s="6"/>
      <c r="C14" s="6"/>
      <c r="D14" s="6"/>
      <c r="E14" s="6">
        <v>1</v>
      </c>
      <c r="F14" s="6"/>
      <c r="G14" s="33">
        <f>SUMPRODUCT(B14:F14,$B$2:$F$2)</f>
        <v>43</v>
      </c>
      <c r="H14" s="6" t="s">
        <v>42</v>
      </c>
      <c r="I14" s="6">
        <v>43</v>
      </c>
    </row>
    <row r="15" spans="1:9" x14ac:dyDescent="0.2">
      <c r="A15" s="32">
        <v>0.91666666666666696</v>
      </c>
      <c r="B15" s="6"/>
      <c r="C15" s="6"/>
      <c r="D15" s="6"/>
      <c r="E15" s="6">
        <v>1</v>
      </c>
      <c r="F15" s="6">
        <v>1</v>
      </c>
      <c r="G15" s="33">
        <f t="shared" si="0"/>
        <v>58</v>
      </c>
      <c r="H15" s="6" t="s">
        <v>42</v>
      </c>
      <c r="I15" s="6">
        <v>52</v>
      </c>
    </row>
    <row r="16" spans="1:9" x14ac:dyDescent="0.2">
      <c r="A16" s="32">
        <v>1</v>
      </c>
      <c r="B16" s="6"/>
      <c r="C16" s="6"/>
      <c r="D16" s="6"/>
      <c r="E16" s="6"/>
      <c r="F16" s="6">
        <v>1</v>
      </c>
      <c r="G16" s="33">
        <f t="shared" si="0"/>
        <v>15</v>
      </c>
      <c r="H16" s="6" t="s">
        <v>42</v>
      </c>
      <c r="I16" s="6">
        <v>15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AEF90-52B8-4018-BDAF-F87D8A61D33F}">
  <sheetPr>
    <tabColor theme="4"/>
  </sheetPr>
  <dimension ref="A3:H15"/>
  <sheetViews>
    <sheetView workbookViewId="0">
      <selection activeCell="D25" sqref="D25"/>
    </sheetView>
  </sheetViews>
  <sheetFormatPr baseColWidth="10" defaultColWidth="8.83203125" defaultRowHeight="15" x14ac:dyDescent="0.2"/>
  <cols>
    <col min="2" max="2" width="14.83203125" bestFit="1" customWidth="1"/>
    <col min="3" max="5" width="9.5" bestFit="1" customWidth="1"/>
    <col min="6" max="6" width="10.1640625" bestFit="1" customWidth="1"/>
  </cols>
  <sheetData>
    <row r="3" spans="1:8" x14ac:dyDescent="0.2">
      <c r="B3" s="6" t="s">
        <v>104</v>
      </c>
      <c r="C3" s="6" t="s">
        <v>101</v>
      </c>
      <c r="D3" s="6" t="s">
        <v>102</v>
      </c>
      <c r="E3" s="6" t="s">
        <v>103</v>
      </c>
      <c r="F3" s="6"/>
    </row>
    <row r="4" spans="1:8" x14ac:dyDescent="0.2">
      <c r="B4" s="6" t="s">
        <v>100</v>
      </c>
      <c r="C4" s="6">
        <v>11</v>
      </c>
      <c r="D4" s="6">
        <v>14</v>
      </c>
      <c r="E4" s="6">
        <v>6</v>
      </c>
      <c r="F4" s="6"/>
    </row>
    <row r="5" spans="1:8" x14ac:dyDescent="0.2">
      <c r="B5" s="6" t="s">
        <v>98</v>
      </c>
      <c r="C5" s="6">
        <v>8</v>
      </c>
      <c r="D5" s="6">
        <v>10</v>
      </c>
      <c r="E5" s="6">
        <v>11</v>
      </c>
      <c r="F5" s="6" t="s">
        <v>105</v>
      </c>
    </row>
    <row r="6" spans="1:8" x14ac:dyDescent="0.2">
      <c r="B6" s="6" t="s">
        <v>99</v>
      </c>
      <c r="C6" s="6">
        <v>9</v>
      </c>
      <c r="D6" s="6">
        <v>12</v>
      </c>
      <c r="E6" s="6">
        <v>7</v>
      </c>
      <c r="F6" s="33">
        <f>SUMPRODUCT(C4:E6,C10:E12)</f>
        <v>25</v>
      </c>
    </row>
    <row r="9" spans="1:8" x14ac:dyDescent="0.2">
      <c r="B9" s="6"/>
      <c r="C9" s="6" t="s">
        <v>101</v>
      </c>
      <c r="D9" s="6" t="s">
        <v>102</v>
      </c>
      <c r="E9" s="6" t="s">
        <v>103</v>
      </c>
      <c r="F9" s="17" t="s">
        <v>32</v>
      </c>
      <c r="G9" s="6"/>
      <c r="H9" s="17" t="s">
        <v>34</v>
      </c>
    </row>
    <row r="10" spans="1:8" x14ac:dyDescent="0.2">
      <c r="B10" s="6" t="s">
        <v>100</v>
      </c>
      <c r="C10" s="26">
        <v>0</v>
      </c>
      <c r="D10" s="26">
        <v>0</v>
      </c>
      <c r="E10" s="26">
        <v>1</v>
      </c>
      <c r="F10" s="6">
        <f>SUM(C10:E10)</f>
        <v>1</v>
      </c>
      <c r="G10" s="3" t="s">
        <v>90</v>
      </c>
      <c r="H10" s="6">
        <v>1</v>
      </c>
    </row>
    <row r="11" spans="1:8" x14ac:dyDescent="0.2">
      <c r="B11" s="6" t="s">
        <v>98</v>
      </c>
      <c r="C11" s="26">
        <v>0</v>
      </c>
      <c r="D11" s="26">
        <v>1</v>
      </c>
      <c r="E11" s="26">
        <v>0</v>
      </c>
      <c r="F11" s="6">
        <f>SUM(C11:E11)</f>
        <v>1</v>
      </c>
      <c r="G11" s="3" t="s">
        <v>90</v>
      </c>
      <c r="H11" s="6">
        <v>1</v>
      </c>
    </row>
    <row r="12" spans="1:8" x14ac:dyDescent="0.2">
      <c r="B12" s="6" t="s">
        <v>99</v>
      </c>
      <c r="C12" s="26">
        <v>1</v>
      </c>
      <c r="D12" s="26">
        <v>0</v>
      </c>
      <c r="E12" s="26">
        <v>0</v>
      </c>
      <c r="F12" s="6">
        <f t="shared" ref="F12" si="0">SUM(C12:E12)</f>
        <v>1</v>
      </c>
      <c r="G12" s="3" t="s">
        <v>90</v>
      </c>
      <c r="H12" s="6">
        <v>1</v>
      </c>
    </row>
    <row r="13" spans="1:8" x14ac:dyDescent="0.2">
      <c r="A13" s="17" t="s">
        <v>32</v>
      </c>
      <c r="B13" s="8" t="s">
        <v>106</v>
      </c>
      <c r="C13" s="35">
        <f>SUM(C10:C12)</f>
        <v>1</v>
      </c>
      <c r="D13" s="35">
        <f>SUM(D10:D12)</f>
        <v>1</v>
      </c>
      <c r="E13" s="35">
        <f>SUM(E10:E12)</f>
        <v>1</v>
      </c>
    </row>
    <row r="14" spans="1:8" x14ac:dyDescent="0.2">
      <c r="A14" s="6"/>
      <c r="B14" s="8"/>
      <c r="C14" s="36" t="s">
        <v>90</v>
      </c>
      <c r="D14" s="36" t="s">
        <v>90</v>
      </c>
      <c r="E14" s="36" t="s">
        <v>90</v>
      </c>
    </row>
    <row r="15" spans="1:8" x14ac:dyDescent="0.2">
      <c r="A15" s="17" t="s">
        <v>34</v>
      </c>
      <c r="B15" s="6" t="s">
        <v>107</v>
      </c>
      <c r="C15" s="6">
        <v>1</v>
      </c>
      <c r="D15" s="6">
        <v>1</v>
      </c>
      <c r="E15" s="6">
        <v>1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3C0-F3B1-42F1-883C-4A98D6AA9E70}">
  <sheetPr>
    <tabColor theme="4"/>
  </sheetPr>
  <dimension ref="A1:K54"/>
  <sheetViews>
    <sheetView zoomScale="82" zoomScaleNormal="82" workbookViewId="0">
      <selection activeCell="D25" sqref="D25"/>
    </sheetView>
  </sheetViews>
  <sheetFormatPr baseColWidth="10" defaultColWidth="8.83203125" defaultRowHeight="15" x14ac:dyDescent="0.2"/>
  <cols>
    <col min="2" max="2" width="13.5" bestFit="1" customWidth="1"/>
    <col min="3" max="3" width="16.5" bestFit="1" customWidth="1"/>
    <col min="4" max="4" width="18.5" bestFit="1" customWidth="1"/>
    <col min="5" max="5" width="13.83203125" bestFit="1" customWidth="1"/>
    <col min="6" max="6" width="22.5" bestFit="1" customWidth="1"/>
  </cols>
  <sheetData>
    <row r="1" spans="2:6" x14ac:dyDescent="0.2">
      <c r="B1" s="47" t="s">
        <v>163</v>
      </c>
      <c r="C1" s="47" t="s">
        <v>164</v>
      </c>
      <c r="D1" s="47" t="s">
        <v>165</v>
      </c>
      <c r="E1" s="47" t="s">
        <v>166</v>
      </c>
      <c r="F1" s="47" t="s">
        <v>167</v>
      </c>
    </row>
    <row r="2" spans="2:6" x14ac:dyDescent="0.2">
      <c r="B2" s="3" t="s">
        <v>109</v>
      </c>
      <c r="C2" s="3">
        <v>10000</v>
      </c>
      <c r="D2" s="3" t="s">
        <v>83</v>
      </c>
      <c r="E2" s="3">
        <v>15000</v>
      </c>
      <c r="F2" s="3">
        <v>48</v>
      </c>
    </row>
    <row r="3" spans="2:6" x14ac:dyDescent="0.2">
      <c r="B3" s="3" t="s">
        <v>168</v>
      </c>
      <c r="C3" s="3">
        <v>12000</v>
      </c>
      <c r="D3" s="3" t="s">
        <v>169</v>
      </c>
      <c r="E3" s="3">
        <v>6000</v>
      </c>
      <c r="F3" s="3">
        <v>50</v>
      </c>
    </row>
    <row r="4" spans="2:6" x14ac:dyDescent="0.2">
      <c r="B4" s="3" t="s">
        <v>112</v>
      </c>
      <c r="C4" s="3">
        <v>15000</v>
      </c>
      <c r="D4" s="1" t="s">
        <v>82</v>
      </c>
      <c r="E4" s="3">
        <v>14000</v>
      </c>
      <c r="F4" s="3">
        <v>52</v>
      </c>
    </row>
    <row r="5" spans="2:6" x14ac:dyDescent="0.2">
      <c r="B5" s="3" t="s">
        <v>170</v>
      </c>
      <c r="C5" s="3">
        <v>9000</v>
      </c>
      <c r="D5" s="28"/>
      <c r="E5" s="28"/>
      <c r="F5" s="28"/>
    </row>
    <row r="8" spans="2:6" x14ac:dyDescent="0.2">
      <c r="B8" s="118" t="s">
        <v>171</v>
      </c>
      <c r="C8" s="118"/>
      <c r="D8" s="118"/>
      <c r="E8" s="118"/>
    </row>
    <row r="9" spans="2:6" x14ac:dyDescent="0.2">
      <c r="C9" s="8" t="s">
        <v>81</v>
      </c>
      <c r="D9" s="48">
        <v>53</v>
      </c>
    </row>
    <row r="10" spans="2:6" x14ac:dyDescent="0.2">
      <c r="C10" s="6" t="s">
        <v>85</v>
      </c>
      <c r="D10" s="49">
        <v>49</v>
      </c>
    </row>
    <row r="13" spans="2:6" x14ac:dyDescent="0.2">
      <c r="B13" s="119" t="s">
        <v>172</v>
      </c>
      <c r="C13" s="119"/>
      <c r="D13" s="119"/>
      <c r="E13" s="119"/>
    </row>
    <row r="14" spans="2:6" x14ac:dyDescent="0.2">
      <c r="C14" s="120">
        <f>SUM(C2:C5)-SUM(E2:E4)</f>
        <v>11000</v>
      </c>
      <c r="D14" s="120"/>
    </row>
    <row r="17" spans="1:11" x14ac:dyDescent="0.2">
      <c r="B17" s="114" t="s">
        <v>173</v>
      </c>
      <c r="C17" s="115"/>
      <c r="D17" s="115"/>
      <c r="E17" s="115"/>
      <c r="F17" s="115"/>
      <c r="G17" s="115"/>
    </row>
    <row r="18" spans="1:11" x14ac:dyDescent="0.2">
      <c r="B18" s="50" t="s">
        <v>174</v>
      </c>
      <c r="C18" s="50" t="s">
        <v>109</v>
      </c>
      <c r="D18" s="50" t="s">
        <v>168</v>
      </c>
      <c r="E18" s="50" t="s">
        <v>112</v>
      </c>
      <c r="F18" s="50" t="s">
        <v>170</v>
      </c>
      <c r="G18" s="50" t="s">
        <v>27</v>
      </c>
    </row>
    <row r="19" spans="1:11" x14ac:dyDescent="0.2">
      <c r="B19" s="50" t="s">
        <v>175</v>
      </c>
      <c r="C19" s="54">
        <f>25+$F$2</f>
        <v>73</v>
      </c>
      <c r="D19" s="54">
        <f>55+$F$2</f>
        <v>103</v>
      </c>
      <c r="E19" s="54">
        <f>40+$F$2</f>
        <v>88</v>
      </c>
      <c r="F19" s="54">
        <f>60+$F$2</f>
        <v>108</v>
      </c>
      <c r="G19" s="3"/>
    </row>
    <row r="20" spans="1:11" x14ac:dyDescent="0.2">
      <c r="B20" s="50" t="s">
        <v>176</v>
      </c>
      <c r="C20" s="54">
        <f>35+$F$3</f>
        <v>85</v>
      </c>
      <c r="D20" s="54">
        <f>30+$F$3</f>
        <v>80</v>
      </c>
      <c r="E20" s="54">
        <f>50+$F$3</f>
        <v>100</v>
      </c>
      <c r="F20" s="54">
        <f>40+$F$3</f>
        <v>90</v>
      </c>
      <c r="G20" s="3"/>
    </row>
    <row r="21" spans="1:11" x14ac:dyDescent="0.2">
      <c r="B21" s="50" t="s">
        <v>82</v>
      </c>
      <c r="C21" s="54">
        <f>36+$F$4</f>
        <v>88</v>
      </c>
      <c r="D21" s="54">
        <f>45+$F$4</f>
        <v>97</v>
      </c>
      <c r="E21" s="54">
        <f>26+$F$4</f>
        <v>78</v>
      </c>
      <c r="F21" s="54">
        <f>66+$F$4</f>
        <v>118</v>
      </c>
      <c r="G21" s="3"/>
    </row>
    <row r="22" spans="1:11" x14ac:dyDescent="0.2">
      <c r="B22" s="50" t="s">
        <v>81</v>
      </c>
      <c r="C22" s="53">
        <f>60+$D$9</f>
        <v>113</v>
      </c>
      <c r="D22" s="53">
        <f>38+$D$9</f>
        <v>91</v>
      </c>
      <c r="E22" s="53">
        <f>65+$D$9</f>
        <v>118</v>
      </c>
      <c r="F22" s="53">
        <f>27+$D$9</f>
        <v>80</v>
      </c>
      <c r="G22" s="50">
        <f>SUMPRODUCT(C28:F31,C19:F22)</f>
        <v>3704000</v>
      </c>
    </row>
    <row r="25" spans="1:11" x14ac:dyDescent="0.2">
      <c r="B25" s="116" t="s">
        <v>177</v>
      </c>
      <c r="C25" s="116"/>
      <c r="D25" s="116"/>
      <c r="E25" s="116"/>
      <c r="F25" s="116"/>
      <c r="G25" s="116"/>
      <c r="H25" s="116"/>
      <c r="I25" s="116"/>
      <c r="J25" s="51"/>
      <c r="K25" s="51"/>
    </row>
    <row r="26" spans="1:11" x14ac:dyDescent="0.2">
      <c r="B26" s="117" t="s">
        <v>178</v>
      </c>
      <c r="C26" s="117"/>
      <c r="D26" s="117"/>
      <c r="E26" s="117"/>
      <c r="F26" s="117"/>
      <c r="G26" s="117"/>
      <c r="H26" s="117"/>
      <c r="I26" s="117"/>
    </row>
    <row r="27" spans="1:11" x14ac:dyDescent="0.2">
      <c r="B27" s="50" t="s">
        <v>174</v>
      </c>
      <c r="C27" s="50" t="s">
        <v>109</v>
      </c>
      <c r="D27" s="50" t="s">
        <v>168</v>
      </c>
      <c r="E27" s="50" t="s">
        <v>112</v>
      </c>
      <c r="F27" s="50" t="s">
        <v>170</v>
      </c>
      <c r="G27" s="50" t="s">
        <v>32</v>
      </c>
      <c r="H27" s="6"/>
      <c r="I27" s="50" t="s">
        <v>34</v>
      </c>
    </row>
    <row r="28" spans="1:11" x14ac:dyDescent="0.2">
      <c r="B28" s="50" t="s">
        <v>175</v>
      </c>
      <c r="C28" s="3">
        <v>10000</v>
      </c>
      <c r="D28" s="3">
        <v>4000</v>
      </c>
      <c r="E28" s="3">
        <v>1000</v>
      </c>
      <c r="F28" s="3">
        <v>0</v>
      </c>
      <c r="G28" s="6">
        <f>SUM(C28:F28)</f>
        <v>15000</v>
      </c>
      <c r="H28" s="3" t="s">
        <v>33</v>
      </c>
      <c r="I28" s="6">
        <f>E2</f>
        <v>15000</v>
      </c>
    </row>
    <row r="29" spans="1:11" x14ac:dyDescent="0.2">
      <c r="B29" s="50" t="s">
        <v>176</v>
      </c>
      <c r="C29" s="3">
        <v>0</v>
      </c>
      <c r="D29" s="3">
        <v>6000</v>
      </c>
      <c r="E29" s="3">
        <v>0</v>
      </c>
      <c r="F29" s="3">
        <v>0</v>
      </c>
      <c r="G29" s="6">
        <f t="shared" ref="G29:G31" si="0">SUM(C29:F29)</f>
        <v>6000</v>
      </c>
      <c r="H29" s="3" t="s">
        <v>33</v>
      </c>
      <c r="I29" s="6">
        <f>E3</f>
        <v>6000</v>
      </c>
    </row>
    <row r="30" spans="1:11" x14ac:dyDescent="0.2">
      <c r="B30" s="50" t="s">
        <v>82</v>
      </c>
      <c r="C30" s="3">
        <v>0</v>
      </c>
      <c r="D30" s="3">
        <v>0</v>
      </c>
      <c r="E30" s="3">
        <v>14000</v>
      </c>
      <c r="F30" s="3">
        <v>0</v>
      </c>
      <c r="G30" s="6">
        <f t="shared" si="0"/>
        <v>14000</v>
      </c>
      <c r="H30" s="3" t="s">
        <v>33</v>
      </c>
      <c r="I30" s="6">
        <f>E4</f>
        <v>14000</v>
      </c>
    </row>
    <row r="31" spans="1:11" x14ac:dyDescent="0.2">
      <c r="B31" s="50" t="s">
        <v>81</v>
      </c>
      <c r="C31" s="3">
        <v>0</v>
      </c>
      <c r="D31" s="3">
        <v>2000</v>
      </c>
      <c r="E31" s="3">
        <v>0</v>
      </c>
      <c r="F31" s="3">
        <v>9000</v>
      </c>
      <c r="G31" s="6">
        <f t="shared" si="0"/>
        <v>11000</v>
      </c>
      <c r="H31" s="3" t="s">
        <v>33</v>
      </c>
      <c r="I31" s="6">
        <f>C14</f>
        <v>11000</v>
      </c>
    </row>
    <row r="32" spans="1:11" x14ac:dyDescent="0.2">
      <c r="A32" s="52" t="s">
        <v>32</v>
      </c>
      <c r="B32" s="6"/>
      <c r="C32" s="6">
        <f>SUM(C28:C31)</f>
        <v>10000</v>
      </c>
      <c r="D32" s="6">
        <f>SUM(D28:D31)</f>
        <v>12000</v>
      </c>
      <c r="E32" s="6">
        <f>SUM(E28:E31)</f>
        <v>15000</v>
      </c>
      <c r="F32" s="6">
        <f>SUM(F28:F31)</f>
        <v>9000</v>
      </c>
    </row>
    <row r="33" spans="1:9" x14ac:dyDescent="0.2">
      <c r="A33" s="6"/>
      <c r="B33" s="6"/>
      <c r="C33" s="3" t="s">
        <v>90</v>
      </c>
      <c r="D33" s="3" t="s">
        <v>90</v>
      </c>
      <c r="E33" s="3" t="s">
        <v>90</v>
      </c>
      <c r="F33" s="3" t="s">
        <v>90</v>
      </c>
    </row>
    <row r="34" spans="1:9" x14ac:dyDescent="0.2">
      <c r="A34" s="52" t="s">
        <v>34</v>
      </c>
      <c r="B34" s="6"/>
      <c r="C34" s="6">
        <f>C2</f>
        <v>10000</v>
      </c>
      <c r="D34" s="6">
        <f>C3</f>
        <v>12000</v>
      </c>
      <c r="E34" s="6">
        <f>C4</f>
        <v>15000</v>
      </c>
      <c r="F34" s="6">
        <f>C5</f>
        <v>9000</v>
      </c>
    </row>
    <row r="37" spans="1:9" x14ac:dyDescent="0.2">
      <c r="B37" s="114" t="s">
        <v>179</v>
      </c>
      <c r="C37" s="115"/>
      <c r="D37" s="115"/>
      <c r="E37" s="115"/>
      <c r="F37" s="115"/>
      <c r="G37" s="115"/>
    </row>
    <row r="38" spans="1:9" x14ac:dyDescent="0.2">
      <c r="B38" s="50" t="s">
        <v>174</v>
      </c>
      <c r="C38" s="50" t="s">
        <v>109</v>
      </c>
      <c r="D38" s="50" t="s">
        <v>168</v>
      </c>
      <c r="E38" s="50" t="s">
        <v>112</v>
      </c>
      <c r="F38" s="50" t="s">
        <v>170</v>
      </c>
      <c r="G38" s="50" t="s">
        <v>27</v>
      </c>
    </row>
    <row r="39" spans="1:9" x14ac:dyDescent="0.2">
      <c r="B39" s="50" t="s">
        <v>175</v>
      </c>
      <c r="C39" s="54">
        <f>25+$F$2</f>
        <v>73</v>
      </c>
      <c r="D39" s="54">
        <f>55+$F$2</f>
        <v>103</v>
      </c>
      <c r="E39" s="54">
        <f>40+$F$2</f>
        <v>88</v>
      </c>
      <c r="F39" s="54">
        <f>60+$F$2</f>
        <v>108</v>
      </c>
      <c r="G39" s="3"/>
    </row>
    <row r="40" spans="1:9" x14ac:dyDescent="0.2">
      <c r="B40" s="50" t="s">
        <v>176</v>
      </c>
      <c r="C40" s="54">
        <f>35+$F$3</f>
        <v>85</v>
      </c>
      <c r="D40" s="54">
        <f>30+$F$3</f>
        <v>80</v>
      </c>
      <c r="E40" s="54">
        <f>50+$F$3</f>
        <v>100</v>
      </c>
      <c r="F40" s="54">
        <f>40+$F$3</f>
        <v>90</v>
      </c>
      <c r="G40" s="3"/>
    </row>
    <row r="41" spans="1:9" x14ac:dyDescent="0.2">
      <c r="B41" s="50" t="s">
        <v>82</v>
      </c>
      <c r="C41" s="54">
        <f>36+$F$4</f>
        <v>88</v>
      </c>
      <c r="D41" s="54">
        <f>45+$F$4</f>
        <v>97</v>
      </c>
      <c r="E41" s="54">
        <f>26+$F$4</f>
        <v>78</v>
      </c>
      <c r="F41" s="54">
        <f>66+$F$4</f>
        <v>118</v>
      </c>
      <c r="G41" s="3"/>
    </row>
    <row r="42" spans="1:9" x14ac:dyDescent="0.2">
      <c r="B42" s="50" t="s">
        <v>85</v>
      </c>
      <c r="C42" s="53">
        <f>35+$D$10</f>
        <v>84</v>
      </c>
      <c r="D42" s="53">
        <f>30+$D$10</f>
        <v>79</v>
      </c>
      <c r="E42" s="53">
        <f>41+$D$10</f>
        <v>90</v>
      </c>
      <c r="F42" s="53">
        <f>50+$D$10</f>
        <v>99</v>
      </c>
      <c r="G42" s="50">
        <f>SUMPRODUCT(C48:F51,C39:F42)</f>
        <v>3741000</v>
      </c>
    </row>
    <row r="45" spans="1:9" x14ac:dyDescent="0.2">
      <c r="B45" s="116" t="s">
        <v>177</v>
      </c>
      <c r="C45" s="116"/>
      <c r="D45" s="116"/>
      <c r="E45" s="116"/>
      <c r="F45" s="116"/>
      <c r="G45" s="116"/>
      <c r="H45" s="116"/>
      <c r="I45" s="116"/>
    </row>
    <row r="46" spans="1:9" x14ac:dyDescent="0.2">
      <c r="B46" s="117" t="s">
        <v>180</v>
      </c>
      <c r="C46" s="117"/>
      <c r="D46" s="117"/>
      <c r="E46" s="117"/>
      <c r="F46" s="117"/>
      <c r="G46" s="117"/>
      <c r="H46" s="117"/>
      <c r="I46" s="117"/>
    </row>
    <row r="47" spans="1:9" x14ac:dyDescent="0.2">
      <c r="B47" s="50" t="s">
        <v>174</v>
      </c>
      <c r="C47" s="50" t="s">
        <v>109</v>
      </c>
      <c r="D47" s="50" t="s">
        <v>168</v>
      </c>
      <c r="E47" s="50" t="s">
        <v>112</v>
      </c>
      <c r="F47" s="50" t="s">
        <v>170</v>
      </c>
      <c r="G47" s="50" t="s">
        <v>32</v>
      </c>
      <c r="H47" s="6"/>
      <c r="I47" s="50" t="s">
        <v>34</v>
      </c>
    </row>
    <row r="48" spans="1:9" x14ac:dyDescent="0.2">
      <c r="B48" s="50" t="s">
        <v>175</v>
      </c>
      <c r="C48" s="3">
        <v>10000</v>
      </c>
      <c r="D48" s="3">
        <v>0</v>
      </c>
      <c r="E48" s="3">
        <v>1000</v>
      </c>
      <c r="F48" s="3">
        <v>4000</v>
      </c>
      <c r="G48" s="6">
        <f>SUM(C48:F48)</f>
        <v>15000</v>
      </c>
      <c r="H48" s="3" t="s">
        <v>33</v>
      </c>
      <c r="I48" s="6">
        <f>E2</f>
        <v>15000</v>
      </c>
    </row>
    <row r="49" spans="1:9" x14ac:dyDescent="0.2">
      <c r="B49" s="50" t="s">
        <v>176</v>
      </c>
      <c r="C49" s="3">
        <v>0</v>
      </c>
      <c r="D49" s="3">
        <v>1000</v>
      </c>
      <c r="E49" s="3">
        <v>0</v>
      </c>
      <c r="F49" s="3">
        <v>5000</v>
      </c>
      <c r="G49" s="6">
        <f t="shared" ref="G49:G50" si="1">SUM(C49:F49)</f>
        <v>6000</v>
      </c>
      <c r="H49" s="3" t="s">
        <v>33</v>
      </c>
      <c r="I49" s="6">
        <f t="shared" ref="I49:I50" si="2">E3</f>
        <v>6000</v>
      </c>
    </row>
    <row r="50" spans="1:9" x14ac:dyDescent="0.2">
      <c r="B50" s="50" t="s">
        <v>82</v>
      </c>
      <c r="C50" s="3">
        <v>0</v>
      </c>
      <c r="D50" s="3">
        <v>0</v>
      </c>
      <c r="E50" s="3">
        <v>14000</v>
      </c>
      <c r="F50" s="3">
        <v>0</v>
      </c>
      <c r="G50" s="6">
        <f t="shared" si="1"/>
        <v>14000</v>
      </c>
      <c r="H50" s="3" t="s">
        <v>33</v>
      </c>
      <c r="I50" s="6">
        <f t="shared" si="2"/>
        <v>14000</v>
      </c>
    </row>
    <row r="51" spans="1:9" x14ac:dyDescent="0.2">
      <c r="B51" s="50" t="s">
        <v>85</v>
      </c>
      <c r="C51" s="3">
        <v>0</v>
      </c>
      <c r="D51" s="3">
        <v>11000</v>
      </c>
      <c r="E51" s="3">
        <v>0</v>
      </c>
      <c r="F51" s="3">
        <v>0</v>
      </c>
      <c r="G51" s="6">
        <f>SUM(C51:F51)</f>
        <v>11000</v>
      </c>
      <c r="H51" s="3" t="s">
        <v>33</v>
      </c>
      <c r="I51" s="6">
        <f>C14</f>
        <v>11000</v>
      </c>
    </row>
    <row r="52" spans="1:9" x14ac:dyDescent="0.2">
      <c r="A52" s="52" t="s">
        <v>32</v>
      </c>
      <c r="B52" s="6"/>
      <c r="C52" s="6">
        <f>SUM(C48:C51)</f>
        <v>10000</v>
      </c>
      <c r="D52" s="6">
        <f>SUM(D48:D51)</f>
        <v>12000</v>
      </c>
      <c r="E52" s="6">
        <f>SUM(E48:E51)</f>
        <v>15000</v>
      </c>
      <c r="F52" s="6">
        <f>SUM(F48:F51)</f>
        <v>9000</v>
      </c>
    </row>
    <row r="53" spans="1:9" x14ac:dyDescent="0.2">
      <c r="A53" s="6"/>
      <c r="B53" s="6"/>
      <c r="C53" s="3" t="s">
        <v>90</v>
      </c>
      <c r="D53" s="3" t="s">
        <v>90</v>
      </c>
      <c r="E53" s="3" t="s">
        <v>90</v>
      </c>
      <c r="F53" s="3" t="s">
        <v>90</v>
      </c>
    </row>
    <row r="54" spans="1:9" ht="16" thickBot="1" x14ac:dyDescent="0.25">
      <c r="A54" s="52" t="s">
        <v>34</v>
      </c>
      <c r="B54" s="6"/>
      <c r="C54" s="6">
        <f>C2</f>
        <v>10000</v>
      </c>
      <c r="D54" s="6">
        <f>C3</f>
        <v>12000</v>
      </c>
      <c r="E54" s="6">
        <f>C4</f>
        <v>15000</v>
      </c>
      <c r="F54" s="6">
        <f>C5</f>
        <v>9000</v>
      </c>
    </row>
  </sheetData>
  <mergeCells count="9">
    <mergeCell ref="B37:G37"/>
    <mergeCell ref="B45:I45"/>
    <mergeCell ref="B46:I46"/>
    <mergeCell ref="B8:E8"/>
    <mergeCell ref="B13:E13"/>
    <mergeCell ref="C14:D14"/>
    <mergeCell ref="B17:G17"/>
    <mergeCell ref="B25:I25"/>
    <mergeCell ref="B26:I26"/>
  </mergeCells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2B56-3634-46EA-90F9-8853138EE6C2}">
  <sheetPr>
    <tabColor theme="8"/>
  </sheetPr>
  <dimension ref="A1:F19"/>
  <sheetViews>
    <sheetView workbookViewId="0">
      <selection activeCell="S52" sqref="S52"/>
    </sheetView>
  </sheetViews>
  <sheetFormatPr baseColWidth="10" defaultColWidth="8.83203125" defaultRowHeight="15" x14ac:dyDescent="0.2"/>
  <cols>
    <col min="1" max="1" width="11.5" bestFit="1" customWidth="1"/>
  </cols>
  <sheetData>
    <row r="1" spans="1:6" x14ac:dyDescent="0.2">
      <c r="A1" s="3" t="s">
        <v>26</v>
      </c>
      <c r="B1" s="3" t="s">
        <v>119</v>
      </c>
      <c r="C1" s="3" t="s">
        <v>120</v>
      </c>
      <c r="D1" s="3"/>
    </row>
    <row r="2" spans="1:6" x14ac:dyDescent="0.2">
      <c r="A2" s="3" t="s">
        <v>181</v>
      </c>
      <c r="B2" s="55">
        <v>3.75</v>
      </c>
      <c r="C2" s="55">
        <v>1.4999999999999998</v>
      </c>
      <c r="D2" s="3" t="s">
        <v>182</v>
      </c>
    </row>
    <row r="3" spans="1:6" x14ac:dyDescent="0.2">
      <c r="A3" s="3" t="s">
        <v>183</v>
      </c>
      <c r="B3" s="3">
        <v>7</v>
      </c>
      <c r="C3" s="3">
        <v>6</v>
      </c>
      <c r="D3" s="37">
        <f>SUMPRODUCT(B2:C2,B3:C3)</f>
        <v>35.25</v>
      </c>
    </row>
    <row r="5" spans="1:6" x14ac:dyDescent="0.2">
      <c r="A5" s="3" t="s">
        <v>140</v>
      </c>
      <c r="B5" s="6"/>
      <c r="C5" s="6"/>
      <c r="D5" s="6" t="s">
        <v>32</v>
      </c>
      <c r="E5" s="6"/>
      <c r="F5" s="6" t="s">
        <v>34</v>
      </c>
    </row>
    <row r="6" spans="1:6" x14ac:dyDescent="0.2">
      <c r="A6" s="3" t="s">
        <v>184</v>
      </c>
      <c r="B6" s="6">
        <v>2</v>
      </c>
      <c r="C6" s="6">
        <v>3</v>
      </c>
      <c r="D6" s="26">
        <f>SUMPRODUCT(B6:C6,$B$2:$C$2)</f>
        <v>12</v>
      </c>
      <c r="E6" s="6" t="s">
        <v>33</v>
      </c>
      <c r="F6" s="6">
        <v>12</v>
      </c>
    </row>
    <row r="7" spans="1:6" x14ac:dyDescent="0.2">
      <c r="A7" s="3" t="s">
        <v>185</v>
      </c>
      <c r="B7" s="6">
        <v>6</v>
      </c>
      <c r="C7" s="6">
        <v>5</v>
      </c>
      <c r="D7" s="26">
        <f>SUMPRODUCT(B7:C7,$B$2:$C$2)</f>
        <v>30</v>
      </c>
      <c r="E7" s="6" t="s">
        <v>33</v>
      </c>
      <c r="F7" s="6">
        <v>30</v>
      </c>
    </row>
    <row r="13" spans="1:6" x14ac:dyDescent="0.2">
      <c r="A13" s="3" t="s">
        <v>26</v>
      </c>
      <c r="B13" s="3" t="s">
        <v>119</v>
      </c>
      <c r="C13" s="3" t="s">
        <v>120</v>
      </c>
      <c r="D13" s="3"/>
    </row>
    <row r="14" spans="1:6" x14ac:dyDescent="0.2">
      <c r="A14" s="3" t="s">
        <v>181</v>
      </c>
      <c r="B14" s="55">
        <v>5</v>
      </c>
      <c r="C14" s="55">
        <v>0</v>
      </c>
      <c r="D14" s="3" t="s">
        <v>182</v>
      </c>
    </row>
    <row r="15" spans="1:6" x14ac:dyDescent="0.2">
      <c r="A15" s="3" t="s">
        <v>183</v>
      </c>
      <c r="B15" s="3">
        <v>7</v>
      </c>
      <c r="C15" s="3">
        <v>6</v>
      </c>
      <c r="D15" s="37">
        <f>SUMPRODUCT(B14:C14,B15:C15)</f>
        <v>35</v>
      </c>
    </row>
    <row r="17" spans="1:6" x14ac:dyDescent="0.2">
      <c r="A17" s="3" t="s">
        <v>140</v>
      </c>
      <c r="B17" s="6"/>
      <c r="C17" s="6"/>
      <c r="D17" s="6" t="s">
        <v>32</v>
      </c>
      <c r="E17" s="6"/>
      <c r="F17" s="6" t="s">
        <v>34</v>
      </c>
    </row>
    <row r="18" spans="1:6" x14ac:dyDescent="0.2">
      <c r="A18" s="3" t="s">
        <v>184</v>
      </c>
      <c r="B18" s="6">
        <v>2</v>
      </c>
      <c r="C18" s="6">
        <v>3</v>
      </c>
      <c r="D18" s="26">
        <f>SUMPRODUCT(B18:C18,B14:C14)</f>
        <v>10</v>
      </c>
      <c r="E18" s="6" t="s">
        <v>33</v>
      </c>
      <c r="F18" s="6">
        <v>12</v>
      </c>
    </row>
    <row r="19" spans="1:6" x14ac:dyDescent="0.2">
      <c r="A19" s="3" t="s">
        <v>185</v>
      </c>
      <c r="B19" s="6">
        <v>6</v>
      </c>
      <c r="C19" s="6">
        <v>5</v>
      </c>
      <c r="D19" s="26">
        <f>SUMPRODUCT(B19:C19,B14:C14)</f>
        <v>30</v>
      </c>
      <c r="E19" s="6" t="s">
        <v>33</v>
      </c>
      <c r="F19" s="6">
        <v>30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41E6-13B0-4819-B956-5578E901F573}">
  <sheetPr>
    <tabColor theme="8"/>
  </sheetPr>
  <dimension ref="A1:K12"/>
  <sheetViews>
    <sheetView workbookViewId="0">
      <selection activeCell="S52" sqref="S52"/>
    </sheetView>
  </sheetViews>
  <sheetFormatPr baseColWidth="10" defaultColWidth="8.83203125" defaultRowHeight="15" x14ac:dyDescent="0.2"/>
  <cols>
    <col min="1" max="1" width="11.5" bestFit="1" customWidth="1"/>
  </cols>
  <sheetData>
    <row r="1" spans="1:11" x14ac:dyDescent="0.2">
      <c r="A1" s="6" t="s">
        <v>26</v>
      </c>
      <c r="B1" s="6" t="s">
        <v>119</v>
      </c>
      <c r="C1" s="6" t="s">
        <v>120</v>
      </c>
      <c r="D1" s="6" t="s">
        <v>121</v>
      </c>
      <c r="E1" s="6" t="s">
        <v>122</v>
      </c>
      <c r="F1" s="6" t="s">
        <v>123</v>
      </c>
      <c r="G1" s="6" t="s">
        <v>124</v>
      </c>
      <c r="H1" s="6" t="s">
        <v>125</v>
      </c>
      <c r="I1" s="6"/>
    </row>
    <row r="2" spans="1:11" x14ac:dyDescent="0.2">
      <c r="A2" s="6" t="s">
        <v>181</v>
      </c>
      <c r="B2" s="26">
        <v>0</v>
      </c>
      <c r="C2" s="26">
        <v>0</v>
      </c>
      <c r="D2" s="26">
        <v>1</v>
      </c>
      <c r="E2" s="26">
        <v>1</v>
      </c>
      <c r="F2" s="26">
        <v>1</v>
      </c>
      <c r="G2" s="26">
        <v>1</v>
      </c>
      <c r="H2" s="26">
        <v>0</v>
      </c>
      <c r="I2" s="6" t="s">
        <v>186</v>
      </c>
    </row>
    <row r="3" spans="1:11" x14ac:dyDescent="0.2">
      <c r="A3" s="6" t="s">
        <v>183</v>
      </c>
      <c r="B3" s="6">
        <v>50</v>
      </c>
      <c r="C3" s="6">
        <v>80</v>
      </c>
      <c r="D3" s="6">
        <v>90</v>
      </c>
      <c r="E3" s="6">
        <v>120</v>
      </c>
      <c r="F3" s="6">
        <v>110</v>
      </c>
      <c r="G3" s="6">
        <v>40</v>
      </c>
      <c r="H3" s="6">
        <v>75</v>
      </c>
      <c r="I3" s="17">
        <f>SUMPRODUCT(B2:H2,B3:H3)</f>
        <v>360</v>
      </c>
    </row>
    <row r="8" spans="1:11" x14ac:dyDescent="0.2">
      <c r="A8" s="6" t="s">
        <v>140</v>
      </c>
      <c r="B8" s="6"/>
      <c r="C8" s="6"/>
      <c r="D8" s="6"/>
      <c r="E8" s="6"/>
      <c r="F8" s="6"/>
      <c r="G8" s="6"/>
      <c r="H8" s="6"/>
      <c r="I8" s="6" t="s">
        <v>32</v>
      </c>
      <c r="J8" s="6"/>
      <c r="K8" s="6" t="s">
        <v>34</v>
      </c>
    </row>
    <row r="9" spans="1:11" x14ac:dyDescent="0.2">
      <c r="A9" s="6" t="s">
        <v>187</v>
      </c>
      <c r="B9" s="6">
        <v>1</v>
      </c>
      <c r="C9" s="6"/>
      <c r="D9" s="6"/>
      <c r="E9" s="6">
        <v>1</v>
      </c>
      <c r="F9" s="6">
        <v>1</v>
      </c>
      <c r="G9" s="6"/>
      <c r="H9" s="6"/>
      <c r="I9" s="26">
        <f>SUMPRODUCT(B9:H9,$B$2:$H$2)</f>
        <v>2</v>
      </c>
      <c r="J9" s="6" t="s">
        <v>42</v>
      </c>
      <c r="K9" s="6">
        <v>2</v>
      </c>
    </row>
    <row r="10" spans="1:11" x14ac:dyDescent="0.2">
      <c r="A10" s="6" t="s">
        <v>188</v>
      </c>
      <c r="B10" s="6"/>
      <c r="C10" s="6">
        <v>1</v>
      </c>
      <c r="D10" s="6">
        <v>1</v>
      </c>
      <c r="E10" s="6"/>
      <c r="F10" s="6"/>
      <c r="G10" s="6"/>
      <c r="H10" s="6"/>
      <c r="I10" s="26">
        <f t="shared" ref="I10:I11" si="0">SUMPRODUCT(B10:H10,$B$2:$H$2)</f>
        <v>1</v>
      </c>
      <c r="J10" s="6" t="s">
        <v>33</v>
      </c>
      <c r="K10" s="6">
        <v>1</v>
      </c>
    </row>
    <row r="11" spans="1:11" x14ac:dyDescent="0.2">
      <c r="A11" s="6" t="s">
        <v>189</v>
      </c>
      <c r="B11" s="6"/>
      <c r="C11" s="6"/>
      <c r="D11" s="6"/>
      <c r="E11" s="6"/>
      <c r="F11" s="6"/>
      <c r="G11" s="6">
        <v>1</v>
      </c>
      <c r="H11" s="6">
        <v>1</v>
      </c>
      <c r="I11" s="26">
        <f t="shared" si="0"/>
        <v>1</v>
      </c>
      <c r="J11" s="6" t="s">
        <v>90</v>
      </c>
      <c r="K11" s="6">
        <v>1</v>
      </c>
    </row>
    <row r="12" spans="1:11" x14ac:dyDescent="0.2">
      <c r="A12" s="6" t="s">
        <v>190</v>
      </c>
      <c r="B12" s="6">
        <v>480</v>
      </c>
      <c r="C12" s="6">
        <v>540</v>
      </c>
      <c r="D12" s="6">
        <v>680</v>
      </c>
      <c r="E12" s="6">
        <v>1000</v>
      </c>
      <c r="F12" s="6">
        <v>700</v>
      </c>
      <c r="G12" s="6">
        <v>510</v>
      </c>
      <c r="H12" s="6">
        <v>900</v>
      </c>
      <c r="I12" s="26">
        <f>SUMPRODUCT(B12:H12,$B$2:$H$2)</f>
        <v>2890</v>
      </c>
      <c r="J12" s="6" t="s">
        <v>33</v>
      </c>
      <c r="K12" s="6">
        <v>3000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2EF5-F1D6-4E30-9E53-F9FCBABF6AD1}">
  <sheetPr>
    <tabColor theme="8"/>
  </sheetPr>
  <dimension ref="A1:F14"/>
  <sheetViews>
    <sheetView workbookViewId="0">
      <selection activeCell="T16" sqref="T16"/>
    </sheetView>
  </sheetViews>
  <sheetFormatPr baseColWidth="10" defaultColWidth="8.83203125" defaultRowHeight="15" x14ac:dyDescent="0.2"/>
  <cols>
    <col min="1" max="1" width="11.5" bestFit="1" customWidth="1"/>
    <col min="3" max="3" width="11.6640625" bestFit="1" customWidth="1"/>
  </cols>
  <sheetData>
    <row r="1" spans="1:6" x14ac:dyDescent="0.2">
      <c r="A1" s="6"/>
      <c r="B1" s="6" t="s">
        <v>191</v>
      </c>
      <c r="C1" s="6" t="s">
        <v>192</v>
      </c>
    </row>
    <row r="2" spans="1:6" x14ac:dyDescent="0.2">
      <c r="A2" s="6" t="s">
        <v>26</v>
      </c>
      <c r="B2" s="6" t="s">
        <v>119</v>
      </c>
      <c r="C2" s="6" t="s">
        <v>120</v>
      </c>
    </row>
    <row r="3" spans="1:6" x14ac:dyDescent="0.2">
      <c r="A3" s="6" t="s">
        <v>181</v>
      </c>
      <c r="B3" s="26">
        <v>0</v>
      </c>
      <c r="C3" s="26">
        <v>1000</v>
      </c>
    </row>
    <row r="7" spans="1:6" x14ac:dyDescent="0.2">
      <c r="A7" s="6" t="s">
        <v>26</v>
      </c>
      <c r="B7" s="6" t="s">
        <v>119</v>
      </c>
      <c r="C7" s="6" t="s">
        <v>120</v>
      </c>
      <c r="D7" s="6" t="s">
        <v>193</v>
      </c>
      <c r="E7" s="6"/>
    </row>
    <row r="8" spans="1:6" x14ac:dyDescent="0.2">
      <c r="A8" s="6" t="s">
        <v>181</v>
      </c>
      <c r="B8" s="6">
        <f>B3</f>
        <v>0</v>
      </c>
      <c r="C8" s="6">
        <f>C3</f>
        <v>1000</v>
      </c>
      <c r="D8" s="26">
        <f>(C3)^2</f>
        <v>1000000</v>
      </c>
      <c r="E8" s="6" t="s">
        <v>194</v>
      </c>
    </row>
    <row r="9" spans="1:6" x14ac:dyDescent="0.2">
      <c r="A9" s="6" t="s">
        <v>194</v>
      </c>
      <c r="B9" s="6">
        <v>28</v>
      </c>
      <c r="C9" s="6">
        <v>21</v>
      </c>
      <c r="D9" s="6">
        <v>0.25</v>
      </c>
      <c r="E9" s="26">
        <f>SUMPRODUCT(B8:D8,B9:D9)</f>
        <v>271000</v>
      </c>
    </row>
    <row r="12" spans="1:6" x14ac:dyDescent="0.2">
      <c r="A12" s="6" t="s">
        <v>140</v>
      </c>
      <c r="B12" s="6"/>
      <c r="C12" s="6"/>
      <c r="D12" s="6" t="s">
        <v>32</v>
      </c>
      <c r="E12" s="6"/>
      <c r="F12" s="6" t="s">
        <v>34</v>
      </c>
    </row>
    <row r="13" spans="1:6" x14ac:dyDescent="0.2">
      <c r="A13" s="6" t="s">
        <v>195</v>
      </c>
      <c r="B13" s="6">
        <v>1</v>
      </c>
      <c r="C13" s="6">
        <v>1</v>
      </c>
      <c r="D13" s="26">
        <f>SUMPRODUCT(B13:C13,$B$3:$C$3)</f>
        <v>1000</v>
      </c>
      <c r="E13" s="6" t="s">
        <v>33</v>
      </c>
      <c r="F13" s="6">
        <v>1000</v>
      </c>
    </row>
    <row r="14" spans="1:6" x14ac:dyDescent="0.2">
      <c r="A14" s="6" t="s">
        <v>196</v>
      </c>
      <c r="B14" s="6">
        <v>0.5</v>
      </c>
      <c r="C14" s="6">
        <v>0.4</v>
      </c>
      <c r="D14" s="26">
        <f>SUMPRODUCT(B14:C14,$B$3:$C$3)</f>
        <v>400</v>
      </c>
      <c r="E14" s="6" t="s">
        <v>33</v>
      </c>
      <c r="F14" s="6">
        <v>5000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DB4C-A10A-4B73-9ED4-116868C5320A}">
  <sheetPr>
    <tabColor theme="8"/>
  </sheetPr>
  <dimension ref="A1:J13"/>
  <sheetViews>
    <sheetView workbookViewId="0">
      <selection activeCell="P46" sqref="P46"/>
    </sheetView>
  </sheetViews>
  <sheetFormatPr baseColWidth="10" defaultColWidth="8.83203125" defaultRowHeight="15" x14ac:dyDescent="0.2"/>
  <cols>
    <col min="1" max="1" width="11.5" bestFit="1" customWidth="1"/>
  </cols>
  <sheetData>
    <row r="1" spans="1:10" x14ac:dyDescent="0.2">
      <c r="A1" s="6"/>
      <c r="B1" s="6" t="s">
        <v>191</v>
      </c>
      <c r="C1" s="6" t="s">
        <v>192</v>
      </c>
    </row>
    <row r="2" spans="1:10" x14ac:dyDescent="0.2">
      <c r="A2" s="6" t="s">
        <v>26</v>
      </c>
      <c r="B2" s="6" t="s">
        <v>119</v>
      </c>
      <c r="C2" s="6" t="s">
        <v>120</v>
      </c>
    </row>
    <row r="3" spans="1:10" x14ac:dyDescent="0.2">
      <c r="A3" s="6" t="s">
        <v>181</v>
      </c>
      <c r="B3" s="26">
        <v>6.0662587140081179</v>
      </c>
      <c r="C3" s="26">
        <v>4.100252637342737</v>
      </c>
    </row>
    <row r="5" spans="1:10" x14ac:dyDescent="0.2">
      <c r="A5" s="6" t="s">
        <v>26</v>
      </c>
      <c r="B5" s="6" t="s">
        <v>119</v>
      </c>
      <c r="C5" s="6" t="s">
        <v>197</v>
      </c>
      <c r="D5" s="6" t="s">
        <v>198</v>
      </c>
      <c r="E5" s="6" t="s">
        <v>120</v>
      </c>
      <c r="F5" s="6" t="s">
        <v>199</v>
      </c>
      <c r="G5" s="6" t="s">
        <v>200</v>
      </c>
      <c r="H5" s="6"/>
    </row>
    <row r="6" spans="1:10" x14ac:dyDescent="0.2">
      <c r="A6" s="6" t="s">
        <v>181</v>
      </c>
      <c r="B6" s="6">
        <f>B3</f>
        <v>6.0662587140081179</v>
      </c>
      <c r="C6" s="6">
        <f>(B3)^2</f>
        <v>36.799494785279421</v>
      </c>
      <c r="D6" s="6">
        <f>B3*C3</f>
        <v>24.873193290915147</v>
      </c>
      <c r="E6" s="6">
        <f>C3</f>
        <v>4.100252637342737</v>
      </c>
      <c r="F6" s="6">
        <f>(C3)^3</f>
        <v>68.933741286265558</v>
      </c>
      <c r="G6" s="6">
        <f>1/C3</f>
        <v>0.243887410959163</v>
      </c>
      <c r="H6" s="6" t="s">
        <v>194</v>
      </c>
    </row>
    <row r="7" spans="1:10" x14ac:dyDescent="0.2">
      <c r="A7" s="6" t="s">
        <v>201</v>
      </c>
      <c r="B7" s="6">
        <v>13</v>
      </c>
      <c r="C7" s="6">
        <v>0</v>
      </c>
      <c r="D7" s="6">
        <v>6</v>
      </c>
      <c r="E7" s="6">
        <v>5</v>
      </c>
      <c r="F7" s="6">
        <v>0</v>
      </c>
      <c r="G7" s="6">
        <v>1</v>
      </c>
      <c r="H7" s="26">
        <f>SUMPRODUCT(B6:G6,B7:G7)</f>
        <v>248.84567362526926</v>
      </c>
    </row>
    <row r="10" spans="1:10" x14ac:dyDescent="0.2">
      <c r="A10" s="6" t="s">
        <v>140</v>
      </c>
      <c r="B10" s="6"/>
      <c r="C10" s="6"/>
      <c r="D10" s="6"/>
      <c r="E10" s="6"/>
      <c r="F10" s="6"/>
      <c r="G10" s="6"/>
      <c r="H10" s="6" t="s">
        <v>32</v>
      </c>
      <c r="I10" s="6"/>
      <c r="J10" s="6" t="s">
        <v>34</v>
      </c>
    </row>
    <row r="11" spans="1:10" x14ac:dyDescent="0.2">
      <c r="A11" s="6" t="s">
        <v>202</v>
      </c>
      <c r="B11" s="6"/>
      <c r="C11" s="6">
        <v>2</v>
      </c>
      <c r="D11" s="6"/>
      <c r="E11" s="6">
        <v>4</v>
      </c>
      <c r="F11" s="6"/>
      <c r="G11" s="6"/>
      <c r="H11" s="26">
        <f>SUMPRODUCT(B11:G11,$B$6:$G$6)</f>
        <v>90.000000119929794</v>
      </c>
      <c r="I11" s="6" t="s">
        <v>33</v>
      </c>
      <c r="J11" s="6">
        <v>90</v>
      </c>
    </row>
    <row r="12" spans="1:10" x14ac:dyDescent="0.2">
      <c r="A12" s="6" t="s">
        <v>203</v>
      </c>
      <c r="B12" s="6">
        <v>1</v>
      </c>
      <c r="C12" s="6"/>
      <c r="D12" s="6"/>
      <c r="E12" s="6"/>
      <c r="F12" s="6">
        <v>1</v>
      </c>
      <c r="G12" s="6"/>
      <c r="H12" s="26">
        <f>SUMPRODUCT(B12:G12,$B$6:$G$6)</f>
        <v>75.000000000273673</v>
      </c>
      <c r="I12" s="6" t="s">
        <v>33</v>
      </c>
      <c r="J12" s="6">
        <v>75</v>
      </c>
    </row>
    <row r="13" spans="1:10" x14ac:dyDescent="0.2">
      <c r="A13" s="6" t="s">
        <v>58</v>
      </c>
      <c r="B13" s="6">
        <v>8</v>
      </c>
      <c r="C13" s="6"/>
      <c r="D13" s="6"/>
      <c r="E13" s="6">
        <v>-2</v>
      </c>
      <c r="F13" s="6"/>
      <c r="G13" s="6"/>
      <c r="H13" s="26">
        <f t="shared" ref="H13" si="0">SUMPRODUCT(B13:G13,$B$6:$G$6)</f>
        <v>40.329564437379467</v>
      </c>
      <c r="I13" s="6" t="s">
        <v>33</v>
      </c>
      <c r="J13" s="6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8C4F-F036-4382-84A5-0520061CDEF0}">
  <sheetPr>
    <tabColor theme="8"/>
  </sheetPr>
  <dimension ref="A1:I13"/>
  <sheetViews>
    <sheetView workbookViewId="0">
      <selection activeCell="R44" sqref="R44"/>
    </sheetView>
  </sheetViews>
  <sheetFormatPr baseColWidth="10" defaultColWidth="8.83203125" defaultRowHeight="15" x14ac:dyDescent="0.2"/>
  <cols>
    <col min="1" max="1" width="11.5" bestFit="1" customWidth="1"/>
    <col min="2" max="7" width="11.83203125" bestFit="1" customWidth="1"/>
  </cols>
  <sheetData>
    <row r="1" spans="1:9" x14ac:dyDescent="0.2">
      <c r="A1" s="6"/>
      <c r="B1" s="6" t="s">
        <v>191</v>
      </c>
      <c r="C1" s="6" t="s">
        <v>192</v>
      </c>
      <c r="D1" s="6"/>
    </row>
    <row r="2" spans="1:9" x14ac:dyDescent="0.2">
      <c r="A2" s="6" t="s">
        <v>26</v>
      </c>
      <c r="B2" s="6" t="s">
        <v>119</v>
      </c>
      <c r="C2" s="6" t="s">
        <v>120</v>
      </c>
      <c r="D2" s="6"/>
    </row>
    <row r="3" spans="1:9" x14ac:dyDescent="0.2">
      <c r="A3" s="6" t="s">
        <v>181</v>
      </c>
      <c r="B3" s="26">
        <v>3.3253258927701874</v>
      </c>
      <c r="C3" s="26">
        <v>14.672271875060872</v>
      </c>
      <c r="D3" s="6" t="s">
        <v>105</v>
      </c>
    </row>
    <row r="4" spans="1:9" x14ac:dyDescent="0.2">
      <c r="A4" s="6" t="s">
        <v>44</v>
      </c>
      <c r="B4" s="6">
        <v>5</v>
      </c>
      <c r="C4" s="6">
        <v>7</v>
      </c>
      <c r="D4" s="26">
        <f>SUMPRODUCT(B3:C3,B4:C4)</f>
        <v>119.33253258927704</v>
      </c>
    </row>
    <row r="6" spans="1:9" x14ac:dyDescent="0.2">
      <c r="A6" s="6" t="s">
        <v>26</v>
      </c>
      <c r="B6" s="6" t="s">
        <v>119</v>
      </c>
      <c r="C6" s="6" t="s">
        <v>197</v>
      </c>
      <c r="D6" s="6" t="s">
        <v>204</v>
      </c>
      <c r="E6" s="6" t="s">
        <v>120</v>
      </c>
      <c r="F6" s="6" t="s">
        <v>193</v>
      </c>
      <c r="G6" s="6"/>
    </row>
    <row r="7" spans="1:9" x14ac:dyDescent="0.2">
      <c r="A7" s="6" t="s">
        <v>181</v>
      </c>
      <c r="B7" s="6">
        <f>B3</f>
        <v>3.3253258927701874</v>
      </c>
      <c r="C7" s="6">
        <f>(B3)^2</f>
        <v>11.057792293127845</v>
      </c>
      <c r="D7" s="6">
        <f>(B3)^3</f>
        <v>36.770763029212645</v>
      </c>
      <c r="E7" s="6">
        <f>C3</f>
        <v>14.672271875060872</v>
      </c>
      <c r="F7" s="6">
        <f>(C3)^2</f>
        <v>215.27556197570229</v>
      </c>
      <c r="G7" s="6" t="s">
        <v>194</v>
      </c>
    </row>
    <row r="10" spans="1:9" x14ac:dyDescent="0.2">
      <c r="A10" s="6" t="s">
        <v>140</v>
      </c>
      <c r="B10" s="6"/>
      <c r="C10" s="6"/>
      <c r="D10" s="6"/>
      <c r="E10" s="6"/>
      <c r="F10" s="6"/>
      <c r="G10" s="6" t="s">
        <v>32</v>
      </c>
      <c r="H10" s="6"/>
      <c r="I10" s="6" t="s">
        <v>34</v>
      </c>
    </row>
    <row r="11" spans="1:9" x14ac:dyDescent="0.2">
      <c r="A11" s="6" t="s">
        <v>202</v>
      </c>
      <c r="B11" s="6">
        <v>3</v>
      </c>
      <c r="C11" s="6">
        <v>0.25</v>
      </c>
      <c r="D11" s="6"/>
      <c r="E11" s="6">
        <v>4</v>
      </c>
      <c r="F11" s="6">
        <v>0.3</v>
      </c>
      <c r="G11" s="26">
        <f>SUMPRODUCT(B11:F11,$B$7:$F$7)</f>
        <v>136.01218184454672</v>
      </c>
      <c r="H11" s="6" t="s">
        <v>42</v>
      </c>
      <c r="I11" s="6">
        <v>125</v>
      </c>
    </row>
    <row r="12" spans="1:9" x14ac:dyDescent="0.2">
      <c r="A12" s="6" t="s">
        <v>203</v>
      </c>
      <c r="B12" s="6">
        <v>13</v>
      </c>
      <c r="C12" s="6"/>
      <c r="D12" s="6">
        <v>1</v>
      </c>
      <c r="E12" s="6"/>
      <c r="F12" s="6"/>
      <c r="G12" s="26">
        <f>SUMPRODUCT(B12:F12,$B$7:$F$7)</f>
        <v>79.99999963522508</v>
      </c>
      <c r="H12" s="6" t="s">
        <v>42</v>
      </c>
      <c r="I12" s="6">
        <v>80</v>
      </c>
    </row>
    <row r="13" spans="1:9" x14ac:dyDescent="0.2">
      <c r="A13" s="6" t="s">
        <v>58</v>
      </c>
      <c r="B13" s="6">
        <v>0.7</v>
      </c>
      <c r="C13" s="6"/>
      <c r="D13" s="6"/>
      <c r="E13" s="6">
        <v>1</v>
      </c>
      <c r="F13" s="6"/>
      <c r="G13" s="26">
        <f>SUMPRODUCT(B13:F13,$B$7:$F$7)</f>
        <v>17.000000000000004</v>
      </c>
      <c r="H13" s="6" t="s">
        <v>42</v>
      </c>
      <c r="I13" s="6">
        <v>17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9814-FD6B-42F9-8BD6-A689D5FBEB4D}">
  <sheetPr>
    <tabColor theme="7"/>
  </sheetPr>
  <dimension ref="J23:L30"/>
  <sheetViews>
    <sheetView workbookViewId="0">
      <selection activeCell="N28" sqref="N28"/>
    </sheetView>
  </sheetViews>
  <sheetFormatPr baseColWidth="10" defaultColWidth="8.83203125" defaultRowHeight="15" x14ac:dyDescent="0.2"/>
  <cols>
    <col min="12" max="12" width="15.1640625" bestFit="1" customWidth="1"/>
  </cols>
  <sheetData>
    <row r="23" spans="10:12" ht="24" x14ac:dyDescent="0.3">
      <c r="J23" s="80" t="s">
        <v>205</v>
      </c>
      <c r="K23" s="81" t="s">
        <v>44</v>
      </c>
      <c r="L23" s="82" t="s">
        <v>290</v>
      </c>
    </row>
    <row r="24" spans="10:12" ht="24" x14ac:dyDescent="0.3">
      <c r="J24" s="83" t="s">
        <v>291</v>
      </c>
      <c r="K24" s="84">
        <v>2</v>
      </c>
      <c r="L24" s="85">
        <v>2</v>
      </c>
    </row>
    <row r="25" spans="10:12" ht="24" x14ac:dyDescent="0.3">
      <c r="J25" s="86" t="s">
        <v>292</v>
      </c>
      <c r="K25" s="87">
        <v>2</v>
      </c>
      <c r="L25" s="88">
        <v>4</v>
      </c>
    </row>
    <row r="26" spans="10:12" ht="24" x14ac:dyDescent="0.3">
      <c r="J26" s="89" t="s">
        <v>293</v>
      </c>
      <c r="K26" s="84">
        <v>3</v>
      </c>
      <c r="L26" s="85">
        <v>7</v>
      </c>
    </row>
    <row r="27" spans="10:12" ht="24" x14ac:dyDescent="0.3">
      <c r="J27" s="86" t="s">
        <v>294</v>
      </c>
      <c r="K27" s="87">
        <v>1</v>
      </c>
      <c r="L27" s="88">
        <v>8</v>
      </c>
    </row>
    <row r="28" spans="10:12" ht="24" x14ac:dyDescent="0.3">
      <c r="J28" s="89" t="s">
        <v>295</v>
      </c>
      <c r="K28" s="84">
        <v>2</v>
      </c>
      <c r="L28" s="85">
        <v>10</v>
      </c>
    </row>
    <row r="29" spans="10:12" ht="24" x14ac:dyDescent="0.3">
      <c r="J29" s="86" t="s">
        <v>296</v>
      </c>
      <c r="K29" s="87">
        <v>3</v>
      </c>
      <c r="L29" s="88">
        <v>13</v>
      </c>
    </row>
    <row r="30" spans="10:12" ht="24" x14ac:dyDescent="0.3">
      <c r="J30" s="89" t="s">
        <v>297</v>
      </c>
      <c r="K30" s="84">
        <v>3</v>
      </c>
      <c r="L30" s="85">
        <v>16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C07A-E951-48F5-A35A-7AC0505AB58B}">
  <sheetPr>
    <tabColor theme="7"/>
  </sheetPr>
  <dimension ref="A1"/>
  <sheetViews>
    <sheetView zoomScale="136" workbookViewId="0">
      <selection activeCell="N21" sqref="N21"/>
    </sheetView>
  </sheetViews>
  <sheetFormatPr baseColWidth="10" defaultColWidth="8.83203125" defaultRowHeight="15" x14ac:dyDescent="0.2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3003-859C-4A8B-BCAA-67DDDB687975}">
  <sheetPr>
    <tabColor theme="7"/>
  </sheetPr>
  <dimension ref="A1"/>
  <sheetViews>
    <sheetView workbookViewId="0">
      <selection activeCell="J27" sqref="J27"/>
    </sheetView>
  </sheetViews>
  <sheetFormatPr baseColWidth="10" defaultColWidth="8.83203125" defaultRowHeight="15" x14ac:dyDescent="0.2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E8F19-6979-44EF-9AC7-03ED3547D2A0}">
  <sheetPr>
    <tabColor theme="5"/>
  </sheetPr>
  <dimension ref="A1:I18"/>
  <sheetViews>
    <sheetView zoomScale="112" zoomScaleNormal="70" workbookViewId="0">
      <selection activeCell="D17" sqref="D17"/>
    </sheetView>
  </sheetViews>
  <sheetFormatPr baseColWidth="10" defaultColWidth="8.83203125" defaultRowHeight="15" x14ac:dyDescent="0.2"/>
  <cols>
    <col min="1" max="1" width="8.1640625" bestFit="1" customWidth="1"/>
    <col min="2" max="2" width="8.5" bestFit="1" customWidth="1"/>
    <col min="3" max="3" width="14.5" bestFit="1" customWidth="1"/>
    <col min="4" max="4" width="14.83203125" bestFit="1" customWidth="1"/>
    <col min="5" max="6" width="14.83203125" customWidth="1"/>
    <col min="7" max="7" width="15" bestFit="1" customWidth="1"/>
    <col min="8" max="9" width="14.83203125" bestFit="1" customWidth="1"/>
  </cols>
  <sheetData>
    <row r="1" spans="1:9" x14ac:dyDescent="0.2">
      <c r="A1" s="26" t="s">
        <v>246</v>
      </c>
      <c r="B1" s="26" t="s">
        <v>247</v>
      </c>
      <c r="C1" s="26" t="s">
        <v>248</v>
      </c>
      <c r="D1" s="26" t="s">
        <v>249</v>
      </c>
      <c r="E1" s="26" t="s">
        <v>250</v>
      </c>
      <c r="F1" s="26" t="s">
        <v>251</v>
      </c>
      <c r="G1" s="26" t="s">
        <v>252</v>
      </c>
      <c r="H1" s="26" t="s">
        <v>253</v>
      </c>
      <c r="I1" s="26" t="s">
        <v>254</v>
      </c>
    </row>
    <row r="2" spans="1:9" x14ac:dyDescent="0.2">
      <c r="A2" s="6" t="s">
        <v>255</v>
      </c>
      <c r="B2" s="6">
        <v>40000</v>
      </c>
      <c r="C2" s="6">
        <f>B2/$B$5</f>
        <v>0.4</v>
      </c>
      <c r="D2" s="6">
        <v>0.8</v>
      </c>
      <c r="E2" s="6">
        <v>0.1</v>
      </c>
      <c r="F2" s="6">
        <v>0.2</v>
      </c>
      <c r="G2" s="6">
        <f>C2*D2</f>
        <v>0.32000000000000006</v>
      </c>
      <c r="H2" s="6">
        <f>C2*D3</f>
        <v>4.0000000000000008E-2</v>
      </c>
      <c r="I2" s="6">
        <f>C2*D4</f>
        <v>4.0000000000000008E-2</v>
      </c>
    </row>
    <row r="3" spans="1:9" x14ac:dyDescent="0.2">
      <c r="A3" s="6" t="s">
        <v>256</v>
      </c>
      <c r="B3" s="6">
        <v>30000</v>
      </c>
      <c r="C3" s="6">
        <f t="shared" ref="C3:C4" si="0">B3/$B$5</f>
        <v>0.3</v>
      </c>
      <c r="D3" s="6">
        <v>0.1</v>
      </c>
      <c r="E3" s="6">
        <v>0.7</v>
      </c>
      <c r="F3" s="6">
        <v>0.2</v>
      </c>
      <c r="G3" s="6">
        <f>E2*C2</f>
        <v>4.0000000000000008E-2</v>
      </c>
      <c r="H3" s="6">
        <f>E3*C3</f>
        <v>0.21</v>
      </c>
      <c r="I3" s="6">
        <f>E4*C4</f>
        <v>0.06</v>
      </c>
    </row>
    <row r="4" spans="1:9" x14ac:dyDescent="0.2">
      <c r="A4" s="6" t="s">
        <v>257</v>
      </c>
      <c r="B4" s="6">
        <v>30000</v>
      </c>
      <c r="C4" s="6">
        <f t="shared" si="0"/>
        <v>0.3</v>
      </c>
      <c r="D4" s="6">
        <v>0.1</v>
      </c>
      <c r="E4" s="6">
        <v>0.2</v>
      </c>
      <c r="F4" s="6">
        <v>0.6</v>
      </c>
      <c r="G4" s="6">
        <f>F2*C2</f>
        <v>8.0000000000000016E-2</v>
      </c>
      <c r="H4" s="6">
        <f>F3*C3</f>
        <v>0.06</v>
      </c>
      <c r="I4" s="6">
        <f>F4*C4</f>
        <v>0.18</v>
      </c>
    </row>
    <row r="5" spans="1:9" x14ac:dyDescent="0.2">
      <c r="A5" s="6" t="s">
        <v>182</v>
      </c>
      <c r="B5" s="6">
        <v>100000</v>
      </c>
      <c r="C5" s="6" t="s">
        <v>258</v>
      </c>
      <c r="D5" s="6"/>
      <c r="E5" s="6"/>
      <c r="F5" s="6"/>
      <c r="G5" s="6"/>
      <c r="H5" s="6"/>
      <c r="I5" s="6"/>
    </row>
    <row r="9" spans="1:9" x14ac:dyDescent="0.2">
      <c r="A9" s="100" t="s">
        <v>259</v>
      </c>
      <c r="B9" s="100"/>
      <c r="C9" s="100"/>
    </row>
    <row r="10" spans="1:9" x14ac:dyDescent="0.2">
      <c r="A10" s="6">
        <f>D2</f>
        <v>0.8</v>
      </c>
      <c r="B10" s="6">
        <f>E2</f>
        <v>0.1</v>
      </c>
      <c r="C10" s="6">
        <f>F2</f>
        <v>0.2</v>
      </c>
    </row>
    <row r="11" spans="1:9" x14ac:dyDescent="0.2">
      <c r="A11" s="6">
        <f t="shared" ref="A11:C11" si="1">D3</f>
        <v>0.1</v>
      </c>
      <c r="B11" s="6">
        <f t="shared" si="1"/>
        <v>0.7</v>
      </c>
      <c r="C11" s="6">
        <f t="shared" si="1"/>
        <v>0.2</v>
      </c>
    </row>
    <row r="12" spans="1:9" x14ac:dyDescent="0.2">
      <c r="A12" s="6">
        <f t="shared" ref="A12:C12" si="2">D4</f>
        <v>0.1</v>
      </c>
      <c r="B12" s="6">
        <f t="shared" si="2"/>
        <v>0.2</v>
      </c>
      <c r="C12" s="6">
        <f t="shared" si="2"/>
        <v>0.6</v>
      </c>
    </row>
    <row r="15" spans="1:9" x14ac:dyDescent="0.2">
      <c r="A15" s="100" t="s">
        <v>260</v>
      </c>
      <c r="B15" s="100"/>
      <c r="C15" s="100"/>
    </row>
    <row r="16" spans="1:9" x14ac:dyDescent="0.2">
      <c r="A16" s="6">
        <f t="array" ref="A16:A18">MMULT(A10:C12,C2:C4)</f>
        <v>0.41000000000000009</v>
      </c>
    </row>
    <row r="17" spans="1:1" x14ac:dyDescent="0.2">
      <c r="A17" s="6">
        <v>0.31</v>
      </c>
    </row>
    <row r="18" spans="1:1" x14ac:dyDescent="0.2">
      <c r="A18" s="6">
        <v>0.28000000000000003</v>
      </c>
    </row>
  </sheetData>
  <mergeCells count="2">
    <mergeCell ref="A9:C9"/>
    <mergeCell ref="A15:C15"/>
  </mergeCells>
  <pageMargins left="0.7" right="0.7" top="0.75" bottom="0.75" header="0.3" footer="0.3"/>
  <pageSetup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29E9-3A0E-45A2-ADE7-C7C64C442DAF}">
  <sheetPr>
    <tabColor theme="5"/>
  </sheetPr>
  <dimension ref="A1:D13"/>
  <sheetViews>
    <sheetView zoomScale="125" workbookViewId="0">
      <selection activeCell="C9" sqref="C9"/>
    </sheetView>
  </sheetViews>
  <sheetFormatPr baseColWidth="10" defaultColWidth="8.83203125" defaultRowHeight="15" x14ac:dyDescent="0.2"/>
  <cols>
    <col min="1" max="1" width="13.33203125" bestFit="1" customWidth="1"/>
    <col min="2" max="2" width="6.33203125" customWidth="1"/>
  </cols>
  <sheetData>
    <row r="1" spans="1:4" x14ac:dyDescent="0.2">
      <c r="C1" s="100" t="s">
        <v>287</v>
      </c>
      <c r="D1" s="100"/>
    </row>
    <row r="2" spans="1:4" x14ac:dyDescent="0.2">
      <c r="C2" s="6">
        <v>0.8</v>
      </c>
      <c r="D2" s="6">
        <v>0.2</v>
      </c>
    </row>
    <row r="3" spans="1:4" x14ac:dyDescent="0.2">
      <c r="C3" s="6">
        <v>0.1</v>
      </c>
      <c r="D3" s="6">
        <v>0.9</v>
      </c>
    </row>
    <row r="5" spans="1:4" x14ac:dyDescent="0.2">
      <c r="A5" s="37" t="s">
        <v>261</v>
      </c>
      <c r="C5" s="107" t="s">
        <v>262</v>
      </c>
      <c r="D5" s="109"/>
    </row>
    <row r="6" spans="1:4" x14ac:dyDescent="0.2">
      <c r="A6" s="6">
        <v>1</v>
      </c>
      <c r="C6" s="6">
        <f>C2</f>
        <v>0.8</v>
      </c>
      <c r="D6" s="6">
        <f>C3</f>
        <v>0.1</v>
      </c>
    </row>
    <row r="7" spans="1:4" x14ac:dyDescent="0.2">
      <c r="A7" s="6">
        <v>0</v>
      </c>
      <c r="C7" s="6">
        <f>D2</f>
        <v>0.2</v>
      </c>
      <c r="D7" s="6">
        <f>D3</f>
        <v>0.9</v>
      </c>
    </row>
    <row r="9" spans="1:4" x14ac:dyDescent="0.2">
      <c r="A9" s="95" t="s">
        <v>263</v>
      </c>
      <c r="B9" s="6" cm="1">
        <f t="array" ref="B9:B10">MMULT(C6:D7,A6:A7)</f>
        <v>0.8</v>
      </c>
    </row>
    <row r="10" spans="1:4" x14ac:dyDescent="0.2">
      <c r="A10" s="95"/>
      <c r="B10" s="6">
        <v>0.2</v>
      </c>
    </row>
    <row r="12" spans="1:4" x14ac:dyDescent="0.2">
      <c r="A12" s="95" t="s">
        <v>264</v>
      </c>
      <c r="B12" s="6" cm="1">
        <f t="array" ref="B12:B13">MMULT(C6:D7,B9:B10)</f>
        <v>0.66000000000000014</v>
      </c>
    </row>
    <row r="13" spans="1:4" x14ac:dyDescent="0.2">
      <c r="A13" s="95"/>
      <c r="B13" s="6">
        <v>0.34000000000000008</v>
      </c>
    </row>
  </sheetData>
  <mergeCells count="4">
    <mergeCell ref="C5:D5"/>
    <mergeCell ref="A9:A10"/>
    <mergeCell ref="A12:A13"/>
    <mergeCell ref="C1:D1"/>
  </mergeCells>
  <pageMargins left="0.7" right="0.7" top="0.75" bottom="0.75" header="0.3" footer="0.3"/>
  <pageSetup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8361-88F3-4091-B5B4-1912D60194C0}">
  <sheetPr>
    <tabColor theme="5"/>
  </sheetPr>
  <dimension ref="A1:E22"/>
  <sheetViews>
    <sheetView topLeftCell="A2" zoomScale="188" workbookViewId="0">
      <selection activeCell="F25" sqref="F25"/>
    </sheetView>
  </sheetViews>
  <sheetFormatPr baseColWidth="10" defaultColWidth="8.83203125" defaultRowHeight="15" x14ac:dyDescent="0.2"/>
  <cols>
    <col min="1" max="1" width="15.6640625" bestFit="1" customWidth="1"/>
    <col min="2" max="2" width="18.6640625" bestFit="1" customWidth="1"/>
    <col min="3" max="3" width="15.83203125" bestFit="1" customWidth="1"/>
    <col min="4" max="4" width="15.6640625" bestFit="1" customWidth="1"/>
    <col min="5" max="5" width="10.5" bestFit="1" customWidth="1"/>
  </cols>
  <sheetData>
    <row r="1" spans="1:5" x14ac:dyDescent="0.2">
      <c r="A1" s="102" t="s">
        <v>265</v>
      </c>
      <c r="B1" s="102"/>
      <c r="C1" s="102"/>
      <c r="D1" s="102"/>
      <c r="E1" s="102"/>
    </row>
    <row r="2" spans="1:5" x14ac:dyDescent="0.2">
      <c r="A2" s="6"/>
      <c r="B2" s="121" t="s">
        <v>266</v>
      </c>
      <c r="C2" s="121"/>
      <c r="D2" s="121"/>
      <c r="E2" s="121"/>
    </row>
    <row r="3" spans="1:5" x14ac:dyDescent="0.2">
      <c r="A3" s="72" t="s">
        <v>267</v>
      </c>
      <c r="B3" s="26" t="s">
        <v>268</v>
      </c>
      <c r="C3" s="26" t="s">
        <v>269</v>
      </c>
      <c r="D3" s="26" t="s">
        <v>270</v>
      </c>
      <c r="E3" s="26" t="s">
        <v>271</v>
      </c>
    </row>
    <row r="4" spans="1:5" x14ac:dyDescent="0.2">
      <c r="A4" s="6" t="s">
        <v>268</v>
      </c>
      <c r="B4" s="33">
        <v>1</v>
      </c>
      <c r="C4" s="33">
        <v>0</v>
      </c>
      <c r="D4" s="73">
        <v>0</v>
      </c>
      <c r="E4" s="73">
        <v>0</v>
      </c>
    </row>
    <row r="5" spans="1:5" x14ac:dyDescent="0.2">
      <c r="A5" s="6" t="s">
        <v>269</v>
      </c>
      <c r="B5" s="33">
        <v>0</v>
      </c>
      <c r="C5" s="33">
        <v>1</v>
      </c>
      <c r="D5" s="73">
        <v>0</v>
      </c>
      <c r="E5" s="73">
        <v>0</v>
      </c>
    </row>
    <row r="6" spans="1:5" x14ac:dyDescent="0.2">
      <c r="A6" s="6" t="s">
        <v>270</v>
      </c>
      <c r="B6" s="74">
        <v>0.6</v>
      </c>
      <c r="C6" s="74">
        <v>0</v>
      </c>
      <c r="D6" s="75">
        <v>0.2</v>
      </c>
      <c r="E6" s="75">
        <v>0.2</v>
      </c>
    </row>
    <row r="7" spans="1:5" x14ac:dyDescent="0.2">
      <c r="A7" s="6" t="s">
        <v>271</v>
      </c>
      <c r="B7" s="74">
        <v>0.4</v>
      </c>
      <c r="C7" s="74">
        <v>0.1</v>
      </c>
      <c r="D7" s="75">
        <v>0.3</v>
      </c>
      <c r="E7" s="75">
        <v>0.2</v>
      </c>
    </row>
    <row r="10" spans="1:5" x14ac:dyDescent="0.2">
      <c r="B10" s="95" t="s">
        <v>272</v>
      </c>
      <c r="C10" s="6" cm="1">
        <f t="array" ref="C10:D11">B4:C5-D6:E7</f>
        <v>0.8</v>
      </c>
      <c r="D10" s="6">
        <v>-0.2</v>
      </c>
    </row>
    <row r="11" spans="1:5" x14ac:dyDescent="0.2">
      <c r="B11" s="95"/>
      <c r="C11" s="6">
        <v>-0.3</v>
      </c>
      <c r="D11" s="6">
        <v>0.8</v>
      </c>
    </row>
    <row r="13" spans="1:5" x14ac:dyDescent="0.2">
      <c r="B13" s="95" t="s">
        <v>273</v>
      </c>
      <c r="C13" s="59" cm="1">
        <f t="array" ref="C13:D14">MINVERSE(C10:D11)</f>
        <v>1.3793103448275861</v>
      </c>
      <c r="D13" s="59">
        <v>0.34482758620689652</v>
      </c>
    </row>
    <row r="14" spans="1:5" x14ac:dyDescent="0.2">
      <c r="B14" s="95"/>
      <c r="C14" s="59">
        <v>0.51724137931034464</v>
      </c>
      <c r="D14" s="59">
        <v>1.3793103448275861</v>
      </c>
    </row>
    <row r="16" spans="1:5" x14ac:dyDescent="0.2">
      <c r="B16" s="95" t="s">
        <v>288</v>
      </c>
      <c r="C16" s="59" cm="1">
        <f t="array" ref="C16:D17">MMULT(C13:D14,B6:C7)</f>
        <v>0.96551724137931028</v>
      </c>
      <c r="D16" s="59">
        <v>3.4482758620689655E-2</v>
      </c>
    </row>
    <row r="17" spans="2:4" x14ac:dyDescent="0.2">
      <c r="B17" s="95"/>
      <c r="C17" s="59">
        <v>0.86206896551724133</v>
      </c>
      <c r="D17" s="59">
        <v>0.13793103448275862</v>
      </c>
    </row>
    <row r="19" spans="2:4" x14ac:dyDescent="0.2">
      <c r="C19" s="26" t="s">
        <v>274</v>
      </c>
      <c r="D19" s="26" t="s">
        <v>269</v>
      </c>
    </row>
    <row r="20" spans="2:4" x14ac:dyDescent="0.2">
      <c r="B20" s="79" t="s">
        <v>289</v>
      </c>
      <c r="C20" s="6">
        <v>2000</v>
      </c>
      <c r="D20" s="6">
        <v>5000</v>
      </c>
    </row>
    <row r="21" spans="2:4" x14ac:dyDescent="0.2">
      <c r="C21" s="76"/>
    </row>
    <row r="22" spans="2:4" x14ac:dyDescent="0.2">
      <c r="B22" s="17" t="s">
        <v>275</v>
      </c>
      <c r="C22" s="77" cm="1">
        <f t="array" ref="C22:D22">MMULT(C20:D20,C16:D17)</f>
        <v>6241.379310344827</v>
      </c>
      <c r="D22" s="77">
        <v>758.62068965517244</v>
      </c>
    </row>
  </sheetData>
  <mergeCells count="5">
    <mergeCell ref="B2:E2"/>
    <mergeCell ref="A1:E1"/>
    <mergeCell ref="B10:B11"/>
    <mergeCell ref="B13:B14"/>
    <mergeCell ref="B16:B17"/>
  </mergeCells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B61FA-97C9-453A-8B02-04F02C685B8F}">
  <sheetPr>
    <tabColor theme="2"/>
  </sheetPr>
  <dimension ref="A1:E5"/>
  <sheetViews>
    <sheetView zoomScale="150" zoomScaleNormal="82" workbookViewId="0">
      <selection activeCell="A2" sqref="A2"/>
    </sheetView>
  </sheetViews>
  <sheetFormatPr baseColWidth="10" defaultColWidth="8.83203125" defaultRowHeight="15" x14ac:dyDescent="0.2"/>
  <cols>
    <col min="1" max="1" width="28.5" bestFit="1" customWidth="1"/>
    <col min="4" max="4" width="25.6640625" bestFit="1" customWidth="1"/>
    <col min="6" max="6" width="2.6640625" customWidth="1"/>
  </cols>
  <sheetData>
    <row r="1" spans="1:5" x14ac:dyDescent="0.2">
      <c r="A1" s="17" t="s">
        <v>276</v>
      </c>
      <c r="B1" s="6">
        <v>16</v>
      </c>
      <c r="D1" s="17" t="s">
        <v>277</v>
      </c>
      <c r="E1" s="6">
        <f>$B$1+$B$2*$B$5</f>
        <v>17</v>
      </c>
    </row>
    <row r="2" spans="1:5" x14ac:dyDescent="0.2">
      <c r="A2" s="90" t="s">
        <v>305</v>
      </c>
      <c r="B2" s="6">
        <v>3</v>
      </c>
      <c r="D2" s="17" t="s">
        <v>278</v>
      </c>
      <c r="E2" s="6">
        <f>$B$1-$B$2*$B$5</f>
        <v>15</v>
      </c>
    </row>
    <row r="3" spans="1:5" x14ac:dyDescent="0.2">
      <c r="A3" s="17" t="s">
        <v>299</v>
      </c>
      <c r="B3" s="6">
        <v>2</v>
      </c>
    </row>
    <row r="4" spans="1:5" x14ac:dyDescent="0.2">
      <c r="A4" s="17" t="s">
        <v>279</v>
      </c>
      <c r="B4" s="6">
        <v>36</v>
      </c>
    </row>
    <row r="5" spans="1:5" x14ac:dyDescent="0.2">
      <c r="A5" s="17" t="s">
        <v>298</v>
      </c>
      <c r="B5" s="6">
        <f>B3/SQRT(B4)</f>
        <v>0.33333333333333331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048C6-90DC-4ED0-9EAB-C22DD65E035B}">
  <sheetPr>
    <tabColor theme="2"/>
  </sheetPr>
  <dimension ref="A1:E3"/>
  <sheetViews>
    <sheetView zoomScale="134" workbookViewId="0">
      <selection activeCell="A3" sqref="A3"/>
    </sheetView>
  </sheetViews>
  <sheetFormatPr baseColWidth="10" defaultColWidth="8.83203125" defaultRowHeight="15" x14ac:dyDescent="0.2"/>
  <cols>
    <col min="1" max="1" width="27.33203125" bestFit="1" customWidth="1"/>
    <col min="2" max="2" width="9" customWidth="1"/>
    <col min="4" max="4" width="8.83203125" bestFit="1" customWidth="1"/>
    <col min="5" max="5" width="8.83203125" customWidth="1"/>
  </cols>
  <sheetData>
    <row r="1" spans="1:5" x14ac:dyDescent="0.2">
      <c r="A1" s="17" t="s">
        <v>280</v>
      </c>
      <c r="B1" s="6">
        <v>0.57699999999999996</v>
      </c>
      <c r="D1" s="17" t="s">
        <v>281</v>
      </c>
      <c r="E1" s="59">
        <f>$B$2+$B$1*$B$3</f>
        <v>16.154250000000001</v>
      </c>
    </row>
    <row r="2" spans="1:5" x14ac:dyDescent="0.2">
      <c r="A2" s="17" t="s">
        <v>276</v>
      </c>
      <c r="B2" s="6">
        <v>16.010000000000002</v>
      </c>
      <c r="D2" s="17" t="s">
        <v>282</v>
      </c>
      <c r="E2" s="59">
        <f>$B$2-$B$1*$B$3</f>
        <v>15.865750000000002</v>
      </c>
    </row>
    <row r="3" spans="1:5" x14ac:dyDescent="0.2">
      <c r="A3" s="17" t="s">
        <v>300</v>
      </c>
      <c r="B3" s="6">
        <v>0.25</v>
      </c>
      <c r="D3" s="17" t="s">
        <v>283</v>
      </c>
      <c r="E3" s="59">
        <f>E1-E2</f>
        <v>0.28849999999999909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39FB-6364-40E8-8FD6-BB9814DB06C1}">
  <sheetPr>
    <tabColor theme="2"/>
  </sheetPr>
  <dimension ref="A1:E3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23" bestFit="1" customWidth="1"/>
  </cols>
  <sheetData>
    <row r="1" spans="1:5" x14ac:dyDescent="0.2">
      <c r="A1" s="17" t="s">
        <v>300</v>
      </c>
      <c r="B1" s="6">
        <v>53</v>
      </c>
    </row>
    <row r="2" spans="1:5" x14ac:dyDescent="0.2">
      <c r="A2" s="17" t="s">
        <v>301</v>
      </c>
      <c r="B2" s="6">
        <v>2.1139999999999999</v>
      </c>
      <c r="D2" s="17" t="s">
        <v>281</v>
      </c>
      <c r="E2" s="6">
        <f>B3*B1</f>
        <v>0</v>
      </c>
    </row>
    <row r="3" spans="1:5" x14ac:dyDescent="0.2">
      <c r="A3" s="17" t="s">
        <v>302</v>
      </c>
      <c r="B3" s="6">
        <v>0</v>
      </c>
      <c r="D3" s="17" t="s">
        <v>282</v>
      </c>
      <c r="E3" s="59">
        <f>B2*B1</f>
        <v>112.04199999999999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351A-0A10-4FEF-962A-C032F89B586A}">
  <sheetPr>
    <tabColor theme="2"/>
  </sheetPr>
  <dimension ref="A1:E3"/>
  <sheetViews>
    <sheetView zoomScale="181" workbookViewId="0">
      <selection activeCell="F20" sqref="F20"/>
    </sheetView>
  </sheetViews>
  <sheetFormatPr baseColWidth="10" defaultColWidth="8.83203125" defaultRowHeight="15" x14ac:dyDescent="0.2"/>
  <cols>
    <col min="1" max="1" width="41" customWidth="1"/>
  </cols>
  <sheetData>
    <row r="1" spans="1:5" x14ac:dyDescent="0.2">
      <c r="A1" s="90" t="s">
        <v>305</v>
      </c>
      <c r="B1" s="6">
        <v>3</v>
      </c>
    </row>
    <row r="2" spans="1:5" x14ac:dyDescent="0.2">
      <c r="A2" s="17" t="s">
        <v>303</v>
      </c>
      <c r="B2" s="6">
        <f>80/(100*20)</f>
        <v>0.04</v>
      </c>
      <c r="D2" s="17" t="s">
        <v>281</v>
      </c>
      <c r="E2" s="59">
        <f>$B$2+3*($B$3)</f>
        <v>9.8787753826796276E-2</v>
      </c>
    </row>
    <row r="3" spans="1:5" x14ac:dyDescent="0.2">
      <c r="A3" s="17" t="s">
        <v>304</v>
      </c>
      <c r="B3" s="59">
        <f>SQRT((B2)*(1-B2)/100)</f>
        <v>1.9595917942265423E-2</v>
      </c>
      <c r="D3" s="17" t="s">
        <v>282</v>
      </c>
      <c r="E3" s="21">
        <f>$B$2-3*($B$3)</f>
        <v>-1.8787753826796268E-2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F6B4E-2B34-41C0-9702-A87E5C80032A}">
  <sheetPr>
    <tabColor theme="2"/>
  </sheetPr>
  <dimension ref="A1:E3"/>
  <sheetViews>
    <sheetView zoomScale="207" workbookViewId="0">
      <selection activeCell="A3" sqref="A3"/>
    </sheetView>
  </sheetViews>
  <sheetFormatPr baseColWidth="10" defaultColWidth="8.83203125" defaultRowHeight="15" x14ac:dyDescent="0.2"/>
  <cols>
    <col min="1" max="1" width="13.83203125" bestFit="1" customWidth="1"/>
    <col min="6" max="6" width="4.33203125" customWidth="1"/>
  </cols>
  <sheetData>
    <row r="1" spans="1:5" x14ac:dyDescent="0.2">
      <c r="A1" s="17" t="s">
        <v>284</v>
      </c>
      <c r="B1" s="6">
        <v>9</v>
      </c>
    </row>
    <row r="2" spans="1:5" x14ac:dyDescent="0.2">
      <c r="A2" s="17" t="s">
        <v>285</v>
      </c>
      <c r="B2" s="6">
        <v>54</v>
      </c>
      <c r="D2" s="17" t="s">
        <v>281</v>
      </c>
      <c r="E2" s="6">
        <f>$B$3+3*(SQRT($B$3))</f>
        <v>13.348469228349533</v>
      </c>
    </row>
    <row r="3" spans="1:5" x14ac:dyDescent="0.2">
      <c r="A3" s="17" t="s">
        <v>286</v>
      </c>
      <c r="B3" s="6">
        <f>B2/B1</f>
        <v>6</v>
      </c>
      <c r="D3" s="17" t="s">
        <v>282</v>
      </c>
      <c r="E3" s="6">
        <f>$B$3-3*(SQRT($B$3))</f>
        <v>-1.3484692283495336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311D-84DE-4F53-B223-344D04754D4B}">
  <sheetPr>
    <tabColor theme="9"/>
  </sheetPr>
  <dimension ref="A1:Q20"/>
  <sheetViews>
    <sheetView zoomScale="131" zoomScaleNormal="70" workbookViewId="0">
      <selection activeCell="J19" sqref="J19"/>
    </sheetView>
  </sheetViews>
  <sheetFormatPr baseColWidth="10" defaultColWidth="8.83203125" defaultRowHeight="15" x14ac:dyDescent="0.2"/>
  <cols>
    <col min="3" max="3" width="12.1640625" customWidth="1"/>
    <col min="8" max="8" width="19.83203125" bestFit="1" customWidth="1"/>
    <col min="12" max="12" width="15.83203125" bestFit="1" customWidth="1"/>
    <col min="13" max="13" width="19.1640625" customWidth="1"/>
  </cols>
  <sheetData>
    <row r="1" spans="1:17" x14ac:dyDescent="0.2">
      <c r="A1" t="s">
        <v>312</v>
      </c>
    </row>
    <row r="3" spans="1:17" x14ac:dyDescent="0.2">
      <c r="B3" s="56" t="s">
        <v>206</v>
      </c>
      <c r="C3" s="6">
        <v>1</v>
      </c>
      <c r="L3" t="s">
        <v>207</v>
      </c>
    </row>
    <row r="4" spans="1:17" x14ac:dyDescent="0.2">
      <c r="B4" s="56" t="s">
        <v>208</v>
      </c>
      <c r="C4" s="6">
        <v>2</v>
      </c>
      <c r="D4" t="s">
        <v>309</v>
      </c>
      <c r="L4" s="56" t="s">
        <v>209</v>
      </c>
      <c r="M4" s="6">
        <v>8</v>
      </c>
      <c r="N4" t="s">
        <v>210</v>
      </c>
    </row>
    <row r="5" spans="1:17" x14ac:dyDescent="0.2">
      <c r="B5" s="56" t="s">
        <v>211</v>
      </c>
      <c r="C5" s="6">
        <v>3</v>
      </c>
      <c r="D5" t="s">
        <v>310</v>
      </c>
      <c r="L5" s="56" t="s">
        <v>212</v>
      </c>
      <c r="M5" s="6">
        <v>50</v>
      </c>
    </row>
    <row r="6" spans="1:17" x14ac:dyDescent="0.2">
      <c r="B6" s="56" t="s">
        <v>213</v>
      </c>
      <c r="C6" s="6">
        <v>3</v>
      </c>
      <c r="L6" s="56" t="s">
        <v>214</v>
      </c>
      <c r="M6" s="6">
        <v>15</v>
      </c>
    </row>
    <row r="8" spans="1:17" x14ac:dyDescent="0.2">
      <c r="D8" s="56" t="s">
        <v>215</v>
      </c>
      <c r="E8" s="56" t="s">
        <v>216</v>
      </c>
      <c r="F8" s="56" t="s">
        <v>217</v>
      </c>
      <c r="G8" s="56" t="s">
        <v>218</v>
      </c>
      <c r="H8" s="56" t="s">
        <v>219</v>
      </c>
      <c r="I8" s="56" t="s">
        <v>220</v>
      </c>
      <c r="J8" s="58" t="s">
        <v>308</v>
      </c>
      <c r="L8" s="56" t="s">
        <v>221</v>
      </c>
      <c r="M8" s="6">
        <f>M4*C4*G9*M5</f>
        <v>533.33333333333326</v>
      </c>
      <c r="N8" s="34" t="s">
        <v>222</v>
      </c>
      <c r="O8" s="34"/>
      <c r="P8" s="34"/>
    </row>
    <row r="9" spans="1:17" x14ac:dyDescent="0.2">
      <c r="D9" s="6">
        <f>(C4)/(C5-C4)</f>
        <v>2</v>
      </c>
      <c r="E9" s="59">
        <f>1/(C5-C4)</f>
        <v>1</v>
      </c>
      <c r="F9" s="59">
        <f>(C4*C4)/C5*(C5-C4)</f>
        <v>1.3333333333333333</v>
      </c>
      <c r="G9" s="59">
        <f>C4/C5*(C5-C4)</f>
        <v>0.66666666666666663</v>
      </c>
      <c r="H9" s="27">
        <f>C4/C5</f>
        <v>0.66666666666666663</v>
      </c>
      <c r="I9" s="27">
        <f>1-(C4/C5)</f>
        <v>0.33333333333333337</v>
      </c>
      <c r="J9" s="60">
        <f>(C4/C5)^(C6+1)</f>
        <v>0.19753086419753085</v>
      </c>
      <c r="L9" s="56" t="s">
        <v>223</v>
      </c>
      <c r="M9" s="6">
        <f>M4*C3*M6</f>
        <v>120</v>
      </c>
      <c r="O9" s="34" t="s">
        <v>224</v>
      </c>
      <c r="P9" s="34"/>
      <c r="Q9" s="34"/>
    </row>
    <row r="10" spans="1:17" x14ac:dyDescent="0.2">
      <c r="C10" s="57" t="s">
        <v>225</v>
      </c>
      <c r="E10">
        <f>E9*60</f>
        <v>60</v>
      </c>
      <c r="G10">
        <f>G9*60</f>
        <v>40</v>
      </c>
      <c r="J10" t="s">
        <v>307</v>
      </c>
      <c r="L10" s="56" t="s">
        <v>105</v>
      </c>
      <c r="M10" s="6">
        <f>SUM(M8:M9)</f>
        <v>653.33333333333326</v>
      </c>
      <c r="O10" s="34" t="s">
        <v>226</v>
      </c>
      <c r="P10" s="34"/>
      <c r="Q10" s="34"/>
    </row>
    <row r="11" spans="1:17" x14ac:dyDescent="0.2">
      <c r="J11" t="s">
        <v>227</v>
      </c>
    </row>
    <row r="12" spans="1:17" x14ac:dyDescent="0.2">
      <c r="J12" t="s">
        <v>228</v>
      </c>
    </row>
    <row r="20" spans="8:11" x14ac:dyDescent="0.2">
      <c r="H20" s="78"/>
      <c r="K20" s="78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39B41-C91E-41CC-8DF8-21EF2F052924}">
  <sheetPr>
    <tabColor theme="9"/>
  </sheetPr>
  <dimension ref="A1:J11"/>
  <sheetViews>
    <sheetView zoomScale="158" zoomScaleNormal="84" workbookViewId="0">
      <selection activeCell="H11" sqref="H11"/>
    </sheetView>
  </sheetViews>
  <sheetFormatPr baseColWidth="10" defaultColWidth="10.83203125" defaultRowHeight="15" x14ac:dyDescent="0.2"/>
  <sheetData>
    <row r="1" spans="1:10" x14ac:dyDescent="0.2">
      <c r="A1" t="s">
        <v>311</v>
      </c>
    </row>
    <row r="2" spans="1:10" x14ac:dyDescent="0.2">
      <c r="A2" s="61" t="s">
        <v>229</v>
      </c>
      <c r="B2" s="56"/>
    </row>
    <row r="3" spans="1:10" x14ac:dyDescent="0.2">
      <c r="A3" s="62" t="s">
        <v>208</v>
      </c>
      <c r="B3" s="6">
        <v>2</v>
      </c>
      <c r="C3" t="s">
        <v>309</v>
      </c>
    </row>
    <row r="4" spans="1:10" x14ac:dyDescent="0.2">
      <c r="A4" s="62" t="s">
        <v>211</v>
      </c>
      <c r="B4" s="6">
        <v>3</v>
      </c>
      <c r="C4" t="s">
        <v>310</v>
      </c>
    </row>
    <row r="5" spans="1:10" x14ac:dyDescent="0.2">
      <c r="A5" s="62" t="s">
        <v>230</v>
      </c>
      <c r="B5" s="6">
        <v>2</v>
      </c>
      <c r="C5" t="s">
        <v>313</v>
      </c>
    </row>
    <row r="6" spans="1:10" x14ac:dyDescent="0.2">
      <c r="A6" s="62" t="s">
        <v>231</v>
      </c>
      <c r="B6" s="6">
        <v>1</v>
      </c>
    </row>
    <row r="7" spans="1:10" x14ac:dyDescent="0.2">
      <c r="A7" s="62" t="s">
        <v>232</v>
      </c>
      <c r="B7" s="6">
        <v>1</v>
      </c>
    </row>
    <row r="8" spans="1:10" x14ac:dyDescent="0.2">
      <c r="H8" t="s">
        <v>233</v>
      </c>
      <c r="J8" t="s">
        <v>234</v>
      </c>
    </row>
    <row r="9" spans="1:10" x14ac:dyDescent="0.2">
      <c r="C9" s="63" t="s">
        <v>215</v>
      </c>
      <c r="D9" s="63" t="s">
        <v>235</v>
      </c>
      <c r="E9" s="63" t="s">
        <v>217</v>
      </c>
      <c r="F9" s="63" t="s">
        <v>218</v>
      </c>
      <c r="G9" s="63" t="s">
        <v>219</v>
      </c>
      <c r="H9" s="63" t="s">
        <v>220</v>
      </c>
    </row>
    <row r="10" spans="1:10" x14ac:dyDescent="0.2">
      <c r="C10" s="59">
        <f>(((B3*B4)*(B3/B4)^B5)/((FACT(B5-B7))*((B5*B4-B3)^2)))*H10+(B3/B4)</f>
        <v>0.75</v>
      </c>
      <c r="D10" s="64">
        <f>C10/B3</f>
        <v>0.375</v>
      </c>
      <c r="E10" s="65">
        <f>C10-(B3/B4)</f>
        <v>8.333333333333337E-2</v>
      </c>
      <c r="F10" s="65">
        <f>E10/B3</f>
        <v>4.1666666666666685E-2</v>
      </c>
      <c r="G10" s="64">
        <f>C10-(B3/B4)</f>
        <v>8.333333333333337E-2</v>
      </c>
      <c r="H10" s="27">
        <f>1/(((1/FACT(B6))+((B3/B4)^B6))+(B7/FACT(B5))*((B3/B4)^B5)*((B5*B4)/((B5*B4)-B3)))</f>
        <v>0.5</v>
      </c>
    </row>
    <row r="11" spans="1:10" x14ac:dyDescent="0.2">
      <c r="B11" t="s">
        <v>236</v>
      </c>
      <c r="D11">
        <f>D10*60</f>
        <v>22.5</v>
      </c>
      <c r="F11">
        <f>F10*60</f>
        <v>2.5000000000000009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17690-0C3C-43FF-ADF1-6D7B9AADF825}">
  <sheetPr>
    <tabColor theme="9"/>
  </sheetPr>
  <dimension ref="A2:F8"/>
  <sheetViews>
    <sheetView zoomScale="125" zoomScaleNormal="80" workbookViewId="0">
      <selection activeCell="S42" sqref="S42"/>
    </sheetView>
  </sheetViews>
  <sheetFormatPr baseColWidth="10" defaultColWidth="10.83203125" defaultRowHeight="15" x14ac:dyDescent="0.2"/>
  <cols>
    <col min="3" max="6" width="13.5" customWidth="1"/>
  </cols>
  <sheetData>
    <row r="2" spans="1:6" x14ac:dyDescent="0.2">
      <c r="A2" s="61" t="s">
        <v>229</v>
      </c>
      <c r="B2" s="56"/>
    </row>
    <row r="3" spans="1:6" x14ac:dyDescent="0.2">
      <c r="A3" s="62" t="s">
        <v>208</v>
      </c>
      <c r="B3" s="6">
        <v>8</v>
      </c>
    </row>
    <row r="4" spans="1:6" x14ac:dyDescent="0.2">
      <c r="A4" s="62" t="s">
        <v>211</v>
      </c>
      <c r="B4" s="6">
        <v>12</v>
      </c>
    </row>
    <row r="5" spans="1:6" x14ac:dyDescent="0.2">
      <c r="C5" s="63" t="s">
        <v>217</v>
      </c>
      <c r="D5" s="63" t="s">
        <v>218</v>
      </c>
      <c r="E5" s="63" t="s">
        <v>215</v>
      </c>
      <c r="F5" s="63" t="s">
        <v>235</v>
      </c>
    </row>
    <row r="6" spans="1:6" x14ac:dyDescent="0.2">
      <c r="C6" s="65">
        <f>(B3)^2/((2*B4)*(B4-B3))</f>
        <v>0.66666666666666663</v>
      </c>
      <c r="D6" s="65">
        <f>B3/((2*B4)*(B4-B3))</f>
        <v>8.3333333333333329E-2</v>
      </c>
      <c r="E6" s="65">
        <f>C6+(B3/B4)</f>
        <v>1.3333333333333333</v>
      </c>
      <c r="F6" s="65">
        <f>D6+(1/B4)</f>
        <v>0.16666666666666666</v>
      </c>
    </row>
    <row r="7" spans="1:6" x14ac:dyDescent="0.2">
      <c r="D7" s="66">
        <f>D6*60</f>
        <v>5</v>
      </c>
    </row>
    <row r="8" spans="1:6" x14ac:dyDescent="0.2">
      <c r="D8" s="122" t="s">
        <v>237</v>
      </c>
      <c r="E8" s="122"/>
      <c r="F8" s="122"/>
    </row>
  </sheetData>
  <mergeCells count="1">
    <mergeCell ref="D8:F8"/>
  </mergeCells>
  <pageMargins left="0.7" right="0.7" top="0.75" bottom="0.75" header="0.3" footer="0.3"/>
  <pageSetup orientation="portrait" horizontalDpi="360" verticalDpi="36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07A7-480A-45B0-8941-DAA53A235FC5}">
  <sheetPr>
    <tabColor theme="9"/>
  </sheetPr>
  <dimension ref="A1:G20"/>
  <sheetViews>
    <sheetView zoomScale="142" zoomScaleNormal="66" workbookViewId="0">
      <selection activeCell="Q36" sqref="Q36"/>
    </sheetView>
  </sheetViews>
  <sheetFormatPr baseColWidth="10" defaultColWidth="10.83203125" defaultRowHeight="15" x14ac:dyDescent="0.2"/>
  <cols>
    <col min="1" max="1" width="15" customWidth="1"/>
  </cols>
  <sheetData>
    <row r="1" spans="1:7" x14ac:dyDescent="0.2">
      <c r="A1" t="s">
        <v>306</v>
      </c>
    </row>
    <row r="3" spans="1:7" x14ac:dyDescent="0.2">
      <c r="A3" s="62" t="s">
        <v>208</v>
      </c>
      <c r="B3" s="6">
        <v>0.05</v>
      </c>
    </row>
    <row r="4" spans="1:7" x14ac:dyDescent="0.2">
      <c r="A4" s="62" t="s">
        <v>211</v>
      </c>
      <c r="B4" s="6">
        <v>0.5</v>
      </c>
    </row>
    <row r="5" spans="1:7" x14ac:dyDescent="0.2">
      <c r="A5" s="61" t="s">
        <v>238</v>
      </c>
      <c r="B5" s="6">
        <v>5</v>
      </c>
    </row>
    <row r="6" spans="1:7" x14ac:dyDescent="0.2">
      <c r="A6" s="61" t="s">
        <v>239</v>
      </c>
      <c r="B6" s="6">
        <v>1</v>
      </c>
    </row>
    <row r="7" spans="1:7" x14ac:dyDescent="0.2">
      <c r="A7" s="56" t="s">
        <v>240</v>
      </c>
      <c r="B7" s="6">
        <v>0.1</v>
      </c>
    </row>
    <row r="8" spans="1:7" x14ac:dyDescent="0.2">
      <c r="C8" s="63" t="s">
        <v>215</v>
      </c>
      <c r="D8" s="63" t="s">
        <v>235</v>
      </c>
      <c r="E8" s="63" t="s">
        <v>217</v>
      </c>
      <c r="F8" s="63" t="s">
        <v>218</v>
      </c>
      <c r="G8" s="63" t="s">
        <v>220</v>
      </c>
    </row>
    <row r="9" spans="1:7" x14ac:dyDescent="0.2">
      <c r="C9" s="67">
        <f>E9+(1-G9)</f>
        <v>0.63952176855402698</v>
      </c>
      <c r="D9" s="68"/>
      <c r="E9" s="6">
        <f>B5-((B3+B4)/B3)*(1-G9)</f>
        <v>0.20347394540942965</v>
      </c>
      <c r="F9" s="6">
        <f>(E9)/((B5-C9)*B3)</f>
        <v>0.93326435592343671</v>
      </c>
      <c r="G9" s="67">
        <f>B20</f>
        <v>0.56395217685540266</v>
      </c>
    </row>
    <row r="10" spans="1:7" x14ac:dyDescent="0.2">
      <c r="D10" s="66" t="s">
        <v>241</v>
      </c>
      <c r="E10" s="66"/>
      <c r="F10" s="66"/>
    </row>
    <row r="11" spans="1:7" x14ac:dyDescent="0.2">
      <c r="D11" s="66" t="s">
        <v>242</v>
      </c>
      <c r="E11" s="66"/>
    </row>
    <row r="12" spans="1:7" x14ac:dyDescent="0.2">
      <c r="A12" s="69" t="s">
        <v>231</v>
      </c>
      <c r="B12" s="69" t="s">
        <v>243</v>
      </c>
    </row>
    <row r="13" spans="1:7" x14ac:dyDescent="0.2">
      <c r="A13" s="6">
        <v>0</v>
      </c>
      <c r="B13" s="67">
        <f>(FACT($B$5))/(FACT($B$5-A13))*$B$7^A13</f>
        <v>1</v>
      </c>
    </row>
    <row r="14" spans="1:7" x14ac:dyDescent="0.2">
      <c r="A14" s="6">
        <v>1</v>
      </c>
      <c r="B14" s="67">
        <f t="shared" ref="B14:B18" si="0">(FACT($B$5))/(FACT($B$5-A14))*$B$7^A14</f>
        <v>0.5</v>
      </c>
    </row>
    <row r="15" spans="1:7" x14ac:dyDescent="0.2">
      <c r="A15" s="6">
        <v>2</v>
      </c>
      <c r="B15" s="67">
        <f t="shared" si="0"/>
        <v>0.20000000000000004</v>
      </c>
    </row>
    <row r="16" spans="1:7" x14ac:dyDescent="0.2">
      <c r="A16" s="6">
        <v>3</v>
      </c>
      <c r="B16" s="67">
        <f t="shared" si="0"/>
        <v>6.0000000000000012E-2</v>
      </c>
    </row>
    <row r="17" spans="1:2" x14ac:dyDescent="0.2">
      <c r="A17" s="6">
        <v>4</v>
      </c>
      <c r="B17" s="67">
        <f t="shared" si="0"/>
        <v>1.2000000000000005E-2</v>
      </c>
    </row>
    <row r="18" spans="1:2" x14ac:dyDescent="0.2">
      <c r="A18" s="6">
        <v>5</v>
      </c>
      <c r="B18" s="67">
        <f t="shared" si="0"/>
        <v>1.2000000000000008E-3</v>
      </c>
    </row>
    <row r="19" spans="1:2" x14ac:dyDescent="0.2">
      <c r="A19" s="70" t="s">
        <v>244</v>
      </c>
      <c r="B19" s="71">
        <f>SUM(B13:B18)</f>
        <v>1.7732000000000001</v>
      </c>
    </row>
    <row r="20" spans="1:2" x14ac:dyDescent="0.2">
      <c r="A20" s="70" t="s">
        <v>245</v>
      </c>
      <c r="B20" s="71">
        <f>1/B19</f>
        <v>0.56395217685540266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PL</vt:lpstr>
      <vt:lpstr>PL Maximización</vt:lpstr>
      <vt:lpstr>PL Minimización</vt:lpstr>
      <vt:lpstr>PL ++ Restricciones</vt:lpstr>
      <vt:lpstr>PL Invest</vt:lpstr>
      <vt:lpstr>PL Finanzas</vt:lpstr>
      <vt:lpstr>PL Transporte !</vt:lpstr>
      <vt:lpstr>PL Transbordo !!</vt:lpstr>
      <vt:lpstr>PL Transporte (Mo.Ma)</vt:lpstr>
      <vt:lpstr>PL Serv Cliente</vt:lpstr>
      <vt:lpstr>PL Recursos</vt:lpstr>
      <vt:lpstr>PL Computadoras</vt:lpstr>
      <vt:lpstr>PL &amp; PE</vt:lpstr>
      <vt:lpstr> Asignación (0-1)</vt:lpstr>
      <vt:lpstr>PNL Fnc.L-Rest.L</vt:lpstr>
      <vt:lpstr>PNL Fnc.NL-Rest.NL</vt:lpstr>
      <vt:lpstr>PNL Fnc.L-Rest.NL</vt:lpstr>
      <vt:lpstr>RED Expansión Mínima</vt:lpstr>
      <vt:lpstr>RED Flujo Máximo</vt:lpstr>
      <vt:lpstr>RED Flujo Máximo 2</vt:lpstr>
      <vt:lpstr>MARK Vector Probabidades Estado</vt:lpstr>
      <vt:lpstr>MARK Ejemplo Maquinaria</vt:lpstr>
      <vt:lpstr>MARK Estado Absor Matriz Fundam</vt:lpstr>
      <vt:lpstr>CE calidad Lote de Producción X</vt:lpstr>
      <vt:lpstr>CE calidad Botellas</vt:lpstr>
      <vt:lpstr>CE calidad Límites R</vt:lpstr>
      <vt:lpstr>CE calidad Paquete Software</vt:lpstr>
      <vt:lpstr>CE calidad Transportes</vt:lpstr>
      <vt:lpstr>POI MM1</vt:lpstr>
      <vt:lpstr>POI MMm</vt:lpstr>
      <vt:lpstr>POI MD1</vt:lpstr>
      <vt:lpstr>POI MM1 finita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Robles Perez</dc:creator>
  <cp:keywords/>
  <dc:description/>
  <cp:lastModifiedBy>Luis Aguilar</cp:lastModifiedBy>
  <dcterms:created xsi:type="dcterms:W3CDTF">2015-06-05T18:17:20Z</dcterms:created>
  <dcterms:modified xsi:type="dcterms:W3CDTF">2023-06-26T04:38:06Z</dcterms:modified>
  <cp:category/>
</cp:coreProperties>
</file>