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13_ncr:1_{B9C1ADEF-1977-9C42-9AED-A88FCFAE6F53}" xr6:coauthVersionLast="47" xr6:coauthVersionMax="47" xr10:uidLastSave="{00000000-0000-0000-0000-000000000000}"/>
  <bookViews>
    <workbookView xWindow="0" yWindow="740" windowWidth="30240" windowHeight="18900" activeTab="5" xr2:uid="{463C0421-8187-8941-B4D0-0E8F812E5F70}"/>
  </bookViews>
  <sheets>
    <sheet name="Ejercicio 1" sheetId="1" r:id="rId1"/>
    <sheet name="Ejercicio 2" sheetId="2" r:id="rId2"/>
    <sheet name="Ejercicio 3" sheetId="4" r:id="rId3"/>
    <sheet name="Ejercicio 4" sheetId="5" r:id="rId4"/>
    <sheet name="Ejercicio 5" sheetId="6" r:id="rId5"/>
    <sheet name="Ejercicio 6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7" l="1"/>
  <c r="D27" i="6"/>
  <c r="D23" i="6"/>
  <c r="D19" i="6"/>
  <c r="G35" i="2"/>
  <c r="E35" i="2"/>
  <c r="F36" i="2"/>
  <c r="F35" i="2"/>
  <c r="D36" i="2"/>
  <c r="D35" i="2"/>
  <c r="C16" i="7"/>
  <c r="C15" i="7"/>
  <c r="C14" i="7"/>
  <c r="G3" i="5"/>
  <c r="C19" i="5" l="1"/>
  <c r="D23" i="5" s="1"/>
  <c r="C18" i="5"/>
  <c r="C23" i="5" s="1"/>
  <c r="C17" i="5"/>
  <c r="B23" i="5" s="1"/>
  <c r="E3" i="5"/>
  <c r="E4" i="5"/>
  <c r="E5" i="5"/>
  <c r="C22" i="5" l="1"/>
  <c r="C24" i="5"/>
  <c r="D22" i="5"/>
  <c r="H3" i="5"/>
  <c r="B22" i="5"/>
  <c r="D24" i="5"/>
  <c r="B24" i="5"/>
  <c r="C8" i="2" l="1"/>
  <c r="C15" i="2" s="1"/>
  <c r="G36" i="2" l="1"/>
  <c r="G37" i="2" s="1"/>
  <c r="E36" i="2"/>
  <c r="E37" i="2" s="1"/>
  <c r="C25" i="2"/>
  <c r="C28" i="2" s="1"/>
  <c r="B24" i="1"/>
  <c r="D15" i="1"/>
  <c r="D14" i="1"/>
  <c r="D13" i="1"/>
  <c r="D12" i="1"/>
  <c r="C15" i="1"/>
  <c r="C14" i="1"/>
  <c r="C13" i="1"/>
  <c r="C12" i="1"/>
  <c r="D7" i="1" l="1"/>
  <c r="D6" i="1"/>
  <c r="C7" i="1"/>
  <c r="C6" i="1"/>
  <c r="E5" i="1"/>
  <c r="F5" i="1" s="1"/>
  <c r="E4" i="1"/>
  <c r="F4" i="1" s="1"/>
  <c r="E6" i="1" l="1"/>
  <c r="F6" i="1" s="1"/>
  <c r="E7" i="1"/>
  <c r="F7" i="1" s="1"/>
</calcChain>
</file>

<file path=xl/sharedStrings.xml><?xml version="1.0" encoding="utf-8"?>
<sst xmlns="http://schemas.openxmlformats.org/spreadsheetml/2006/main" count="107" uniqueCount="87">
  <si>
    <t>Tipo de inversión</t>
  </si>
  <si>
    <t>Costo de inversión</t>
  </si>
  <si>
    <t>Ingresos con restultados favorables</t>
  </si>
  <si>
    <t>Ingresos con restultados desfavorables</t>
  </si>
  <si>
    <t>Ingresos netos esperados</t>
  </si>
  <si>
    <t>Campaña publicitaria grande</t>
  </si>
  <si>
    <t>Campaña publicitaria pequeña</t>
  </si>
  <si>
    <t>Agencia + Campaña publicitaria grande</t>
  </si>
  <si>
    <t>Agencia + Campaña publicitaria pequeña</t>
  </si>
  <si>
    <t>3- Determine las probabilidades posteriores mediante Bayes (4 pts)</t>
  </si>
  <si>
    <t xml:space="preserve">4- Realice el árbol de decisiones de forma correcta (12 pts) </t>
  </si>
  <si>
    <t xml:space="preserve">5- Indique el valor monetario esperado de realizar el estudio (2 pts.) </t>
  </si>
  <si>
    <t>2- Realice un cuadro de probabilidades condicionales (4 pts)</t>
  </si>
  <si>
    <t>1-Realice los cuadros con los ingresos netos esperados para los diferentes escenarios (8 pts)</t>
  </si>
  <si>
    <t>Nivel de inversión</t>
  </si>
  <si>
    <t>Resultados favorables</t>
  </si>
  <si>
    <t>Resultados desfavorables</t>
  </si>
  <si>
    <t>VME</t>
  </si>
  <si>
    <t>Predicción junio</t>
  </si>
  <si>
    <t>a</t>
  </si>
  <si>
    <t>Pronóstico julio</t>
  </si>
  <si>
    <t>1. Utilizando una constante de suavizamiento de alfa = 3%, ¿cuál puede ser el pronóstico para el mes de julio de 2021? 2 pt</t>
  </si>
  <si>
    <t>2. ¿Si la demanda real de julio de 2021 es de 1700 unidades, cuál puede ser el pronóstico para el mes de agosto de 2021, con el mismo alfa? 2 pt.</t>
  </si>
  <si>
    <t>Demanda real julio</t>
  </si>
  <si>
    <t>Demanda real junio</t>
  </si>
  <si>
    <t>Pronóstico agosto</t>
  </si>
  <si>
    <t>R/ Para el mes de agosto se pronostican 1591,5 unidades</t>
  </si>
  <si>
    <t>R/ Para el mes de julio se pronostican 1545 unidades</t>
  </si>
  <si>
    <t>3. ¿Cómo varían los datos con un alfa del 3.5%? 2 pt.</t>
  </si>
  <si>
    <t>Ponóstico agosto</t>
  </si>
  <si>
    <t xml:space="preserve">R/ Tanto para el mes de julio como el mes de agosto la demanda subiría, en julio 7,5 unidades y en agosto 12,625 unidades </t>
  </si>
  <si>
    <t>4. ¿Cuál alfa tiene un mejor DMA y por qué? 2 pt.</t>
  </si>
  <si>
    <t>Mes</t>
  </si>
  <si>
    <t>junio</t>
  </si>
  <si>
    <t>julio</t>
  </si>
  <si>
    <t>a=0,3</t>
  </si>
  <si>
    <t>Error</t>
  </si>
  <si>
    <t>a=0,35</t>
  </si>
  <si>
    <t>Real</t>
  </si>
  <si>
    <t>DMA</t>
  </si>
  <si>
    <t xml:space="preserve">1-Mediante un método gráfico indique si los datos tienen tendencia o estacionalidad 2 pts. </t>
  </si>
  <si>
    <t xml:space="preserve">2- Indique cuál método de pronóstico por series de tiempo utilizaría según la respuesta anterior 2 pts. </t>
  </si>
  <si>
    <t xml:space="preserve">3- Indique cómo obtener la ecuación para poder pronosticar las ventas del año 2021 (haga las cálculos y muestre el resultado) 4 pts </t>
  </si>
  <si>
    <t xml:space="preserve">1.1.  Según el criterio del valor monetario esperado, que opción recomendaría (5 pts.) </t>
  </si>
  <si>
    <t xml:space="preserve">1.2.  Calcule el valor esperado de la información perfecta (2 pts.) </t>
  </si>
  <si>
    <t xml:space="preserve">1.3.  ¿Qué decisión tomaría utilizando el criterio de arrepentimiento minimax? Haga la tabla de pérdida de oportunidad (10 pts.) </t>
  </si>
  <si>
    <t>1. a) Para minimizar el costo, ¿Cuántas unidades deberían ordenarse cada vez que se coloca una orden? 2 pts</t>
  </si>
  <si>
    <t>2. b) ¿Cuántas órdenes por año se necesitan con la política óptima? 3 pts</t>
  </si>
  <si>
    <t>3. c) ¿Cuál es el inventario promedio si se minimizan los costos? 5 pts</t>
  </si>
  <si>
    <t>Indique el costo por almacenar 2 pts.</t>
  </si>
  <si>
    <t xml:space="preserve">Indique cuál es el mayor costo anual por almacenar 2 pts. </t>
  </si>
  <si>
    <t xml:space="preserve">Indique el costo anual por ordenar si pide 150 unidades. 2 pts. </t>
  </si>
  <si>
    <t xml:space="preserve">Año </t>
  </si>
  <si>
    <t xml:space="preserve">Demanda </t>
  </si>
  <si>
    <t>R/  Podría desarrollarse un índice estacional y usarse con cualquier método de promedios</t>
  </si>
  <si>
    <t>R/ El gráfico demuestra que la demanda sigue siendo creciente a pesar de que por ciertos años cae, por lo que se tiene un efecto estacional</t>
  </si>
  <si>
    <t>Alternativa</t>
  </si>
  <si>
    <t>Bueno</t>
  </si>
  <si>
    <t>Regular</t>
  </si>
  <si>
    <t>Malo</t>
  </si>
  <si>
    <t>Tienda pequeña</t>
  </si>
  <si>
    <t>Tienda mediana</t>
  </si>
  <si>
    <t>Ninguna tienda</t>
  </si>
  <si>
    <t>R/ El alfa dfe 0,35 porque tiene un menor nivel de error</t>
  </si>
  <si>
    <t>R/ Recomendaría abrir una tienda mediana</t>
  </si>
  <si>
    <t>VEIP</t>
  </si>
  <si>
    <t>VECIP</t>
  </si>
  <si>
    <t>Mejor alternativa buena</t>
  </si>
  <si>
    <t>Mejor alternativa regular</t>
  </si>
  <si>
    <t>Mejor alternativa malo</t>
  </si>
  <si>
    <t>R/ Basados en Minimax, la altenativa que se escoge es la realizar la tienda mediana</t>
  </si>
  <si>
    <t>Probabilidades</t>
  </si>
  <si>
    <t>Demanda anual en unidades (D)</t>
  </si>
  <si>
    <t>Costo por almacenar por unidad (Ch)</t>
  </si>
  <si>
    <t>Costo por ordenar por cada orden (Co)</t>
  </si>
  <si>
    <t>Unidades</t>
  </si>
  <si>
    <t>100-199</t>
  </si>
  <si>
    <t>Descuento</t>
  </si>
  <si>
    <t>CLE</t>
  </si>
  <si>
    <t>Demanda anual</t>
  </si>
  <si>
    <t>Costo por ordenar</t>
  </si>
  <si>
    <t>Cargo por almacenar</t>
  </si>
  <si>
    <t>Costo por almacenar</t>
  </si>
  <si>
    <t>Órdenes por año</t>
  </si>
  <si>
    <t>Inventario promedio</t>
  </si>
  <si>
    <t>Unidades por orden (Q)</t>
  </si>
  <si>
    <t>Cantidad por almacenar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</si>
</sst>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$-409]#,##0.00"/>
    <numFmt numFmtId="169" formatCode="[$$-409]#,##0"/>
    <numFmt numFmtId="174" formatCode="&quot;$&quot;#,##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NewRomanPSMT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/>
    <xf numFmtId="0" fontId="0" fillId="3" borderId="2" xfId="0" applyFont="1" applyFill="1" applyBorder="1"/>
    <xf numFmtId="2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3" fillId="0" borderId="0" xfId="0" applyFont="1"/>
    <xf numFmtId="0" fontId="0" fillId="0" borderId="0" xfId="0" applyAlignment="1"/>
    <xf numFmtId="0" fontId="2" fillId="2" borderId="1" xfId="0" applyFont="1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1" applyFont="1"/>
    <xf numFmtId="0" fontId="5" fillId="0" borderId="0" xfId="0" applyFont="1"/>
    <xf numFmtId="0" fontId="3" fillId="0" borderId="0" xfId="0" applyFont="1" applyAlignment="1"/>
    <xf numFmtId="0" fontId="6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2" xfId="0" applyFont="1" applyFill="1" applyBorder="1"/>
    <xf numFmtId="174" fontId="0" fillId="0" borderId="0" xfId="0" applyNumberFormat="1"/>
  </cellXfs>
  <cellStyles count="2">
    <cellStyle name="Normal" xfId="0" builtinId="0"/>
    <cellStyle name="Percent" xfId="1" builtinId="5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6" formatCode="[$$-409]#,##0.00"/>
    </dxf>
    <dxf>
      <numFmt numFmtId="169" formatCode="[$$-409]#,##0"/>
    </dxf>
    <dxf>
      <numFmt numFmtId="169" formatCode="[$$-409]#,##0"/>
    </dxf>
    <dxf>
      <numFmt numFmtId="169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 de la demanda por año</a:t>
            </a:r>
            <a:r>
              <a:rPr lang="en-US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'Ejercicio 3'!$A$2:$A$25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'Ejercicio 3'!$B$2:$B$25</c:f>
              <c:numCache>
                <c:formatCode>General</c:formatCode>
                <c:ptCount val="24"/>
                <c:pt idx="0">
                  <c:v>25900</c:v>
                </c:pt>
                <c:pt idx="1">
                  <c:v>27650</c:v>
                </c:pt>
                <c:pt idx="2">
                  <c:v>28000</c:v>
                </c:pt>
                <c:pt idx="3">
                  <c:v>31500</c:v>
                </c:pt>
                <c:pt idx="4">
                  <c:v>36750</c:v>
                </c:pt>
                <c:pt idx="5">
                  <c:v>40250</c:v>
                </c:pt>
                <c:pt idx="6">
                  <c:v>51800</c:v>
                </c:pt>
                <c:pt idx="7">
                  <c:v>55300</c:v>
                </c:pt>
                <c:pt idx="8">
                  <c:v>56000</c:v>
                </c:pt>
                <c:pt idx="9">
                  <c:v>63000</c:v>
                </c:pt>
                <c:pt idx="10">
                  <c:v>73500</c:v>
                </c:pt>
                <c:pt idx="11">
                  <c:v>80500</c:v>
                </c:pt>
                <c:pt idx="12">
                  <c:v>103600</c:v>
                </c:pt>
                <c:pt idx="13">
                  <c:v>110600</c:v>
                </c:pt>
                <c:pt idx="14">
                  <c:v>112000</c:v>
                </c:pt>
                <c:pt idx="15">
                  <c:v>126000</c:v>
                </c:pt>
                <c:pt idx="16">
                  <c:v>147000</c:v>
                </c:pt>
                <c:pt idx="17">
                  <c:v>161000</c:v>
                </c:pt>
                <c:pt idx="18">
                  <c:v>207200</c:v>
                </c:pt>
                <c:pt idx="19">
                  <c:v>221200</c:v>
                </c:pt>
                <c:pt idx="20">
                  <c:v>224000</c:v>
                </c:pt>
                <c:pt idx="21">
                  <c:v>252000</c:v>
                </c:pt>
                <c:pt idx="22">
                  <c:v>294000</c:v>
                </c:pt>
                <c:pt idx="23">
                  <c:v>322000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1-4E4A-A66D-AB0D0256E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53136"/>
        <c:axId val="527455408"/>
      </c:scatterChart>
      <c:valAx>
        <c:axId val="5274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527455408"/>
        <c:crosses val="autoZero"/>
        <c:crossBetween val="midCat"/>
      </c:valAx>
      <c:valAx>
        <c:axId val="5274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52745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289061</xdr:colOff>
      <xdr:row>30</xdr:row>
      <xdr:rowOff>124351</xdr:rowOff>
    </xdr:from>
    <xdr:to>
      <xdr:col>5</xdr:col>
      <xdr:colOff>606951</xdr:colOff>
      <xdr:row>44</xdr:row>
      <xdr:rowOff>31477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BA8A3-A18D-A177-6837-7197822E9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22544</xdr:colOff>
      <xdr:row>1</xdr:row>
      <xdr:rowOff>1</xdr:rowOff>
    </xdr:from>
    <xdr:to>
      <xdr:col>5</xdr:col>
      <xdr:colOff>517803</xdr:colOff>
      <xdr:row>11</xdr:row>
      <xdr:rowOff>19422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E74C10-50DF-784D-97E9-CE6636A1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4" y="202900"/>
          <a:ext cx="6401886" cy="2048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330200</xdr:colOff>
      <xdr:row>10</xdr:row>
      <xdr:rowOff>28863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FA9080-21D6-DF4C-8A7D-2D7B8687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20608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E36E4-B3BA-4B42-85C2-67E85A3B7415}" name="Table1" displayName="Table1" ref="B3:F7" totalsRowShown="0" headerRowDxfId="11">
  <tableColumns count="5">
    <tableColumn id="1" xr3:uid="{BE666DF2-6757-6B4A-BA54-E2C59C030943}" name="Tipo de inversión"/>
    <tableColumn id="2" xr3:uid="{222980AD-E681-A045-AA9D-C8084A325422}" name="Costo de inversión" dataDxfId="15"/>
    <tableColumn id="3" xr3:uid="{5B5419AF-6863-FB43-BBB4-14083D96A6DE}" name="Ingresos con restultados favorables" dataDxfId="14"/>
    <tableColumn id="4" xr3:uid="{D08AA9F6-DFD5-6D4A-BBB6-759002F0D49D}" name="Ingresos con restultados desfavorables" dataDxfId="13"/>
    <tableColumn id="5" xr3:uid="{F54D7355-3D98-E749-921E-99A6F35D9A7E}" name="Ingresos netos esperados" dataDxfId="12">
      <calculatedColumnFormula>0.4*(Table1[[#This Row],[Ingresos con restultados favorables]]-Table1[[#This Row],[Costo de inversión]])+0.6*(Table1[[#This Row],[Ingresos con restultados desfavorables]]-Table1[[#This Row],[Costo de inversión]])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3BB28B-F0D2-3A48-A8C2-AEBB9BB16E83}" name="Table3" displayName="Table3" ref="B11:D15" totalsRowShown="0">
  <tableColumns count="3">
    <tableColumn id="1" xr3:uid="{96465968-6E53-E048-8177-6224151DCA71}" name="Nivel de inversión" dataDxfId="10"/>
    <tableColumn id="2" xr3:uid="{86F6DEE6-AC7C-BB4C-89B3-34F9643CE37E}" name="Resultados favorables" dataCellStyle="Percent"/>
    <tableColumn id="3" xr3:uid="{5B6335AA-C898-0F45-AFC9-121274C43D7E}" name="Resultados desfavorables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845AE5-8482-2D48-86EF-B836567BE29F}" name="Table5" displayName="Table5" ref="A1:B25" totalsRowShown="0" headerRowDxfId="5" dataDxfId="4">
  <tableColumns count="2">
    <tableColumn id="1" xr3:uid="{955CD04F-12F7-794C-BFC0-26DBC3D2BDF0}" name="Año " dataDxfId="3"/>
    <tableColumn id="2" xr3:uid="{D0A1FD92-8DA9-0E4D-B615-3A8A7518A8DA}" name="Demanda 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B93079-78BD-6D4A-B328-234B749F7836}" name="Table57" displayName="Table57" ref="B55:C79" totalsRowShown="0" headerRowDxfId="9" dataDxfId="8">
  <tableColumns count="2">
    <tableColumn id="1" xr3:uid="{2623E121-4CC0-5B4C-90CE-1F0B0F630FF6}" name="Año " dataDxfId="7"/>
    <tableColumn id="2" xr3:uid="{D2FEADD3-FAC6-FC42-9D59-4464CD5957AE}" name="Demanda 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796466-CCF5-D643-B63A-F683B4335B71}" name="Table8" displayName="Table8" ref="A2:E5" totalsRowShown="0">
  <tableColumns count="5">
    <tableColumn id="1" xr3:uid="{CE5DC007-77E1-984F-8AAA-9FE950B462F1}" name="Alternativa" dataDxfId="1"/>
    <tableColumn id="2" xr3:uid="{6536363D-1368-9644-91A8-346BBC500EE6}" name="Bueno"/>
    <tableColumn id="3" xr3:uid="{DC6E6F20-52D9-0942-BC11-0942E0CB6E27}" name="Regular"/>
    <tableColumn id="4" xr3:uid="{C0A0DE99-1A02-B94C-AAC1-E822D642357F}" name="Malo"/>
    <tableColumn id="5" xr3:uid="{B358239A-5B58-E749-AD06-525EE0DB640E}" name="VME" dataDxfId="0">
      <calculatedColumnFormula>(Table8[[#This Row],[Bueno]]*$B$1)+(Table8[[#This Row],[Regular]]*$C$1)+(Table8[[#This Row],[Malo]]*$D$1)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E7C-A0E4-9D41-A53F-0095D8C43EBC}">
  <dimension ref="A2:F24"/>
  <sheetViews>
    <sheetView zoomScale="114" workbookViewId="0">
      <selection activeCell="B19" sqref="B19"/>
    </sheetView>
  </sheetViews>
  <sheetFormatPr baseColWidth="10" defaultRowHeight="16"/>
  <cols>
    <col min="2" max="2" width="35.5" bestFit="1" customWidth="1"/>
    <col min="3" max="3" width="20.33203125" bestFit="1" customWidth="1"/>
    <col min="4" max="4" width="32.6640625" customWidth="1"/>
    <col min="5" max="5" width="35.6640625" bestFit="1" customWidth="1"/>
    <col min="6" max="6" width="23.6640625" bestFit="1" customWidth="1"/>
  </cols>
  <sheetData>
    <row r="2" spans="1:6">
      <c r="A2" s="6" t="s">
        <v>13</v>
      </c>
    </row>
    <row r="3" spans="1:6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>
      <c r="B4" t="s">
        <v>5</v>
      </c>
      <c r="C4" s="5">
        <v>8000</v>
      </c>
      <c r="D4" s="5">
        <v>30000</v>
      </c>
      <c r="E4" s="5">
        <f>Table1[[#This Row],[Ingresos con restultados favorables]]-(Table1[[#This Row],[Ingresos con restultados favorables]]*0.4)</f>
        <v>18000</v>
      </c>
      <c r="F4" s="4">
        <f>0.4*(Table1[[#This Row],[Ingresos con restultados favorables]]-Table1[[#This Row],[Costo de inversión]])+0.6*(Table1[[#This Row],[Ingresos con restultados desfavorables]]-Table1[[#This Row],[Costo de inversión]])</f>
        <v>14800</v>
      </c>
    </row>
    <row r="5" spans="1:6">
      <c r="B5" t="s">
        <v>6</v>
      </c>
      <c r="C5" s="5">
        <v>5000</v>
      </c>
      <c r="D5" s="5">
        <v>17000</v>
      </c>
      <c r="E5" s="5">
        <f>Table1[[#This Row],[Ingresos con restultados favorables]]-(Table1[[#This Row],[Ingresos con restultados favorables]]*0.6)</f>
        <v>6800</v>
      </c>
      <c r="F5" s="4">
        <f>0.4*(Table1[[#This Row],[Ingresos con restultados favorables]]-Table1[[#This Row],[Costo de inversión]])+0.6*(Table1[[#This Row],[Ingresos con restultados desfavorables]]-Table1[[#This Row],[Costo de inversión]])</f>
        <v>5880</v>
      </c>
    </row>
    <row r="6" spans="1:6">
      <c r="B6" t="s">
        <v>7</v>
      </c>
      <c r="C6" s="5">
        <f>C4+(C4*0.3)</f>
        <v>10400</v>
      </c>
      <c r="D6" s="5">
        <f>D4+(D4*0.4)</f>
        <v>42000</v>
      </c>
      <c r="E6" s="5">
        <f>E4+(E4*0.4)</f>
        <v>25200</v>
      </c>
      <c r="F6" s="4">
        <f>0.4*(Table1[[#This Row],[Ingresos con restultados favorables]]-Table1[[#This Row],[Costo de inversión]])+0.6*(Table1[[#This Row],[Ingresos con restultados desfavorables]]-Table1[[#This Row],[Costo de inversión]])</f>
        <v>21520</v>
      </c>
    </row>
    <row r="7" spans="1:6">
      <c r="B7" t="s">
        <v>8</v>
      </c>
      <c r="C7" s="5">
        <f>C5+(C5*0.3)</f>
        <v>6500</v>
      </c>
      <c r="D7" s="5">
        <f>D5+(D5*0.4)</f>
        <v>23800</v>
      </c>
      <c r="E7" s="5">
        <f>E5+(E5*0.4)</f>
        <v>9520</v>
      </c>
      <c r="F7" s="4">
        <f>0.4*(Table1[[#This Row],[Ingresos con restultados favorables]]-Table1[[#This Row],[Costo de inversión]])+0.6*(Table1[[#This Row],[Ingresos con restultados desfavorables]]-Table1[[#This Row],[Costo de inversión]])</f>
        <v>8732</v>
      </c>
    </row>
    <row r="10" spans="1:6">
      <c r="A10" t="s">
        <v>12</v>
      </c>
    </row>
    <row r="11" spans="1:6">
      <c r="B11" s="8" t="s">
        <v>14</v>
      </c>
      <c r="C11" t="s">
        <v>15</v>
      </c>
      <c r="D11" t="s">
        <v>16</v>
      </c>
    </row>
    <row r="12" spans="1:6">
      <c r="B12" t="s">
        <v>5</v>
      </c>
      <c r="C12" s="11">
        <f>0.4*0.6</f>
        <v>0.24</v>
      </c>
      <c r="D12" s="11">
        <f>0.6*0.4</f>
        <v>0.24</v>
      </c>
    </row>
    <row r="13" spans="1:6">
      <c r="B13" t="s">
        <v>6</v>
      </c>
      <c r="C13" s="11">
        <f>0.4*0.4</f>
        <v>0.16000000000000003</v>
      </c>
      <c r="D13" s="11">
        <f>0.6*0.6</f>
        <v>0.36</v>
      </c>
    </row>
    <row r="14" spans="1:6">
      <c r="B14" t="s">
        <v>7</v>
      </c>
      <c r="C14" s="11">
        <f>0.4*0.8*0.6</f>
        <v>0.19200000000000003</v>
      </c>
      <c r="D14" s="11">
        <f>0.4*0.8*0.4</f>
        <v>0.12800000000000003</v>
      </c>
    </row>
    <row r="15" spans="1:6">
      <c r="B15" t="s">
        <v>8</v>
      </c>
      <c r="C15" s="11">
        <f>0.4*0.8*0.3</f>
        <v>9.6000000000000016E-2</v>
      </c>
      <c r="D15" s="11">
        <f>0.4*0.8*0.7</f>
        <v>0.22400000000000003</v>
      </c>
    </row>
    <row r="18" spans="1:2">
      <c r="A18" s="6" t="s">
        <v>9</v>
      </c>
    </row>
    <row r="20" spans="1:2">
      <c r="A20" s="6" t="s">
        <v>10</v>
      </c>
    </row>
    <row r="23" spans="1:2">
      <c r="A23" s="6" t="s">
        <v>11</v>
      </c>
    </row>
    <row r="24" spans="1:2">
      <c r="A24" s="9" t="s">
        <v>17</v>
      </c>
      <c r="B24" s="10">
        <f>(0.4*22000)+(0.3*25000)</f>
        <v>16300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4D5E-392C-274A-8869-00C04E04140E}">
  <dimension ref="A2:G39"/>
  <sheetViews>
    <sheetView workbookViewId="0">
      <selection activeCell="G36" sqref="G36"/>
    </sheetView>
  </sheetViews>
  <sheetFormatPr baseColWidth="10" defaultRowHeight="16"/>
  <cols>
    <col min="2" max="2" width="21.33203125" customWidth="1"/>
  </cols>
  <sheetData>
    <row r="2" spans="1:3">
      <c r="A2" t="s">
        <v>21</v>
      </c>
    </row>
    <row r="4" spans="1:3">
      <c r="B4" t="s">
        <v>18</v>
      </c>
      <c r="C4">
        <v>1500</v>
      </c>
    </row>
    <row r="5" spans="1:3">
      <c r="B5" t="s">
        <v>24</v>
      </c>
      <c r="C5">
        <v>1650</v>
      </c>
    </row>
    <row r="6" spans="1:3">
      <c r="B6" t="s">
        <v>19</v>
      </c>
      <c r="C6">
        <v>0.03</v>
      </c>
    </row>
    <row r="8" spans="1:3">
      <c r="B8" t="s">
        <v>20</v>
      </c>
      <c r="C8">
        <f>C4+C6*(C5-C4)</f>
        <v>1504.5</v>
      </c>
    </row>
    <row r="10" spans="1:3">
      <c r="B10" t="s">
        <v>27</v>
      </c>
    </row>
    <row r="12" spans="1:3">
      <c r="A12" t="s">
        <v>22</v>
      </c>
    </row>
    <row r="14" spans="1:3">
      <c r="B14" t="s">
        <v>23</v>
      </c>
      <c r="C14">
        <v>1700</v>
      </c>
    </row>
    <row r="15" spans="1:3">
      <c r="B15" t="s">
        <v>25</v>
      </c>
      <c r="C15">
        <f>C8+C6*(C14-C8)</f>
        <v>1510.365</v>
      </c>
    </row>
    <row r="17" spans="1:3">
      <c r="B17" t="s">
        <v>26</v>
      </c>
    </row>
    <row r="19" spans="1:3">
      <c r="A19" t="s">
        <v>28</v>
      </c>
    </row>
    <row r="21" spans="1:3">
      <c r="B21" t="s">
        <v>18</v>
      </c>
      <c r="C21">
        <v>1500</v>
      </c>
    </row>
    <row r="22" spans="1:3">
      <c r="B22" t="s">
        <v>24</v>
      </c>
      <c r="C22">
        <v>1650</v>
      </c>
    </row>
    <row r="23" spans="1:3">
      <c r="B23" t="s">
        <v>19</v>
      </c>
      <c r="C23">
        <v>3.5000000000000003E-2</v>
      </c>
    </row>
    <row r="25" spans="1:3">
      <c r="B25" t="s">
        <v>20</v>
      </c>
      <c r="C25">
        <f>C21+C23*(C22-C21)</f>
        <v>1505.25</v>
      </c>
    </row>
    <row r="26" spans="1:3">
      <c r="B26" t="s">
        <v>23</v>
      </c>
      <c r="C26">
        <v>1700</v>
      </c>
    </row>
    <row r="28" spans="1:3">
      <c r="B28" t="s">
        <v>29</v>
      </c>
      <c r="C28">
        <f>C25+C23*(C26-C25)</f>
        <v>1512.0662500000001</v>
      </c>
    </row>
    <row r="30" spans="1:3">
      <c r="B30" t="s">
        <v>30</v>
      </c>
    </row>
    <row r="32" spans="1:3" ht="17" customHeight="1">
      <c r="A32" t="s">
        <v>31</v>
      </c>
    </row>
    <row r="34" spans="2:7">
      <c r="B34" t="s">
        <v>32</v>
      </c>
      <c r="C34" t="s">
        <v>38</v>
      </c>
      <c r="D34" t="s">
        <v>35</v>
      </c>
      <c r="E34" t="s">
        <v>36</v>
      </c>
      <c r="F34" t="s">
        <v>37</v>
      </c>
      <c r="G34" t="s">
        <v>36</v>
      </c>
    </row>
    <row r="35" spans="2:7">
      <c r="B35" t="s">
        <v>33</v>
      </c>
      <c r="C35">
        <v>1650</v>
      </c>
      <c r="D35">
        <f>C4</f>
        <v>1500</v>
      </c>
      <c r="E35">
        <f>ABS(C35-D35)</f>
        <v>150</v>
      </c>
      <c r="F35">
        <f>C21</f>
        <v>1500</v>
      </c>
      <c r="G35">
        <f>ABS(C35-F35)</f>
        <v>150</v>
      </c>
    </row>
    <row r="36" spans="2:7">
      <c r="B36" t="s">
        <v>34</v>
      </c>
      <c r="C36">
        <v>1700</v>
      </c>
      <c r="D36">
        <f>C14</f>
        <v>1700</v>
      </c>
      <c r="E36">
        <f>ABS(C36-D36)</f>
        <v>0</v>
      </c>
      <c r="F36">
        <f>C25</f>
        <v>1505.25</v>
      </c>
      <c r="G36">
        <f>ABS(C36-F36)</f>
        <v>194.75</v>
      </c>
    </row>
    <row r="37" spans="2:7">
      <c r="D37" t="s">
        <v>39</v>
      </c>
      <c r="E37">
        <f>SUM(E35:E36)/COUNT(E35:E36)</f>
        <v>75</v>
      </c>
      <c r="G37">
        <f>SUM(G35:G36)/COUNT(G35:G36)</f>
        <v>172.375</v>
      </c>
    </row>
    <row r="39" spans="2:7">
      <c r="B3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D43A-EA34-F14E-A922-D9CDFCC4D4CC}">
  <dimension ref="A1:D79"/>
  <sheetViews>
    <sheetView topLeftCell="A33" zoomScale="119" workbookViewId="0">
      <selection activeCell="B80" sqref="B80"/>
    </sheetView>
  </sheetViews>
  <sheetFormatPr baseColWidth="10" defaultRowHeight="16"/>
  <cols>
    <col min="2" max="2" width="11.1640625" customWidth="1"/>
    <col min="4" max="4" width="12.1640625" customWidth="1"/>
  </cols>
  <sheetData>
    <row r="1" spans="1:2">
      <c r="A1" s="13" t="s">
        <v>52</v>
      </c>
      <c r="B1" s="13" t="s">
        <v>53</v>
      </c>
    </row>
    <row r="2" spans="1:2">
      <c r="A2" s="13">
        <v>1997</v>
      </c>
      <c r="B2" s="13">
        <v>25900</v>
      </c>
    </row>
    <row r="3" spans="1:2">
      <c r="A3" s="13">
        <v>1998</v>
      </c>
      <c r="B3" s="13">
        <v>27650</v>
      </c>
    </row>
    <row r="4" spans="1:2">
      <c r="A4" s="13">
        <v>1999</v>
      </c>
      <c r="B4" s="13">
        <v>28000</v>
      </c>
    </row>
    <row r="5" spans="1:2">
      <c r="A5" s="13">
        <v>2000</v>
      </c>
      <c r="B5" s="13">
        <v>31500</v>
      </c>
    </row>
    <row r="6" spans="1:2">
      <c r="A6" s="13">
        <v>2001</v>
      </c>
      <c r="B6" s="13">
        <v>36750</v>
      </c>
    </row>
    <row r="7" spans="1:2">
      <c r="A7" s="13">
        <v>2002</v>
      </c>
      <c r="B7" s="13">
        <v>40250</v>
      </c>
    </row>
    <row r="8" spans="1:2">
      <c r="A8" s="13">
        <v>2003</v>
      </c>
      <c r="B8" s="13">
        <v>51800</v>
      </c>
    </row>
    <row r="9" spans="1:2">
      <c r="A9" s="13">
        <v>2004</v>
      </c>
      <c r="B9" s="13">
        <v>55300</v>
      </c>
    </row>
    <row r="10" spans="1:2">
      <c r="A10" s="13">
        <v>2005</v>
      </c>
      <c r="B10" s="13">
        <v>56000</v>
      </c>
    </row>
    <row r="11" spans="1:2">
      <c r="A11" s="13">
        <v>2006</v>
      </c>
      <c r="B11" s="13">
        <v>63000</v>
      </c>
    </row>
    <row r="12" spans="1:2">
      <c r="A12" s="13">
        <v>2007</v>
      </c>
      <c r="B12" s="13">
        <v>73500</v>
      </c>
    </row>
    <row r="13" spans="1:2">
      <c r="A13" s="13">
        <v>2008</v>
      </c>
      <c r="B13" s="13">
        <v>80500</v>
      </c>
    </row>
    <row r="14" spans="1:2">
      <c r="A14" s="13">
        <v>2009</v>
      </c>
      <c r="B14" s="13">
        <v>103600</v>
      </c>
    </row>
    <row r="15" spans="1:2">
      <c r="A15" s="13">
        <v>2010</v>
      </c>
      <c r="B15" s="13">
        <v>110600</v>
      </c>
    </row>
    <row r="16" spans="1:2">
      <c r="A16" s="13">
        <v>2011</v>
      </c>
      <c r="B16" s="13">
        <v>112000</v>
      </c>
    </row>
    <row r="17" spans="1:4">
      <c r="A17" s="13">
        <v>2012</v>
      </c>
      <c r="B17" s="13">
        <v>126000</v>
      </c>
    </row>
    <row r="18" spans="1:4">
      <c r="A18" s="13">
        <v>2013</v>
      </c>
      <c r="B18" s="13">
        <v>147000</v>
      </c>
    </row>
    <row r="19" spans="1:4">
      <c r="A19" s="13">
        <v>2014</v>
      </c>
      <c r="B19" s="13">
        <v>161000</v>
      </c>
    </row>
    <row r="20" spans="1:4">
      <c r="A20" s="13">
        <v>2015</v>
      </c>
      <c r="B20" s="13">
        <v>207200</v>
      </c>
    </row>
    <row r="21" spans="1:4">
      <c r="A21" s="13">
        <v>2016</v>
      </c>
      <c r="B21" s="13">
        <v>221200</v>
      </c>
    </row>
    <row r="22" spans="1:4">
      <c r="A22" s="13">
        <v>2017</v>
      </c>
      <c r="B22" s="13">
        <v>224000</v>
      </c>
    </row>
    <row r="23" spans="1:4">
      <c r="A23" s="13">
        <v>2018</v>
      </c>
      <c r="B23" s="13">
        <v>252000</v>
      </c>
    </row>
    <row r="24" spans="1:4">
      <c r="A24" s="13">
        <v>2019</v>
      </c>
      <c r="B24" s="13">
        <v>294000</v>
      </c>
    </row>
    <row r="25" spans="1:4">
      <c r="A25" s="13">
        <v>2020</v>
      </c>
      <c r="B25" s="13">
        <v>322000</v>
      </c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30" spans="1:4">
      <c r="A30" s="6" t="s">
        <v>40</v>
      </c>
    </row>
    <row r="46" spans="2:2">
      <c r="B46" t="s">
        <v>55</v>
      </c>
    </row>
    <row r="49" spans="1:3">
      <c r="A49" s="6" t="s">
        <v>41</v>
      </c>
    </row>
    <row r="51" spans="1:3">
      <c r="B51" s="7" t="s">
        <v>54</v>
      </c>
    </row>
    <row r="53" spans="1:3">
      <c r="A53" s="6" t="s">
        <v>42</v>
      </c>
    </row>
    <row r="55" spans="1:3">
      <c r="B55" s="13" t="s">
        <v>52</v>
      </c>
      <c r="C55" s="13" t="s">
        <v>53</v>
      </c>
    </row>
    <row r="56" spans="1:3">
      <c r="B56" s="13">
        <v>1997</v>
      </c>
      <c r="C56" s="13">
        <v>25900</v>
      </c>
    </row>
    <row r="57" spans="1:3">
      <c r="B57" s="13">
        <v>1998</v>
      </c>
      <c r="C57" s="13">
        <v>27650</v>
      </c>
    </row>
    <row r="58" spans="1:3">
      <c r="B58" s="13">
        <v>1999</v>
      </c>
      <c r="C58" s="13">
        <v>28000</v>
      </c>
    </row>
    <row r="59" spans="1:3">
      <c r="B59" s="13">
        <v>2000</v>
      </c>
      <c r="C59" s="13">
        <v>31500</v>
      </c>
    </row>
    <row r="60" spans="1:3">
      <c r="B60" s="13">
        <v>2001</v>
      </c>
      <c r="C60" s="13">
        <v>36750</v>
      </c>
    </row>
    <row r="61" spans="1:3">
      <c r="B61" s="13">
        <v>2002</v>
      </c>
      <c r="C61" s="13">
        <v>40250</v>
      </c>
    </row>
    <row r="62" spans="1:3">
      <c r="B62" s="13">
        <v>2003</v>
      </c>
      <c r="C62" s="13">
        <v>51800</v>
      </c>
    </row>
    <row r="63" spans="1:3">
      <c r="B63" s="13">
        <v>2004</v>
      </c>
      <c r="C63" s="13">
        <v>55300</v>
      </c>
    </row>
    <row r="64" spans="1:3">
      <c r="B64" s="13">
        <v>2005</v>
      </c>
      <c r="C64" s="13">
        <v>56000</v>
      </c>
    </row>
    <row r="65" spans="2:3">
      <c r="B65" s="13">
        <v>2006</v>
      </c>
      <c r="C65" s="13">
        <v>63000</v>
      </c>
    </row>
    <row r="66" spans="2:3">
      <c r="B66" s="13">
        <v>2007</v>
      </c>
      <c r="C66" s="13">
        <v>73500</v>
      </c>
    </row>
    <row r="67" spans="2:3">
      <c r="B67" s="13">
        <v>2008</v>
      </c>
      <c r="C67" s="13">
        <v>80500</v>
      </c>
    </row>
    <row r="68" spans="2:3">
      <c r="B68" s="13">
        <v>2009</v>
      </c>
      <c r="C68" s="13">
        <v>103600</v>
      </c>
    </row>
    <row r="69" spans="2:3">
      <c r="B69" s="13">
        <v>2010</v>
      </c>
      <c r="C69" s="13">
        <v>110600</v>
      </c>
    </row>
    <row r="70" spans="2:3">
      <c r="B70" s="13">
        <v>2011</v>
      </c>
      <c r="C70" s="13">
        <v>112000</v>
      </c>
    </row>
    <row r="71" spans="2:3">
      <c r="B71" s="13">
        <v>2012</v>
      </c>
      <c r="C71" s="13">
        <v>126000</v>
      </c>
    </row>
    <row r="72" spans="2:3">
      <c r="B72" s="13">
        <v>2013</v>
      </c>
      <c r="C72" s="13">
        <v>147000</v>
      </c>
    </row>
    <row r="73" spans="2:3">
      <c r="B73" s="13">
        <v>2014</v>
      </c>
      <c r="C73" s="13">
        <v>161000</v>
      </c>
    </row>
    <row r="74" spans="2:3">
      <c r="B74" s="13">
        <v>2015</v>
      </c>
      <c r="C74" s="13">
        <v>207200</v>
      </c>
    </row>
    <row r="75" spans="2:3">
      <c r="B75" s="13">
        <v>2016</v>
      </c>
      <c r="C75" s="13">
        <v>221200</v>
      </c>
    </row>
    <row r="76" spans="2:3">
      <c r="B76" s="13">
        <v>2017</v>
      </c>
      <c r="C76" s="13">
        <v>224000</v>
      </c>
    </row>
    <row r="77" spans="2:3">
      <c r="B77" s="13">
        <v>2018</v>
      </c>
      <c r="C77" s="13">
        <v>252000</v>
      </c>
    </row>
    <row r="78" spans="2:3">
      <c r="B78" s="13">
        <v>2019</v>
      </c>
      <c r="C78" s="13">
        <v>294000</v>
      </c>
    </row>
    <row r="79" spans="2:3">
      <c r="B79" s="13">
        <v>2020</v>
      </c>
      <c r="C79" s="13">
        <v>322000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C6F1-3A6C-754D-9D1A-3C825FEAA289}">
  <dimension ref="A1:H24"/>
  <sheetViews>
    <sheetView topLeftCell="A7" zoomScale="168" workbookViewId="0">
      <selection activeCell="D5" sqref="D5"/>
    </sheetView>
  </sheetViews>
  <sheetFormatPr baseColWidth="10" defaultRowHeight="16"/>
  <cols>
    <col min="1" max="1" width="14" customWidth="1"/>
  </cols>
  <sheetData>
    <row r="1" spans="1:8">
      <c r="A1" t="s">
        <v>71</v>
      </c>
      <c r="B1">
        <v>0.2</v>
      </c>
      <c r="C1">
        <v>0.5</v>
      </c>
      <c r="D1">
        <v>0.3</v>
      </c>
    </row>
    <row r="2" spans="1:8">
      <c r="A2" s="6" t="s">
        <v>56</v>
      </c>
      <c r="B2" t="s">
        <v>57</v>
      </c>
      <c r="C2" t="s">
        <v>58</v>
      </c>
      <c r="D2" t="s">
        <v>59</v>
      </c>
      <c r="E2" t="s">
        <v>17</v>
      </c>
      <c r="G2" s="1" t="s">
        <v>66</v>
      </c>
      <c r="H2" s="1" t="s">
        <v>65</v>
      </c>
    </row>
    <row r="3" spans="1:8">
      <c r="A3" s="6" t="s">
        <v>60</v>
      </c>
      <c r="B3">
        <v>75000</v>
      </c>
      <c r="C3">
        <v>25000</v>
      </c>
      <c r="D3">
        <v>-40000</v>
      </c>
      <c r="E3">
        <f>(Table8[[#This Row],[Bueno]]*$B$1)+(Table8[[#This Row],[Regular]]*$C$1)+(Table8[[#This Row],[Malo]]*$D$1)</f>
        <v>15500</v>
      </c>
      <c r="G3" s="2">
        <f>(MAX(Table8[Bueno])*B1)+(MAX(Table8[Regular])*C1)+(MAX(Table8[Malo])*D1)</f>
        <v>37500</v>
      </c>
      <c r="H3" s="2">
        <f>G3-MAX(Table8[VME])</f>
        <v>18000</v>
      </c>
    </row>
    <row r="4" spans="1:8">
      <c r="A4" s="6" t="s">
        <v>61</v>
      </c>
      <c r="B4">
        <v>100000</v>
      </c>
      <c r="C4">
        <v>35000</v>
      </c>
      <c r="D4">
        <v>-60000</v>
      </c>
      <c r="E4">
        <f>(Table8[[#This Row],[Bueno]]*$B$1)+(Table8[[#This Row],[Regular]]*$C$1)+(Table8[[#This Row],[Malo]]*$D$1)</f>
        <v>19500</v>
      </c>
    </row>
    <row r="5" spans="1:8">
      <c r="A5" s="6" t="s">
        <v>62</v>
      </c>
      <c r="B5">
        <v>0</v>
      </c>
      <c r="C5">
        <v>0</v>
      </c>
      <c r="D5">
        <v>0</v>
      </c>
      <c r="E5">
        <f>(Table8[[#This Row],[Bueno]]*$B$1)+(Table8[[#This Row],[Regular]]*$C$1)+(Table8[[#This Row],[Malo]]*$D$1)</f>
        <v>0</v>
      </c>
    </row>
    <row r="8" spans="1:8">
      <c r="A8" s="6" t="s">
        <v>43</v>
      </c>
    </row>
    <row r="10" spans="1:8">
      <c r="A10" s="6"/>
      <c r="B10" t="s">
        <v>64</v>
      </c>
    </row>
    <row r="11" spans="1:8">
      <c r="A11" s="6"/>
    </row>
    <row r="12" spans="1:8">
      <c r="A12" s="6" t="s">
        <v>44</v>
      </c>
    </row>
    <row r="14" spans="1:8">
      <c r="A14" s="6" t="s">
        <v>45</v>
      </c>
    </row>
    <row r="17" spans="1:6">
      <c r="A17" t="s">
        <v>67</v>
      </c>
      <c r="C17">
        <f>MAX(Table8[Bueno])</f>
        <v>100000</v>
      </c>
    </row>
    <row r="18" spans="1:6">
      <c r="A18" t="s">
        <v>68</v>
      </c>
      <c r="C18">
        <f>MAX(Table8[Regular])</f>
        <v>35000</v>
      </c>
    </row>
    <row r="19" spans="1:6">
      <c r="A19" t="s">
        <v>69</v>
      </c>
      <c r="C19">
        <f>MAX(Table8[Malo])</f>
        <v>0</v>
      </c>
    </row>
    <row r="21" spans="1:6">
      <c r="A21" s="14" t="s">
        <v>56</v>
      </c>
      <c r="B21" s="1" t="s">
        <v>57</v>
      </c>
      <c r="C21" s="1" t="s">
        <v>58</v>
      </c>
      <c r="D21" s="1" t="s">
        <v>59</v>
      </c>
    </row>
    <row r="22" spans="1:6">
      <c r="A22" s="15" t="s">
        <v>60</v>
      </c>
      <c r="B22" s="2">
        <f>$C$17-B3</f>
        <v>25000</v>
      </c>
      <c r="C22" s="2">
        <f>$C$18-C3</f>
        <v>10000</v>
      </c>
      <c r="D22" s="2">
        <f>$C$19-D3</f>
        <v>40000</v>
      </c>
    </row>
    <row r="23" spans="1:6">
      <c r="A23" s="16" t="s">
        <v>61</v>
      </c>
      <c r="B23" s="17">
        <f t="shared" ref="B23:B24" si="0">$C$17-B4</f>
        <v>0</v>
      </c>
      <c r="C23" s="17">
        <f t="shared" ref="C23:C24" si="1">$C$18-C4</f>
        <v>0</v>
      </c>
      <c r="D23" s="17">
        <f t="shared" ref="D23:D24" si="2">$C$19-D4</f>
        <v>60000</v>
      </c>
      <c r="F23" t="s">
        <v>70</v>
      </c>
    </row>
    <row r="24" spans="1:6">
      <c r="A24" s="15" t="s">
        <v>62</v>
      </c>
      <c r="B24" s="2">
        <f t="shared" si="0"/>
        <v>100000</v>
      </c>
      <c r="C24" s="2">
        <f t="shared" si="1"/>
        <v>35000</v>
      </c>
      <c r="D24" s="2">
        <f t="shared" si="2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9C9D-1A83-1943-8DBD-80AE3D9F8FA3}">
  <dimension ref="A13:D27"/>
  <sheetViews>
    <sheetView topLeftCell="A6" zoomScale="169" workbookViewId="0">
      <selection activeCell="D28" sqref="D28"/>
    </sheetView>
  </sheetViews>
  <sheetFormatPr baseColWidth="10" defaultRowHeight="16"/>
  <cols>
    <col min="1" max="1" width="34.1640625" customWidth="1"/>
  </cols>
  <sheetData>
    <row r="13" spans="1:2">
      <c r="A13" t="s">
        <v>72</v>
      </c>
      <c r="B13">
        <v>350</v>
      </c>
    </row>
    <row r="14" spans="1:2">
      <c r="A14" t="s">
        <v>73</v>
      </c>
      <c r="B14" s="18">
        <v>1</v>
      </c>
    </row>
    <row r="15" spans="1:2">
      <c r="A15" t="s">
        <v>74</v>
      </c>
      <c r="B15" s="18">
        <v>20</v>
      </c>
    </row>
    <row r="17" spans="1:4">
      <c r="A17" t="s">
        <v>46</v>
      </c>
    </row>
    <row r="19" spans="1:4">
      <c r="B19" t="s">
        <v>85</v>
      </c>
      <c r="D19">
        <f>SQRT((2*B13*B15)/B14)</f>
        <v>118.32159566199232</v>
      </c>
    </row>
    <row r="21" spans="1:4">
      <c r="A21" t="s">
        <v>47</v>
      </c>
    </row>
    <row r="23" spans="1:4">
      <c r="B23" t="s">
        <v>83</v>
      </c>
      <c r="D23">
        <f>B13/D19</f>
        <v>2.9580398915498081</v>
      </c>
    </row>
    <row r="25" spans="1:4">
      <c r="A25" t="s">
        <v>48</v>
      </c>
    </row>
    <row r="27" spans="1:4">
      <c r="B27" t="s">
        <v>84</v>
      </c>
      <c r="D27">
        <f>(D19*B13)/2</f>
        <v>20706.279240848657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43B0-0E68-F34F-9708-11B862EB6FEA}">
  <dimension ref="A13:E36"/>
  <sheetViews>
    <sheetView tabSelected="1" workbookViewId="0">
      <selection activeCell="D15" sqref="D15"/>
    </sheetView>
  </sheetViews>
  <sheetFormatPr baseColWidth="10" defaultRowHeight="16"/>
  <cols>
    <col min="1" max="1" width="18" customWidth="1"/>
    <col min="3" max="3" width="8.1640625" customWidth="1"/>
    <col min="4" max="4" width="20.83203125" bestFit="1" customWidth="1"/>
    <col min="5" max="5" width="18.1640625" bestFit="1" customWidth="1"/>
  </cols>
  <sheetData>
    <row r="13" spans="1:5">
      <c r="A13" t="s">
        <v>75</v>
      </c>
      <c r="B13" t="s">
        <v>77</v>
      </c>
      <c r="C13" t="s">
        <v>78</v>
      </c>
      <c r="D13" t="s">
        <v>86</v>
      </c>
      <c r="E13" t="s">
        <v>82</v>
      </c>
    </row>
    <row r="14" spans="1:5">
      <c r="A14" s="10">
        <v>99</v>
      </c>
      <c r="B14">
        <v>200</v>
      </c>
      <c r="C14" s="3">
        <f>SQRT((2*$B$19*$B$20)/($B$21*B14))</f>
        <v>52.915026221291811</v>
      </c>
      <c r="D14">
        <v>99</v>
      </c>
      <c r="E14">
        <f>(A14/2)*(B21*B14)</f>
        <v>1485</v>
      </c>
    </row>
    <row r="15" spans="1:5">
      <c r="A15" s="10" t="s">
        <v>76</v>
      </c>
      <c r="B15">
        <v>198.5</v>
      </c>
      <c r="C15" s="3">
        <f>SQRT((2*$B$19*$B$20)/($B$21*B15))</f>
        <v>53.114580768149935</v>
      </c>
      <c r="D15">
        <v>100</v>
      </c>
    </row>
    <row r="16" spans="1:5">
      <c r="A16" s="10">
        <v>200</v>
      </c>
      <c r="B16">
        <v>197</v>
      </c>
      <c r="C16" s="3">
        <f>SQRT((2*$B$19*$B$20)/($B$21*B16))</f>
        <v>53.316410174622874</v>
      </c>
      <c r="D16">
        <v>200</v>
      </c>
    </row>
    <row r="19" spans="1:2">
      <c r="A19" t="s">
        <v>79</v>
      </c>
      <c r="B19">
        <v>600</v>
      </c>
    </row>
    <row r="20" spans="1:2">
      <c r="A20" t="s">
        <v>80</v>
      </c>
      <c r="B20">
        <v>70</v>
      </c>
    </row>
    <row r="21" spans="1:2">
      <c r="A21" t="s">
        <v>81</v>
      </c>
      <c r="B21">
        <v>0.15</v>
      </c>
    </row>
    <row r="28" spans="1:2">
      <c r="A28" s="12" t="s">
        <v>49</v>
      </c>
    </row>
    <row r="32" spans="1:2">
      <c r="A32" s="12" t="s">
        <v>50</v>
      </c>
    </row>
    <row r="36" spans="1:1">
      <c r="A36" s="1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2023-05-07T13:58:27Z</dcterms:created>
  <dcterms:modified xsi:type="dcterms:W3CDTF">2023-05-08T13:51:09Z</dcterms:modified>
</cp:coreProperties>
</file>